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rinterSettings/printerSettings1.bin" ContentType="application/vnd.openxmlformats-officedocument.spreadsheetml.printerSettings"/>
  <Override PartName="/xl/drawings/drawing2.xml" ContentType="application/vnd.openxmlformats-officedocument.drawing+xml"/>
  <Override PartName="/xl/charts/chart2.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tables/table1.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showInkAnnotation="0" autoCompressPictures="0"/>
  <mc:AlternateContent xmlns:mc="http://schemas.openxmlformats.org/markup-compatibility/2006">
    <mc:Choice Requires="x15">
      <x15ac:absPath xmlns:x15ac="http://schemas.microsoft.com/office/spreadsheetml/2010/11/ac" url="/Users/gzucman/Dropbox/TorslovEtal17/OnlineFiles/April2022/"/>
    </mc:Choice>
  </mc:AlternateContent>
  <xr:revisionPtr revIDLastSave="0" documentId="13_ncr:1_{E784327C-6D02-D142-9432-57B13C6C3E79}" xr6:coauthVersionLast="47" xr6:coauthVersionMax="47" xr10:uidLastSave="{00000000-0000-0000-0000-000000000000}"/>
  <bookViews>
    <workbookView xWindow="1100" yWindow="500" windowWidth="30900" windowHeight="16240" tabRatio="959" activeTab="1" xr2:uid="{00000000-000D-0000-FFFF-FFFF00000000}"/>
  </bookViews>
  <sheets>
    <sheet name="ReplicationGuideTables" sheetId="51" r:id="rId1"/>
    <sheet name="TableA1" sheetId="8" r:id="rId2"/>
    <sheet name="TableA2" sheetId="9" r:id="rId3"/>
    <sheet name="TableA2b" sheetId="36" r:id="rId4"/>
    <sheet name="TableA3" sheetId="10" r:id="rId5"/>
    <sheet name="TableA4" sheetId="12" r:id="rId6"/>
    <sheet name="TableA5" sheetId="13" r:id="rId7"/>
    <sheet name="TableA6" sheetId="19" r:id="rId8"/>
    <sheet name="TableA7" sheetId="17" r:id="rId9"/>
    <sheet name="TableA8" sheetId="20" r:id="rId10"/>
    <sheet name="TableA9" sheetId="25" r:id="rId11"/>
    <sheet name="TableA10" sheetId="30" r:id="rId12"/>
    <sheet name="TableA10b" sheetId="53" r:id="rId13"/>
    <sheet name="TableA11" sheetId="26" r:id="rId14"/>
    <sheet name="TableA11b" sheetId="54" r:id="rId15"/>
    <sheet name="TableA12" sheetId="273" r:id="rId16"/>
    <sheet name="TableB1" sheetId="60" r:id="rId17"/>
    <sheet name="TableB1b" sheetId="140" r:id="rId18"/>
    <sheet name="TableB2" sheetId="21" r:id="rId19"/>
    <sheet name="TableB3" sheetId="15" r:id="rId20"/>
    <sheet name="TableB4" sheetId="14" r:id="rId21"/>
    <sheet name="TableB5" sheetId="23" r:id="rId22"/>
    <sheet name="TableB6" sheetId="24" r:id="rId23"/>
    <sheet name="TableB7" sheetId="27" r:id="rId24"/>
    <sheet name="TableB8" sheetId="28" r:id="rId25"/>
    <sheet name="TableB9" sheetId="29" r:id="rId26"/>
    <sheet name="TableB10" sheetId="59" r:id="rId27"/>
    <sheet name="TableB11" sheetId="102" r:id="rId28"/>
    <sheet name="TableB12a" sheetId="188" r:id="rId29"/>
    <sheet name="TableB12b" sheetId="187" r:id="rId30"/>
    <sheet name="TableC1" sheetId="98" r:id="rId31"/>
    <sheet name="TableC2" sheetId="99" r:id="rId32"/>
    <sheet name="TableC3" sheetId="100" r:id="rId33"/>
    <sheet name="TableC4" sheetId="101" r:id="rId34"/>
    <sheet name="TableC4b" sheetId="126" r:id="rId35"/>
    <sheet name="TableC4c" sheetId="127" r:id="rId36"/>
    <sheet name="TableC4d" sheetId="128" r:id="rId37"/>
    <sheet name="TableC4e" sheetId="154" r:id="rId38"/>
    <sheet name="TableC4x" sheetId="270" r:id="rId39"/>
    <sheet name="TableC5" sheetId="116" r:id="rId40"/>
    <sheet name="TableC5b" sheetId="257" r:id="rId41"/>
    <sheet name="TableC6" sheetId="162" r:id="rId42"/>
    <sheet name="TableC7" sheetId="271" r:id="rId43"/>
    <sheet name="TableD1a" sheetId="160" r:id="rId44"/>
    <sheet name="TableD1b" sheetId="155" r:id="rId45"/>
    <sheet name="TableD2" sheetId="163" r:id="rId46"/>
    <sheet name="TableD2(aux)" sheetId="256" r:id="rId47"/>
    <sheet name="Table E1" sheetId="260" r:id="rId48"/>
    <sheet name="Table E2 " sheetId="259" r:id="rId49"/>
    <sheet name="Table E3" sheetId="261" r:id="rId50"/>
    <sheet name="TableE4" sheetId="268" r:id="rId51"/>
    <sheet name="TableF1a" sheetId="166" r:id="rId52"/>
    <sheet name="TableF1b" sheetId="167" r:id="rId53"/>
    <sheet name="TableF1c" sheetId="174" r:id="rId54"/>
    <sheet name="TableF2" sheetId="168" r:id="rId55"/>
    <sheet name="TableF3" sheetId="179" r:id="rId56"/>
    <sheet name="TableF4" sheetId="184" r:id="rId57"/>
    <sheet name="TableF4c" sheetId="185" r:id="rId58"/>
    <sheet name="ComparisonCBCR" sheetId="279" r:id="rId59"/>
    <sheet name="Table G1" sheetId="262" r:id="rId60"/>
    <sheet name="Table G2" sheetId="263" r:id="rId61"/>
    <sheet name="Table G3" sheetId="264" r:id="rId62"/>
    <sheet name="Table G4" sheetId="265" r:id="rId63"/>
    <sheet name="Table G5" sheetId="266" r:id="rId64"/>
    <sheet name="US CBCR 2016" sheetId="267" r:id="rId65"/>
    <sheet name="NewComputationsRevision" sheetId="278" r:id="rId66"/>
    <sheet name="GP2020data" sheetId="274" r:id="rId67"/>
    <sheet name="Forbes1" sheetId="275" r:id="rId68"/>
    <sheet name="Forbes2" sheetId="276" r:id="rId69"/>
    <sheet name="FractionShifted" sheetId="277" r:id="rId70"/>
  </sheets>
  <externalReferences>
    <externalReference r:id="rId71"/>
    <externalReference r:id="rId72"/>
  </externalReferences>
  <definedNames>
    <definedName name="_1_" localSheetId="16">#REF!</definedName>
    <definedName name="_1_" localSheetId="39">#REF!</definedName>
    <definedName name="_1_" localSheetId="40">#REF!</definedName>
    <definedName name="_1_">#REF!</definedName>
    <definedName name="_xlnm._FilterDatabase" localSheetId="68" hidden="1">Forbes2!$A$1:$L$2001</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column_headings" localSheetId="3">#REF!</definedName>
    <definedName name="column_headings" localSheetId="39">#REF!</definedName>
    <definedName name="column_headings" localSheetId="40">#REF!</definedName>
    <definedName name="column_numbers" localSheetId="3">#REF!</definedName>
    <definedName name="column_numbers" localSheetId="39">#REF!</definedName>
    <definedName name="column_numbers" localSheetId="40">#REF!</definedName>
    <definedName name="d" localSheetId="3">#REF!</definedName>
    <definedName name="d" localSheetId="39">#REF!</definedName>
    <definedName name="d" localSheetId="40">#REF!</definedName>
    <definedName name="data" localSheetId="3">#REF!</definedName>
    <definedName name="data" localSheetId="39">#REF!</definedName>
    <definedName name="data" localSheetId="40">#REF!</definedName>
    <definedName name="Date_Range">[1]AustralianNA!$A$2:$A$10,[1]AustralianNA!$A$11:$A$244</definedName>
    <definedName name="Date_Range_Data">[1]AustralianNA4!$A$11:$A$128</definedName>
    <definedName name="e" localSheetId="3">#REF!</definedName>
    <definedName name="e" localSheetId="39">#REF!</definedName>
    <definedName name="e" localSheetId="40">#REF!</definedName>
    <definedName name="ea_flux" localSheetId="3">#REF!</definedName>
    <definedName name="ea_flux" localSheetId="39">#REF!</definedName>
    <definedName name="ea_flux" localSheetId="40">#REF!</definedName>
    <definedName name="Equilibre" localSheetId="3">#REF!</definedName>
    <definedName name="Equilibre" localSheetId="39">#REF!</definedName>
    <definedName name="Equilibre" localSheetId="40">#REF!</definedName>
    <definedName name="f" localSheetId="3">#REF!</definedName>
    <definedName name="f" localSheetId="39">#REF!</definedName>
    <definedName name="f" localSheetId="40">#REF!</definedName>
    <definedName name="FN1_Data">[2]AustralianNA2!$DF$12:$DF$244</definedName>
    <definedName name="FN2_Data">[2]AustralianNA2!$DF$244</definedName>
    <definedName name="footnotes" localSheetId="3">#REF!</definedName>
    <definedName name="footnotes" localSheetId="23">#REF!</definedName>
    <definedName name="footnotes" localSheetId="24">#REF!</definedName>
    <definedName name="footnotes" localSheetId="25">#REF!</definedName>
    <definedName name="footnotes" localSheetId="39">#REF!</definedName>
    <definedName name="footnotes" localSheetId="40">#REF!</definedName>
    <definedName name="gg" localSheetId="3">#REF!</definedName>
    <definedName name="gg" localSheetId="39">#REF!</definedName>
    <definedName name="gg" localSheetId="40">#REF!</definedName>
    <definedName name="head" localSheetId="3">#REF!</definedName>
    <definedName name="head" localSheetId="39">#REF!</definedName>
    <definedName name="head" localSheetId="40">#REF!</definedName>
    <definedName name="name" localSheetId="3">#REF!</definedName>
    <definedName name="name" localSheetId="39">#REF!</definedName>
    <definedName name="name" localSheetId="40">#REF!</definedName>
    <definedName name="name2" localSheetId="3">#REF!</definedName>
    <definedName name="name2" localSheetId="39">#REF!</definedName>
    <definedName name="name2" localSheetId="40">#REF!</definedName>
    <definedName name="name3" localSheetId="3">#REF!</definedName>
    <definedName name="name3" localSheetId="39">#REF!</definedName>
    <definedName name="name3" localSheetId="40">#REF!</definedName>
    <definedName name="name4" localSheetId="3">#REF!</definedName>
    <definedName name="name4" localSheetId="39">#REF!</definedName>
    <definedName name="name4" localSheetId="40">#REF!</definedName>
    <definedName name="nb" localSheetId="3">#REF!</definedName>
    <definedName name="nb" localSheetId="39">#REF!</definedName>
    <definedName name="nb" localSheetId="40">#REF!</definedName>
    <definedName name="PIB" localSheetId="3">#REF!</definedName>
    <definedName name="PIB" localSheetId="39">#REF!</definedName>
    <definedName name="PIB" localSheetId="40">#REF!</definedName>
    <definedName name="_xlnm.Print_Titles" localSheetId="1">TableA1!$5:$8</definedName>
    <definedName name="ressources" localSheetId="3">#REF!</definedName>
    <definedName name="ressources" localSheetId="39">#REF!</definedName>
    <definedName name="ressources" localSheetId="40">#REF!</definedName>
    <definedName name="rpflux" localSheetId="3">#REF!</definedName>
    <definedName name="rpflux" localSheetId="39">#REF!</definedName>
    <definedName name="rpflux" localSheetId="40">#REF!</definedName>
    <definedName name="rptof" localSheetId="3">#REF!</definedName>
    <definedName name="rptof" localSheetId="39">#REF!</definedName>
    <definedName name="rptof" localSheetId="40">#REF!</definedName>
    <definedName name="spanners_level1" localSheetId="3">#REF!</definedName>
    <definedName name="spanners_level1" localSheetId="23">#REF!</definedName>
    <definedName name="spanners_level1" localSheetId="24">#REF!</definedName>
    <definedName name="spanners_level1" localSheetId="25">#REF!</definedName>
    <definedName name="spanners_level1" localSheetId="39">#REF!</definedName>
    <definedName name="spanners_level1" localSheetId="40">#REF!</definedName>
    <definedName name="spanners_level2" localSheetId="3">#REF!</definedName>
    <definedName name="spanners_level2" localSheetId="23">#REF!</definedName>
    <definedName name="spanners_level2" localSheetId="24">#REF!</definedName>
    <definedName name="spanners_level2" localSheetId="25">#REF!</definedName>
    <definedName name="spanners_level2" localSheetId="39">#REF!</definedName>
    <definedName name="spanners_level2" localSheetId="40">#REF!</definedName>
    <definedName name="spanners_level3" localSheetId="3">#REF!</definedName>
    <definedName name="spanners_level3" localSheetId="23">#REF!</definedName>
    <definedName name="spanners_level3" localSheetId="24">#REF!</definedName>
    <definedName name="spanners_level3" localSheetId="25">#REF!</definedName>
    <definedName name="spanners_level3" localSheetId="39">#REF!</definedName>
    <definedName name="spanners_level3" localSheetId="40">#REF!</definedName>
    <definedName name="spanners_level4" localSheetId="3">#REF!</definedName>
    <definedName name="spanners_level4" localSheetId="23">#REF!</definedName>
    <definedName name="spanners_level4" localSheetId="24">#REF!</definedName>
    <definedName name="spanners_level4" localSheetId="25">#REF!</definedName>
    <definedName name="spanners_level4" localSheetId="39">#REF!</definedName>
    <definedName name="spanners_level4" localSheetId="40">#REF!</definedName>
    <definedName name="spanners_level5" localSheetId="3">#REF!</definedName>
    <definedName name="spanners_level5" localSheetId="23">#REF!</definedName>
    <definedName name="spanners_level5" localSheetId="24">#REF!</definedName>
    <definedName name="spanners_level5" localSheetId="25">#REF!</definedName>
    <definedName name="spanners_level5" localSheetId="39">#REF!</definedName>
    <definedName name="spanners_level5" localSheetId="40">#REF!</definedName>
    <definedName name="stub_lines" localSheetId="3">#REF!</definedName>
    <definedName name="stub_lines" localSheetId="39">#REF!</definedName>
    <definedName name="stub_lines" localSheetId="40">#REF!</definedName>
    <definedName name="titles" localSheetId="3">#REF!</definedName>
    <definedName name="titles" localSheetId="39">#REF!</definedName>
    <definedName name="titles" localSheetId="40">#REF!</definedName>
    <definedName name="totals" localSheetId="3">#REF!</definedName>
    <definedName name="totals" localSheetId="39">#REF!</definedName>
    <definedName name="totals" localSheetId="40">#REF!</definedName>
  </definedNames>
  <calcPr calcId="191029"/>
  <pivotCaches>
    <pivotCache cacheId="4" r:id="rId7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277" l="1"/>
  <c r="L16" i="277"/>
  <c r="L17" i="277"/>
  <c r="L18" i="277"/>
  <c r="L19" i="277"/>
  <c r="L20" i="277"/>
  <c r="L21" i="277"/>
  <c r="L22" i="277"/>
  <c r="L23" i="277"/>
  <c r="L24" i="277"/>
  <c r="L25" i="277"/>
  <c r="L26" i="277"/>
  <c r="L27" i="277"/>
  <c r="L28" i="277"/>
  <c r="L29" i="277"/>
  <c r="L30" i="277"/>
  <c r="L31" i="277"/>
  <c r="L32" i="277"/>
  <c r="L33" i="277"/>
  <c r="L34" i="277"/>
  <c r="L35" i="277"/>
  <c r="L36" i="277"/>
  <c r="L37" i="277"/>
  <c r="L38" i="277"/>
  <c r="L39" i="277"/>
  <c r="L40" i="277"/>
  <c r="L41" i="277"/>
  <c r="L42" i="277"/>
  <c r="L43" i="277"/>
  <c r="L44" i="277"/>
  <c r="L45" i="277"/>
  <c r="L46" i="277"/>
  <c r="D2" i="275" l="1"/>
  <c r="D3" i="275"/>
  <c r="D4" i="275"/>
  <c r="D5" i="275"/>
  <c r="D6" i="275"/>
  <c r="D7" i="275"/>
  <c r="D8" i="275"/>
  <c r="C9" i="275"/>
  <c r="D9" i="275"/>
  <c r="D10" i="275"/>
  <c r="D11" i="275"/>
  <c r="D12" i="275"/>
  <c r="D13" i="275"/>
  <c r="C14" i="275"/>
  <c r="D14" i="275"/>
  <c r="C15" i="275"/>
  <c r="C18" i="275" s="1"/>
  <c r="D18" i="275" s="1"/>
  <c r="D15" i="275"/>
  <c r="D16" i="275"/>
  <c r="D17" i="275"/>
  <c r="C20" i="275"/>
  <c r="S244" i="274" l="1"/>
  <c r="T244" i="274"/>
  <c r="U244" i="274"/>
  <c r="V244" i="274"/>
  <c r="X244" i="274"/>
  <c r="F253" i="274"/>
  <c r="F254" i="274"/>
  <c r="K254" i="274" s="1"/>
  <c r="K255" i="274"/>
  <c r="K256" i="274"/>
  <c r="K257" i="274"/>
  <c r="K258" i="274"/>
  <c r="K259" i="274"/>
  <c r="K260" i="274"/>
  <c r="K261" i="274"/>
  <c r="K262" i="274"/>
  <c r="K263" i="274"/>
  <c r="K264" i="274"/>
  <c r="K265" i="274"/>
  <c r="K266" i="274"/>
  <c r="K267" i="274"/>
  <c r="K268" i="274"/>
  <c r="K269" i="274"/>
  <c r="K270" i="274"/>
  <c r="K271" i="274"/>
  <c r="K272" i="274"/>
  <c r="K273" i="274"/>
  <c r="K274" i="274"/>
  <c r="K275" i="274"/>
  <c r="M275" i="274"/>
  <c r="N275" i="274"/>
  <c r="T275" i="274"/>
  <c r="F506" i="274"/>
  <c r="K507" i="274"/>
  <c r="K508" i="274"/>
  <c r="K509" i="274"/>
  <c r="K510" i="274"/>
  <c r="K511" i="274"/>
  <c r="K512" i="274"/>
  <c r="K513" i="274"/>
  <c r="K514" i="274"/>
  <c r="K515" i="274"/>
  <c r="K516" i="274"/>
  <c r="K517" i="274"/>
  <c r="K518" i="274"/>
  <c r="K519" i="274"/>
  <c r="K520" i="274"/>
  <c r="K521" i="274"/>
  <c r="K522" i="274"/>
  <c r="K523" i="274"/>
  <c r="K524" i="274"/>
  <c r="K525" i="274"/>
  <c r="K526" i="274"/>
  <c r="K527" i="274"/>
  <c r="O527" i="274" s="1"/>
  <c r="M527" i="274"/>
  <c r="N527" i="274"/>
  <c r="P527" i="274"/>
  <c r="Q527" i="274"/>
  <c r="S680" i="274"/>
  <c r="T680" i="274"/>
  <c r="U680" i="274"/>
  <c r="V680" i="274"/>
  <c r="X680" i="274"/>
  <c r="F690" i="274"/>
  <c r="F689" i="274" s="1"/>
  <c r="K690" i="274"/>
  <c r="K691" i="274"/>
  <c r="K692" i="274"/>
  <c r="K693" i="274"/>
  <c r="K694" i="274"/>
  <c r="K695" i="274"/>
  <c r="K696" i="274"/>
  <c r="K697" i="274"/>
  <c r="K698" i="274"/>
  <c r="K699" i="274"/>
  <c r="K700" i="274"/>
  <c r="K701" i="274"/>
  <c r="K702" i="274"/>
  <c r="K703" i="274"/>
  <c r="K704" i="274"/>
  <c r="K705" i="274"/>
  <c r="K706" i="274"/>
  <c r="K707" i="274"/>
  <c r="K708" i="274"/>
  <c r="K709" i="274"/>
  <c r="K710" i="274"/>
  <c r="K711" i="274"/>
  <c r="M711" i="274"/>
  <c r="N711" i="274"/>
  <c r="T711" i="274"/>
  <c r="L1212" i="274"/>
  <c r="L1213" i="274"/>
  <c r="L1214" i="274" s="1"/>
  <c r="L1215" i="274" s="1"/>
  <c r="L1216" i="274" s="1"/>
  <c r="F1217" i="274"/>
  <c r="L1217" i="274"/>
  <c r="L1218" i="274" s="1"/>
  <c r="L1219" i="274" s="1"/>
  <c r="L1220" i="274" s="1"/>
  <c r="L1221" i="274" s="1"/>
  <c r="L1222" i="274" s="1"/>
  <c r="F1219" i="274"/>
  <c r="F1218" i="274" s="1"/>
  <c r="K1218" i="274" s="1"/>
  <c r="M1218" i="274" s="1"/>
  <c r="K1219" i="274"/>
  <c r="F1220" i="274"/>
  <c r="K1220" i="274" s="1"/>
  <c r="K1221" i="274"/>
  <c r="K1222" i="274"/>
  <c r="K1223" i="274"/>
  <c r="K1224" i="274"/>
  <c r="K1225" i="274"/>
  <c r="K1226" i="274"/>
  <c r="K1227" i="274"/>
  <c r="K1228" i="274"/>
  <c r="K1229" i="274"/>
  <c r="K1230" i="274"/>
  <c r="K1231" i="274"/>
  <c r="K1232" i="274"/>
  <c r="K1233" i="274"/>
  <c r="K1234" i="274"/>
  <c r="K1235" i="274"/>
  <c r="K1236" i="274"/>
  <c r="K1237" i="274"/>
  <c r="K1238" i="274"/>
  <c r="K1239" i="274"/>
  <c r="K1240" i="274"/>
  <c r="K1241" i="274"/>
  <c r="M1241" i="274" s="1"/>
  <c r="K1257" i="274"/>
  <c r="O1257" i="274"/>
  <c r="P1257" i="274"/>
  <c r="Q1257" i="274"/>
  <c r="K1258" i="274"/>
  <c r="L1258" i="274"/>
  <c r="K1259" i="274"/>
  <c r="L1259" i="274"/>
  <c r="K1260" i="274"/>
  <c r="L1260" i="274"/>
  <c r="L1261" i="274" s="1"/>
  <c r="L1262" i="274" s="1"/>
  <c r="M1260" i="274"/>
  <c r="M1261" i="274" s="1"/>
  <c r="M1262" i="274" s="1"/>
  <c r="M1263" i="274" s="1"/>
  <c r="K1261" i="274"/>
  <c r="K1262" i="274"/>
  <c r="K1263" i="274"/>
  <c r="K1264" i="274"/>
  <c r="K1265" i="274"/>
  <c r="K1266" i="274"/>
  <c r="K1267" i="274"/>
  <c r="K1268" i="274"/>
  <c r="K1269" i="274"/>
  <c r="K1270" i="274"/>
  <c r="K1271" i="274"/>
  <c r="K1272" i="274"/>
  <c r="K1273" i="274"/>
  <c r="K1274" i="274"/>
  <c r="K1275" i="274"/>
  <c r="K1276" i="274"/>
  <c r="K1277" i="274"/>
  <c r="K1278" i="274"/>
  <c r="K1279" i="274"/>
  <c r="K1280" i="274"/>
  <c r="K1281" i="274"/>
  <c r="K1282" i="274"/>
  <c r="K1283" i="274"/>
  <c r="K1284" i="274"/>
  <c r="K1285" i="274"/>
  <c r="K1286" i="274"/>
  <c r="K1287" i="274"/>
  <c r="M1287" i="274"/>
  <c r="M1258" i="274" s="1"/>
  <c r="M1259" i="274" s="1"/>
  <c r="N1287" i="274"/>
  <c r="N1258" i="274" s="1"/>
  <c r="N1259" i="274" s="1"/>
  <c r="O1287" i="274"/>
  <c r="Q1287" i="274"/>
  <c r="M1264" i="274" l="1"/>
  <c r="P1263" i="274"/>
  <c r="M1221" i="274"/>
  <c r="M1222" i="274"/>
  <c r="L1223" i="274"/>
  <c r="F1216" i="274"/>
  <c r="K1217" i="274"/>
  <c r="M1217" i="274" s="1"/>
  <c r="L1263" i="274"/>
  <c r="O1262" i="274"/>
  <c r="N1260" i="274"/>
  <c r="N1261" i="274" s="1"/>
  <c r="N1262" i="274" s="1"/>
  <c r="N1263" i="274" s="1"/>
  <c r="N1264" i="274" s="1"/>
  <c r="Q1259" i="274"/>
  <c r="M1220" i="274"/>
  <c r="O1258" i="274"/>
  <c r="P1258" i="274"/>
  <c r="Q1258" i="274"/>
  <c r="K689" i="274"/>
  <c r="F688" i="274"/>
  <c r="P1287" i="274"/>
  <c r="O1261" i="274"/>
  <c r="P1261" i="274"/>
  <c r="Q1261" i="274"/>
  <c r="K253" i="274"/>
  <c r="F252" i="274"/>
  <c r="O711" i="274"/>
  <c r="P711" i="274"/>
  <c r="Q711" i="274"/>
  <c r="P1262" i="274"/>
  <c r="M1219" i="274"/>
  <c r="O1260" i="274"/>
  <c r="P1260" i="274"/>
  <c r="Q1260" i="274"/>
  <c r="O1259" i="274"/>
  <c r="P1259" i="274"/>
  <c r="Q1262" i="274"/>
  <c r="K506" i="274"/>
  <c r="F505" i="274"/>
  <c r="O275" i="274"/>
  <c r="P275" i="274"/>
  <c r="Q275" i="274"/>
  <c r="L1264" i="274" l="1"/>
  <c r="O1263" i="274"/>
  <c r="K1216" i="274"/>
  <c r="M1216" i="274" s="1"/>
  <c r="F1215" i="274"/>
  <c r="M1223" i="274"/>
  <c r="L1224" i="274"/>
  <c r="K505" i="274"/>
  <c r="F504" i="274"/>
  <c r="K688" i="274"/>
  <c r="F687" i="274"/>
  <c r="N1265" i="274"/>
  <c r="Q1264" i="274"/>
  <c r="K252" i="274"/>
  <c r="F251" i="274"/>
  <c r="Q1263" i="274"/>
  <c r="M1265" i="274"/>
  <c r="P1264" i="274"/>
  <c r="K251" i="274" l="1"/>
  <c r="F250" i="274"/>
  <c r="F1214" i="274"/>
  <c r="K1215" i="274"/>
  <c r="M1215" i="274" s="1"/>
  <c r="L1225" i="274"/>
  <c r="M1224" i="274"/>
  <c r="N1266" i="274"/>
  <c r="Q1265" i="274"/>
  <c r="K687" i="274"/>
  <c r="F686" i="274"/>
  <c r="M1266" i="274"/>
  <c r="P1265" i="274"/>
  <c r="F503" i="274"/>
  <c r="K504" i="274"/>
  <c r="L1265" i="274"/>
  <c r="O1264" i="274"/>
  <c r="M1225" i="274" l="1"/>
  <c r="L1226" i="274"/>
  <c r="K1214" i="274"/>
  <c r="M1214" i="274" s="1"/>
  <c r="F1213" i="274"/>
  <c r="L1266" i="274"/>
  <c r="O1265" i="274"/>
  <c r="N1267" i="274"/>
  <c r="Q1266" i="274"/>
  <c r="F685" i="274"/>
  <c r="K686" i="274"/>
  <c r="K250" i="274"/>
  <c r="F249" i="274"/>
  <c r="K503" i="274"/>
  <c r="F502" i="274"/>
  <c r="M1267" i="274"/>
  <c r="P1266" i="274"/>
  <c r="N1268" i="274" l="1"/>
  <c r="Q1267" i="274"/>
  <c r="L1267" i="274"/>
  <c r="O1266" i="274"/>
  <c r="K1213" i="274"/>
  <c r="M1213" i="274" s="1"/>
  <c r="F1212" i="274"/>
  <c r="L1227" i="274"/>
  <c r="M1226" i="274"/>
  <c r="M1268" i="274"/>
  <c r="P1267" i="274"/>
  <c r="K685" i="274"/>
  <c r="F684" i="274"/>
  <c r="K502" i="274"/>
  <c r="F501" i="274"/>
  <c r="K249" i="274"/>
  <c r="F248" i="274"/>
  <c r="M1269" i="274" l="1"/>
  <c r="P1268" i="274"/>
  <c r="L1268" i="274"/>
  <c r="O1267" i="274"/>
  <c r="K248" i="274"/>
  <c r="F247" i="274"/>
  <c r="L1228" i="274"/>
  <c r="M1227" i="274"/>
  <c r="F1211" i="274"/>
  <c r="K1211" i="274" s="1"/>
  <c r="M1211" i="274" s="1"/>
  <c r="K1212" i="274"/>
  <c r="M1212" i="274" s="1"/>
  <c r="K501" i="274"/>
  <c r="F500" i="274"/>
  <c r="K684" i="274"/>
  <c r="F683" i="274"/>
  <c r="N1269" i="274"/>
  <c r="Q1268" i="274"/>
  <c r="K247" i="274" l="1"/>
  <c r="F246" i="274"/>
  <c r="N1270" i="274"/>
  <c r="Q1269" i="274"/>
  <c r="F499" i="274"/>
  <c r="K500" i="274"/>
  <c r="L1229" i="274"/>
  <c r="M1228" i="274"/>
  <c r="F682" i="274"/>
  <c r="K683" i="274"/>
  <c r="L1269" i="274"/>
  <c r="O1268" i="274"/>
  <c r="M1270" i="274"/>
  <c r="P1269" i="274"/>
  <c r="L1270" i="274" l="1"/>
  <c r="O1269" i="274"/>
  <c r="F681" i="274"/>
  <c r="K681" i="274" s="1"/>
  <c r="K682" i="274"/>
  <c r="L1230" i="274"/>
  <c r="M1229" i="274"/>
  <c r="M1271" i="274"/>
  <c r="P1270" i="274"/>
  <c r="K246" i="274"/>
  <c r="F245" i="274"/>
  <c r="K245" i="274" s="1"/>
  <c r="K499" i="274"/>
  <c r="F498" i="274"/>
  <c r="N1271" i="274"/>
  <c r="Q1270" i="274"/>
  <c r="K498" i="274" l="1"/>
  <c r="F497" i="274"/>
  <c r="K497" i="274" s="1"/>
  <c r="M1272" i="274"/>
  <c r="P1271" i="274"/>
  <c r="L1231" i="274"/>
  <c r="M1230" i="274"/>
  <c r="N1272" i="274"/>
  <c r="Q1271" i="274"/>
  <c r="L1271" i="274"/>
  <c r="O1270" i="274"/>
  <c r="M1231" i="274" l="1"/>
  <c r="L1232" i="274"/>
  <c r="Q1272" i="274"/>
  <c r="N1273" i="274"/>
  <c r="M1273" i="274"/>
  <c r="P1272" i="274"/>
  <c r="L1272" i="274"/>
  <c r="O1271" i="274"/>
  <c r="N1274" i="274" l="1"/>
  <c r="Q1273" i="274"/>
  <c r="L1273" i="274"/>
  <c r="O1272" i="274"/>
  <c r="L1233" i="274"/>
  <c r="M1232" i="274"/>
  <c r="M1274" i="274"/>
  <c r="P1273" i="274"/>
  <c r="L1274" i="274" l="1"/>
  <c r="O1273" i="274"/>
  <c r="M1275" i="274"/>
  <c r="P1274" i="274"/>
  <c r="M1233" i="274"/>
  <c r="L1234" i="274"/>
  <c r="N1275" i="274"/>
  <c r="Q1274" i="274"/>
  <c r="M1276" i="274" l="1"/>
  <c r="P1275" i="274"/>
  <c r="L1235" i="274"/>
  <c r="M1234" i="274"/>
  <c r="N1276" i="274"/>
  <c r="Q1275" i="274"/>
  <c r="L1275" i="274"/>
  <c r="O1274" i="274"/>
  <c r="L1276" i="274" l="1"/>
  <c r="O1275" i="274"/>
  <c r="L1236" i="274"/>
  <c r="M1235" i="274"/>
  <c r="N1277" i="274"/>
  <c r="Q1276" i="274"/>
  <c r="M1277" i="274"/>
  <c r="P1276" i="274"/>
  <c r="N1278" i="274" l="1"/>
  <c r="Q1277" i="274"/>
  <c r="L1237" i="274"/>
  <c r="M1236" i="274"/>
  <c r="M1278" i="274"/>
  <c r="P1277" i="274"/>
  <c r="L1277" i="274"/>
  <c r="O1276" i="274"/>
  <c r="L1238" i="274" l="1"/>
  <c r="M1237" i="274"/>
  <c r="M1279" i="274"/>
  <c r="P1278" i="274"/>
  <c r="L1278" i="274"/>
  <c r="O1277" i="274"/>
  <c r="N1279" i="274"/>
  <c r="Q1278" i="274"/>
  <c r="L1279" i="274" l="1"/>
  <c r="O1278" i="274"/>
  <c r="N1280" i="274"/>
  <c r="Q1279" i="274"/>
  <c r="P1279" i="274"/>
  <c r="M1280" i="274"/>
  <c r="L1239" i="274"/>
  <c r="M1238" i="274"/>
  <c r="L1280" i="274" l="1"/>
  <c r="O1279" i="274"/>
  <c r="M1281" i="274"/>
  <c r="P1280" i="274"/>
  <c r="L1240" i="274"/>
  <c r="M1240" i="274" s="1"/>
  <c r="M1239" i="274"/>
  <c r="N1281" i="274"/>
  <c r="Q1280" i="274"/>
  <c r="N1282" i="274" l="1"/>
  <c r="Q1281" i="274"/>
  <c r="M1282" i="274"/>
  <c r="P1281" i="274"/>
  <c r="L1281" i="274"/>
  <c r="O1280" i="274"/>
  <c r="L1282" i="274" l="1"/>
  <c r="O1281" i="274"/>
  <c r="M1283" i="274"/>
  <c r="P1282" i="274"/>
  <c r="N1283" i="274"/>
  <c r="Q1282" i="274"/>
  <c r="P1283" i="274" l="1"/>
  <c r="M1284" i="274"/>
  <c r="L1283" i="274"/>
  <c r="O1282" i="274"/>
  <c r="N1284" i="274"/>
  <c r="Q1283" i="274"/>
  <c r="L1284" i="274" l="1"/>
  <c r="O1283" i="274"/>
  <c r="M1285" i="274"/>
  <c r="P1284" i="274"/>
  <c r="N1285" i="274"/>
  <c r="Q1284" i="274"/>
  <c r="M1286" i="274" l="1"/>
  <c r="P1286" i="274" s="1"/>
  <c r="P1285" i="274"/>
  <c r="N1286" i="274"/>
  <c r="Q1286" i="274" s="1"/>
  <c r="Q1285" i="274"/>
  <c r="L1285" i="274"/>
  <c r="O1284" i="274"/>
  <c r="L1286" i="274" l="1"/>
  <c r="O1286" i="274" s="1"/>
  <c r="O1285" i="274"/>
  <c r="B4" i="273" l="1"/>
  <c r="B5" i="273"/>
  <c r="B6" i="273"/>
  <c r="B8" i="273"/>
  <c r="B183" i="270" l="1"/>
  <c r="B182" i="270"/>
  <c r="D182" i="270" s="1"/>
  <c r="I85" i="270"/>
  <c r="H85" i="270"/>
  <c r="G85" i="270"/>
  <c r="F85" i="270"/>
  <c r="E85" i="270"/>
  <c r="D85" i="270"/>
  <c r="C85" i="270"/>
  <c r="B85" i="270"/>
  <c r="I84" i="270"/>
  <c r="H84" i="270"/>
  <c r="G84" i="270"/>
  <c r="F84" i="270"/>
  <c r="E84" i="270"/>
  <c r="D84" i="270"/>
  <c r="C84" i="270"/>
  <c r="B84" i="270"/>
  <c r="B63" i="270"/>
  <c r="C63" i="270"/>
  <c r="D63" i="270"/>
  <c r="E63" i="270"/>
  <c r="F63" i="270"/>
  <c r="G63" i="270"/>
  <c r="H63" i="270"/>
  <c r="I63" i="270"/>
  <c r="B64" i="270"/>
  <c r="B78" i="270" s="1"/>
  <c r="C64" i="270"/>
  <c r="D64" i="270"/>
  <c r="E64" i="270"/>
  <c r="F64" i="270"/>
  <c r="G64" i="270"/>
  <c r="H64" i="270"/>
  <c r="I64" i="270"/>
  <c r="B65" i="270"/>
  <c r="E65" i="270"/>
  <c r="H65" i="270"/>
  <c r="H79" i="270" s="1"/>
  <c r="I65" i="270"/>
  <c r="B66" i="270"/>
  <c r="C66" i="270"/>
  <c r="D66" i="270"/>
  <c r="E66" i="270"/>
  <c r="F66" i="270"/>
  <c r="G66" i="270"/>
  <c r="H66" i="270"/>
  <c r="I66" i="270"/>
  <c r="I80" i="270" s="1"/>
  <c r="B67" i="270"/>
  <c r="C67" i="270"/>
  <c r="D67" i="270"/>
  <c r="E67" i="270"/>
  <c r="F67" i="270"/>
  <c r="G67" i="270"/>
  <c r="H67" i="270"/>
  <c r="I67" i="270"/>
  <c r="B68" i="270"/>
  <c r="E68" i="270"/>
  <c r="H68" i="270"/>
  <c r="I68" i="270"/>
  <c r="B69" i="270"/>
  <c r="E69" i="270"/>
  <c r="H69" i="270"/>
  <c r="I69" i="270"/>
  <c r="E62" i="270"/>
  <c r="E172" i="270" s="1"/>
  <c r="H62" i="270"/>
  <c r="H172" i="270" s="1"/>
  <c r="I62" i="270"/>
  <c r="I76" i="270" s="1"/>
  <c r="B62" i="270"/>
  <c r="I42" i="270"/>
  <c r="H42" i="270"/>
  <c r="G42" i="270"/>
  <c r="F42" i="270"/>
  <c r="E42" i="270"/>
  <c r="D42" i="270"/>
  <c r="C42" i="270"/>
  <c r="B42" i="270"/>
  <c r="D16" i="270"/>
  <c r="C9" i="270" s="1"/>
  <c r="E9" i="270" s="1"/>
  <c r="B43" i="270" s="1"/>
  <c r="C15" i="270" l="1"/>
  <c r="E15" i="270" s="1"/>
  <c r="H43" i="270" s="1"/>
  <c r="B82" i="270"/>
  <c r="E178" i="270"/>
  <c r="D183" i="270"/>
  <c r="I177" i="270"/>
  <c r="D77" i="270"/>
  <c r="E78" i="270"/>
  <c r="B80" i="270"/>
  <c r="C81" i="270"/>
  <c r="I82" i="270"/>
  <c r="E77" i="270"/>
  <c r="F78" i="270"/>
  <c r="C80" i="270"/>
  <c r="D81" i="270"/>
  <c r="B83" i="270"/>
  <c r="F77" i="270"/>
  <c r="G78" i="270"/>
  <c r="D80" i="270"/>
  <c r="E81" i="270"/>
  <c r="E83" i="270"/>
  <c r="G77" i="270"/>
  <c r="H78" i="270"/>
  <c r="E80" i="270"/>
  <c r="F81" i="270"/>
  <c r="H83" i="270"/>
  <c r="B44" i="270"/>
  <c r="E76" i="270"/>
  <c r="H77" i="270"/>
  <c r="I78" i="270"/>
  <c r="G80" i="270"/>
  <c r="H81" i="270"/>
  <c r="H76" i="270"/>
  <c r="I77" i="270"/>
  <c r="B79" i="270"/>
  <c r="H80" i="270"/>
  <c r="I81" i="270"/>
  <c r="I172" i="270"/>
  <c r="B77" i="270"/>
  <c r="C78" i="270"/>
  <c r="I79" i="270"/>
  <c r="B81" i="270"/>
  <c r="E82" i="270"/>
  <c r="H44" i="270"/>
  <c r="C13" i="270"/>
  <c r="I176" i="270" s="1"/>
  <c r="C11" i="270"/>
  <c r="B174" i="270" s="1"/>
  <c r="C10" i="270"/>
  <c r="E173" i="270" s="1"/>
  <c r="C16" i="270"/>
  <c r="E179" i="270" s="1"/>
  <c r="C14" i="270"/>
  <c r="F177" i="270" s="1"/>
  <c r="C12" i="270"/>
  <c r="H175" i="270" s="1"/>
  <c r="B176" i="270" l="1"/>
  <c r="B178" i="270"/>
  <c r="C177" i="270"/>
  <c r="D177" i="270"/>
  <c r="I178" i="270"/>
  <c r="G176" i="270"/>
  <c r="H174" i="270"/>
  <c r="E174" i="270"/>
  <c r="C174" i="270"/>
  <c r="I175" i="270"/>
  <c r="H173" i="270"/>
  <c r="D173" i="270"/>
  <c r="I174" i="270"/>
  <c r="D176" i="270"/>
  <c r="H176" i="270"/>
  <c r="B175" i="270"/>
  <c r="F173" i="270"/>
  <c r="I173" i="270"/>
  <c r="H177" i="270"/>
  <c r="B179" i="270"/>
  <c r="F174" i="270"/>
  <c r="E177" i="270"/>
  <c r="B173" i="270"/>
  <c r="H179" i="270"/>
  <c r="G173" i="270"/>
  <c r="B177" i="270"/>
  <c r="C176" i="270"/>
  <c r="G174" i="270"/>
  <c r="E176" i="270"/>
  <c r="E10" i="270"/>
  <c r="C43" i="270" s="1"/>
  <c r="C44" i="270" s="1"/>
  <c r="E14" i="270"/>
  <c r="G43" i="270" s="1"/>
  <c r="G44" i="270" s="1"/>
  <c r="E16" i="270"/>
  <c r="I43" i="270" s="1"/>
  <c r="I44" i="270" s="1"/>
  <c r="E11" i="270"/>
  <c r="D43" i="270" s="1"/>
  <c r="D44" i="270" s="1"/>
  <c r="E12" i="270"/>
  <c r="E43" i="270" s="1"/>
  <c r="E44" i="270" s="1"/>
  <c r="E13" i="270"/>
  <c r="F43" i="270" s="1"/>
  <c r="F44" i="270" s="1"/>
  <c r="AI95" i="271"/>
  <c r="AB97" i="271"/>
  <c r="AC97" i="271"/>
  <c r="AD97" i="271"/>
  <c r="AE97" i="271"/>
  <c r="AF97" i="271"/>
  <c r="AG97" i="271"/>
  <c r="AH97" i="271"/>
  <c r="AI97" i="271"/>
  <c r="D174" i="270" l="1"/>
  <c r="D78" i="270" s="1"/>
  <c r="B46" i="270"/>
  <c r="G51" i="270" s="1"/>
  <c r="G62" i="270" s="1"/>
  <c r="G172" i="270" s="1"/>
  <c r="C54" i="270"/>
  <c r="C65" i="270" s="1"/>
  <c r="F176" i="270"/>
  <c r="F80" i="270" s="1"/>
  <c r="G177" i="270"/>
  <c r="G81" i="270" s="1"/>
  <c r="C58" i="270"/>
  <c r="C69" i="270" s="1"/>
  <c r="C179" i="270" s="1"/>
  <c r="G57" i="270"/>
  <c r="G68" i="270" s="1"/>
  <c r="G82" i="270" s="1"/>
  <c r="D57" i="270"/>
  <c r="D68" i="270" s="1"/>
  <c r="D178" i="270" s="1"/>
  <c r="F57" i="270"/>
  <c r="F68" i="270" s="1"/>
  <c r="F178" i="270" s="1"/>
  <c r="F54" i="270"/>
  <c r="F65" i="270" s="1"/>
  <c r="F175" i="270" s="1"/>
  <c r="B47" i="270"/>
  <c r="D51" i="270"/>
  <c r="D62" i="270" s="1"/>
  <c r="D172" i="270" s="1"/>
  <c r="D54" i="270"/>
  <c r="D65" i="270" s="1"/>
  <c r="D175" i="270" s="1"/>
  <c r="C51" i="270"/>
  <c r="C62" i="270" s="1"/>
  <c r="C172" i="270" s="1"/>
  <c r="G58" i="270"/>
  <c r="G69" i="270" s="1"/>
  <c r="G179" i="270" s="1"/>
  <c r="F51" i="270"/>
  <c r="F62" i="270" s="1"/>
  <c r="F76" i="270" s="1"/>
  <c r="C173" i="270"/>
  <c r="C77" i="270" s="1"/>
  <c r="G76" i="270"/>
  <c r="G54" i="270"/>
  <c r="G65" i="270" s="1"/>
  <c r="G175" i="270" s="1"/>
  <c r="F58" i="270"/>
  <c r="F69" i="270" s="1"/>
  <c r="F83" i="270" s="1"/>
  <c r="D58" i="270"/>
  <c r="D69" i="270" s="1"/>
  <c r="D179" i="270" s="1"/>
  <c r="C57" i="270"/>
  <c r="C68" i="270" s="1"/>
  <c r="C178" i="270" s="1"/>
  <c r="C175" i="270"/>
  <c r="C79" i="270"/>
  <c r="G79" i="270"/>
  <c r="B93" i="271"/>
  <c r="B89" i="271"/>
  <c r="B88" i="271"/>
  <c r="B87" i="271"/>
  <c r="B86" i="271"/>
  <c r="B85" i="271"/>
  <c r="B83" i="271"/>
  <c r="B80" i="271"/>
  <c r="B70" i="271"/>
  <c r="B68" i="271"/>
  <c r="B61" i="271"/>
  <c r="B57" i="271"/>
  <c r="C83" i="270" l="1"/>
  <c r="D82" i="270"/>
  <c r="F179" i="270"/>
  <c r="I179" i="270" s="1"/>
  <c r="I83" i="270" s="1"/>
  <c r="D76" i="270"/>
  <c r="F82" i="270"/>
  <c r="G178" i="270"/>
  <c r="H178" i="270" s="1"/>
  <c r="H82" i="270" s="1"/>
  <c r="C76" i="270"/>
  <c r="D79" i="270"/>
  <c r="C82" i="270"/>
  <c r="F79" i="270"/>
  <c r="F172" i="270"/>
  <c r="B172" i="270" s="1"/>
  <c r="B76" i="270" s="1"/>
  <c r="D83" i="270"/>
  <c r="G83" i="270"/>
  <c r="E175" i="270"/>
  <c r="E79" i="270" s="1"/>
  <c r="C96" i="270"/>
  <c r="C116" i="270"/>
  <c r="C157" i="270"/>
  <c r="A56" i="268"/>
  <c r="A60" i="268"/>
  <c r="A67" i="268"/>
  <c r="A69" i="268"/>
  <c r="A79" i="268"/>
  <c r="A82" i="268"/>
  <c r="A84" i="268"/>
  <c r="A85" i="268"/>
  <c r="A86" i="268"/>
  <c r="A87" i="268"/>
  <c r="A88" i="268"/>
  <c r="C143" i="270" l="1"/>
  <c r="C139" i="270"/>
  <c r="C119" i="270"/>
  <c r="C95" i="270"/>
  <c r="C103" i="270"/>
  <c r="C141" i="270"/>
  <c r="C97" i="270"/>
  <c r="C92" i="270"/>
  <c r="C117" i="270"/>
  <c r="C101" i="270"/>
  <c r="C137" i="270"/>
  <c r="C94" i="270"/>
  <c r="C90" i="270"/>
  <c r="C125" i="270"/>
  <c r="C105" i="270"/>
  <c r="C100" i="270"/>
  <c r="C93" i="270"/>
  <c r="C121" i="270"/>
  <c r="C104" i="270"/>
  <c r="C99" i="270"/>
  <c r="C109" i="270"/>
  <c r="C153" i="270"/>
  <c r="C165" i="270"/>
  <c r="C149" i="270"/>
  <c r="C120" i="270"/>
  <c r="C113" i="270"/>
  <c r="C111" i="270"/>
  <c r="C161" i="270"/>
  <c r="C145" i="270"/>
  <c r="C129" i="270"/>
  <c r="C91" i="270"/>
  <c r="C160" i="270"/>
  <c r="C140" i="270"/>
  <c r="C112" i="270"/>
  <c r="C156" i="270"/>
  <c r="C144" i="270"/>
  <c r="C163" i="270"/>
  <c r="C151" i="270"/>
  <c r="C107" i="270"/>
  <c r="C164" i="270"/>
  <c r="C152" i="270"/>
  <c r="C148" i="270"/>
  <c r="C136" i="270"/>
  <c r="C132" i="270"/>
  <c r="C128" i="270"/>
  <c r="C108" i="270"/>
  <c r="C167" i="270"/>
  <c r="C155" i="270"/>
  <c r="C147" i="270"/>
  <c r="C135" i="270"/>
  <c r="C131" i="270"/>
  <c r="C127" i="270"/>
  <c r="C123" i="270"/>
  <c r="C166" i="270"/>
  <c r="C162" i="270"/>
  <c r="C158" i="270"/>
  <c r="C154" i="270"/>
  <c r="C150" i="270"/>
  <c r="C146" i="270"/>
  <c r="C138" i="270"/>
  <c r="C134" i="270"/>
  <c r="C130" i="270"/>
  <c r="C126" i="270"/>
  <c r="C122" i="270"/>
  <c r="C118" i="270"/>
  <c r="C114" i="270"/>
  <c r="C110" i="270"/>
  <c r="C106" i="270"/>
  <c r="C102" i="270"/>
  <c r="M8" i="266"/>
  <c r="N9" i="266"/>
  <c r="N10" i="266"/>
  <c r="N11" i="266"/>
  <c r="N12" i="266"/>
  <c r="N13" i="266"/>
  <c r="N14" i="266"/>
  <c r="N15" i="266"/>
  <c r="N16" i="266"/>
  <c r="N17" i="266"/>
  <c r="N18" i="266"/>
  <c r="N19" i="266"/>
  <c r="N20" i="266"/>
  <c r="N21" i="266"/>
  <c r="N22" i="266"/>
  <c r="N23" i="266"/>
  <c r="N24" i="266"/>
  <c r="N25" i="266"/>
  <c r="N26" i="266"/>
  <c r="N27" i="266"/>
  <c r="N28" i="266"/>
  <c r="N29" i="266"/>
  <c r="N30" i="266"/>
  <c r="N31" i="266"/>
  <c r="N32" i="266"/>
  <c r="N33" i="266"/>
  <c r="N34" i="266"/>
  <c r="N35" i="266"/>
  <c r="N36" i="266"/>
  <c r="N37" i="266"/>
  <c r="N38" i="266"/>
  <c r="N39" i="266"/>
  <c r="N40" i="266"/>
  <c r="N41" i="266"/>
  <c r="N42" i="266"/>
  <c r="N43" i="266"/>
  <c r="M44" i="266"/>
  <c r="N44" i="266" s="1"/>
  <c r="N45" i="266"/>
  <c r="N46" i="266"/>
  <c r="N47" i="266"/>
  <c r="N48" i="266"/>
  <c r="N49" i="266"/>
  <c r="N50" i="266"/>
  <c r="N51" i="266"/>
  <c r="M52" i="266"/>
  <c r="Q9" i="266" s="1"/>
  <c r="N53" i="266"/>
  <c r="N54" i="266"/>
  <c r="N55" i="266"/>
  <c r="N56" i="266"/>
  <c r="N57" i="266"/>
  <c r="N58" i="266"/>
  <c r="N59" i="266"/>
  <c r="N60" i="266"/>
  <c r="N61" i="266"/>
  <c r="N62" i="266"/>
  <c r="N63" i="266"/>
  <c r="N64" i="266"/>
  <c r="N65" i="266"/>
  <c r="N66" i="266"/>
  <c r="N67" i="266"/>
  <c r="N68" i="266"/>
  <c r="N69" i="266"/>
  <c r="N70" i="266"/>
  <c r="N71" i="266"/>
  <c r="N72" i="266"/>
  <c r="N73" i="266"/>
  <c r="N74" i="266"/>
  <c r="N75" i="266"/>
  <c r="N76" i="266"/>
  <c r="N77" i="266"/>
  <c r="N78" i="266"/>
  <c r="N79" i="266"/>
  <c r="N80" i="266"/>
  <c r="N81" i="266"/>
  <c r="N82" i="266"/>
  <c r="N83" i="266"/>
  <c r="N84" i="266"/>
  <c r="N85" i="266"/>
  <c r="N86" i="266"/>
  <c r="N87" i="266"/>
  <c r="N88" i="266"/>
  <c r="E8" i="265"/>
  <c r="E9" i="265"/>
  <c r="C11" i="265"/>
  <c r="E11" i="265" s="1"/>
  <c r="D15" i="265"/>
  <c r="F8" i="264"/>
  <c r="I8" i="264"/>
  <c r="F9" i="264"/>
  <c r="I9" i="264"/>
  <c r="F10" i="264"/>
  <c r="I10" i="264"/>
  <c r="D11" i="264"/>
  <c r="F11" i="264" s="1"/>
  <c r="G11" i="264"/>
  <c r="H11" i="264"/>
  <c r="D12" i="264"/>
  <c r="G12" i="264"/>
  <c r="J12" i="264"/>
  <c r="K12" i="264"/>
  <c r="E13" i="264"/>
  <c r="F13" i="264" s="1"/>
  <c r="H13" i="264"/>
  <c r="L13" i="264"/>
  <c r="E14" i="264"/>
  <c r="F14" i="264" s="1"/>
  <c r="H14" i="264"/>
  <c r="I14" i="264" s="1"/>
  <c r="L14" i="264"/>
  <c r="E15" i="264"/>
  <c r="F15" i="264" s="1"/>
  <c r="H15" i="264"/>
  <c r="I15" i="264" s="1"/>
  <c r="L15" i="264"/>
  <c r="Y15" i="264" s="1"/>
  <c r="Z15" i="264"/>
  <c r="E16" i="264"/>
  <c r="F16" i="264" s="1"/>
  <c r="H16" i="264"/>
  <c r="I16" i="264" s="1"/>
  <c r="L16" i="264"/>
  <c r="Z16" i="264"/>
  <c r="AA16" i="264"/>
  <c r="E17" i="264"/>
  <c r="F17" i="264" s="1"/>
  <c r="H17" i="264"/>
  <c r="I17" i="264" s="1"/>
  <c r="L17" i="264"/>
  <c r="Z17" i="264"/>
  <c r="AA17" i="264"/>
  <c r="E18" i="264"/>
  <c r="F18" i="264" s="1"/>
  <c r="H18" i="264"/>
  <c r="I18" i="264" s="1"/>
  <c r="L18" i="264"/>
  <c r="Z18" i="264"/>
  <c r="AA18" i="264"/>
  <c r="E19" i="264"/>
  <c r="F19" i="264" s="1"/>
  <c r="H19" i="264"/>
  <c r="I19" i="264" s="1"/>
  <c r="L19" i="264"/>
  <c r="Z19" i="264"/>
  <c r="AA19" i="264"/>
  <c r="E20" i="264"/>
  <c r="F20" i="264" s="1"/>
  <c r="H20" i="264"/>
  <c r="I20" i="264" s="1"/>
  <c r="L20" i="264"/>
  <c r="E21" i="264"/>
  <c r="F21" i="264" s="1"/>
  <c r="H21" i="264"/>
  <c r="I21" i="264" s="1"/>
  <c r="L21" i="264"/>
  <c r="E22" i="264"/>
  <c r="F22" i="264" s="1"/>
  <c r="H22" i="264"/>
  <c r="I22" i="264" s="1"/>
  <c r="L22" i="264"/>
  <c r="E23" i="264"/>
  <c r="F23" i="264" s="1"/>
  <c r="H23" i="264"/>
  <c r="I23" i="264" s="1"/>
  <c r="L23" i="264"/>
  <c r="E24" i="264"/>
  <c r="F24" i="264" s="1"/>
  <c r="H24" i="264"/>
  <c r="I24" i="264" s="1"/>
  <c r="L24" i="264"/>
  <c r="E25" i="264"/>
  <c r="F25" i="264" s="1"/>
  <c r="H25" i="264"/>
  <c r="I25" i="264" s="1"/>
  <c r="L25" i="264"/>
  <c r="E26" i="264"/>
  <c r="F26" i="264" s="1"/>
  <c r="H26" i="264"/>
  <c r="I26" i="264" s="1"/>
  <c r="L26" i="264"/>
  <c r="E27" i="264"/>
  <c r="F27" i="264" s="1"/>
  <c r="H27" i="264"/>
  <c r="I27" i="264" s="1"/>
  <c r="L27" i="264"/>
  <c r="Y16" i="264" s="1"/>
  <c r="E28" i="264"/>
  <c r="F28" i="264" s="1"/>
  <c r="H28" i="264"/>
  <c r="I28" i="264" s="1"/>
  <c r="L28" i="264"/>
  <c r="E29" i="264"/>
  <c r="F29" i="264" s="1"/>
  <c r="H29" i="264"/>
  <c r="I29" i="264" s="1"/>
  <c r="L29" i="264"/>
  <c r="E30" i="264"/>
  <c r="F30" i="264" s="1"/>
  <c r="H30" i="264"/>
  <c r="I30" i="264" s="1"/>
  <c r="L30" i="264"/>
  <c r="E31" i="264"/>
  <c r="H31" i="264"/>
  <c r="L31" i="264"/>
  <c r="E32" i="264"/>
  <c r="F32" i="264" s="1"/>
  <c r="H32" i="264"/>
  <c r="I32" i="264" s="1"/>
  <c r="L32" i="264"/>
  <c r="E33" i="264"/>
  <c r="F33" i="264" s="1"/>
  <c r="H33" i="264"/>
  <c r="I33" i="264" s="1"/>
  <c r="L33" i="264"/>
  <c r="Y17" i="264" s="1"/>
  <c r="E34" i="264"/>
  <c r="F34" i="264" s="1"/>
  <c r="H34" i="264"/>
  <c r="I34" i="264" s="1"/>
  <c r="L34" i="264"/>
  <c r="E35" i="264"/>
  <c r="F35" i="264" s="1"/>
  <c r="H35" i="264"/>
  <c r="I35" i="264" s="1"/>
  <c r="L35" i="264"/>
  <c r="Y18" i="264" s="1"/>
  <c r="E36" i="264"/>
  <c r="F36" i="264" s="1"/>
  <c r="H36" i="264"/>
  <c r="I36" i="264" s="1"/>
  <c r="L36" i="264"/>
  <c r="E37" i="264"/>
  <c r="F37" i="264" s="1"/>
  <c r="H37" i="264"/>
  <c r="I37" i="264" s="1"/>
  <c r="L37" i="264"/>
  <c r="E38" i="264"/>
  <c r="F38" i="264" s="1"/>
  <c r="H38" i="264"/>
  <c r="I38" i="264" s="1"/>
  <c r="L38" i="264"/>
  <c r="E39" i="264"/>
  <c r="F39" i="264" s="1"/>
  <c r="H39" i="264"/>
  <c r="I39" i="264" s="1"/>
  <c r="L39" i="264"/>
  <c r="E40" i="264"/>
  <c r="F40" i="264" s="1"/>
  <c r="H40" i="264"/>
  <c r="L40" i="264"/>
  <c r="E41" i="264"/>
  <c r="F41" i="264" s="1"/>
  <c r="H41" i="264"/>
  <c r="I41" i="264" s="1"/>
  <c r="L41" i="264"/>
  <c r="E42" i="264"/>
  <c r="F42" i="264" s="1"/>
  <c r="H42" i="264"/>
  <c r="I42" i="264" s="1"/>
  <c r="L42" i="264"/>
  <c r="E43" i="264"/>
  <c r="F43" i="264" s="1"/>
  <c r="H43" i="264"/>
  <c r="I43" i="264" s="1"/>
  <c r="L43" i="264"/>
  <c r="E44" i="264"/>
  <c r="F44" i="264" s="1"/>
  <c r="H44" i="264"/>
  <c r="I44" i="264" s="1"/>
  <c r="L44" i="264"/>
  <c r="Y19" i="264" s="1"/>
  <c r="E45" i="264"/>
  <c r="F45" i="264" s="1"/>
  <c r="H45" i="264"/>
  <c r="I45" i="264" s="1"/>
  <c r="L45" i="264"/>
  <c r="E46" i="264"/>
  <c r="F46" i="264" s="1"/>
  <c r="H46" i="264"/>
  <c r="I46" i="264" s="1"/>
  <c r="L46" i="264"/>
  <c r="H47" i="264"/>
  <c r="I47" i="264" s="1"/>
  <c r="L47" i="264"/>
  <c r="D48" i="264"/>
  <c r="G48" i="264"/>
  <c r="J48" i="264"/>
  <c r="K48" i="264"/>
  <c r="E49" i="264"/>
  <c r="H49" i="264"/>
  <c r="L49" i="264"/>
  <c r="E50" i="264"/>
  <c r="F50" i="264" s="1"/>
  <c r="H50" i="264"/>
  <c r="I50" i="264" s="1"/>
  <c r="L50" i="264"/>
  <c r="E51" i="264"/>
  <c r="F51" i="264" s="1"/>
  <c r="H51" i="264"/>
  <c r="I51" i="264" s="1"/>
  <c r="L51" i="264"/>
  <c r="E52" i="264"/>
  <c r="F52" i="264" s="1"/>
  <c r="H52" i="264"/>
  <c r="I52" i="264" s="1"/>
  <c r="L52" i="264"/>
  <c r="E53" i="264"/>
  <c r="F53" i="264" s="1"/>
  <c r="H53" i="264"/>
  <c r="I53" i="264" s="1"/>
  <c r="L53" i="264"/>
  <c r="E54" i="264"/>
  <c r="F54" i="264" s="1"/>
  <c r="H54" i="264"/>
  <c r="I54" i="264" s="1"/>
  <c r="L54" i="264"/>
  <c r="E55" i="264"/>
  <c r="F55" i="264" s="1"/>
  <c r="H55" i="264"/>
  <c r="I55" i="264" s="1"/>
  <c r="L55" i="264"/>
  <c r="D56" i="264"/>
  <c r="G56" i="264"/>
  <c r="E57" i="264"/>
  <c r="H57" i="264"/>
  <c r="L57" i="264"/>
  <c r="E58" i="264"/>
  <c r="H58" i="264"/>
  <c r="L58" i="264"/>
  <c r="E59" i="264"/>
  <c r="H59" i="264"/>
  <c r="L59" i="264"/>
  <c r="E60" i="264"/>
  <c r="F60" i="264" s="1"/>
  <c r="H60" i="264"/>
  <c r="I60" i="264" s="1"/>
  <c r="L60" i="264"/>
  <c r="E61" i="264"/>
  <c r="F61" i="264" s="1"/>
  <c r="H61" i="264"/>
  <c r="I61" i="264" s="1"/>
  <c r="L61" i="264"/>
  <c r="E62" i="264"/>
  <c r="F62" i="264" s="1"/>
  <c r="H62" i="264"/>
  <c r="I62" i="264" s="1"/>
  <c r="L62" i="264"/>
  <c r="E63" i="264"/>
  <c r="F63" i="264" s="1"/>
  <c r="H63" i="264"/>
  <c r="I63" i="264" s="1"/>
  <c r="L63" i="264"/>
  <c r="E64" i="264"/>
  <c r="H64" i="264"/>
  <c r="L64" i="264"/>
  <c r="E65" i="264"/>
  <c r="F65" i="264" s="1"/>
  <c r="H65" i="264"/>
  <c r="I65" i="264" s="1"/>
  <c r="L65" i="264"/>
  <c r="E66" i="264"/>
  <c r="H66" i="264"/>
  <c r="L66" i="264"/>
  <c r="E67" i="264"/>
  <c r="F67" i="264" s="1"/>
  <c r="H67" i="264"/>
  <c r="I67" i="264" s="1"/>
  <c r="L67" i="264"/>
  <c r="E68" i="264"/>
  <c r="F68" i="264" s="1"/>
  <c r="H68" i="264"/>
  <c r="I68" i="264" s="1"/>
  <c r="L68" i="264"/>
  <c r="E69" i="264"/>
  <c r="F69" i="264" s="1"/>
  <c r="H69" i="264"/>
  <c r="I69" i="264" s="1"/>
  <c r="L69" i="264"/>
  <c r="E70" i="264"/>
  <c r="F70" i="264" s="1"/>
  <c r="H70" i="264"/>
  <c r="I70" i="264" s="1"/>
  <c r="L70" i="264"/>
  <c r="E71" i="264"/>
  <c r="F71" i="264" s="1"/>
  <c r="H71" i="264"/>
  <c r="I71" i="264" s="1"/>
  <c r="L71" i="264"/>
  <c r="E72" i="264"/>
  <c r="H72" i="264"/>
  <c r="L72" i="264"/>
  <c r="E73" i="264"/>
  <c r="F73" i="264" s="1"/>
  <c r="H73" i="264"/>
  <c r="I73" i="264" s="1"/>
  <c r="L73" i="264"/>
  <c r="E74" i="264"/>
  <c r="H74" i="264"/>
  <c r="L74" i="264"/>
  <c r="E75" i="264"/>
  <c r="F75" i="264" s="1"/>
  <c r="H75" i="264"/>
  <c r="L75" i="264"/>
  <c r="E76" i="264"/>
  <c r="H76" i="264"/>
  <c r="L76" i="264"/>
  <c r="E77" i="264"/>
  <c r="F77" i="264" s="1"/>
  <c r="H77" i="264"/>
  <c r="I77" i="264" s="1"/>
  <c r="L77" i="264"/>
  <c r="E78" i="264"/>
  <c r="H78" i="264"/>
  <c r="L78" i="264"/>
  <c r="E79" i="264"/>
  <c r="F79" i="264" s="1"/>
  <c r="H79" i="264"/>
  <c r="I79" i="264" s="1"/>
  <c r="L79" i="264"/>
  <c r="E80" i="264"/>
  <c r="F80" i="264" s="1"/>
  <c r="H80" i="264"/>
  <c r="I80" i="264" s="1"/>
  <c r="L80" i="264"/>
  <c r="E81" i="264"/>
  <c r="H81" i="264"/>
  <c r="L81" i="264"/>
  <c r="E82" i="264"/>
  <c r="F82" i="264" s="1"/>
  <c r="H82" i="264"/>
  <c r="I82" i="264" s="1"/>
  <c r="L82" i="264"/>
  <c r="E83" i="264"/>
  <c r="H83" i="264"/>
  <c r="L83" i="264"/>
  <c r="E84" i="264"/>
  <c r="F84" i="264" s="1"/>
  <c r="H84" i="264"/>
  <c r="I84" i="264" s="1"/>
  <c r="L84" i="264"/>
  <c r="E85" i="264"/>
  <c r="H85" i="264"/>
  <c r="L85" i="264"/>
  <c r="E86" i="264"/>
  <c r="F86" i="264" s="1"/>
  <c r="H86" i="264"/>
  <c r="I86" i="264" s="1"/>
  <c r="L86" i="264"/>
  <c r="E87" i="264"/>
  <c r="F87" i="264" s="1"/>
  <c r="H87" i="264"/>
  <c r="L87" i="264"/>
  <c r="E88" i="264"/>
  <c r="F88" i="264" s="1"/>
  <c r="H88" i="264"/>
  <c r="L88" i="264"/>
  <c r="E89" i="264"/>
  <c r="H89" i="264"/>
  <c r="L89" i="264"/>
  <c r="E90" i="264"/>
  <c r="H90" i="264"/>
  <c r="L90" i="264"/>
  <c r="E91" i="264"/>
  <c r="F91" i="264" s="1"/>
  <c r="H91" i="264"/>
  <c r="I91" i="264" s="1"/>
  <c r="L91" i="264"/>
  <c r="E92" i="264"/>
  <c r="F92" i="264" s="1"/>
  <c r="H92" i="264"/>
  <c r="I92" i="264" s="1"/>
  <c r="J92" i="264"/>
  <c r="S11" i="264" s="1"/>
  <c r="I9" i="262" s="1"/>
  <c r="C8" i="263"/>
  <c r="AA15" i="264" s="1"/>
  <c r="F8" i="263"/>
  <c r="G8" i="263"/>
  <c r="B9" i="263"/>
  <c r="C9" i="263"/>
  <c r="C18" i="263" s="1"/>
  <c r="F9" i="263"/>
  <c r="F18" i="263" s="1"/>
  <c r="G9" i="263"/>
  <c r="G18" i="263" s="1"/>
  <c r="B10" i="263"/>
  <c r="C10" i="263"/>
  <c r="D10" i="263"/>
  <c r="F10" i="263"/>
  <c r="G10" i="263"/>
  <c r="B11" i="263"/>
  <c r="C11" i="263"/>
  <c r="F11" i="263"/>
  <c r="G11" i="263"/>
  <c r="B12" i="263"/>
  <c r="C12" i="263"/>
  <c r="F12" i="263"/>
  <c r="G12" i="263"/>
  <c r="C14" i="263"/>
  <c r="E6" i="262"/>
  <c r="E7" i="262"/>
  <c r="N7" i="262"/>
  <c r="E8" i="262"/>
  <c r="C9" i="262"/>
  <c r="E9" i="262" s="1"/>
  <c r="D12" i="263" l="1"/>
  <c r="D8" i="263"/>
  <c r="C168" i="270"/>
  <c r="D9" i="263"/>
  <c r="D18" i="263" s="1"/>
  <c r="D11" i="263"/>
  <c r="L12" i="264"/>
  <c r="G7" i="263"/>
  <c r="F7" i="263"/>
  <c r="L48" i="264"/>
  <c r="K92" i="264"/>
  <c r="E56" i="264"/>
  <c r="F56" i="264" s="1"/>
  <c r="H12" i="264"/>
  <c r="I12" i="264" s="1"/>
  <c r="I11" i="264"/>
  <c r="H48" i="264"/>
  <c r="I48" i="264" s="1"/>
  <c r="D14" i="263"/>
  <c r="E48" i="264"/>
  <c r="F48" i="264" s="1"/>
  <c r="N52" i="266"/>
  <c r="R9" i="266" s="1"/>
  <c r="H56" i="264"/>
  <c r="I56" i="264" s="1"/>
  <c r="N8" i="266"/>
  <c r="C7" i="263"/>
  <c r="E12" i="264"/>
  <c r="F12" i="264" s="1"/>
  <c r="J56" i="264"/>
  <c r="F49" i="264"/>
  <c r="I13" i="264"/>
  <c r="C14" i="265"/>
  <c r="J11" i="264"/>
  <c r="I49" i="264"/>
  <c r="D7" i="263" l="1"/>
  <c r="C98" i="270"/>
  <c r="C115" i="270"/>
  <c r="C133" i="270"/>
  <c r="C124" i="270"/>
  <c r="C142" i="270"/>
  <c r="C89" i="270"/>
  <c r="C159" i="270"/>
  <c r="V51" i="270" a="1"/>
  <c r="V51" i="270" s="1"/>
  <c r="D16" i="263"/>
  <c r="D17" i="263" s="1"/>
  <c r="T11" i="264"/>
  <c r="J9" i="262" s="1"/>
  <c r="K9" i="262" s="1"/>
  <c r="L92" i="264"/>
  <c r="K56" i="264"/>
  <c r="L56" i="264" s="1"/>
  <c r="K11" i="264"/>
  <c r="G9" i="262" s="1"/>
  <c r="F9" i="262"/>
  <c r="C15" i="265"/>
  <c r="E14" i="265"/>
  <c r="AE51" i="270" l="1" a="1"/>
  <c r="AK57" i="270" s="1"/>
  <c r="AA56" i="270"/>
  <c r="X54" i="270"/>
  <c r="AA54" i="270"/>
  <c r="X52" i="270"/>
  <c r="AA52" i="270"/>
  <c r="W58" i="270"/>
  <c r="Y58" i="270"/>
  <c r="W56" i="270"/>
  <c r="AC54" i="270"/>
  <c r="W54" i="270"/>
  <c r="Z58" i="270"/>
  <c r="W52" i="270"/>
  <c r="Z56" i="270"/>
  <c r="Y57" i="270"/>
  <c r="Z54" i="270"/>
  <c r="V58" i="270"/>
  <c r="Z52" i="270"/>
  <c r="V54" i="270"/>
  <c r="AC53" i="270"/>
  <c r="Y52" i="270"/>
  <c r="V56" i="270"/>
  <c r="AB55" i="270"/>
  <c r="V52" i="270"/>
  <c r="AB51" i="270"/>
  <c r="AC56" i="270"/>
  <c r="AA55" i="270"/>
  <c r="AB57" i="270"/>
  <c r="AA51" i="270"/>
  <c r="AB53" i="270"/>
  <c r="AC52" i="270"/>
  <c r="AA57" i="270"/>
  <c r="Z57" i="270"/>
  <c r="AA53" i="270"/>
  <c r="Z53" i="270"/>
  <c r="Y56" i="270"/>
  <c r="AC55" i="270"/>
  <c r="Z55" i="270"/>
  <c r="X55" i="270"/>
  <c r="Z51" i="270"/>
  <c r="X51" i="270"/>
  <c r="Y51" i="270"/>
  <c r="W55" i="270"/>
  <c r="X57" i="270"/>
  <c r="W51" i="270"/>
  <c r="X53" i="270"/>
  <c r="AC51" i="270"/>
  <c r="W57" i="270"/>
  <c r="V55" i="270"/>
  <c r="W53" i="270"/>
  <c r="AC58" i="270"/>
  <c r="Y55" i="270"/>
  <c r="Y54" i="270"/>
  <c r="V57" i="270"/>
  <c r="AB58" i="270"/>
  <c r="V53" i="270"/>
  <c r="AB56" i="270"/>
  <c r="AC57" i="270"/>
  <c r="AB54" i="270"/>
  <c r="Y53" i="270"/>
  <c r="AB52" i="270"/>
  <c r="X58" i="270"/>
  <c r="AA58" i="270"/>
  <c r="X56" i="270"/>
  <c r="L11" i="264"/>
  <c r="H9" i="262"/>
  <c r="Q23" i="261"/>
  <c r="R23" i="261"/>
  <c r="R28" i="261"/>
  <c r="P50" i="261"/>
  <c r="P52" i="261"/>
  <c r="AH53" i="270" l="1"/>
  <c r="AH57" i="271" s="1"/>
  <c r="AH68" i="271" s="1"/>
  <c r="AG51" i="270"/>
  <c r="AG55" i="271" s="1"/>
  <c r="AG66" i="271" s="1"/>
  <c r="AF53" i="270"/>
  <c r="AF57" i="271" s="1"/>
  <c r="AF68" i="271" s="1"/>
  <c r="AK58" i="270"/>
  <c r="AK62" i="271" s="1"/>
  <c r="AK73" i="271" s="1"/>
  <c r="AF55" i="270"/>
  <c r="AI58" i="270"/>
  <c r="AI62" i="271" s="1"/>
  <c r="AI73" i="271" s="1"/>
  <c r="AH52" i="270"/>
  <c r="AH56" i="271" s="1"/>
  <c r="AH67" i="271" s="1"/>
  <c r="AF54" i="270"/>
  <c r="AF58" i="271" s="1"/>
  <c r="AF69" i="271" s="1"/>
  <c r="AE52" i="270"/>
  <c r="AH54" i="270"/>
  <c r="AH58" i="271" s="1"/>
  <c r="AH69" i="271" s="1"/>
  <c r="AJ51" i="270"/>
  <c r="AJ55" i="271" s="1"/>
  <c r="AJ66" i="271" s="1"/>
  <c r="AK53" i="270"/>
  <c r="AK57" i="271" s="1"/>
  <c r="AK68" i="271" s="1"/>
  <c r="AF51" i="270"/>
  <c r="AF55" i="271" s="1"/>
  <c r="AF66" i="271" s="1"/>
  <c r="AI51" i="270"/>
  <c r="AI55" i="271" s="1"/>
  <c r="AI66" i="271" s="1"/>
  <c r="AG55" i="270"/>
  <c r="AG59" i="271" s="1"/>
  <c r="AG70" i="271" s="1"/>
  <c r="AI55" i="270"/>
  <c r="AI59" i="271" s="1"/>
  <c r="AI70" i="271" s="1"/>
  <c r="AE55" i="270"/>
  <c r="AJ56" i="270"/>
  <c r="AJ60" i="271" s="1"/>
  <c r="AJ71" i="271" s="1"/>
  <c r="AK52" i="270"/>
  <c r="AK56" i="271" s="1"/>
  <c r="AK67" i="271" s="1"/>
  <c r="AL55" i="270"/>
  <c r="AL59" i="271" s="1"/>
  <c r="AL70" i="271" s="1"/>
  <c r="AE58" i="270"/>
  <c r="AH51" i="270"/>
  <c r="AH55" i="271" s="1"/>
  <c r="AH66" i="271" s="1"/>
  <c r="AE53" i="270"/>
  <c r="AJ54" i="270"/>
  <c r="AJ58" i="271" s="1"/>
  <c r="AJ69" i="271" s="1"/>
  <c r="AG52" i="270"/>
  <c r="AG56" i="271" s="1"/>
  <c r="AG67" i="271" s="1"/>
  <c r="AG57" i="270"/>
  <c r="AG61" i="271" s="1"/>
  <c r="AG72" i="271" s="1"/>
  <c r="AF52" i="270"/>
  <c r="AF56" i="271" s="1"/>
  <c r="AF67" i="271" s="1"/>
  <c r="AI54" i="270"/>
  <c r="AI58" i="271" s="1"/>
  <c r="AI69" i="271" s="1"/>
  <c r="AK54" i="270"/>
  <c r="AK58" i="271" s="1"/>
  <c r="AK69" i="271" s="1"/>
  <c r="AJ58" i="270"/>
  <c r="AJ62" i="271" s="1"/>
  <c r="AJ73" i="271" s="1"/>
  <c r="AG58" i="270"/>
  <c r="AG62" i="271" s="1"/>
  <c r="AG73" i="271" s="1"/>
  <c r="AE54" i="270"/>
  <c r="AJ57" i="270"/>
  <c r="AJ61" i="271" s="1"/>
  <c r="AJ72" i="271" s="1"/>
  <c r="AG56" i="270"/>
  <c r="AG60" i="271" s="1"/>
  <c r="AG71" i="271" s="1"/>
  <c r="AI57" i="270"/>
  <c r="AI61" i="271" s="1"/>
  <c r="AI72" i="271" s="1"/>
  <c r="AJ52" i="270"/>
  <c r="AJ56" i="271" s="1"/>
  <c r="AJ67" i="271" s="1"/>
  <c r="AJ53" i="270"/>
  <c r="AJ57" i="271" s="1"/>
  <c r="AJ68" i="271" s="1"/>
  <c r="AI52" i="270"/>
  <c r="AI56" i="271" s="1"/>
  <c r="AI67" i="271" s="1"/>
  <c r="AG53" i="270"/>
  <c r="AG57" i="271" s="1"/>
  <c r="AG68" i="271" s="1"/>
  <c r="AK55" i="270"/>
  <c r="AK59" i="271" s="1"/>
  <c r="AK70" i="271" s="1"/>
  <c r="AF57" i="270"/>
  <c r="AF61" i="271" s="1"/>
  <c r="AF72" i="271" s="1"/>
  <c r="AL58" i="270"/>
  <c r="AL62" i="271" s="1"/>
  <c r="AL73" i="271" s="1"/>
  <c r="AL56" i="270"/>
  <c r="AL60" i="271" s="1"/>
  <c r="AL71" i="271" s="1"/>
  <c r="AL57" i="270"/>
  <c r="AL61" i="271" s="1"/>
  <c r="AL72" i="271" s="1"/>
  <c r="AE56" i="270"/>
  <c r="AJ55" i="270"/>
  <c r="AJ59" i="271" s="1"/>
  <c r="AJ70" i="271" s="1"/>
  <c r="AI56" i="270"/>
  <c r="AI60" i="271" s="1"/>
  <c r="AI71" i="271" s="1"/>
  <c r="AL51" i="270"/>
  <c r="AL55" i="271" s="1"/>
  <c r="AL66" i="271" s="1"/>
  <c r="AL52" i="270"/>
  <c r="AL56" i="271" s="1"/>
  <c r="AL67" i="271" s="1"/>
  <c r="AL53" i="270"/>
  <c r="AL57" i="271" s="1"/>
  <c r="AL68" i="271" s="1"/>
  <c r="AL54" i="270"/>
  <c r="AL58" i="271" s="1"/>
  <c r="AL69" i="271" s="1"/>
  <c r="AF56" i="270"/>
  <c r="AF60" i="271" s="1"/>
  <c r="AF71" i="271" s="1"/>
  <c r="AF58" i="270"/>
  <c r="AF62" i="271" s="1"/>
  <c r="AF73" i="271" s="1"/>
  <c r="AK51" i="270"/>
  <c r="AK55" i="271" s="1"/>
  <c r="AK66" i="271" s="1"/>
  <c r="AK56" i="270"/>
  <c r="AK60" i="271" s="1"/>
  <c r="AK71" i="271" s="1"/>
  <c r="AH55" i="270"/>
  <c r="AH59" i="271" s="1"/>
  <c r="AH70" i="271" s="1"/>
  <c r="AH56" i="270"/>
  <c r="AH60" i="271" s="1"/>
  <c r="AH71" i="271" s="1"/>
  <c r="AH57" i="270"/>
  <c r="AH61" i="271" s="1"/>
  <c r="AH72" i="271" s="1"/>
  <c r="AH58" i="270"/>
  <c r="AH62" i="271" s="1"/>
  <c r="AH73" i="271" s="1"/>
  <c r="AI53" i="270"/>
  <c r="AI57" i="271" s="1"/>
  <c r="AI68" i="271" s="1"/>
  <c r="AE57" i="270"/>
  <c r="AG54" i="270"/>
  <c r="AG58" i="271" s="1"/>
  <c r="AG69" i="271" s="1"/>
  <c r="AE51" i="270"/>
  <c r="AF59" i="271"/>
  <c r="AF70" i="271" s="1"/>
  <c r="AK61" i="271"/>
  <c r="AK72" i="271" s="1"/>
  <c r="N89" i="261"/>
  <c r="N88" i="261"/>
  <c r="A88" i="261"/>
  <c r="N87" i="261"/>
  <c r="A87" i="261"/>
  <c r="N86" i="261"/>
  <c r="A86" i="261"/>
  <c r="N85" i="261"/>
  <c r="A85" i="261"/>
  <c r="N84" i="261"/>
  <c r="A84" i="261"/>
  <c r="N83" i="261"/>
  <c r="D83" i="261"/>
  <c r="D53" i="261" s="1"/>
  <c r="N82" i="261"/>
  <c r="A82" i="261"/>
  <c r="N81" i="261"/>
  <c r="N80" i="261"/>
  <c r="N79" i="261"/>
  <c r="A79" i="261"/>
  <c r="N78" i="261"/>
  <c r="N77" i="261"/>
  <c r="N76" i="261"/>
  <c r="N74" i="261"/>
  <c r="N72" i="261"/>
  <c r="A69" i="261"/>
  <c r="N67" i="261"/>
  <c r="A67" i="261"/>
  <c r="N66" i="261"/>
  <c r="N65" i="261"/>
  <c r="N64" i="261"/>
  <c r="N63" i="261"/>
  <c r="N62" i="261"/>
  <c r="N61" i="261"/>
  <c r="A60" i="261"/>
  <c r="N60" i="261" s="1"/>
  <c r="N59" i="261"/>
  <c r="N58" i="261"/>
  <c r="N57" i="261"/>
  <c r="N56" i="261"/>
  <c r="A56" i="261"/>
  <c r="N55" i="261"/>
  <c r="N52" i="261"/>
  <c r="N51" i="261"/>
  <c r="N50" i="261"/>
  <c r="N49" i="261"/>
  <c r="N48" i="261"/>
  <c r="N47" i="261"/>
  <c r="N46" i="261"/>
  <c r="N45" i="261"/>
  <c r="D45" i="261"/>
  <c r="N43" i="261"/>
  <c r="N42" i="261"/>
  <c r="N41" i="261"/>
  <c r="N40" i="261"/>
  <c r="N39" i="261"/>
  <c r="N36" i="261"/>
  <c r="N35" i="261"/>
  <c r="N34" i="261"/>
  <c r="N33" i="261"/>
  <c r="N32" i="261"/>
  <c r="N31" i="261"/>
  <c r="N30" i="261"/>
  <c r="N28" i="261"/>
  <c r="N27" i="261"/>
  <c r="N26" i="261"/>
  <c r="N25" i="261"/>
  <c r="N24" i="261"/>
  <c r="N21" i="261"/>
  <c r="N20" i="261"/>
  <c r="N19" i="261"/>
  <c r="N18" i="261"/>
  <c r="N16" i="261"/>
  <c r="N15" i="261"/>
  <c r="N14" i="261"/>
  <c r="N13" i="261"/>
  <c r="N12" i="261"/>
  <c r="N11" i="261"/>
  <c r="N10" i="261"/>
  <c r="AB86" i="270" l="1"/>
  <c r="Z86" i="270"/>
  <c r="AA86" i="270"/>
  <c r="AC86" i="270"/>
  <c r="C183" i="270" s="1"/>
  <c r="V86" i="270"/>
  <c r="X86" i="270"/>
  <c r="Y86" i="270"/>
  <c r="W86" i="270"/>
  <c r="AE61" i="271"/>
  <c r="AE72" i="271" s="1"/>
  <c r="AB87" i="270"/>
  <c r="AE58" i="271"/>
  <c r="AE69" i="271" s="1"/>
  <c r="Y87" i="270"/>
  <c r="AE59" i="271"/>
  <c r="AE70" i="271" s="1"/>
  <c r="Z87" i="270"/>
  <c r="AC87" i="270"/>
  <c r="AE62" i="271"/>
  <c r="AE73" i="271" s="1"/>
  <c r="AE60" i="271"/>
  <c r="AE71" i="271" s="1"/>
  <c r="AA87" i="270"/>
  <c r="AE56" i="271"/>
  <c r="AE67" i="271" s="1"/>
  <c r="W87" i="270"/>
  <c r="X87" i="270"/>
  <c r="AE57" i="271"/>
  <c r="AE68" i="271" s="1"/>
  <c r="AE55" i="271"/>
  <c r="AE66" i="271" s="1"/>
  <c r="V87" i="270"/>
  <c r="D9" i="261"/>
  <c r="D91" i="261" s="1"/>
  <c r="E9" i="260"/>
  <c r="J9" i="260"/>
  <c r="O10" i="260"/>
  <c r="O11" i="260"/>
  <c r="O12" i="260"/>
  <c r="O13" i="260"/>
  <c r="O14" i="260"/>
  <c r="O15" i="260"/>
  <c r="O16" i="260"/>
  <c r="O17" i="260"/>
  <c r="O18" i="260"/>
  <c r="O19" i="260"/>
  <c r="O20" i="260"/>
  <c r="O21" i="260"/>
  <c r="O22" i="260"/>
  <c r="O23" i="260"/>
  <c r="O24" i="260"/>
  <c r="O25" i="260"/>
  <c r="O26" i="260"/>
  <c r="O27" i="260"/>
  <c r="O28" i="260"/>
  <c r="O29" i="260"/>
  <c r="O30" i="260"/>
  <c r="O31" i="260"/>
  <c r="O32" i="260"/>
  <c r="O33" i="260"/>
  <c r="O34" i="260"/>
  <c r="O35" i="260"/>
  <c r="O36" i="260"/>
  <c r="O37" i="260"/>
  <c r="O38" i="260"/>
  <c r="O39" i="260"/>
  <c r="O40" i="260"/>
  <c r="O41" i="260"/>
  <c r="O42" i="260"/>
  <c r="O43" i="260"/>
  <c r="C44" i="260"/>
  <c r="H44" i="260"/>
  <c r="O44" i="260"/>
  <c r="J45" i="260"/>
  <c r="O46" i="260"/>
  <c r="O47" i="260"/>
  <c r="O48" i="260"/>
  <c r="O49" i="260"/>
  <c r="C50" i="260"/>
  <c r="H50" i="260"/>
  <c r="O50" i="260"/>
  <c r="Q50" i="260" s="1"/>
  <c r="O51" i="260"/>
  <c r="C52" i="260"/>
  <c r="H52" i="260"/>
  <c r="O52" i="260"/>
  <c r="Q52" i="260" s="1"/>
  <c r="O54" i="260"/>
  <c r="O55" i="260"/>
  <c r="O56" i="260"/>
  <c r="B57" i="260"/>
  <c r="O57" i="260"/>
  <c r="O58" i="260"/>
  <c r="O59" i="260"/>
  <c r="B60" i="260"/>
  <c r="O60" i="260"/>
  <c r="O61" i="260"/>
  <c r="O62" i="260"/>
  <c r="Q62" i="260" s="1"/>
  <c r="O63" i="260"/>
  <c r="O64" i="260"/>
  <c r="O65" i="260"/>
  <c r="O66" i="260"/>
  <c r="B67" i="260"/>
  <c r="O67" i="260"/>
  <c r="O68" i="260"/>
  <c r="B69" i="260"/>
  <c r="O69" i="260"/>
  <c r="O70" i="260"/>
  <c r="O71" i="260"/>
  <c r="O72" i="260"/>
  <c r="O73" i="260"/>
  <c r="O74" i="260"/>
  <c r="O75" i="260"/>
  <c r="O76" i="260"/>
  <c r="O77" i="260"/>
  <c r="O78" i="260"/>
  <c r="B79" i="260"/>
  <c r="O79" i="260"/>
  <c r="O80" i="260"/>
  <c r="O81" i="260"/>
  <c r="B82" i="260"/>
  <c r="O82" i="260"/>
  <c r="O83" i="260"/>
  <c r="B84" i="260"/>
  <c r="O84" i="260"/>
  <c r="B85" i="260"/>
  <c r="O85" i="260"/>
  <c r="B86" i="260"/>
  <c r="O86" i="260"/>
  <c r="B87" i="260"/>
  <c r="O87" i="260"/>
  <c r="B88" i="260"/>
  <c r="O88" i="260"/>
  <c r="H89" i="260"/>
  <c r="O89" i="260"/>
  <c r="Q89" i="260" s="1"/>
  <c r="C7" i="259"/>
  <c r="C8" i="259"/>
  <c r="C182" i="270" l="1"/>
  <c r="E183" i="270" s="1"/>
  <c r="C9" i="259"/>
  <c r="C84" i="260"/>
  <c r="H84" i="260"/>
  <c r="C78" i="260"/>
  <c r="Q78" i="260"/>
  <c r="M78" i="260" s="1"/>
  <c r="C70" i="260"/>
  <c r="H70" i="260"/>
  <c r="C68" i="260"/>
  <c r="H68" i="260"/>
  <c r="C30" i="260"/>
  <c r="H30" i="260"/>
  <c r="C29" i="260"/>
  <c r="C26" i="260"/>
  <c r="C10" i="260"/>
  <c r="H10" i="260"/>
  <c r="C85" i="260"/>
  <c r="H85" i="260"/>
  <c r="C63" i="260"/>
  <c r="Q63" i="260"/>
  <c r="M63" i="260" s="1"/>
  <c r="C41" i="260"/>
  <c r="Q41" i="260"/>
  <c r="M41" i="260" s="1"/>
  <c r="C27" i="260"/>
  <c r="C12" i="260"/>
  <c r="C86" i="260"/>
  <c r="H86" i="260"/>
  <c r="C83" i="260"/>
  <c r="H83" i="260"/>
  <c r="C71" i="260"/>
  <c r="Q71" i="260"/>
  <c r="C54" i="260"/>
  <c r="H54" i="260"/>
  <c r="C36" i="260"/>
  <c r="D22" i="260"/>
  <c r="P22" i="261" s="1"/>
  <c r="C21" i="260"/>
  <c r="C20" i="260"/>
  <c r="D18" i="260"/>
  <c r="P18" i="261" s="1"/>
  <c r="C17" i="260"/>
  <c r="C16" i="260"/>
  <c r="C13" i="260"/>
  <c r="C87" i="260"/>
  <c r="Q87" i="260"/>
  <c r="C75" i="260"/>
  <c r="H75" i="260"/>
  <c r="C73" i="260"/>
  <c r="H73" i="260"/>
  <c r="C59" i="260"/>
  <c r="H59" i="260"/>
  <c r="C38" i="260"/>
  <c r="C32" i="260"/>
  <c r="F8" i="259"/>
  <c r="O45" i="260"/>
  <c r="P24" i="260"/>
  <c r="P19" i="260"/>
  <c r="P15" i="260"/>
  <c r="P11" i="260"/>
  <c r="D24" i="260"/>
  <c r="P24" i="261" s="1"/>
  <c r="P43" i="260"/>
  <c r="D43" i="260"/>
  <c r="P43" i="261" s="1"/>
  <c r="D29" i="260"/>
  <c r="P29" i="261" s="1"/>
  <c r="H40" i="260"/>
  <c r="C79" i="260"/>
  <c r="C40" i="260"/>
  <c r="P34" i="260"/>
  <c r="D26" i="260"/>
  <c r="P26" i="261" s="1"/>
  <c r="H43" i="260"/>
  <c r="D34" i="260"/>
  <c r="P34" i="261" s="1"/>
  <c r="I24" i="260"/>
  <c r="C24" i="260"/>
  <c r="D20" i="260"/>
  <c r="P20" i="261" s="1"/>
  <c r="Q74" i="260"/>
  <c r="M74" i="260" s="1"/>
  <c r="H74" i="260"/>
  <c r="H76" i="260"/>
  <c r="Q76" i="260"/>
  <c r="M76" i="260" s="1"/>
  <c r="C76" i="260"/>
  <c r="D32" i="260"/>
  <c r="P32" i="261" s="1"/>
  <c r="D21" i="260"/>
  <c r="P21" i="261" s="1"/>
  <c r="D17" i="260"/>
  <c r="P17" i="261" s="1"/>
  <c r="C74" i="260"/>
  <c r="D38" i="260"/>
  <c r="P38" i="261" s="1"/>
  <c r="D30" i="260"/>
  <c r="P30" i="261" s="1"/>
  <c r="C22" i="260"/>
  <c r="C18" i="260"/>
  <c r="Q44" i="260"/>
  <c r="M44" i="260" s="1"/>
  <c r="D40" i="260"/>
  <c r="P40" i="261" s="1"/>
  <c r="P35" i="260"/>
  <c r="G89" i="260"/>
  <c r="Q82" i="260"/>
  <c r="H82" i="260"/>
  <c r="C82" i="260"/>
  <c r="Q79" i="260"/>
  <c r="H79" i="260"/>
  <c r="H35" i="260"/>
  <c r="I35" i="260"/>
  <c r="Q35" i="261" s="1"/>
  <c r="C64" i="260"/>
  <c r="H11" i="260"/>
  <c r="I11" i="260"/>
  <c r="Q11" i="261" s="1"/>
  <c r="D36" i="260"/>
  <c r="P36" i="261" s="1"/>
  <c r="Q34" i="260"/>
  <c r="C28" i="260"/>
  <c r="C25" i="260"/>
  <c r="Q25" i="260"/>
  <c r="C19" i="260"/>
  <c r="Q19" i="260"/>
  <c r="D19" i="260"/>
  <c r="P19" i="261" s="1"/>
  <c r="C15" i="260"/>
  <c r="Q15" i="260"/>
  <c r="D15" i="260"/>
  <c r="P15" i="261" s="1"/>
  <c r="D12" i="260"/>
  <c r="P12" i="261" s="1"/>
  <c r="C43" i="260"/>
  <c r="Q43" i="260"/>
  <c r="P40" i="260"/>
  <c r="C34" i="260"/>
  <c r="O9" i="260"/>
  <c r="F7" i="259" s="1"/>
  <c r="C35" i="260"/>
  <c r="Q35" i="260"/>
  <c r="D35" i="260"/>
  <c r="P35" i="261" s="1"/>
  <c r="H25" i="260"/>
  <c r="H19" i="260"/>
  <c r="I19" i="260"/>
  <c r="D16" i="260"/>
  <c r="P16" i="261" s="1"/>
  <c r="H15" i="260"/>
  <c r="I15" i="260"/>
  <c r="Q15" i="261" s="1"/>
  <c r="C11" i="260"/>
  <c r="Q11" i="260"/>
  <c r="D11" i="260"/>
  <c r="P11" i="261" s="1"/>
  <c r="P21" i="260" l="1"/>
  <c r="Q68" i="260"/>
  <c r="M68" i="260" s="1"/>
  <c r="H36" i="260"/>
  <c r="H29" i="260"/>
  <c r="H38" i="260"/>
  <c r="Q18" i="260"/>
  <c r="M18" i="260" s="1"/>
  <c r="Q20" i="260"/>
  <c r="M20" i="260" s="1"/>
  <c r="H12" i="260"/>
  <c r="Q30" i="260"/>
  <c r="M30" i="260" s="1"/>
  <c r="H16" i="260"/>
  <c r="H32" i="260"/>
  <c r="H22" i="260"/>
  <c r="Q26" i="260"/>
  <c r="M26" i="260" s="1"/>
  <c r="E182" i="270"/>
  <c r="F9" i="259"/>
  <c r="Q73" i="260"/>
  <c r="M73" i="260" s="1"/>
  <c r="Q24" i="261"/>
  <c r="Q36" i="260"/>
  <c r="M36" i="260" s="1"/>
  <c r="Q16" i="260"/>
  <c r="M16" i="260" s="1"/>
  <c r="H87" i="260"/>
  <c r="Q19" i="261"/>
  <c r="H63" i="260"/>
  <c r="H71" i="260"/>
  <c r="Q29" i="260"/>
  <c r="M29" i="260" s="1"/>
  <c r="Q70" i="260"/>
  <c r="M70" i="260" s="1"/>
  <c r="Q59" i="260"/>
  <c r="M59" i="260" s="1"/>
  <c r="Q86" i="260"/>
  <c r="M86" i="260" s="1"/>
  <c r="H31" i="260"/>
  <c r="H23" i="260"/>
  <c r="H66" i="260"/>
  <c r="Q46" i="260"/>
  <c r="M46" i="260" s="1"/>
  <c r="Q12" i="260"/>
  <c r="M12" i="260" s="1"/>
  <c r="Q32" i="260"/>
  <c r="M32" i="260" s="1"/>
  <c r="Q38" i="260"/>
  <c r="M38" i="260" s="1"/>
  <c r="H78" i="260"/>
  <c r="C46" i="260"/>
  <c r="H41" i="260"/>
  <c r="I43" i="260"/>
  <c r="Q83" i="260"/>
  <c r="M83" i="260" s="1"/>
  <c r="Q84" i="260"/>
  <c r="M84" i="260" s="1"/>
  <c r="H24" i="260"/>
  <c r="Q24" i="260"/>
  <c r="M24" i="260" s="1"/>
  <c r="Q54" i="260"/>
  <c r="M54" i="260" s="1"/>
  <c r="C31" i="260"/>
  <c r="Q75" i="260"/>
  <c r="M75" i="260" s="1"/>
  <c r="Q10" i="260"/>
  <c r="M10" i="260" s="1"/>
  <c r="H28" i="260"/>
  <c r="Q85" i="260"/>
  <c r="M85" i="260" s="1"/>
  <c r="H21" i="260"/>
  <c r="Q21" i="260"/>
  <c r="I40" i="260"/>
  <c r="Q40" i="261" s="1"/>
  <c r="I21" i="260"/>
  <c r="Q21" i="261" s="1"/>
  <c r="H17" i="260"/>
  <c r="Q17" i="260"/>
  <c r="H20" i="260"/>
  <c r="Q28" i="260"/>
  <c r="M28" i="260" s="1"/>
  <c r="Q40" i="260"/>
  <c r="M40" i="260" s="1"/>
  <c r="C60" i="260"/>
  <c r="Q60" i="260"/>
  <c r="M60" i="260" s="1"/>
  <c r="C66" i="260"/>
  <c r="C57" i="260"/>
  <c r="Q13" i="260"/>
  <c r="M13" i="260" s="1"/>
  <c r="H13" i="260"/>
  <c r="C62" i="260"/>
  <c r="H62" i="260"/>
  <c r="H14" i="260"/>
  <c r="C14" i="260"/>
  <c r="C69" i="260"/>
  <c r="H69" i="260"/>
  <c r="C51" i="260"/>
  <c r="H51" i="260"/>
  <c r="C80" i="260"/>
  <c r="C61" i="260"/>
  <c r="H61" i="260"/>
  <c r="H33" i="260"/>
  <c r="C33" i="260"/>
  <c r="C55" i="260"/>
  <c r="C23" i="260"/>
  <c r="H56" i="260"/>
  <c r="C56" i="260"/>
  <c r="C65" i="260"/>
  <c r="H65" i="260"/>
  <c r="C48" i="260"/>
  <c r="H88" i="260"/>
  <c r="C88" i="260"/>
  <c r="Q22" i="260"/>
  <c r="Q27" i="260"/>
  <c r="M27" i="260" s="1"/>
  <c r="H27" i="260"/>
  <c r="H26" i="260"/>
  <c r="H18" i="260"/>
  <c r="H64" i="260"/>
  <c r="M87" i="260"/>
  <c r="Q64" i="260"/>
  <c r="M71" i="260"/>
  <c r="M82" i="260"/>
  <c r="C89" i="260"/>
  <c r="M43" i="260"/>
  <c r="N43" i="260"/>
  <c r="M79" i="260"/>
  <c r="M15" i="260"/>
  <c r="N15" i="260"/>
  <c r="R15" i="261" s="1"/>
  <c r="N34" i="260"/>
  <c r="R34" i="261" s="1"/>
  <c r="M34" i="260"/>
  <c r="M11" i="260"/>
  <c r="N11" i="260"/>
  <c r="R11" i="261" s="1"/>
  <c r="M35" i="260"/>
  <c r="N35" i="260"/>
  <c r="R35" i="261" s="1"/>
  <c r="M19" i="260"/>
  <c r="N19" i="260"/>
  <c r="M25" i="260"/>
  <c r="I34" i="260"/>
  <c r="Q34" i="261" s="1"/>
  <c r="H34" i="260"/>
  <c r="P12" i="260" l="1"/>
  <c r="N12" i="260" s="1"/>
  <c r="P29" i="260"/>
  <c r="P22" i="260"/>
  <c r="N22" i="260" s="1"/>
  <c r="R22" i="261" s="1"/>
  <c r="P32" i="260"/>
  <c r="P20" i="260"/>
  <c r="P36" i="260"/>
  <c r="N36" i="260" s="1"/>
  <c r="R36" i="261" s="1"/>
  <c r="I28" i="260"/>
  <c r="Q28" i="261" s="1"/>
  <c r="P16" i="260"/>
  <c r="P18" i="260"/>
  <c r="P17" i="260"/>
  <c r="P26" i="260"/>
  <c r="P30" i="260"/>
  <c r="P38" i="260"/>
  <c r="I38" i="260"/>
  <c r="Q38" i="261" s="1"/>
  <c r="I29" i="260"/>
  <c r="Q29" i="261" s="1"/>
  <c r="I22" i="260"/>
  <c r="Q22" i="261" s="1"/>
  <c r="I20" i="260"/>
  <c r="I16" i="260"/>
  <c r="Q16" i="261" s="1"/>
  <c r="I18" i="260"/>
  <c r="Q18" i="261" s="1"/>
  <c r="I32" i="260"/>
  <c r="I26" i="260"/>
  <c r="I12" i="260"/>
  <c r="I30" i="260"/>
  <c r="I36" i="260"/>
  <c r="Q36" i="261" s="1"/>
  <c r="I17" i="260"/>
  <c r="Q17" i="261" s="1"/>
  <c r="N29" i="260"/>
  <c r="R29" i="261" s="1"/>
  <c r="R19" i="261"/>
  <c r="R43" i="261"/>
  <c r="Q43" i="261"/>
  <c r="Q23" i="260"/>
  <c r="M23" i="260" s="1"/>
  <c r="Q66" i="260"/>
  <c r="M66" i="260" s="1"/>
  <c r="H46" i="260"/>
  <c r="Q31" i="260"/>
  <c r="M31" i="260" s="1"/>
  <c r="H60" i="260"/>
  <c r="N24" i="260"/>
  <c r="M17" i="260"/>
  <c r="M21" i="260"/>
  <c r="N21" i="260"/>
  <c r="R21" i="261" s="1"/>
  <c r="Q51" i="260"/>
  <c r="M51" i="260" s="1"/>
  <c r="N40" i="260"/>
  <c r="R40" i="261" s="1"/>
  <c r="M22" i="260"/>
  <c r="Q65" i="260"/>
  <c r="M65" i="260" s="1"/>
  <c r="Q56" i="260"/>
  <c r="M56" i="260" s="1"/>
  <c r="H80" i="260"/>
  <c r="Q80" i="260"/>
  <c r="M80" i="260" s="1"/>
  <c r="H55" i="260"/>
  <c r="Q55" i="260"/>
  <c r="M55" i="260" s="1"/>
  <c r="Q88" i="260"/>
  <c r="M88" i="260" s="1"/>
  <c r="H48" i="260"/>
  <c r="Q48" i="260"/>
  <c r="M48" i="260" s="1"/>
  <c r="Q14" i="260"/>
  <c r="M14" i="260" s="1"/>
  <c r="Q33" i="260"/>
  <c r="M33" i="260" s="1"/>
  <c r="Q61" i="260"/>
  <c r="M61" i="260" s="1"/>
  <c r="Q69" i="260"/>
  <c r="M69" i="260" s="1"/>
  <c r="H57" i="260"/>
  <c r="Q57" i="260"/>
  <c r="M57" i="260" s="1"/>
  <c r="M64" i="260"/>
  <c r="N17" i="260" l="1"/>
  <c r="R17" i="261" s="1"/>
  <c r="N32" i="260"/>
  <c r="N38" i="260"/>
  <c r="R38" i="261" s="1"/>
  <c r="N20" i="260"/>
  <c r="N18" i="260"/>
  <c r="R18" i="261" s="1"/>
  <c r="N16" i="260"/>
  <c r="R16" i="261" s="1"/>
  <c r="N30" i="260"/>
  <c r="N26" i="260"/>
  <c r="Q26" i="261"/>
  <c r="Q20" i="261"/>
  <c r="Q30" i="261"/>
  <c r="R20" i="261"/>
  <c r="Q12" i="261"/>
  <c r="Q32" i="261"/>
  <c r="R12" i="261"/>
  <c r="R24" i="261"/>
  <c r="C18" i="24"/>
  <c r="C26" i="24"/>
  <c r="C35" i="24"/>
  <c r="J12" i="59"/>
  <c r="G28" i="25"/>
  <c r="J24" i="59"/>
  <c r="J30" i="59"/>
  <c r="J32" i="59"/>
  <c r="I10" i="13"/>
  <c r="I13" i="13"/>
  <c r="G15" i="13"/>
  <c r="G18" i="13"/>
  <c r="G19" i="19"/>
  <c r="G22" i="13"/>
  <c r="H22" i="13" s="1"/>
  <c r="F26" i="13"/>
  <c r="D27" i="21"/>
  <c r="F27" i="21"/>
  <c r="I27" i="13" s="1"/>
  <c r="F28" i="13"/>
  <c r="G29" i="19"/>
  <c r="I31" i="13"/>
  <c r="G33" i="19"/>
  <c r="I34" i="13"/>
  <c r="K35" i="23"/>
  <c r="N35" i="23"/>
  <c r="K39" i="23"/>
  <c r="L39" i="23" s="1"/>
  <c r="N39" i="23"/>
  <c r="O39" i="23" s="1"/>
  <c r="G42" i="13"/>
  <c r="S44" i="21"/>
  <c r="C30" i="25"/>
  <c r="B48" i="25"/>
  <c r="G51" i="25"/>
  <c r="C47" i="21"/>
  <c r="D47" i="21" s="1"/>
  <c r="E48" i="59"/>
  <c r="C48" i="21" s="1"/>
  <c r="F50" i="140"/>
  <c r="E49" i="59"/>
  <c r="C49" i="21" s="1"/>
  <c r="E50" i="59"/>
  <c r="C50" i="21" s="1"/>
  <c r="E51" i="59"/>
  <c r="C51" i="21" s="1"/>
  <c r="F53" i="140"/>
  <c r="I53" i="60" s="1"/>
  <c r="E52" i="59"/>
  <c r="C52" i="21" s="1"/>
  <c r="N94" i="59"/>
  <c r="N102" i="59"/>
  <c r="N110" i="59"/>
  <c r="N118" i="59"/>
  <c r="N126" i="59"/>
  <c r="N134" i="59"/>
  <c r="N142" i="59"/>
  <c r="N150" i="59"/>
  <c r="Q150" i="59" s="1"/>
  <c r="N158" i="59"/>
  <c r="N166" i="59"/>
  <c r="N174" i="59"/>
  <c r="N182" i="59"/>
  <c r="N190" i="59"/>
  <c r="N206" i="59"/>
  <c r="N214" i="59"/>
  <c r="O77" i="59"/>
  <c r="O78" i="59"/>
  <c r="O47" i="59"/>
  <c r="Q54" i="59"/>
  <c r="N53" i="59"/>
  <c r="Q58" i="59"/>
  <c r="Q63" i="59"/>
  <c r="Q64" i="59"/>
  <c r="Q68" i="59"/>
  <c r="R69" i="59"/>
  <c r="Q70" i="59"/>
  <c r="Q71" i="59"/>
  <c r="Q73" i="59"/>
  <c r="Q74" i="59"/>
  <c r="Q76" i="59"/>
  <c r="Q78" i="59"/>
  <c r="R78" i="59" s="1"/>
  <c r="G78" i="21" s="1"/>
  <c r="Q81" i="59"/>
  <c r="R84" i="59"/>
  <c r="G84" i="21" s="1"/>
  <c r="J84" i="21" s="1"/>
  <c r="R86" i="59"/>
  <c r="G86" i="21" s="1"/>
  <c r="R87" i="59"/>
  <c r="G87" i="21" s="1"/>
  <c r="J87" i="21" s="1"/>
  <c r="M88" i="15" s="1"/>
  <c r="E96" i="59"/>
  <c r="E104" i="59"/>
  <c r="E120" i="59"/>
  <c r="E128" i="59"/>
  <c r="E136" i="59"/>
  <c r="E144" i="59"/>
  <c r="H144" i="59" s="1"/>
  <c r="E152" i="59"/>
  <c r="E160" i="59"/>
  <c r="E168" i="59"/>
  <c r="E172" i="59"/>
  <c r="E176" i="59"/>
  <c r="E182" i="59"/>
  <c r="E184" i="59"/>
  <c r="E192" i="59"/>
  <c r="E200" i="59"/>
  <c r="E204" i="59"/>
  <c r="E208" i="59"/>
  <c r="E212" i="59"/>
  <c r="E214" i="59"/>
  <c r="E57" i="59"/>
  <c r="E59" i="59"/>
  <c r="E60" i="59"/>
  <c r="E61" i="59"/>
  <c r="E62" i="59"/>
  <c r="E66" i="59"/>
  <c r="E67" i="59"/>
  <c r="E72" i="59"/>
  <c r="E74" i="59"/>
  <c r="E76" i="59"/>
  <c r="E77" i="59"/>
  <c r="E78" i="59"/>
  <c r="E81" i="59"/>
  <c r="E82" i="59"/>
  <c r="E83" i="59"/>
  <c r="E88" i="59"/>
  <c r="E46" i="59"/>
  <c r="E45" i="59" s="1"/>
  <c r="F47" i="59"/>
  <c r="E25" i="59"/>
  <c r="C25" i="21" s="1"/>
  <c r="E31" i="59"/>
  <c r="C31" i="21" s="1"/>
  <c r="E55" i="59"/>
  <c r="I79" i="59"/>
  <c r="C79" i="21" s="1"/>
  <c r="E80" i="59"/>
  <c r="J89" i="21"/>
  <c r="G69" i="21"/>
  <c r="J69" i="21" s="1"/>
  <c r="E46" i="116"/>
  <c r="C46" i="13"/>
  <c r="L16" i="25"/>
  <c r="C23" i="13"/>
  <c r="E27" i="21"/>
  <c r="C27" i="13" s="1"/>
  <c r="L29" i="25"/>
  <c r="L34" i="25"/>
  <c r="L36" i="25"/>
  <c r="L39" i="25"/>
  <c r="C16" i="13"/>
  <c r="C17" i="13"/>
  <c r="C29" i="13"/>
  <c r="C37" i="13"/>
  <c r="C38" i="13"/>
  <c r="E43" i="21"/>
  <c r="D10" i="14"/>
  <c r="G11" i="13"/>
  <c r="D18" i="14"/>
  <c r="D27" i="14"/>
  <c r="D28" i="14"/>
  <c r="D30" i="14"/>
  <c r="D32" i="14"/>
  <c r="D34" i="14"/>
  <c r="G37" i="13"/>
  <c r="D41" i="14"/>
  <c r="D44" i="14"/>
  <c r="G44" i="13" s="1"/>
  <c r="C46" i="14"/>
  <c r="D46" i="14" s="1"/>
  <c r="J11" i="17"/>
  <c r="B12" i="25"/>
  <c r="E15" i="116"/>
  <c r="H16" i="17"/>
  <c r="J17" i="17"/>
  <c r="B19" i="25"/>
  <c r="J20" i="17"/>
  <c r="K21" i="17"/>
  <c r="H25" i="17"/>
  <c r="J26" i="17"/>
  <c r="E31" i="116"/>
  <c r="K33" i="17"/>
  <c r="J35" i="17"/>
  <c r="B36" i="25"/>
  <c r="E37" i="116"/>
  <c r="K38" i="17"/>
  <c r="J39" i="17"/>
  <c r="H40" i="17"/>
  <c r="K41" i="17"/>
  <c r="E43" i="116"/>
  <c r="B11" i="36"/>
  <c r="B31" i="36"/>
  <c r="B34" i="36"/>
  <c r="B35" i="36"/>
  <c r="B36" i="36"/>
  <c r="B37" i="36"/>
  <c r="B38" i="36"/>
  <c r="B39" i="36"/>
  <c r="B41" i="36"/>
  <c r="B42" i="36"/>
  <c r="B44" i="36"/>
  <c r="B24" i="36"/>
  <c r="B25" i="36"/>
  <c r="B26" i="36"/>
  <c r="G14" i="25"/>
  <c r="B16" i="36"/>
  <c r="B17" i="36"/>
  <c r="B18" i="36"/>
  <c r="B19" i="36"/>
  <c r="B20" i="36"/>
  <c r="B22" i="36"/>
  <c r="I23" i="116"/>
  <c r="G25" i="25"/>
  <c r="J47" i="17"/>
  <c r="B47" i="9"/>
  <c r="B47" i="12" s="1"/>
  <c r="K49" i="17"/>
  <c r="E50" i="116"/>
  <c r="M50" i="21"/>
  <c r="W50" i="21" s="1"/>
  <c r="M51" i="21"/>
  <c r="J52" i="17"/>
  <c r="B52" i="9"/>
  <c r="B52" i="12" s="1"/>
  <c r="I52" i="116"/>
  <c r="B54" i="9"/>
  <c r="B54" i="12" s="1"/>
  <c r="B55" i="9"/>
  <c r="B56" i="9"/>
  <c r="B56" i="12" s="1"/>
  <c r="B57" i="9"/>
  <c r="B57" i="12" s="1"/>
  <c r="B58" i="9"/>
  <c r="B58" i="12" s="1"/>
  <c r="B59" i="9"/>
  <c r="B59" i="12" s="1"/>
  <c r="B76" i="9"/>
  <c r="B76" i="12" s="1"/>
  <c r="B77" i="9"/>
  <c r="B77" i="12" s="1"/>
  <c r="B78" i="9"/>
  <c r="B78" i="12" s="1"/>
  <c r="B79" i="9"/>
  <c r="B79" i="12" s="1"/>
  <c r="B80" i="9"/>
  <c r="B80" i="12" s="1"/>
  <c r="B81" i="9"/>
  <c r="B81" i="12" s="1"/>
  <c r="B82" i="9"/>
  <c r="B82" i="12" s="1"/>
  <c r="B84" i="9"/>
  <c r="B84" i="12" s="1"/>
  <c r="B85" i="9"/>
  <c r="B85" i="12" s="1"/>
  <c r="B86" i="9"/>
  <c r="B86" i="12" s="1"/>
  <c r="B87" i="9"/>
  <c r="B87" i="12" s="1"/>
  <c r="B88" i="9"/>
  <c r="B88" i="12" s="1"/>
  <c r="B60" i="9"/>
  <c r="B60" i="12" s="1"/>
  <c r="B61" i="9"/>
  <c r="B61" i="12" s="1"/>
  <c r="B62" i="9"/>
  <c r="B62" i="12" s="1"/>
  <c r="B63" i="9"/>
  <c r="B63" i="12" s="1"/>
  <c r="B66" i="9"/>
  <c r="B66" i="12" s="1"/>
  <c r="B67" i="9"/>
  <c r="B68" i="9"/>
  <c r="B68" i="12" s="1"/>
  <c r="B69" i="9"/>
  <c r="B69" i="12" s="1"/>
  <c r="B70" i="9"/>
  <c r="B70" i="12" s="1"/>
  <c r="B71" i="9"/>
  <c r="B71" i="12" s="1"/>
  <c r="B72" i="9"/>
  <c r="B72" i="12" s="1"/>
  <c r="B73" i="9"/>
  <c r="B73" i="12" s="1"/>
  <c r="B74" i="9"/>
  <c r="B74" i="12" s="1"/>
  <c r="I78" i="116"/>
  <c r="I83" i="116"/>
  <c r="C28" i="25"/>
  <c r="G10" i="25"/>
  <c r="Q11" i="9"/>
  <c r="G19" i="25"/>
  <c r="I20" i="116"/>
  <c r="I22" i="116"/>
  <c r="G34" i="25"/>
  <c r="G36" i="25"/>
  <c r="G38" i="25"/>
  <c r="I40" i="116"/>
  <c r="B49" i="9"/>
  <c r="P33" i="12"/>
  <c r="A54" i="9"/>
  <c r="E54" i="59"/>
  <c r="R90" i="59"/>
  <c r="R45" i="59"/>
  <c r="M29" i="102"/>
  <c r="R11" i="59" s="1"/>
  <c r="M32" i="102"/>
  <c r="R12" i="59" s="1"/>
  <c r="M28" i="102"/>
  <c r="R13" i="59" s="1"/>
  <c r="M10" i="102"/>
  <c r="R15" i="59" s="1"/>
  <c r="M20" i="102"/>
  <c r="R16" i="59" s="1"/>
  <c r="M15" i="102"/>
  <c r="R17" i="59" s="1"/>
  <c r="M26" i="102"/>
  <c r="R18" i="59" s="1"/>
  <c r="M31" i="102"/>
  <c r="R19" i="59" s="1"/>
  <c r="M34" i="102"/>
  <c r="R20" i="59" s="1"/>
  <c r="M14" i="102"/>
  <c r="R21" i="59" s="1"/>
  <c r="M22" i="102"/>
  <c r="R22" i="59" s="1"/>
  <c r="M30" i="102"/>
  <c r="R24" i="59" s="1"/>
  <c r="M23" i="102"/>
  <c r="R26" i="59" s="1"/>
  <c r="M33" i="102"/>
  <c r="R27" i="59" s="1"/>
  <c r="M9" i="102"/>
  <c r="R29" i="59" s="1"/>
  <c r="M37" i="102"/>
  <c r="R30" i="59" s="1"/>
  <c r="M35" i="102"/>
  <c r="R32" i="59" s="1"/>
  <c r="M18" i="102"/>
  <c r="R35" i="59" s="1"/>
  <c r="M21" i="102"/>
  <c r="R36" i="59" s="1"/>
  <c r="M13" i="102"/>
  <c r="R38" i="59" s="1"/>
  <c r="M25" i="102"/>
  <c r="R39" i="59" s="1"/>
  <c r="M27" i="102"/>
  <c r="R40" i="59" s="1"/>
  <c r="M36" i="102"/>
  <c r="R43" i="59" s="1"/>
  <c r="R44" i="59"/>
  <c r="I90" i="59"/>
  <c r="E56" i="59"/>
  <c r="E63" i="59"/>
  <c r="E64" i="59"/>
  <c r="E65" i="59"/>
  <c r="E68" i="59"/>
  <c r="E69" i="59"/>
  <c r="E70" i="59"/>
  <c r="E71" i="59"/>
  <c r="E73" i="59"/>
  <c r="E75" i="59"/>
  <c r="E84" i="59"/>
  <c r="E85" i="59"/>
  <c r="E86" i="59"/>
  <c r="E87" i="59"/>
  <c r="I87" i="59" s="1"/>
  <c r="D87" i="19" s="1"/>
  <c r="I45" i="59"/>
  <c r="G26" i="102"/>
  <c r="I12" i="59" s="1"/>
  <c r="G37" i="102"/>
  <c r="I24" i="59" s="1"/>
  <c r="G35" i="102"/>
  <c r="I30" i="59" s="1"/>
  <c r="K30" i="59" s="1"/>
  <c r="G36" i="102"/>
  <c r="I32" i="59" s="1"/>
  <c r="K32" i="59" s="1"/>
  <c r="L90" i="59"/>
  <c r="L53" i="59"/>
  <c r="L45" i="59"/>
  <c r="L9" i="59"/>
  <c r="H10" i="19"/>
  <c r="D10" i="19" s="1"/>
  <c r="F10" i="13"/>
  <c r="C12" i="154"/>
  <c r="G10" i="19"/>
  <c r="H11" i="19"/>
  <c r="D11" i="19"/>
  <c r="F11" i="13"/>
  <c r="I11" i="13"/>
  <c r="C13" i="154"/>
  <c r="H13" i="19"/>
  <c r="D13" i="19" s="1"/>
  <c r="F13" i="13"/>
  <c r="C14" i="128"/>
  <c r="G13" i="19"/>
  <c r="H14" i="19"/>
  <c r="D14" i="19" s="1"/>
  <c r="F14" i="13"/>
  <c r="I14" i="13"/>
  <c r="C15" i="128"/>
  <c r="G14" i="19"/>
  <c r="H15" i="19"/>
  <c r="D15" i="19" s="1"/>
  <c r="I15" i="13"/>
  <c r="C16" i="128"/>
  <c r="H16" i="19"/>
  <c r="D16" i="19" s="1"/>
  <c r="F16" i="13"/>
  <c r="H17" i="19"/>
  <c r="D17" i="19" s="1"/>
  <c r="F17" i="13"/>
  <c r="I17" i="13"/>
  <c r="G17" i="19"/>
  <c r="H18" i="19"/>
  <c r="D18" i="19" s="1"/>
  <c r="I18" i="13"/>
  <c r="C19" i="128"/>
  <c r="H19" i="19"/>
  <c r="D19" i="19" s="1"/>
  <c r="F19" i="13"/>
  <c r="C20" i="128"/>
  <c r="H20" i="19"/>
  <c r="D20" i="19" s="1"/>
  <c r="F20" i="13"/>
  <c r="I20" i="13"/>
  <c r="L21" i="26"/>
  <c r="Q20" i="13" s="1"/>
  <c r="O20" i="13" s="1"/>
  <c r="H21" i="19"/>
  <c r="D21" i="19" s="1"/>
  <c r="F21" i="13"/>
  <c r="I21" i="13"/>
  <c r="G21" i="19"/>
  <c r="H22" i="19"/>
  <c r="D22" i="19" s="1"/>
  <c r="F22" i="13"/>
  <c r="I22" i="13"/>
  <c r="C23" i="128"/>
  <c r="D100" i="8"/>
  <c r="H23" i="19"/>
  <c r="D23" i="19" s="1"/>
  <c r="F23" i="13"/>
  <c r="L24" i="26"/>
  <c r="Q24" i="13" s="1"/>
  <c r="O24" i="13" s="1"/>
  <c r="F24" i="13"/>
  <c r="I24" i="13"/>
  <c r="G24" i="19"/>
  <c r="H25" i="19"/>
  <c r="D25" i="19" s="1"/>
  <c r="I25" i="13"/>
  <c r="G25" i="10"/>
  <c r="I25" i="10" s="1"/>
  <c r="G25" i="19"/>
  <c r="H26" i="19"/>
  <c r="D26" i="19" s="1"/>
  <c r="I26" i="13"/>
  <c r="C27" i="128"/>
  <c r="H27" i="19"/>
  <c r="D27" i="19" s="1"/>
  <c r="F27" i="13"/>
  <c r="C28" i="128"/>
  <c r="G27" i="19"/>
  <c r="H28" i="19"/>
  <c r="D28" i="19" s="1"/>
  <c r="I28" i="13"/>
  <c r="G28" i="19"/>
  <c r="H29" i="19"/>
  <c r="D29" i="19" s="1"/>
  <c r="F29" i="13"/>
  <c r="C31" i="154"/>
  <c r="L26" i="26"/>
  <c r="Q30" i="13" s="1"/>
  <c r="O30" i="13" s="1"/>
  <c r="F30" i="13"/>
  <c r="I30" i="13"/>
  <c r="G30" i="19"/>
  <c r="H31" i="19"/>
  <c r="D31" i="19" s="1"/>
  <c r="F31" i="13"/>
  <c r="L55" i="26"/>
  <c r="Q31" i="13" s="1"/>
  <c r="O31" i="13" s="1"/>
  <c r="G31" i="19"/>
  <c r="L27" i="26"/>
  <c r="Q32" i="13" s="1"/>
  <c r="O32" i="13" s="1"/>
  <c r="H33" i="19"/>
  <c r="D33" i="19" s="1"/>
  <c r="I33" i="13"/>
  <c r="L87" i="26"/>
  <c r="Q33" i="13" s="1"/>
  <c r="O33" i="13" s="1"/>
  <c r="H34" i="19"/>
  <c r="D34" i="19" s="1"/>
  <c r="F34" i="13"/>
  <c r="L29" i="26"/>
  <c r="Q34" i="13" s="1"/>
  <c r="O34" i="13" s="1"/>
  <c r="H35" i="19"/>
  <c r="D35" i="19" s="1"/>
  <c r="L30" i="26"/>
  <c r="Q35" i="13" s="1"/>
  <c r="O35" i="13" s="1"/>
  <c r="H36" i="19"/>
  <c r="D36" i="19" s="1"/>
  <c r="C38" i="154"/>
  <c r="H37" i="19"/>
  <c r="D37" i="19" s="1"/>
  <c r="F37" i="13"/>
  <c r="I37" i="13"/>
  <c r="H38" i="19"/>
  <c r="D38" i="19" s="1"/>
  <c r="F38" i="13"/>
  <c r="I38" i="13"/>
  <c r="C39" i="128"/>
  <c r="G38" i="19"/>
  <c r="H39" i="19"/>
  <c r="D39" i="19" s="1"/>
  <c r="C40" i="128"/>
  <c r="H40" i="19"/>
  <c r="D40" i="19" s="1"/>
  <c r="C42" i="154"/>
  <c r="H41" i="19"/>
  <c r="D41" i="19" s="1"/>
  <c r="F41" i="13"/>
  <c r="I41" i="13"/>
  <c r="L35" i="26"/>
  <c r="Q41" i="13" s="1"/>
  <c r="O41" i="13" s="1"/>
  <c r="G41" i="19"/>
  <c r="H42" i="19"/>
  <c r="D42" i="19" s="1"/>
  <c r="I42" i="13"/>
  <c r="G42" i="19"/>
  <c r="H43" i="19"/>
  <c r="D43" i="19" s="1"/>
  <c r="C44" i="128"/>
  <c r="G43" i="19"/>
  <c r="H44" i="19"/>
  <c r="D44" i="19" s="1"/>
  <c r="F44" i="13"/>
  <c r="G44" i="19"/>
  <c r="H46" i="19"/>
  <c r="D46" i="19" s="1"/>
  <c r="F46" i="13"/>
  <c r="I46" i="13"/>
  <c r="G46" i="19"/>
  <c r="H47" i="19"/>
  <c r="D47" i="19" s="1"/>
  <c r="G47" i="19"/>
  <c r="H48" i="19"/>
  <c r="D48" i="19" s="1"/>
  <c r="G48" i="19"/>
  <c r="H49" i="19"/>
  <c r="D49" i="19" s="1"/>
  <c r="C51" i="154"/>
  <c r="G49" i="19"/>
  <c r="H50" i="19"/>
  <c r="D50" i="19" s="1"/>
  <c r="G50" i="19"/>
  <c r="H51" i="19"/>
  <c r="D51" i="19" s="1"/>
  <c r="C52" i="128"/>
  <c r="G51" i="19"/>
  <c r="H52" i="19"/>
  <c r="D52" i="19" s="1"/>
  <c r="C53" i="128"/>
  <c r="G52" i="19"/>
  <c r="N10" i="17"/>
  <c r="N13" i="17"/>
  <c r="N14" i="17"/>
  <c r="N25" i="17"/>
  <c r="N31" i="17"/>
  <c r="N33" i="17"/>
  <c r="N41" i="17"/>
  <c r="N42" i="17"/>
  <c r="N46" i="17"/>
  <c r="N47" i="17"/>
  <c r="N48" i="17"/>
  <c r="N49" i="17"/>
  <c r="N50" i="17"/>
  <c r="N51" i="17"/>
  <c r="N52" i="17"/>
  <c r="A55" i="9"/>
  <c r="A56" i="9"/>
  <c r="A57" i="9"/>
  <c r="A58" i="9"/>
  <c r="A60" i="9"/>
  <c r="A61" i="9"/>
  <c r="A62" i="9"/>
  <c r="A63" i="9"/>
  <c r="A64" i="9"/>
  <c r="A65" i="9"/>
  <c r="A66" i="9"/>
  <c r="A67" i="9"/>
  <c r="A68" i="9"/>
  <c r="A69" i="9"/>
  <c r="A70" i="9"/>
  <c r="A71" i="9"/>
  <c r="A72" i="9"/>
  <c r="A73" i="9"/>
  <c r="A75" i="9"/>
  <c r="A76" i="9"/>
  <c r="A79" i="9"/>
  <c r="A80" i="9"/>
  <c r="A81" i="9"/>
  <c r="A82" i="9"/>
  <c r="A84" i="9"/>
  <c r="A85" i="9"/>
  <c r="A86" i="9"/>
  <c r="A87" i="9"/>
  <c r="A88" i="9"/>
  <c r="A59" i="9"/>
  <c r="I59" i="116" s="1"/>
  <c r="G72" i="10"/>
  <c r="N72" i="17"/>
  <c r="A74" i="9"/>
  <c r="I74" i="116" s="1"/>
  <c r="P76" i="13"/>
  <c r="O76" i="13" s="1"/>
  <c r="N76" i="17"/>
  <c r="P81" i="13"/>
  <c r="O81" i="13" s="1"/>
  <c r="N81" i="17"/>
  <c r="P82" i="13"/>
  <c r="O82" i="13" s="1"/>
  <c r="N82" i="17"/>
  <c r="P88" i="13"/>
  <c r="O88" i="13" s="1"/>
  <c r="N88" i="17"/>
  <c r="D89" i="19"/>
  <c r="N89" i="17"/>
  <c r="B56" i="21"/>
  <c r="B60" i="21"/>
  <c r="B67" i="21"/>
  <c r="B69" i="21"/>
  <c r="B79" i="21"/>
  <c r="B82" i="21"/>
  <c r="B84" i="21"/>
  <c r="B85" i="21"/>
  <c r="B86" i="21"/>
  <c r="B88" i="21"/>
  <c r="AG45" i="99"/>
  <c r="AG46" i="99"/>
  <c r="AG49" i="99"/>
  <c r="AG50" i="99"/>
  <c r="AG51" i="99"/>
  <c r="AD10" i="99"/>
  <c r="AD11" i="99"/>
  <c r="AD14" i="99"/>
  <c r="AD15" i="99"/>
  <c r="AD16" i="99"/>
  <c r="AD17" i="99"/>
  <c r="AD18" i="99"/>
  <c r="AD19" i="99"/>
  <c r="AD20" i="99"/>
  <c r="AD21" i="99"/>
  <c r="AD23" i="99"/>
  <c r="AD25" i="99"/>
  <c r="AD28" i="99"/>
  <c r="AD29" i="99"/>
  <c r="AD34" i="99"/>
  <c r="AD35" i="99"/>
  <c r="AD36" i="99"/>
  <c r="AD37" i="99"/>
  <c r="AD38" i="99"/>
  <c r="AD39" i="99"/>
  <c r="AD40" i="99"/>
  <c r="AD42" i="99"/>
  <c r="B46" i="99"/>
  <c r="B19" i="99"/>
  <c r="B27" i="99"/>
  <c r="F42" i="128"/>
  <c r="E42" i="128"/>
  <c r="C21" i="128"/>
  <c r="C32" i="128"/>
  <c r="C35" i="154"/>
  <c r="C36" i="154"/>
  <c r="C37" i="154"/>
  <c r="C38" i="128"/>
  <c r="C45" i="128"/>
  <c r="C47" i="128"/>
  <c r="C51" i="128"/>
  <c r="D8" i="155"/>
  <c r="E8" i="155"/>
  <c r="G47" i="21"/>
  <c r="G49" i="60" s="1"/>
  <c r="V47" i="21" s="1"/>
  <c r="F49" i="140"/>
  <c r="I49" i="60" s="1"/>
  <c r="F49" i="60"/>
  <c r="G50" i="21"/>
  <c r="J50" i="21" s="1"/>
  <c r="F52" i="60"/>
  <c r="N10" i="13"/>
  <c r="C10" i="13"/>
  <c r="N46" i="13"/>
  <c r="A67" i="10"/>
  <c r="G83" i="10"/>
  <c r="I37" i="10"/>
  <c r="B50" i="36"/>
  <c r="B47" i="36"/>
  <c r="K10" i="36"/>
  <c r="C37" i="25"/>
  <c r="C36" i="25"/>
  <c r="C24" i="25"/>
  <c r="I30" i="36"/>
  <c r="C40" i="25"/>
  <c r="C29" i="25"/>
  <c r="C32" i="25"/>
  <c r="C26" i="25"/>
  <c r="C17" i="25"/>
  <c r="C11" i="25"/>
  <c r="C20" i="25"/>
  <c r="C19" i="25"/>
  <c r="C41" i="25"/>
  <c r="C35" i="25"/>
  <c r="C12" i="25"/>
  <c r="C15" i="25"/>
  <c r="C43" i="25"/>
  <c r="C25" i="25"/>
  <c r="C31" i="25"/>
  <c r="C34" i="25"/>
  <c r="C18" i="25"/>
  <c r="G100" i="8"/>
  <c r="F23" i="60"/>
  <c r="F15" i="60"/>
  <c r="E34" i="140"/>
  <c r="H34" i="60" s="1"/>
  <c r="F34" i="140"/>
  <c r="I34" i="60" s="1"/>
  <c r="F34" i="60"/>
  <c r="C22" i="25"/>
  <c r="M42" i="15"/>
  <c r="F44" i="140"/>
  <c r="I44" i="60" s="1"/>
  <c r="F44" i="60"/>
  <c r="F13" i="60"/>
  <c r="C16" i="25"/>
  <c r="M15" i="15"/>
  <c r="F38" i="60"/>
  <c r="M37" i="15"/>
  <c r="F39" i="60"/>
  <c r="T17" i="21"/>
  <c r="F19" i="60"/>
  <c r="M29" i="15"/>
  <c r="F31" i="60"/>
  <c r="M20" i="15"/>
  <c r="F22" i="140"/>
  <c r="I22" i="60" s="1"/>
  <c r="F22" i="60"/>
  <c r="F18" i="60"/>
  <c r="F28" i="60"/>
  <c r="F21" i="60"/>
  <c r="G34" i="24"/>
  <c r="F36" i="60"/>
  <c r="C44" i="25"/>
  <c r="F48" i="60"/>
  <c r="C21" i="25"/>
  <c r="C39" i="25"/>
  <c r="C38" i="25"/>
  <c r="F35" i="60"/>
  <c r="F30" i="60"/>
  <c r="H27" i="21"/>
  <c r="J27" i="21"/>
  <c r="I27" i="21"/>
  <c r="F29" i="60"/>
  <c r="F40" i="140"/>
  <c r="I40" i="60" s="1"/>
  <c r="F40" i="60"/>
  <c r="D83" i="8"/>
  <c r="G101" i="8"/>
  <c r="M24" i="15"/>
  <c r="F26" i="60"/>
  <c r="M44" i="15"/>
  <c r="F46" i="60"/>
  <c r="R44" i="8"/>
  <c r="M12" i="15"/>
  <c r="F14" i="60"/>
  <c r="F25" i="60"/>
  <c r="F42" i="60"/>
  <c r="F32" i="60"/>
  <c r="M18" i="15"/>
  <c r="F20" i="140"/>
  <c r="I20" i="60" s="1"/>
  <c r="F20" i="60"/>
  <c r="G79" i="21"/>
  <c r="J79" i="21" s="1"/>
  <c r="F81" i="140"/>
  <c r="F81" i="60"/>
  <c r="F43" i="60"/>
  <c r="F89" i="140"/>
  <c r="F89" i="60"/>
  <c r="F16" i="140"/>
  <c r="I16" i="60" s="1"/>
  <c r="F16" i="60"/>
  <c r="G51" i="21"/>
  <c r="F53" i="60"/>
  <c r="M10" i="15"/>
  <c r="F12" i="140"/>
  <c r="I12" i="60" s="1"/>
  <c r="F12" i="60"/>
  <c r="F37" i="140"/>
  <c r="I37" i="60" s="1"/>
  <c r="F37" i="60"/>
  <c r="M22" i="15"/>
  <c r="F24" i="60"/>
  <c r="F87" i="140"/>
  <c r="E33" i="140"/>
  <c r="H33" i="60" s="1"/>
  <c r="N31" i="59"/>
  <c r="G31" i="21" s="1"/>
  <c r="I31" i="21" s="1"/>
  <c r="F33" i="60"/>
  <c r="G46" i="60"/>
  <c r="V44" i="21" s="1"/>
  <c r="F45" i="60"/>
  <c r="G49" i="21"/>
  <c r="F51" i="60"/>
  <c r="C42" i="25"/>
  <c r="G48" i="21"/>
  <c r="J48" i="21" s="1"/>
  <c r="F50" i="60"/>
  <c r="E100" i="8"/>
  <c r="N25" i="59"/>
  <c r="G25" i="21" s="1"/>
  <c r="I25" i="21" s="1"/>
  <c r="F27" i="60"/>
  <c r="F76" i="140"/>
  <c r="F76" i="60"/>
  <c r="C33" i="25"/>
  <c r="F91" i="140"/>
  <c r="F91" i="60"/>
  <c r="N41" i="13"/>
  <c r="N14" i="13"/>
  <c r="G41" i="60"/>
  <c r="V39" i="21" s="1"/>
  <c r="F41" i="60"/>
  <c r="F77" i="140"/>
  <c r="F77" i="60"/>
  <c r="F78" i="140"/>
  <c r="F78" i="60"/>
  <c r="N13" i="13"/>
  <c r="C13" i="13"/>
  <c r="G52" i="21"/>
  <c r="J52" i="21" s="1"/>
  <c r="F54" i="140"/>
  <c r="I54" i="60" s="1"/>
  <c r="F54" i="60"/>
  <c r="N31" i="13"/>
  <c r="F82" i="140"/>
  <c r="F82" i="60"/>
  <c r="F58" i="140"/>
  <c r="F58" i="60"/>
  <c r="N52" i="13"/>
  <c r="C52" i="13"/>
  <c r="N49" i="13"/>
  <c r="F67" i="140"/>
  <c r="F67" i="60"/>
  <c r="F83" i="140"/>
  <c r="F83" i="60"/>
  <c r="F61" i="140"/>
  <c r="F61" i="60"/>
  <c r="N33" i="13"/>
  <c r="F63" i="140"/>
  <c r="F63" i="60"/>
  <c r="F65" i="140"/>
  <c r="F65" i="60"/>
  <c r="F74" i="140"/>
  <c r="F74" i="60"/>
  <c r="F72" i="140"/>
  <c r="F72" i="60"/>
  <c r="F64" i="140"/>
  <c r="F64" i="60"/>
  <c r="C14" i="25"/>
  <c r="F60" i="140"/>
  <c r="F60" i="60"/>
  <c r="F70" i="140"/>
  <c r="F90" i="140"/>
  <c r="F73" i="140"/>
  <c r="F73" i="60"/>
  <c r="N48" i="13"/>
  <c r="C48" i="13"/>
  <c r="F75" i="140"/>
  <c r="F75" i="60"/>
  <c r="F86" i="140"/>
  <c r="F86" i="60"/>
  <c r="F57" i="140"/>
  <c r="F57" i="60"/>
  <c r="F69" i="140"/>
  <c r="F69" i="60"/>
  <c r="F59" i="140"/>
  <c r="F59" i="60"/>
  <c r="B33" i="36"/>
  <c r="B43" i="36"/>
  <c r="B29" i="36"/>
  <c r="F68" i="140"/>
  <c r="F68" i="60"/>
  <c r="F56" i="140"/>
  <c r="F56" i="60"/>
  <c r="F71" i="140"/>
  <c r="F71" i="60"/>
  <c r="B49" i="36"/>
  <c r="F88" i="140"/>
  <c r="F88" i="60"/>
  <c r="F79" i="140"/>
  <c r="F79" i="60"/>
  <c r="F84" i="140"/>
  <c r="F84" i="60"/>
  <c r="B51" i="36"/>
  <c r="F80" i="140"/>
  <c r="F80" i="60"/>
  <c r="F62" i="140"/>
  <c r="F62" i="60"/>
  <c r="F66" i="140"/>
  <c r="F66" i="60"/>
  <c r="N51" i="13"/>
  <c r="N50" i="13"/>
  <c r="N47" i="13"/>
  <c r="C47" i="13"/>
  <c r="D83" i="17"/>
  <c r="D53" i="17" s="1"/>
  <c r="E40" i="116"/>
  <c r="I50" i="60"/>
  <c r="E48" i="116"/>
  <c r="E25" i="116"/>
  <c r="I47" i="116"/>
  <c r="I50" i="116"/>
  <c r="F17" i="60"/>
  <c r="I33" i="116"/>
  <c r="P54" i="13"/>
  <c r="O54" i="13" s="1"/>
  <c r="P55" i="13"/>
  <c r="O55" i="13" s="1"/>
  <c r="P56" i="13"/>
  <c r="O56" i="13" s="1"/>
  <c r="P57" i="13"/>
  <c r="O57" i="13" s="1"/>
  <c r="P58" i="13"/>
  <c r="O58" i="13" s="1"/>
  <c r="P59" i="13"/>
  <c r="O59" i="13" s="1"/>
  <c r="P60" i="13"/>
  <c r="O60" i="13" s="1"/>
  <c r="P61" i="13"/>
  <c r="O61" i="13" s="1"/>
  <c r="P62" i="13"/>
  <c r="O62" i="13" s="1"/>
  <c r="P63" i="13"/>
  <c r="O63" i="13" s="1"/>
  <c r="P64" i="13"/>
  <c r="O64" i="13" s="1"/>
  <c r="P65" i="13"/>
  <c r="O65" i="13" s="1"/>
  <c r="P66" i="13"/>
  <c r="O66" i="13" s="1"/>
  <c r="P68" i="13"/>
  <c r="O68" i="13" s="1"/>
  <c r="P69" i="13"/>
  <c r="O69" i="13" s="1"/>
  <c r="P70" i="13"/>
  <c r="O70" i="13" s="1"/>
  <c r="P71" i="13"/>
  <c r="O71" i="13" s="1"/>
  <c r="P73" i="13"/>
  <c r="O73" i="13" s="1"/>
  <c r="P74" i="13"/>
  <c r="O74" i="13" s="1"/>
  <c r="P75" i="13"/>
  <c r="O75" i="13" s="1"/>
  <c r="P78" i="13"/>
  <c r="O78" i="13" s="1"/>
  <c r="P79" i="13"/>
  <c r="O79" i="13" s="1"/>
  <c r="P80" i="13"/>
  <c r="O80" i="13" s="1"/>
  <c r="P84" i="13"/>
  <c r="O84" i="13" s="1"/>
  <c r="P85" i="13"/>
  <c r="O85" i="13" s="1"/>
  <c r="P86" i="13"/>
  <c r="O86" i="13" s="1"/>
  <c r="P87" i="13"/>
  <c r="O87" i="13" s="1"/>
  <c r="M90" i="59"/>
  <c r="G53" i="19"/>
  <c r="E89" i="116"/>
  <c r="H43" i="17"/>
  <c r="K43" i="17"/>
  <c r="D10" i="100"/>
  <c r="K10" i="100"/>
  <c r="E89" i="100"/>
  <c r="F89" i="100"/>
  <c r="G89" i="100"/>
  <c r="H89" i="100"/>
  <c r="I89" i="100"/>
  <c r="J89" i="100"/>
  <c r="D45" i="100"/>
  <c r="D46" i="100"/>
  <c r="D47" i="100"/>
  <c r="D48" i="100"/>
  <c r="D49" i="100"/>
  <c r="D50" i="100"/>
  <c r="D51" i="100"/>
  <c r="D9"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K90" i="100"/>
  <c r="K53" i="100"/>
  <c r="K54" i="100"/>
  <c r="K55" i="100"/>
  <c r="K56" i="100"/>
  <c r="K57" i="100"/>
  <c r="K58" i="100"/>
  <c r="K59" i="100"/>
  <c r="K60" i="100"/>
  <c r="K61" i="100"/>
  <c r="K62" i="100"/>
  <c r="K63" i="100"/>
  <c r="K64" i="100"/>
  <c r="K65" i="100"/>
  <c r="K66" i="100"/>
  <c r="K67" i="100"/>
  <c r="K68" i="100"/>
  <c r="K69" i="100"/>
  <c r="K70" i="100"/>
  <c r="K71" i="100"/>
  <c r="K72" i="100"/>
  <c r="K73" i="100"/>
  <c r="K74" i="100"/>
  <c r="K75" i="100"/>
  <c r="K76" i="100"/>
  <c r="K77" i="100"/>
  <c r="K78" i="100"/>
  <c r="K79" i="100"/>
  <c r="K80" i="100"/>
  <c r="K81" i="100"/>
  <c r="K82" i="100"/>
  <c r="K83" i="100"/>
  <c r="K84" i="100"/>
  <c r="K85" i="100"/>
  <c r="K86" i="100"/>
  <c r="K87" i="100"/>
  <c r="K88" i="100"/>
  <c r="K45" i="100"/>
  <c r="K46" i="100"/>
  <c r="K47" i="100"/>
  <c r="K48" i="100"/>
  <c r="K49" i="100"/>
  <c r="K50" i="100"/>
  <c r="K51" i="100"/>
  <c r="K9" i="100"/>
  <c r="K11" i="100"/>
  <c r="K12" i="100"/>
  <c r="K13" i="100"/>
  <c r="K14" i="100"/>
  <c r="K15" i="100"/>
  <c r="K16" i="100"/>
  <c r="K17" i="100"/>
  <c r="K18" i="100"/>
  <c r="K19" i="100"/>
  <c r="K20" i="100"/>
  <c r="K21" i="100"/>
  <c r="K22" i="100"/>
  <c r="K23" i="100"/>
  <c r="K24" i="100"/>
  <c r="K25" i="100"/>
  <c r="K26" i="100"/>
  <c r="K27" i="100"/>
  <c r="K28" i="100"/>
  <c r="K29" i="100"/>
  <c r="K30" i="100"/>
  <c r="K31" i="100"/>
  <c r="K32" i="100"/>
  <c r="K33" i="100"/>
  <c r="K34" i="100"/>
  <c r="K35" i="100"/>
  <c r="K36" i="100"/>
  <c r="K37" i="100"/>
  <c r="K38" i="100"/>
  <c r="K39" i="100"/>
  <c r="K40" i="100"/>
  <c r="K41" i="100"/>
  <c r="K42" i="100"/>
  <c r="K43" i="100"/>
  <c r="H42" i="128"/>
  <c r="I42" i="128"/>
  <c r="D90" i="100"/>
  <c r="D53" i="100"/>
  <c r="C53" i="100" s="1"/>
  <c r="D54" i="100"/>
  <c r="C54" i="100" s="1"/>
  <c r="D55" i="100"/>
  <c r="D56" i="100"/>
  <c r="D57" i="100"/>
  <c r="D58" i="100"/>
  <c r="D59" i="100"/>
  <c r="D60" i="100"/>
  <c r="D61" i="100"/>
  <c r="C61" i="100" s="1"/>
  <c r="D62" i="100"/>
  <c r="D63" i="100"/>
  <c r="C63" i="100" s="1"/>
  <c r="D64" i="100"/>
  <c r="D65" i="100"/>
  <c r="D66" i="100"/>
  <c r="D67" i="100"/>
  <c r="D68" i="100"/>
  <c r="C68" i="100" s="1"/>
  <c r="D69" i="100"/>
  <c r="C69" i="100" s="1"/>
  <c r="D70" i="100"/>
  <c r="C70" i="100" s="1"/>
  <c r="D71" i="100"/>
  <c r="D72" i="100"/>
  <c r="D73" i="100"/>
  <c r="D74" i="100"/>
  <c r="D75" i="100"/>
  <c r="D76" i="100"/>
  <c r="D77" i="100"/>
  <c r="C77" i="100" s="1"/>
  <c r="D78" i="100"/>
  <c r="D79" i="100"/>
  <c r="C79" i="100" s="1"/>
  <c r="D80" i="100"/>
  <c r="D81" i="100"/>
  <c r="D82" i="100"/>
  <c r="D83" i="100"/>
  <c r="D84" i="100"/>
  <c r="D85" i="100"/>
  <c r="C85" i="100" s="1"/>
  <c r="D86" i="100"/>
  <c r="C86" i="100" s="1"/>
  <c r="D87" i="100"/>
  <c r="D88" i="100"/>
  <c r="I77" i="116"/>
  <c r="I89" i="116"/>
  <c r="I89" i="9"/>
  <c r="J89" i="9" s="1"/>
  <c r="W49" i="167"/>
  <c r="AE48" i="167"/>
  <c r="AF49" i="167"/>
  <c r="AG48" i="167"/>
  <c r="AH48" i="167"/>
  <c r="AI48" i="167"/>
  <c r="AK48" i="167"/>
  <c r="AL8" i="167"/>
  <c r="AL11" i="167"/>
  <c r="AL17" i="167"/>
  <c r="AL18" i="167"/>
  <c r="AL25" i="167"/>
  <c r="AP25" i="167" s="1"/>
  <c r="AL29" i="167"/>
  <c r="AL41" i="167"/>
  <c r="AL30" i="167"/>
  <c r="AM8" i="167"/>
  <c r="AM11" i="167"/>
  <c r="AM17" i="167"/>
  <c r="AM49" i="167" s="1"/>
  <c r="AM18" i="167"/>
  <c r="AM25" i="167"/>
  <c r="AM29" i="167"/>
  <c r="AM41" i="167"/>
  <c r="AM30" i="167"/>
  <c r="AN8" i="167"/>
  <c r="AN11" i="167"/>
  <c r="AN17" i="167"/>
  <c r="AN18" i="167"/>
  <c r="AN25" i="167"/>
  <c r="AN29" i="167"/>
  <c r="AN41" i="167"/>
  <c r="AN30" i="167"/>
  <c r="AL9" i="167"/>
  <c r="AL10" i="167"/>
  <c r="AL12" i="167"/>
  <c r="AL13" i="167"/>
  <c r="AL14" i="167"/>
  <c r="AL15" i="167"/>
  <c r="AP15" i="167" s="1"/>
  <c r="AL16" i="167"/>
  <c r="AP16" i="167"/>
  <c r="AL19" i="167"/>
  <c r="AL20" i="167"/>
  <c r="AL21" i="167"/>
  <c r="AL22" i="167"/>
  <c r="AL23" i="167"/>
  <c r="AL24" i="167"/>
  <c r="AL26" i="167"/>
  <c r="AL27" i="167"/>
  <c r="AP27" i="167" s="1"/>
  <c r="AL28" i="167"/>
  <c r="AP28" i="167"/>
  <c r="AL31" i="167"/>
  <c r="AL32" i="167"/>
  <c r="AL33" i="167"/>
  <c r="AL34" i="167"/>
  <c r="AL35" i="167"/>
  <c r="AL36" i="167"/>
  <c r="AL37" i="167"/>
  <c r="AL38" i="167"/>
  <c r="AL39" i="167"/>
  <c r="AL40" i="167"/>
  <c r="AL42" i="167"/>
  <c r="AL44" i="167"/>
  <c r="Y27" i="167"/>
  <c r="Z27" i="167"/>
  <c r="AA27" i="167"/>
  <c r="AB27" i="167"/>
  <c r="AC27" i="167"/>
  <c r="AD27" i="167"/>
  <c r="AE27" i="167"/>
  <c r="AF27" i="167"/>
  <c r="AG27" i="167"/>
  <c r="AH43" i="167"/>
  <c r="AH27" i="167"/>
  <c r="AI43" i="167"/>
  <c r="AI27" i="167"/>
  <c r="AJ27" i="167"/>
  <c r="AK27" i="167"/>
  <c r="AM9" i="167"/>
  <c r="AM10" i="167"/>
  <c r="AM12" i="167"/>
  <c r="AM13" i="167"/>
  <c r="AM14" i="167"/>
  <c r="AM15" i="167"/>
  <c r="AM16" i="167"/>
  <c r="AM19" i="167"/>
  <c r="AM20" i="167"/>
  <c r="AM21" i="167"/>
  <c r="AM22" i="167"/>
  <c r="AM23" i="167"/>
  <c r="AM24" i="167"/>
  <c r="AM26" i="167"/>
  <c r="AM27" i="167"/>
  <c r="AM28" i="167"/>
  <c r="AM31" i="167"/>
  <c r="AM32" i="167"/>
  <c r="AM33" i="167"/>
  <c r="AM34" i="167"/>
  <c r="AM35" i="167"/>
  <c r="AM36" i="167"/>
  <c r="AM37" i="167"/>
  <c r="AM38" i="167"/>
  <c r="AM39" i="167"/>
  <c r="AM40" i="167"/>
  <c r="AM42" i="167"/>
  <c r="AN9" i="167"/>
  <c r="AN10" i="167"/>
  <c r="AN12" i="167"/>
  <c r="AN13" i="167"/>
  <c r="AN14" i="167"/>
  <c r="AN15" i="167"/>
  <c r="AN16" i="167"/>
  <c r="AN19" i="167"/>
  <c r="AN20" i="167"/>
  <c r="AN21" i="167"/>
  <c r="AN22" i="167"/>
  <c r="AN23" i="167"/>
  <c r="AN24" i="167"/>
  <c r="AN26" i="167"/>
  <c r="AN27" i="167"/>
  <c r="AN28" i="167"/>
  <c r="AN31" i="167"/>
  <c r="AN32" i="167"/>
  <c r="AN33" i="167"/>
  <c r="AN34" i="167"/>
  <c r="AN35" i="167"/>
  <c r="AN36" i="167"/>
  <c r="AN37" i="167"/>
  <c r="AN38" i="167"/>
  <c r="AN39" i="167"/>
  <c r="AN40" i="167"/>
  <c r="AN42" i="167"/>
  <c r="Y44" i="167"/>
  <c r="Z44" i="167"/>
  <c r="AA44" i="167"/>
  <c r="AB44" i="167"/>
  <c r="AC44" i="167"/>
  <c r="AD44" i="167"/>
  <c r="AE44" i="167"/>
  <c r="AG44" i="167"/>
  <c r="AH44" i="167"/>
  <c r="AI44" i="167"/>
  <c r="AJ44" i="167"/>
  <c r="AK44" i="167"/>
  <c r="AN44" i="167"/>
  <c r="I64" i="54"/>
  <c r="I61" i="54"/>
  <c r="G34" i="60"/>
  <c r="V32" i="21" s="1"/>
  <c r="F43" i="167"/>
  <c r="J43" i="167"/>
  <c r="N43" i="167"/>
  <c r="O43" i="167"/>
  <c r="H47" i="59"/>
  <c r="E148" i="59"/>
  <c r="E164" i="59"/>
  <c r="E100" i="59"/>
  <c r="E108" i="59"/>
  <c r="E112" i="59"/>
  <c r="E116" i="59"/>
  <c r="E124" i="59"/>
  <c r="E132" i="59"/>
  <c r="E140" i="59"/>
  <c r="E156" i="59"/>
  <c r="E180" i="59"/>
  <c r="E188" i="59"/>
  <c r="E196" i="59"/>
  <c r="E216" i="59"/>
  <c r="B52" i="14"/>
  <c r="D10" i="24"/>
  <c r="D14" i="24"/>
  <c r="S11" i="21"/>
  <c r="S12" i="21"/>
  <c r="B15" i="24"/>
  <c r="S17" i="21"/>
  <c r="S20" i="21"/>
  <c r="B21" i="24"/>
  <c r="B23" i="24"/>
  <c r="S26" i="21"/>
  <c r="G27" i="21"/>
  <c r="C27" i="21"/>
  <c r="B28" i="24"/>
  <c r="S30" i="21"/>
  <c r="B36" i="24"/>
  <c r="G43" i="60"/>
  <c r="S41" i="21"/>
  <c r="S42" i="21"/>
  <c r="I83" i="257"/>
  <c r="D93" i="60"/>
  <c r="K24" i="59"/>
  <c r="H89" i="17"/>
  <c r="L59" i="26"/>
  <c r="L89" i="26"/>
  <c r="L81" i="26"/>
  <c r="C85" i="140"/>
  <c r="F85" i="60"/>
  <c r="J44" i="100"/>
  <c r="J8" i="100"/>
  <c r="C84" i="100"/>
  <c r="A57" i="10"/>
  <c r="A60" i="10"/>
  <c r="A69" i="10"/>
  <c r="A79" i="10"/>
  <c r="A82" i="10"/>
  <c r="A84" i="10"/>
  <c r="A85" i="10"/>
  <c r="A86" i="10"/>
  <c r="A87" i="10"/>
  <c r="A88" i="10"/>
  <c r="A56" i="17"/>
  <c r="A60" i="17"/>
  <c r="N60" i="17" s="1"/>
  <c r="A67" i="17"/>
  <c r="A69" i="17"/>
  <c r="K11" i="17"/>
  <c r="N11" i="17"/>
  <c r="N12" i="17"/>
  <c r="N15" i="17"/>
  <c r="N16" i="17"/>
  <c r="N18" i="17"/>
  <c r="N19" i="17"/>
  <c r="N20" i="17"/>
  <c r="N21" i="17"/>
  <c r="G22" i="30"/>
  <c r="D22" i="30" s="1"/>
  <c r="N24" i="17"/>
  <c r="N26" i="17"/>
  <c r="N27" i="17"/>
  <c r="H28" i="17"/>
  <c r="N28" i="17"/>
  <c r="N30" i="17"/>
  <c r="N32" i="17"/>
  <c r="N34" i="17"/>
  <c r="N35" i="17"/>
  <c r="H36" i="17"/>
  <c r="J36" i="17"/>
  <c r="K36" i="17"/>
  <c r="N36" i="17"/>
  <c r="N39" i="17"/>
  <c r="K40" i="17"/>
  <c r="N40" i="17"/>
  <c r="K42" i="17"/>
  <c r="N43" i="17"/>
  <c r="D45" i="17"/>
  <c r="I45" i="19"/>
  <c r="J45" i="19"/>
  <c r="N45" i="17"/>
  <c r="K46" i="17"/>
  <c r="H48" i="17"/>
  <c r="J48" i="17"/>
  <c r="F21" i="30"/>
  <c r="F30" i="30"/>
  <c r="E30" i="30" s="1"/>
  <c r="N36" i="13" s="1"/>
  <c r="N55" i="17"/>
  <c r="N56" i="17"/>
  <c r="N57" i="17"/>
  <c r="N58" i="17"/>
  <c r="N59" i="17"/>
  <c r="N61" i="17"/>
  <c r="N62" i="17"/>
  <c r="N63" i="17"/>
  <c r="N64" i="17"/>
  <c r="N65" i="17"/>
  <c r="N66" i="17"/>
  <c r="N67" i="17"/>
  <c r="N74" i="17"/>
  <c r="N77" i="17"/>
  <c r="N78" i="17"/>
  <c r="A79" i="17"/>
  <c r="N79" i="17"/>
  <c r="N80" i="17"/>
  <c r="A82" i="17"/>
  <c r="N83" i="17"/>
  <c r="A84" i="17"/>
  <c r="N84" i="17"/>
  <c r="A85" i="17"/>
  <c r="N85" i="17"/>
  <c r="A86" i="17"/>
  <c r="N86" i="17"/>
  <c r="A87" i="17"/>
  <c r="N87" i="17"/>
  <c r="A88" i="17"/>
  <c r="A56" i="19"/>
  <c r="A60" i="19"/>
  <c r="A67" i="19"/>
  <c r="A69" i="19"/>
  <c r="A79" i="19"/>
  <c r="A82" i="19"/>
  <c r="A84" i="19"/>
  <c r="A85" i="19"/>
  <c r="A86" i="19"/>
  <c r="A87" i="19"/>
  <c r="A88" i="19"/>
  <c r="O55" i="140"/>
  <c r="N55" i="140"/>
  <c r="O47" i="140"/>
  <c r="N47" i="140"/>
  <c r="F85" i="140"/>
  <c r="V54" i="29"/>
  <c r="V54" i="27"/>
  <c r="V53" i="29"/>
  <c r="V52" i="29"/>
  <c r="V51" i="29"/>
  <c r="V50" i="29"/>
  <c r="V49" i="29"/>
  <c r="V48" i="29"/>
  <c r="V47" i="29"/>
  <c r="V46" i="29"/>
  <c r="V45" i="29"/>
  <c r="V44" i="29"/>
  <c r="V43" i="29"/>
  <c r="V42" i="29"/>
  <c r="V41" i="29"/>
  <c r="V40" i="29"/>
  <c r="V39" i="29"/>
  <c r="V38" i="29"/>
  <c r="V37" i="29"/>
  <c r="V36" i="29"/>
  <c r="V35" i="29"/>
  <c r="V34" i="29"/>
  <c r="V33" i="29"/>
  <c r="V32" i="29"/>
  <c r="V31" i="29"/>
  <c r="V30" i="29"/>
  <c r="V29" i="29"/>
  <c r="Q32" i="59"/>
  <c r="Q80" i="59"/>
  <c r="N157" i="59"/>
  <c r="Q157" i="59"/>
  <c r="Q61" i="59"/>
  <c r="Q44" i="59"/>
  <c r="G46" i="21"/>
  <c r="B46" i="15" s="1"/>
  <c r="H50" i="59"/>
  <c r="E37" i="59"/>
  <c r="H49" i="59"/>
  <c r="H52" i="59"/>
  <c r="H48" i="59"/>
  <c r="E11" i="59"/>
  <c r="H51" i="59"/>
  <c r="A83" i="9"/>
  <c r="C52" i="154"/>
  <c r="C48" i="154"/>
  <c r="C87" i="100"/>
  <c r="C83" i="100"/>
  <c r="C81" i="100"/>
  <c r="C75" i="100"/>
  <c r="C74" i="100"/>
  <c r="C73" i="100"/>
  <c r="C71" i="100"/>
  <c r="C67" i="100"/>
  <c r="C65" i="100"/>
  <c r="C59" i="100"/>
  <c r="C58" i="100"/>
  <c r="C57" i="100"/>
  <c r="C55" i="100"/>
  <c r="E92" i="128"/>
  <c r="D94" i="127"/>
  <c r="E44" i="100"/>
  <c r="E8" i="100"/>
  <c r="F44" i="100"/>
  <c r="F8" i="100"/>
  <c r="F91" i="100" s="1"/>
  <c r="G44" i="100"/>
  <c r="H44" i="100"/>
  <c r="I44" i="100"/>
  <c r="I8" i="100"/>
  <c r="L44" i="100"/>
  <c r="M44" i="100"/>
  <c r="E52" i="100"/>
  <c r="F52" i="100"/>
  <c r="G52" i="100"/>
  <c r="H52" i="100"/>
  <c r="I52" i="100"/>
  <c r="J52" i="100"/>
  <c r="L52" i="100"/>
  <c r="M52" i="100"/>
  <c r="L89" i="100"/>
  <c r="L8" i="100"/>
  <c r="M89" i="100"/>
  <c r="G8" i="100"/>
  <c r="H8" i="100"/>
  <c r="M8" i="100"/>
  <c r="D59" i="13"/>
  <c r="E59" i="13"/>
  <c r="D67" i="13"/>
  <c r="E67" i="13"/>
  <c r="D72" i="13"/>
  <c r="E72" i="13"/>
  <c r="D74" i="13"/>
  <c r="E74" i="13"/>
  <c r="D77" i="13"/>
  <c r="E77" i="13"/>
  <c r="D83" i="13"/>
  <c r="E83" i="13"/>
  <c r="D89" i="13"/>
  <c r="E89" i="13"/>
  <c r="D54" i="13"/>
  <c r="E54" i="13"/>
  <c r="D55" i="13"/>
  <c r="E55" i="13"/>
  <c r="D56" i="13"/>
  <c r="E56" i="13"/>
  <c r="D57" i="13"/>
  <c r="E57" i="13"/>
  <c r="D58" i="13"/>
  <c r="E58" i="13"/>
  <c r="D60" i="13"/>
  <c r="E60" i="13"/>
  <c r="D61" i="13"/>
  <c r="E61" i="13"/>
  <c r="D63" i="13"/>
  <c r="E63" i="13"/>
  <c r="D64" i="13"/>
  <c r="E64" i="13"/>
  <c r="D65" i="13"/>
  <c r="E65" i="13"/>
  <c r="D66" i="13"/>
  <c r="E66" i="13"/>
  <c r="D68" i="13"/>
  <c r="E68" i="13"/>
  <c r="D69" i="13"/>
  <c r="E69" i="13"/>
  <c r="D70" i="13"/>
  <c r="E70" i="13"/>
  <c r="D71" i="13"/>
  <c r="E71" i="13"/>
  <c r="D73" i="13"/>
  <c r="E73" i="13"/>
  <c r="D75" i="13"/>
  <c r="E75" i="13"/>
  <c r="D76" i="13"/>
  <c r="E76" i="13"/>
  <c r="D78" i="13"/>
  <c r="E78" i="13"/>
  <c r="D79" i="13"/>
  <c r="E79" i="13"/>
  <c r="D80" i="13"/>
  <c r="E80" i="13"/>
  <c r="D81" i="13"/>
  <c r="E81" i="13"/>
  <c r="D82" i="13"/>
  <c r="E82" i="13"/>
  <c r="D84" i="13"/>
  <c r="E84" i="13"/>
  <c r="D85" i="13"/>
  <c r="E85" i="13"/>
  <c r="D86" i="13"/>
  <c r="E86" i="13"/>
  <c r="D87" i="13"/>
  <c r="E87" i="13"/>
  <c r="D88" i="13"/>
  <c r="E88" i="13"/>
  <c r="B55" i="100"/>
  <c r="B59" i="100"/>
  <c r="B66" i="100"/>
  <c r="B68" i="100"/>
  <c r="B78" i="100"/>
  <c r="B81" i="100"/>
  <c r="B83" i="100"/>
  <c r="B84" i="100"/>
  <c r="B85" i="100"/>
  <c r="B87" i="100"/>
  <c r="C39" i="154"/>
  <c r="D62" i="13"/>
  <c r="E62" i="13"/>
  <c r="C15" i="13"/>
  <c r="C19" i="13"/>
  <c r="C21" i="13"/>
  <c r="C26" i="13"/>
  <c r="B67" i="12"/>
  <c r="G55" i="8"/>
  <c r="G67" i="8"/>
  <c r="P67" i="8" s="1"/>
  <c r="G75" i="8"/>
  <c r="G82" i="8"/>
  <c r="G83" i="8"/>
  <c r="H31" i="256"/>
  <c r="K20" i="256" s="1"/>
  <c r="L20" i="256" s="1"/>
  <c r="E6" i="256"/>
  <c r="E7" i="256"/>
  <c r="B8" i="256"/>
  <c r="C8" i="256"/>
  <c r="D8" i="256"/>
  <c r="C9" i="256"/>
  <c r="D9" i="256"/>
  <c r="C10" i="256"/>
  <c r="I25" i="256"/>
  <c r="J25" i="256"/>
  <c r="U100" i="184"/>
  <c r="G36" i="184"/>
  <c r="E14" i="187" s="1"/>
  <c r="G100" i="184"/>
  <c r="C13" i="187" s="1"/>
  <c r="U36" i="184"/>
  <c r="C23" i="188" s="1"/>
  <c r="V36" i="184"/>
  <c r="C21" i="188" s="1"/>
  <c r="E12" i="187" s="1"/>
  <c r="V100" i="184"/>
  <c r="C12" i="187" s="1"/>
  <c r="D36" i="184"/>
  <c r="C20" i="188" s="1"/>
  <c r="E11" i="187" s="1"/>
  <c r="P36" i="184"/>
  <c r="T36" i="184"/>
  <c r="C15" i="188" s="1"/>
  <c r="C18" i="188" s="1"/>
  <c r="E9" i="187" s="1"/>
  <c r="D100" i="184"/>
  <c r="C11" i="187" s="1"/>
  <c r="P100" i="184"/>
  <c r="C10" i="187" s="1"/>
  <c r="T100" i="184"/>
  <c r="T101" i="184" s="1"/>
  <c r="AE90" i="184"/>
  <c r="AE100" i="184" s="1"/>
  <c r="AE101" i="184" s="1"/>
  <c r="AE89" i="184"/>
  <c r="AE88" i="184"/>
  <c r="AE84" i="184"/>
  <c r="AE75" i="184"/>
  <c r="AE72" i="184"/>
  <c r="AE36" i="184"/>
  <c r="AB100" i="184"/>
  <c r="AB101" i="184" s="1"/>
  <c r="X100" i="184"/>
  <c r="X101" i="184" s="1"/>
  <c r="L100" i="184"/>
  <c r="L101" i="184" s="1"/>
  <c r="H100" i="184"/>
  <c r="H101" i="184" s="1"/>
  <c r="AD100" i="184"/>
  <c r="AD101" i="184" s="1"/>
  <c r="AC100" i="184"/>
  <c r="AC101" i="184" s="1"/>
  <c r="AA100" i="184"/>
  <c r="AA101" i="184" s="1"/>
  <c r="Z100" i="184"/>
  <c r="Z101" i="184" s="1"/>
  <c r="Y100" i="184"/>
  <c r="Y101" i="184" s="1"/>
  <c r="W100" i="184"/>
  <c r="W101" i="184" s="1"/>
  <c r="S100" i="184"/>
  <c r="S101" i="184" s="1"/>
  <c r="R100" i="184"/>
  <c r="R101" i="184" s="1"/>
  <c r="Q100" i="184"/>
  <c r="Q101" i="184" s="1"/>
  <c r="O100" i="184"/>
  <c r="O101" i="184" s="1"/>
  <c r="N100" i="184"/>
  <c r="N101" i="184" s="1"/>
  <c r="M100" i="184"/>
  <c r="M101" i="184" s="1"/>
  <c r="K100" i="184"/>
  <c r="K101" i="184" s="1"/>
  <c r="J100" i="184"/>
  <c r="J101" i="184" s="1"/>
  <c r="I100" i="184"/>
  <c r="I101" i="184" s="1"/>
  <c r="F100" i="184"/>
  <c r="F101" i="184" s="1"/>
  <c r="E100" i="184"/>
  <c r="E101" i="184" s="1"/>
  <c r="C100" i="184"/>
  <c r="C101" i="184" s="1"/>
  <c r="AD68" i="184"/>
  <c r="AD69" i="184" s="1"/>
  <c r="AC68" i="184"/>
  <c r="AC69" i="184" s="1"/>
  <c r="AB68" i="184"/>
  <c r="AB69" i="184" s="1"/>
  <c r="AA68" i="184"/>
  <c r="AA69" i="184" s="1"/>
  <c r="Z68" i="184"/>
  <c r="Z69" i="184" s="1"/>
  <c r="Y68" i="184"/>
  <c r="Y69" i="184" s="1"/>
  <c r="X68" i="184"/>
  <c r="X69" i="184" s="1"/>
  <c r="W68" i="184"/>
  <c r="W69" i="184" s="1"/>
  <c r="V68" i="184"/>
  <c r="V69" i="184" s="1"/>
  <c r="U68" i="184"/>
  <c r="U69" i="184" s="1"/>
  <c r="T68" i="184"/>
  <c r="T69" i="184" s="1"/>
  <c r="S68" i="184"/>
  <c r="S69" i="184" s="1"/>
  <c r="R68" i="184"/>
  <c r="R69" i="184" s="1"/>
  <c r="Q68" i="184"/>
  <c r="Q69" i="184" s="1"/>
  <c r="P68" i="184"/>
  <c r="P69" i="184" s="1"/>
  <c r="O68" i="184"/>
  <c r="O69" i="184" s="1"/>
  <c r="N68" i="184"/>
  <c r="N69" i="184" s="1"/>
  <c r="M68" i="184"/>
  <c r="M69" i="184" s="1"/>
  <c r="L68" i="184"/>
  <c r="L69" i="184" s="1"/>
  <c r="K68" i="184"/>
  <c r="K69" i="184" s="1"/>
  <c r="J68" i="184"/>
  <c r="J69" i="184" s="1"/>
  <c r="I68" i="184"/>
  <c r="I69" i="184" s="1"/>
  <c r="H68" i="184"/>
  <c r="H69" i="184" s="1"/>
  <c r="G68" i="184"/>
  <c r="G69" i="184" s="1"/>
  <c r="F68" i="184"/>
  <c r="F69" i="184" s="1"/>
  <c r="E68" i="184"/>
  <c r="E69" i="184" s="1"/>
  <c r="D68" i="184"/>
  <c r="D69" i="184" s="1"/>
  <c r="C68" i="184"/>
  <c r="C69" i="184" s="1"/>
  <c r="AD36" i="184"/>
  <c r="AD37" i="184" s="1"/>
  <c r="AC36" i="184"/>
  <c r="AC37" i="184" s="1"/>
  <c r="AB36" i="184"/>
  <c r="AB37" i="184" s="1"/>
  <c r="AA36" i="184"/>
  <c r="AA37" i="184" s="1"/>
  <c r="Z36" i="184"/>
  <c r="Z37" i="184" s="1"/>
  <c r="Y36" i="184"/>
  <c r="Y37" i="184" s="1"/>
  <c r="X36" i="184"/>
  <c r="X37" i="184" s="1"/>
  <c r="W36" i="184"/>
  <c r="W37" i="184" s="1"/>
  <c r="S36" i="184"/>
  <c r="S37" i="184" s="1"/>
  <c r="R36" i="184"/>
  <c r="R37" i="184" s="1"/>
  <c r="Q36" i="184"/>
  <c r="Q37" i="184" s="1"/>
  <c r="O36" i="184"/>
  <c r="O37" i="184" s="1"/>
  <c r="N36" i="184"/>
  <c r="N37" i="184" s="1"/>
  <c r="M36" i="184"/>
  <c r="M37" i="184" s="1"/>
  <c r="L36" i="184"/>
  <c r="L37" i="184" s="1"/>
  <c r="K36" i="184"/>
  <c r="K37" i="184" s="1"/>
  <c r="J36" i="184"/>
  <c r="J37" i="184" s="1"/>
  <c r="I36" i="184"/>
  <c r="I37" i="184" s="1"/>
  <c r="H36" i="184"/>
  <c r="H37" i="184" s="1"/>
  <c r="F36" i="184"/>
  <c r="F37" i="184" s="1"/>
  <c r="E36" i="184"/>
  <c r="E37" i="184" s="1"/>
  <c r="C36" i="184"/>
  <c r="C37" i="184" s="1"/>
  <c r="C13" i="188"/>
  <c r="C12" i="188"/>
  <c r="AE66" i="184"/>
  <c r="AE65" i="184"/>
  <c r="AE64" i="184"/>
  <c r="AE63" i="184"/>
  <c r="AE62" i="184"/>
  <c r="AE61" i="184"/>
  <c r="AE60" i="184"/>
  <c r="AE59" i="184"/>
  <c r="AE58" i="184"/>
  <c r="AE57" i="184"/>
  <c r="AE56" i="184"/>
  <c r="AE55" i="184"/>
  <c r="AE54" i="184"/>
  <c r="AE53" i="184"/>
  <c r="AE52" i="184"/>
  <c r="AE51" i="184"/>
  <c r="AE50" i="184"/>
  <c r="AE49" i="184"/>
  <c r="AE48" i="184"/>
  <c r="AE47" i="184"/>
  <c r="AE46" i="184"/>
  <c r="AE45" i="184"/>
  <c r="AE44" i="184"/>
  <c r="AE43" i="184"/>
  <c r="AE40" i="184"/>
  <c r="AE42" i="184"/>
  <c r="AE41" i="184"/>
  <c r="AE39" i="184"/>
  <c r="AE98" i="184"/>
  <c r="AE97" i="184"/>
  <c r="AE96" i="184"/>
  <c r="AE95" i="184"/>
  <c r="AE94" i="184"/>
  <c r="AE93" i="184"/>
  <c r="AE92" i="184"/>
  <c r="AE91" i="184"/>
  <c r="AE87" i="184"/>
  <c r="AE86" i="184"/>
  <c r="AE85" i="184"/>
  <c r="AE83" i="184"/>
  <c r="AE82" i="184"/>
  <c r="AE81" i="184"/>
  <c r="AE80" i="184"/>
  <c r="AE79" i="184"/>
  <c r="AE78" i="184"/>
  <c r="AE77" i="184"/>
  <c r="AE76" i="184"/>
  <c r="AE74" i="184"/>
  <c r="AE73" i="184"/>
  <c r="AE71" i="184"/>
  <c r="AF44" i="167"/>
  <c r="AM44" i="167"/>
  <c r="D8" i="162"/>
  <c r="E8" i="162" s="1"/>
  <c r="F8" i="162" s="1"/>
  <c r="I101" i="54"/>
  <c r="E91" i="59"/>
  <c r="E93" i="59"/>
  <c r="E94" i="59"/>
  <c r="E95" i="59"/>
  <c r="E97" i="59"/>
  <c r="E98" i="59"/>
  <c r="E99" i="59"/>
  <c r="E101" i="59"/>
  <c r="E102" i="59"/>
  <c r="E103" i="59"/>
  <c r="E105" i="59"/>
  <c r="E106" i="59"/>
  <c r="E107" i="59"/>
  <c r="E109" i="59"/>
  <c r="E110" i="59"/>
  <c r="E111" i="59"/>
  <c r="E113" i="59"/>
  <c r="E114" i="59"/>
  <c r="E115" i="59"/>
  <c r="E117" i="59"/>
  <c r="E118" i="59"/>
  <c r="E119" i="59"/>
  <c r="E121" i="59"/>
  <c r="E122" i="59"/>
  <c r="E123" i="59"/>
  <c r="E125" i="59"/>
  <c r="E126" i="59"/>
  <c r="E127" i="59"/>
  <c r="E129" i="59"/>
  <c r="E130" i="59"/>
  <c r="E131" i="59"/>
  <c r="E133" i="59"/>
  <c r="E134" i="59"/>
  <c r="E135" i="59"/>
  <c r="E137" i="59"/>
  <c r="E138" i="59"/>
  <c r="E139" i="59"/>
  <c r="E141" i="59"/>
  <c r="E142" i="59"/>
  <c r="E143" i="59"/>
  <c r="E145" i="59"/>
  <c r="E146" i="59"/>
  <c r="E147" i="59"/>
  <c r="E149" i="59"/>
  <c r="E150" i="59"/>
  <c r="H150" i="59" s="1"/>
  <c r="E151" i="59"/>
  <c r="E153" i="59"/>
  <c r="E154" i="59"/>
  <c r="E155" i="59"/>
  <c r="E158" i="59"/>
  <c r="E159" i="59"/>
  <c r="E161" i="59"/>
  <c r="E162" i="59"/>
  <c r="E163" i="59"/>
  <c r="E165" i="59"/>
  <c r="E166" i="59"/>
  <c r="E167" i="59"/>
  <c r="E169" i="59"/>
  <c r="E170" i="59"/>
  <c r="E171" i="59"/>
  <c r="E173" i="59"/>
  <c r="E174" i="59"/>
  <c r="E175" i="59"/>
  <c r="E177" i="59"/>
  <c r="E178" i="59"/>
  <c r="E179" i="59"/>
  <c r="E181" i="59"/>
  <c r="H181" i="59" s="1"/>
  <c r="E183" i="59"/>
  <c r="E185" i="59"/>
  <c r="E186" i="59"/>
  <c r="E187" i="59"/>
  <c r="E189" i="59"/>
  <c r="E190" i="59"/>
  <c r="E191" i="59"/>
  <c r="E193" i="59"/>
  <c r="E194" i="59"/>
  <c r="E195" i="59"/>
  <c r="E197" i="59"/>
  <c r="E198" i="59"/>
  <c r="E199" i="59"/>
  <c r="E201" i="59"/>
  <c r="E202" i="59"/>
  <c r="E203" i="59"/>
  <c r="E205" i="59"/>
  <c r="E206" i="59"/>
  <c r="E207" i="59"/>
  <c r="E209" i="59"/>
  <c r="E210" i="59"/>
  <c r="E211" i="59"/>
  <c r="E213" i="59"/>
  <c r="E215" i="59"/>
  <c r="H215" i="59" s="1"/>
  <c r="E217" i="59"/>
  <c r="E218" i="59"/>
  <c r="E219" i="59"/>
  <c r="N91" i="59"/>
  <c r="N92" i="59"/>
  <c r="N93" i="59"/>
  <c r="N95" i="59"/>
  <c r="N96" i="59"/>
  <c r="N97" i="59"/>
  <c r="N98" i="59"/>
  <c r="N99" i="59"/>
  <c r="N100" i="59"/>
  <c r="N101" i="59"/>
  <c r="N103" i="59"/>
  <c r="N104" i="59"/>
  <c r="N105" i="59"/>
  <c r="N106" i="59"/>
  <c r="N107" i="59"/>
  <c r="N108" i="59"/>
  <c r="N109" i="59"/>
  <c r="N111" i="59"/>
  <c r="N112" i="59"/>
  <c r="N113" i="59"/>
  <c r="N114" i="59"/>
  <c r="N115" i="59"/>
  <c r="N116" i="59"/>
  <c r="N117" i="59"/>
  <c r="N119" i="59"/>
  <c r="N120" i="59"/>
  <c r="N121" i="59"/>
  <c r="N122" i="59"/>
  <c r="N123" i="59"/>
  <c r="N124" i="59"/>
  <c r="N125" i="59"/>
  <c r="N127" i="59"/>
  <c r="N128" i="59"/>
  <c r="N129" i="59"/>
  <c r="N130" i="59"/>
  <c r="N131" i="59"/>
  <c r="N132" i="59"/>
  <c r="N133" i="59"/>
  <c r="N135" i="59"/>
  <c r="N136" i="59"/>
  <c r="N137" i="59"/>
  <c r="N138" i="59"/>
  <c r="N139" i="59"/>
  <c r="N140" i="59"/>
  <c r="N141" i="59"/>
  <c r="N143" i="59"/>
  <c r="N144" i="59"/>
  <c r="N145" i="59"/>
  <c r="N146" i="59"/>
  <c r="N147" i="59"/>
  <c r="N148" i="59"/>
  <c r="N149" i="59"/>
  <c r="N151" i="59"/>
  <c r="N152" i="59"/>
  <c r="N153" i="59"/>
  <c r="N154" i="59"/>
  <c r="N155" i="59"/>
  <c r="N156" i="59"/>
  <c r="N159" i="59"/>
  <c r="N160" i="59"/>
  <c r="N161" i="59"/>
  <c r="N162" i="59"/>
  <c r="N163" i="59"/>
  <c r="N164" i="59"/>
  <c r="N165" i="59"/>
  <c r="N167" i="59"/>
  <c r="N168" i="59"/>
  <c r="N169" i="59"/>
  <c r="N170" i="59"/>
  <c r="N171" i="59"/>
  <c r="N172" i="59"/>
  <c r="N173" i="59"/>
  <c r="N175" i="59"/>
  <c r="N176" i="59"/>
  <c r="N177" i="59"/>
  <c r="N178" i="59"/>
  <c r="N179" i="59"/>
  <c r="N180" i="59"/>
  <c r="N181" i="59"/>
  <c r="Q181" i="59" s="1"/>
  <c r="N183" i="59"/>
  <c r="N184" i="59"/>
  <c r="N185" i="59"/>
  <c r="N186" i="59"/>
  <c r="N187" i="59"/>
  <c r="N188" i="59"/>
  <c r="N189" i="59"/>
  <c r="N191" i="59"/>
  <c r="N192" i="59"/>
  <c r="N193" i="59"/>
  <c r="N194" i="59"/>
  <c r="N195" i="59"/>
  <c r="N196" i="59"/>
  <c r="N197" i="59"/>
  <c r="N198" i="59"/>
  <c r="N199" i="59"/>
  <c r="N200" i="59"/>
  <c r="N201" i="59"/>
  <c r="N202" i="59"/>
  <c r="N203" i="59"/>
  <c r="N204" i="59"/>
  <c r="N205" i="59"/>
  <c r="N207" i="59"/>
  <c r="N208" i="59"/>
  <c r="N209" i="59"/>
  <c r="N210" i="59"/>
  <c r="N211" i="59"/>
  <c r="N212" i="59"/>
  <c r="N213" i="59"/>
  <c r="N215" i="59"/>
  <c r="Q215" i="59" s="1"/>
  <c r="N216" i="59"/>
  <c r="N217" i="59"/>
  <c r="N218" i="59"/>
  <c r="M45" i="59"/>
  <c r="M9" i="59"/>
  <c r="G51" i="168"/>
  <c r="G50" i="168"/>
  <c r="G49" i="168"/>
  <c r="G48" i="168"/>
  <c r="G47" i="168"/>
  <c r="G46" i="168"/>
  <c r="G45" i="168"/>
  <c r="G44" i="168"/>
  <c r="G43" i="168"/>
  <c r="G42" i="168"/>
  <c r="G41" i="168"/>
  <c r="G40" i="168"/>
  <c r="G39" i="168"/>
  <c r="G38" i="168"/>
  <c r="G37" i="168"/>
  <c r="G36" i="168"/>
  <c r="G35" i="168"/>
  <c r="G34" i="168"/>
  <c r="G33" i="168"/>
  <c r="G32" i="168"/>
  <c r="G31" i="168"/>
  <c r="G30" i="168"/>
  <c r="G29" i="168"/>
  <c r="G28" i="168"/>
  <c r="G27" i="168"/>
  <c r="G26" i="168"/>
  <c r="G25" i="168"/>
  <c r="G24" i="168"/>
  <c r="G23" i="168"/>
  <c r="G22" i="168"/>
  <c r="G21" i="168"/>
  <c r="G20" i="168"/>
  <c r="G19" i="168"/>
  <c r="G18" i="168"/>
  <c r="G17" i="168"/>
  <c r="G16" i="168"/>
  <c r="G15" i="168"/>
  <c r="G14" i="168"/>
  <c r="G13" i="168"/>
  <c r="G12" i="168"/>
  <c r="G11" i="168"/>
  <c r="G10" i="168"/>
  <c r="G9" i="168"/>
  <c r="G8" i="168"/>
  <c r="G7" i="168"/>
  <c r="G6" i="168"/>
  <c r="D6" i="167"/>
  <c r="E6" i="167" s="1"/>
  <c r="F6" i="167" s="1"/>
  <c r="G6" i="167" s="1"/>
  <c r="H6" i="167" s="1"/>
  <c r="I6" i="167" s="1"/>
  <c r="J6" i="167" s="1"/>
  <c r="K6" i="167" s="1"/>
  <c r="L6" i="167" s="1"/>
  <c r="M6" i="167" s="1"/>
  <c r="N6" i="167" s="1"/>
  <c r="O6" i="167" s="1"/>
  <c r="P6" i="167" s="1"/>
  <c r="Q6" i="167" s="1"/>
  <c r="R6" i="167" s="1"/>
  <c r="S6" i="167" s="1"/>
  <c r="T6" i="167" s="1"/>
  <c r="U6" i="167" s="1"/>
  <c r="V6" i="167" s="1"/>
  <c r="W6" i="167" s="1"/>
  <c r="X6" i="167" s="1"/>
  <c r="Y6" i="167" s="1"/>
  <c r="Z6" i="167" s="1"/>
  <c r="AA6" i="167" s="1"/>
  <c r="AB6" i="167" s="1"/>
  <c r="AC6" i="167" s="1"/>
  <c r="AD6" i="167" s="1"/>
  <c r="AE6" i="167" s="1"/>
  <c r="AF6" i="167" s="1"/>
  <c r="AG6" i="167" s="1"/>
  <c r="AH6" i="167" s="1"/>
  <c r="AI6" i="167" s="1"/>
  <c r="AJ6" i="167" s="1"/>
  <c r="AK6" i="167" s="1"/>
  <c r="B59" i="127"/>
  <c r="B63" i="127"/>
  <c r="B70" i="127"/>
  <c r="B72" i="127"/>
  <c r="B82" i="127"/>
  <c r="B85" i="127"/>
  <c r="B87" i="127"/>
  <c r="B88" i="127"/>
  <c r="B89" i="127"/>
  <c r="B90" i="127"/>
  <c r="B91" i="127"/>
  <c r="I9" i="160"/>
  <c r="E44" i="155"/>
  <c r="E91" i="155" s="1"/>
  <c r="D44" i="155"/>
  <c r="B88" i="155"/>
  <c r="B87" i="155"/>
  <c r="B86" i="155"/>
  <c r="B85" i="155"/>
  <c r="B84" i="155"/>
  <c r="B83" i="155"/>
  <c r="B82" i="155"/>
  <c r="B81" i="155"/>
  <c r="B80" i="155"/>
  <c r="B79" i="155"/>
  <c r="B78" i="155"/>
  <c r="B77" i="155"/>
  <c r="B76" i="155"/>
  <c r="B75" i="155"/>
  <c r="B74" i="155"/>
  <c r="B73" i="155"/>
  <c r="B72" i="155"/>
  <c r="B71" i="155"/>
  <c r="B70" i="155"/>
  <c r="B69" i="155"/>
  <c r="B68" i="155"/>
  <c r="B67" i="155"/>
  <c r="B66" i="155"/>
  <c r="B65" i="155"/>
  <c r="B64" i="155"/>
  <c r="B63" i="155"/>
  <c r="B62" i="155"/>
  <c r="B61" i="155"/>
  <c r="B60" i="155"/>
  <c r="B59" i="155"/>
  <c r="B58" i="155"/>
  <c r="B57" i="155"/>
  <c r="B56" i="155"/>
  <c r="B55" i="155"/>
  <c r="B54" i="155"/>
  <c r="B53" i="155"/>
  <c r="B93" i="154"/>
  <c r="B90" i="154"/>
  <c r="B89" i="154"/>
  <c r="B88" i="154"/>
  <c r="B87" i="154"/>
  <c r="B86" i="154"/>
  <c r="B84" i="154"/>
  <c r="B81" i="154"/>
  <c r="B71" i="154"/>
  <c r="B69" i="154"/>
  <c r="B62" i="154"/>
  <c r="B58" i="154"/>
  <c r="L38" i="54"/>
  <c r="L96" i="54"/>
  <c r="L95" i="54"/>
  <c r="L90" i="54"/>
  <c r="L89" i="54"/>
  <c r="L88" i="54"/>
  <c r="L85" i="54"/>
  <c r="L82" i="54"/>
  <c r="L81" i="54"/>
  <c r="L79" i="54"/>
  <c r="L78" i="54"/>
  <c r="L69" i="54"/>
  <c r="L63" i="54"/>
  <c r="L62" i="54"/>
  <c r="L60" i="54"/>
  <c r="L56" i="54"/>
  <c r="L54" i="54"/>
  <c r="L50" i="54"/>
  <c r="L49" i="54"/>
  <c r="L48" i="54"/>
  <c r="L47" i="54"/>
  <c r="L44" i="54"/>
  <c r="L42" i="54"/>
  <c r="L40" i="54"/>
  <c r="L37" i="54"/>
  <c r="L36" i="54"/>
  <c r="L35" i="54"/>
  <c r="L34" i="54"/>
  <c r="L33" i="54"/>
  <c r="L31" i="54"/>
  <c r="L30" i="54"/>
  <c r="L27" i="54"/>
  <c r="L26" i="54"/>
  <c r="L25" i="54"/>
  <c r="L24" i="54"/>
  <c r="L22" i="54"/>
  <c r="L19" i="54"/>
  <c r="L18" i="54"/>
  <c r="L17" i="54"/>
  <c r="L16" i="54"/>
  <c r="L15" i="54"/>
  <c r="L13" i="54"/>
  <c r="L11" i="54"/>
  <c r="L9" i="54"/>
  <c r="I91" i="60"/>
  <c r="G93" i="60"/>
  <c r="W11" i="21"/>
  <c r="W13" i="21"/>
  <c r="W16" i="21"/>
  <c r="M25" i="21"/>
  <c r="W29" i="21"/>
  <c r="M31" i="21"/>
  <c r="W31" i="21" s="1"/>
  <c r="B32" i="24"/>
  <c r="W33" i="21"/>
  <c r="D36" i="24"/>
  <c r="W39" i="21"/>
  <c r="M43" i="21"/>
  <c r="W43" i="21" s="1"/>
  <c r="M49" i="21"/>
  <c r="W49" i="21" s="1"/>
  <c r="M52" i="21"/>
  <c r="W52" i="21" s="1"/>
  <c r="M55" i="21"/>
  <c r="D55" i="24" s="1"/>
  <c r="M57" i="21"/>
  <c r="D57" i="24" s="1"/>
  <c r="M58" i="21"/>
  <c r="W58" i="21" s="1"/>
  <c r="M59" i="21"/>
  <c r="D59" i="24" s="1"/>
  <c r="M60" i="21"/>
  <c r="D60" i="24" s="1"/>
  <c r="M61" i="21"/>
  <c r="M62" i="21"/>
  <c r="M64" i="21"/>
  <c r="W64" i="21" s="1"/>
  <c r="M66" i="21"/>
  <c r="M67" i="21"/>
  <c r="M68" i="21"/>
  <c r="M70" i="21"/>
  <c r="D70" i="24" s="1"/>
  <c r="M71" i="21"/>
  <c r="M73" i="21"/>
  <c r="W73" i="21" s="1"/>
  <c r="M74" i="21"/>
  <c r="D74" i="24" s="1"/>
  <c r="M77" i="21"/>
  <c r="D77" i="24" s="1"/>
  <c r="M78" i="21"/>
  <c r="D78" i="24" s="1"/>
  <c r="M79" i="21"/>
  <c r="M80" i="21"/>
  <c r="W80" i="21" s="1"/>
  <c r="M81" i="21"/>
  <c r="D81" i="24" s="1"/>
  <c r="M83" i="21"/>
  <c r="M84" i="21"/>
  <c r="W84" i="21" s="1"/>
  <c r="M87" i="21"/>
  <c r="D87" i="24" s="1"/>
  <c r="M88" i="21"/>
  <c r="D88" i="24" s="1"/>
  <c r="W15" i="21"/>
  <c r="D17" i="24"/>
  <c r="W20" i="21"/>
  <c r="D21" i="24"/>
  <c r="D22" i="24"/>
  <c r="W23" i="21"/>
  <c r="D26" i="24"/>
  <c r="W28" i="21"/>
  <c r="W34" i="21"/>
  <c r="W38" i="21"/>
  <c r="D42" i="24"/>
  <c r="D46" i="24"/>
  <c r="E13" i="24"/>
  <c r="E14" i="24"/>
  <c r="E18" i="24"/>
  <c r="E22" i="24"/>
  <c r="F28" i="24"/>
  <c r="E32" i="24"/>
  <c r="F32" i="24"/>
  <c r="G42" i="24"/>
  <c r="E50" i="24"/>
  <c r="E51" i="24"/>
  <c r="E78" i="24"/>
  <c r="E79" i="24"/>
  <c r="F48" i="24"/>
  <c r="F50" i="24"/>
  <c r="F52" i="24"/>
  <c r="P60" i="21"/>
  <c r="F13" i="24"/>
  <c r="F23" i="24"/>
  <c r="X27" i="21"/>
  <c r="G30" i="24"/>
  <c r="G10" i="24"/>
  <c r="G18" i="24"/>
  <c r="G33" i="24"/>
  <c r="G37" i="24"/>
  <c r="I56" i="60"/>
  <c r="I57" i="60"/>
  <c r="I58" i="60"/>
  <c r="I59" i="60"/>
  <c r="I60" i="60"/>
  <c r="I61" i="60"/>
  <c r="I62" i="60"/>
  <c r="I63" i="60"/>
  <c r="I64" i="60"/>
  <c r="I65" i="60"/>
  <c r="I66" i="60"/>
  <c r="I67" i="60"/>
  <c r="I68" i="60"/>
  <c r="I69" i="60"/>
  <c r="I70" i="60"/>
  <c r="I71" i="60"/>
  <c r="I72" i="60"/>
  <c r="I73" i="60"/>
  <c r="I74" i="60"/>
  <c r="I75" i="60"/>
  <c r="I76" i="60"/>
  <c r="I77" i="60"/>
  <c r="I78" i="60"/>
  <c r="I79" i="60"/>
  <c r="I80" i="60"/>
  <c r="I81" i="60"/>
  <c r="I82" i="60"/>
  <c r="I83" i="60"/>
  <c r="I84" i="60"/>
  <c r="I85" i="60"/>
  <c r="I86" i="60"/>
  <c r="I87" i="60"/>
  <c r="I88" i="60"/>
  <c r="I89" i="60"/>
  <c r="I90" i="60"/>
  <c r="H93" i="60"/>
  <c r="F70" i="60"/>
  <c r="F87" i="60"/>
  <c r="F90" i="60"/>
  <c r="F93" i="60"/>
  <c r="E93" i="60"/>
  <c r="AG45" i="98"/>
  <c r="AG46" i="98"/>
  <c r="AG49" i="98"/>
  <c r="AG50" i="98"/>
  <c r="AG51" i="98"/>
  <c r="AD10" i="98"/>
  <c r="AD11" i="98"/>
  <c r="AD14" i="98"/>
  <c r="AD15" i="98"/>
  <c r="AD16" i="98"/>
  <c r="AD17" i="98"/>
  <c r="AD18" i="98"/>
  <c r="AD19" i="98"/>
  <c r="AD20" i="98"/>
  <c r="AD21" i="98"/>
  <c r="AD23" i="98"/>
  <c r="AD25" i="98"/>
  <c r="AD28" i="98"/>
  <c r="AD29" i="98"/>
  <c r="AD34" i="98"/>
  <c r="AD35" i="98"/>
  <c r="AD36" i="98"/>
  <c r="AD37" i="98"/>
  <c r="AD38" i="98"/>
  <c r="AD39" i="98"/>
  <c r="AD40" i="98"/>
  <c r="AD42" i="98"/>
  <c r="U53" i="21"/>
  <c r="H54" i="15"/>
  <c r="H55" i="15"/>
  <c r="H56" i="15"/>
  <c r="H57" i="15"/>
  <c r="H58" i="15"/>
  <c r="H59" i="15"/>
  <c r="H60" i="15"/>
  <c r="H61" i="15"/>
  <c r="H62" i="15"/>
  <c r="H63" i="15"/>
  <c r="H64" i="15"/>
  <c r="H65" i="15"/>
  <c r="H66" i="15"/>
  <c r="H67" i="15"/>
  <c r="H68" i="15"/>
  <c r="H69" i="15"/>
  <c r="H70" i="15"/>
  <c r="H71" i="15"/>
  <c r="H72" i="15"/>
  <c r="H73" i="15"/>
  <c r="H74" i="15"/>
  <c r="H75" i="15"/>
  <c r="H76" i="15"/>
  <c r="H77" i="15"/>
  <c r="H78" i="15"/>
  <c r="B79" i="15"/>
  <c r="H79" i="15"/>
  <c r="M79" i="15"/>
  <c r="H80" i="15"/>
  <c r="H81" i="15"/>
  <c r="H82" i="15"/>
  <c r="H83" i="15"/>
  <c r="B84" i="15"/>
  <c r="H84" i="15"/>
  <c r="H85" i="15"/>
  <c r="H86" i="15"/>
  <c r="H87" i="15"/>
  <c r="H88" i="15"/>
  <c r="H89" i="15"/>
  <c r="B58" i="126"/>
  <c r="B62" i="126"/>
  <c r="B69" i="126"/>
  <c r="B71" i="126"/>
  <c r="B81" i="126"/>
  <c r="B84" i="126"/>
  <c r="B86" i="126"/>
  <c r="B87" i="126"/>
  <c r="B88" i="126"/>
  <c r="B89" i="126"/>
  <c r="B90" i="126"/>
  <c r="B94" i="126"/>
  <c r="B57" i="128"/>
  <c r="B61" i="128"/>
  <c r="B68" i="128"/>
  <c r="B70" i="128"/>
  <c r="B80" i="128"/>
  <c r="B83" i="128"/>
  <c r="B85" i="128"/>
  <c r="B86" i="128"/>
  <c r="B87" i="128"/>
  <c r="B88" i="128"/>
  <c r="B89" i="128"/>
  <c r="B93" i="128"/>
  <c r="B95" i="127"/>
  <c r="Q33" i="9"/>
  <c r="D101" i="26"/>
  <c r="D99" i="26"/>
  <c r="D101" i="54"/>
  <c r="D99" i="54"/>
  <c r="T54" i="28"/>
  <c r="B43" i="24"/>
  <c r="S54" i="28"/>
  <c r="V53" i="21"/>
  <c r="W27" i="21"/>
  <c r="W45" i="21"/>
  <c r="X45" i="21"/>
  <c r="W53" i="21"/>
  <c r="X53" i="21"/>
  <c r="W63" i="21"/>
  <c r="X63" i="21"/>
  <c r="W89" i="21"/>
  <c r="X89" i="21"/>
  <c r="U45" i="21"/>
  <c r="B48" i="14"/>
  <c r="B49" i="14"/>
  <c r="B50" i="14"/>
  <c r="V45" i="21"/>
  <c r="S53" i="21"/>
  <c r="T53" i="21"/>
  <c r="U54" i="27"/>
  <c r="U54" i="29"/>
  <c r="C93" i="60"/>
  <c r="B50" i="99"/>
  <c r="A27" i="99"/>
  <c r="M8" i="102"/>
  <c r="M11" i="102"/>
  <c r="M12" i="102"/>
  <c r="M16" i="102"/>
  <c r="M17" i="102"/>
  <c r="M19" i="102"/>
  <c r="M24" i="102"/>
  <c r="I40" i="102"/>
  <c r="J40" i="102"/>
  <c r="K40" i="102"/>
  <c r="L40" i="102"/>
  <c r="C40" i="102"/>
  <c r="D40" i="102"/>
  <c r="E40" i="102"/>
  <c r="F40" i="102"/>
  <c r="G8" i="102"/>
  <c r="G9" i="102"/>
  <c r="G10" i="102"/>
  <c r="G11" i="102"/>
  <c r="G12" i="102"/>
  <c r="G13" i="102"/>
  <c r="G14" i="102"/>
  <c r="G15" i="102"/>
  <c r="G16" i="102"/>
  <c r="G17" i="102"/>
  <c r="G18" i="102"/>
  <c r="G19" i="102"/>
  <c r="G20" i="102"/>
  <c r="G21" i="102"/>
  <c r="G22" i="102"/>
  <c r="G23" i="102"/>
  <c r="G24" i="102"/>
  <c r="G25" i="102"/>
  <c r="G27" i="102"/>
  <c r="G28" i="102"/>
  <c r="G29" i="102"/>
  <c r="G30" i="102"/>
  <c r="G31" i="102"/>
  <c r="G32" i="102"/>
  <c r="G33" i="102"/>
  <c r="G34" i="102"/>
  <c r="B40" i="102"/>
  <c r="H87" i="59"/>
  <c r="J87" i="59" s="1"/>
  <c r="J90" i="59"/>
  <c r="J45" i="59"/>
  <c r="J9" i="59"/>
  <c r="K90" i="59"/>
  <c r="K45" i="59"/>
  <c r="Q161" i="59"/>
  <c r="Q219" i="59"/>
  <c r="Q56" i="59"/>
  <c r="Q69" i="59"/>
  <c r="Q82" i="59"/>
  <c r="Q84" i="59"/>
  <c r="Q86" i="59"/>
  <c r="Q87" i="59"/>
  <c r="H93" i="59"/>
  <c r="H103" i="59"/>
  <c r="H114" i="59"/>
  <c r="H125" i="59"/>
  <c r="H135" i="59"/>
  <c r="H146" i="59"/>
  <c r="H158" i="59"/>
  <c r="H169" i="59"/>
  <c r="H179" i="59"/>
  <c r="H219" i="59"/>
  <c r="H82" i="59"/>
  <c r="B93" i="101"/>
  <c r="B89" i="101"/>
  <c r="B88" i="101"/>
  <c r="B87" i="101"/>
  <c r="B86" i="101"/>
  <c r="B85" i="101"/>
  <c r="B83" i="101"/>
  <c r="B80" i="101"/>
  <c r="B70" i="101"/>
  <c r="B68" i="101"/>
  <c r="B61" i="101"/>
  <c r="B57" i="101"/>
  <c r="B86" i="100"/>
  <c r="C87" i="99"/>
  <c r="C86" i="99"/>
  <c r="C85" i="99"/>
  <c r="C84" i="99"/>
  <c r="C83" i="99"/>
  <c r="C81" i="99"/>
  <c r="C78" i="99"/>
  <c r="C68" i="99"/>
  <c r="C66" i="99"/>
  <c r="C59" i="99"/>
  <c r="C55" i="99"/>
  <c r="C87" i="98"/>
  <c r="C86" i="98"/>
  <c r="C85" i="98"/>
  <c r="C84" i="98"/>
  <c r="C83" i="98"/>
  <c r="C81" i="98"/>
  <c r="C78" i="98"/>
  <c r="C68" i="98"/>
  <c r="C66" i="98"/>
  <c r="C59" i="98"/>
  <c r="C55" i="98"/>
  <c r="N25" i="13"/>
  <c r="N26" i="13"/>
  <c r="N64" i="13"/>
  <c r="N62" i="13"/>
  <c r="N65" i="13"/>
  <c r="N83" i="13"/>
  <c r="N72" i="13"/>
  <c r="N91" i="13"/>
  <c r="F100" i="8"/>
  <c r="P15" i="12"/>
  <c r="P27" i="12"/>
  <c r="P34" i="12"/>
  <c r="P42" i="12"/>
  <c r="H89" i="14"/>
  <c r="I89" i="14" s="1"/>
  <c r="H88" i="14"/>
  <c r="I88" i="14" s="1"/>
  <c r="H87" i="14"/>
  <c r="I87" i="14" s="1"/>
  <c r="H86" i="14"/>
  <c r="I86" i="14" s="1"/>
  <c r="H85" i="14"/>
  <c r="I85" i="14" s="1"/>
  <c r="H84" i="14"/>
  <c r="I84" i="14" s="1"/>
  <c r="H83" i="14"/>
  <c r="I83" i="14" s="1"/>
  <c r="H82" i="14"/>
  <c r="I82" i="14" s="1"/>
  <c r="H81" i="14"/>
  <c r="I81" i="14" s="1"/>
  <c r="H80" i="14"/>
  <c r="I80" i="14" s="1"/>
  <c r="H79" i="14"/>
  <c r="I79" i="14" s="1"/>
  <c r="H78" i="14"/>
  <c r="I78" i="14" s="1"/>
  <c r="H77" i="14"/>
  <c r="I77" i="14" s="1"/>
  <c r="H76" i="14"/>
  <c r="I76" i="14" s="1"/>
  <c r="H75" i="14"/>
  <c r="I75" i="14" s="1"/>
  <c r="H74" i="14"/>
  <c r="I74" i="14" s="1"/>
  <c r="H73" i="14"/>
  <c r="I73" i="14" s="1"/>
  <c r="H72" i="14"/>
  <c r="I72" i="14" s="1"/>
  <c r="H71" i="14"/>
  <c r="I71" i="14" s="1"/>
  <c r="H70" i="14"/>
  <c r="I70" i="14" s="1"/>
  <c r="H69" i="14"/>
  <c r="I69" i="14" s="1"/>
  <c r="H68" i="14"/>
  <c r="I68" i="14" s="1"/>
  <c r="H67" i="14"/>
  <c r="I67" i="14" s="1"/>
  <c r="H66" i="14"/>
  <c r="I66" i="14" s="1"/>
  <c r="H65" i="14"/>
  <c r="I65" i="14" s="1"/>
  <c r="H64" i="14"/>
  <c r="I64" i="14" s="1"/>
  <c r="H63" i="14"/>
  <c r="I63" i="14" s="1"/>
  <c r="H62" i="14"/>
  <c r="I62" i="14" s="1"/>
  <c r="H61" i="14"/>
  <c r="I61" i="14" s="1"/>
  <c r="H60" i="14"/>
  <c r="I60" i="14" s="1"/>
  <c r="H59" i="14"/>
  <c r="I59" i="14" s="1"/>
  <c r="H58" i="14"/>
  <c r="I58" i="14" s="1"/>
  <c r="H57" i="14"/>
  <c r="I57" i="14" s="1"/>
  <c r="H56" i="14"/>
  <c r="I56" i="14" s="1"/>
  <c r="H55" i="14"/>
  <c r="I55" i="14" s="1"/>
  <c r="H54" i="14"/>
  <c r="I54" i="14" s="1"/>
  <c r="M45" i="14"/>
  <c r="H47" i="15"/>
  <c r="M26" i="15"/>
  <c r="M31" i="14"/>
  <c r="C51" i="15"/>
  <c r="H48" i="15"/>
  <c r="B44" i="24"/>
  <c r="M32" i="15"/>
  <c r="B16" i="25"/>
  <c r="F16" i="25" s="1"/>
  <c r="B35" i="25"/>
  <c r="F35" i="25" s="1"/>
  <c r="D44" i="24"/>
  <c r="N43" i="13"/>
  <c r="N27" i="13"/>
  <c r="G23" i="13"/>
  <c r="H23" i="13" s="1"/>
  <c r="G14" i="13"/>
  <c r="H14" i="13" s="1"/>
  <c r="K101" i="54"/>
  <c r="E101" i="54"/>
  <c r="J101" i="54"/>
  <c r="H101" i="54"/>
  <c r="G101" i="54"/>
  <c r="F101" i="54"/>
  <c r="C101" i="54"/>
  <c r="B101" i="54"/>
  <c r="I100" i="54"/>
  <c r="K100" i="54"/>
  <c r="D100" i="54"/>
  <c r="E100" i="54"/>
  <c r="J100" i="54"/>
  <c r="H100" i="54"/>
  <c r="G100" i="54"/>
  <c r="F100" i="54"/>
  <c r="C100" i="54"/>
  <c r="B100" i="54"/>
  <c r="K99" i="54"/>
  <c r="E99" i="54"/>
  <c r="J99" i="54"/>
  <c r="H99" i="54"/>
  <c r="G99" i="54"/>
  <c r="F99" i="54"/>
  <c r="C99" i="54"/>
  <c r="B99" i="54"/>
  <c r="G41" i="13"/>
  <c r="H41" i="13" s="1"/>
  <c r="M24" i="14"/>
  <c r="M11" i="14"/>
  <c r="C12" i="24"/>
  <c r="M16" i="14"/>
  <c r="S17" i="23"/>
  <c r="M18" i="14"/>
  <c r="M28" i="14"/>
  <c r="M29" i="14"/>
  <c r="M35" i="14"/>
  <c r="C36" i="24"/>
  <c r="M36" i="14"/>
  <c r="M40" i="14"/>
  <c r="G46" i="13"/>
  <c r="H46" i="13" s="1"/>
  <c r="D62" i="36"/>
  <c r="A88" i="24"/>
  <c r="A87" i="24"/>
  <c r="A86" i="24"/>
  <c r="A85" i="24"/>
  <c r="A84" i="24"/>
  <c r="A82" i="24"/>
  <c r="A79" i="24"/>
  <c r="A69" i="24"/>
  <c r="A67" i="24"/>
  <c r="A60" i="24"/>
  <c r="A56" i="24"/>
  <c r="A88" i="23"/>
  <c r="A87" i="23"/>
  <c r="A86" i="23"/>
  <c r="A85" i="23"/>
  <c r="A84" i="23"/>
  <c r="A82" i="23"/>
  <c r="A79" i="23"/>
  <c r="A69" i="23"/>
  <c r="A67" i="23"/>
  <c r="A60" i="23"/>
  <c r="A56" i="23"/>
  <c r="A88" i="14"/>
  <c r="A87" i="14"/>
  <c r="A86" i="14"/>
  <c r="A85" i="14"/>
  <c r="A84" i="14"/>
  <c r="A82" i="14"/>
  <c r="A79" i="14"/>
  <c r="A69" i="14"/>
  <c r="A67" i="14"/>
  <c r="A60" i="14"/>
  <c r="A56" i="14"/>
  <c r="A88" i="15"/>
  <c r="A87" i="15"/>
  <c r="A86" i="15"/>
  <c r="A85" i="15"/>
  <c r="A84" i="15"/>
  <c r="A82" i="15"/>
  <c r="A79" i="15"/>
  <c r="A69" i="15"/>
  <c r="A67" i="15"/>
  <c r="A60" i="15"/>
  <c r="A56" i="15"/>
  <c r="B87" i="21"/>
  <c r="A88" i="25"/>
  <c r="A87" i="25"/>
  <c r="A86" i="25"/>
  <c r="A85" i="25"/>
  <c r="A84" i="25"/>
  <c r="A82" i="25"/>
  <c r="A79" i="25"/>
  <c r="A69" i="25"/>
  <c r="A67" i="25"/>
  <c r="A60" i="25"/>
  <c r="A56" i="25"/>
  <c r="A88" i="13"/>
  <c r="N88" i="13" s="1"/>
  <c r="A87" i="13"/>
  <c r="A86" i="13"/>
  <c r="A85" i="13"/>
  <c r="A84" i="13"/>
  <c r="A82" i="13"/>
  <c r="A79" i="13"/>
  <c r="A69" i="13"/>
  <c r="A67" i="13"/>
  <c r="A60" i="13"/>
  <c r="N60" i="13" s="1"/>
  <c r="A56" i="13"/>
  <c r="A88" i="12"/>
  <c r="A87" i="12"/>
  <c r="A86" i="12"/>
  <c r="A85" i="12"/>
  <c r="A84" i="12"/>
  <c r="A82" i="12"/>
  <c r="A79" i="12"/>
  <c r="A69" i="12"/>
  <c r="A67" i="12"/>
  <c r="A60" i="12"/>
  <c r="A57" i="12"/>
  <c r="U15" i="29"/>
  <c r="U15" i="27"/>
  <c r="U16" i="29"/>
  <c r="U16" i="27"/>
  <c r="U17" i="29"/>
  <c r="U17" i="27"/>
  <c r="U18" i="29"/>
  <c r="U19" i="29"/>
  <c r="U19" i="27"/>
  <c r="U20" i="29"/>
  <c r="U21" i="29"/>
  <c r="U21" i="27"/>
  <c r="U22" i="29"/>
  <c r="U23" i="29"/>
  <c r="U23" i="27"/>
  <c r="U24" i="29"/>
  <c r="U24" i="27"/>
  <c r="U25" i="29"/>
  <c r="U25" i="27"/>
  <c r="U26" i="29"/>
  <c r="U27" i="29"/>
  <c r="U28" i="29"/>
  <c r="U28" i="27"/>
  <c r="U29" i="29"/>
  <c r="U30" i="29"/>
  <c r="U31" i="29"/>
  <c r="U32" i="29"/>
  <c r="U33" i="29"/>
  <c r="U34" i="29"/>
  <c r="U35" i="29"/>
  <c r="U35" i="27"/>
  <c r="U36" i="29"/>
  <c r="U37" i="29"/>
  <c r="U38" i="29"/>
  <c r="U39" i="29"/>
  <c r="U39" i="27"/>
  <c r="U40" i="29"/>
  <c r="U41" i="29"/>
  <c r="U41" i="27"/>
  <c r="U42" i="29"/>
  <c r="U42" i="27"/>
  <c r="U43" i="29"/>
  <c r="U44" i="29"/>
  <c r="U45" i="29"/>
  <c r="U45" i="27"/>
  <c r="U46" i="29"/>
  <c r="U47" i="29"/>
  <c r="U48" i="29"/>
  <c r="U48" i="27"/>
  <c r="U49" i="29"/>
  <c r="U50" i="29"/>
  <c r="U51" i="29"/>
  <c r="U51" i="27"/>
  <c r="U51" i="28" s="1"/>
  <c r="U52" i="29"/>
  <c r="U52" i="27"/>
  <c r="U53" i="29"/>
  <c r="U53" i="27"/>
  <c r="U14" i="29"/>
  <c r="B20" i="25"/>
  <c r="L14" i="26"/>
  <c r="R48" i="28"/>
  <c r="W48" i="28"/>
  <c r="S49" i="28"/>
  <c r="W49" i="28"/>
  <c r="T50" i="28"/>
  <c r="W50" i="28"/>
  <c r="S51" i="28"/>
  <c r="W51" i="28"/>
  <c r="R52" i="28"/>
  <c r="T52" i="28"/>
  <c r="W52" i="28"/>
  <c r="R53" i="28"/>
  <c r="V53" i="27"/>
  <c r="V53" i="28" s="1"/>
  <c r="T53" i="28"/>
  <c r="W53" i="28"/>
  <c r="R54" i="28"/>
  <c r="W54" i="28"/>
  <c r="R15" i="28"/>
  <c r="T15" i="28"/>
  <c r="V15" i="29"/>
  <c r="W15" i="29"/>
  <c r="W15" i="27"/>
  <c r="R16" i="28"/>
  <c r="T16" i="28"/>
  <c r="V16" i="29"/>
  <c r="W16" i="29"/>
  <c r="W16" i="27"/>
  <c r="R17" i="28"/>
  <c r="S17" i="28"/>
  <c r="T17" i="28"/>
  <c r="V17" i="29"/>
  <c r="V17" i="27"/>
  <c r="W17" i="29"/>
  <c r="W17" i="27"/>
  <c r="S18" i="28"/>
  <c r="T18" i="28"/>
  <c r="U18" i="27"/>
  <c r="V18" i="29"/>
  <c r="W18" i="29"/>
  <c r="W18" i="27"/>
  <c r="R19" i="28"/>
  <c r="T19" i="28"/>
  <c r="V19" i="29"/>
  <c r="W19" i="29"/>
  <c r="W19" i="27"/>
  <c r="R20" i="28"/>
  <c r="T20" i="28"/>
  <c r="V20" i="29"/>
  <c r="W20" i="29"/>
  <c r="W20" i="27"/>
  <c r="R21" i="28"/>
  <c r="V21" i="27"/>
  <c r="T21" i="28"/>
  <c r="V21" i="29"/>
  <c r="W21" i="29"/>
  <c r="W21" i="27"/>
  <c r="R22" i="28"/>
  <c r="V22" i="27"/>
  <c r="T22" i="28"/>
  <c r="V22" i="29"/>
  <c r="W22" i="29"/>
  <c r="W22" i="27"/>
  <c r="R23" i="28"/>
  <c r="T23" i="28"/>
  <c r="V23" i="29"/>
  <c r="W23" i="29"/>
  <c r="W23" i="27"/>
  <c r="R24" i="28"/>
  <c r="T24" i="28"/>
  <c r="V24" i="29"/>
  <c r="V24" i="27"/>
  <c r="W24" i="29"/>
  <c r="W24" i="27"/>
  <c r="R25" i="28"/>
  <c r="S25" i="28"/>
  <c r="V25" i="27"/>
  <c r="V25" i="29"/>
  <c r="T25" i="28"/>
  <c r="W25" i="29"/>
  <c r="W25" i="27"/>
  <c r="S26" i="28"/>
  <c r="T26" i="28"/>
  <c r="V26" i="29"/>
  <c r="V26" i="27"/>
  <c r="W26" i="29"/>
  <c r="W26" i="27"/>
  <c r="R27" i="28"/>
  <c r="S27" i="28"/>
  <c r="V27" i="29"/>
  <c r="W27" i="29"/>
  <c r="W27" i="27"/>
  <c r="R28" i="28"/>
  <c r="T28" i="28"/>
  <c r="V28" i="29"/>
  <c r="V28" i="27"/>
  <c r="W28" i="29"/>
  <c r="W28" i="27"/>
  <c r="R29" i="28"/>
  <c r="T29" i="28"/>
  <c r="W29" i="29"/>
  <c r="W29" i="27"/>
  <c r="T30" i="28"/>
  <c r="W30" i="29"/>
  <c r="W30" i="27"/>
  <c r="R31" i="28"/>
  <c r="W31" i="29"/>
  <c r="W31" i="27"/>
  <c r="R32" i="28"/>
  <c r="T32" i="28"/>
  <c r="W32" i="29"/>
  <c r="W32" i="27"/>
  <c r="R33" i="28"/>
  <c r="T33" i="28"/>
  <c r="W33" i="28"/>
  <c r="S34" i="28"/>
  <c r="T34" i="28"/>
  <c r="W34" i="28"/>
  <c r="R35" i="28"/>
  <c r="T35" i="28"/>
  <c r="W35" i="28"/>
  <c r="R36" i="28"/>
  <c r="S36" i="28"/>
  <c r="T36" i="28"/>
  <c r="U36" i="27"/>
  <c r="W36" i="28"/>
  <c r="V37" i="27"/>
  <c r="V37" i="28" s="1"/>
  <c r="R37" i="28"/>
  <c r="S37" i="28"/>
  <c r="T37" i="28"/>
  <c r="W37" i="28"/>
  <c r="R38" i="28"/>
  <c r="S38" i="28"/>
  <c r="W38" i="28"/>
  <c r="R39" i="28"/>
  <c r="T39" i="28"/>
  <c r="W39" i="28"/>
  <c r="R40" i="28"/>
  <c r="U40" i="27"/>
  <c r="S40" i="28"/>
  <c r="T40" i="28"/>
  <c r="W40" i="28"/>
  <c r="R41" i="28"/>
  <c r="S41" i="28"/>
  <c r="W41" i="28"/>
  <c r="R42" i="28"/>
  <c r="T42" i="28"/>
  <c r="W42" i="28"/>
  <c r="S43" i="28"/>
  <c r="T43" i="28"/>
  <c r="W43" i="28"/>
  <c r="V44" i="27"/>
  <c r="V44" i="28" s="1"/>
  <c r="T44" i="28"/>
  <c r="W44" i="28"/>
  <c r="R45" i="28"/>
  <c r="S45" i="28"/>
  <c r="T45" i="28"/>
  <c r="W45" i="28"/>
  <c r="S46" i="28"/>
  <c r="T46" i="28"/>
  <c r="W46" i="28"/>
  <c r="R47" i="28"/>
  <c r="T47" i="28"/>
  <c r="W47" i="28"/>
  <c r="V14" i="27"/>
  <c r="V14" i="29"/>
  <c r="T14" i="28"/>
  <c r="R14" i="28"/>
  <c r="W14" i="29"/>
  <c r="W14" i="27"/>
  <c r="Q48" i="28"/>
  <c r="Q49" i="28"/>
  <c r="Q50" i="28"/>
  <c r="Q51" i="28"/>
  <c r="Q52" i="28"/>
  <c r="Q53" i="28"/>
  <c r="Q54" i="28"/>
  <c r="P15" i="28"/>
  <c r="Q15" i="28"/>
  <c r="P16" i="28"/>
  <c r="Q16" i="28"/>
  <c r="P17" i="28"/>
  <c r="Q17" i="28"/>
  <c r="P18" i="28"/>
  <c r="Q18" i="28"/>
  <c r="P19" i="28"/>
  <c r="Q19" i="28"/>
  <c r="P20" i="28"/>
  <c r="Q20" i="28"/>
  <c r="P21" i="28"/>
  <c r="Q21" i="28"/>
  <c r="P22" i="28"/>
  <c r="Q22" i="28"/>
  <c r="P23" i="28"/>
  <c r="Q23" i="28"/>
  <c r="P24" i="28"/>
  <c r="Q24" i="28"/>
  <c r="P25" i="28"/>
  <c r="Q25" i="28"/>
  <c r="P26" i="28"/>
  <c r="Q26" i="28"/>
  <c r="P27" i="28"/>
  <c r="Q27" i="28"/>
  <c r="P28" i="28"/>
  <c r="Q28" i="28"/>
  <c r="P29" i="28"/>
  <c r="Q29" i="28"/>
  <c r="P30" i="28"/>
  <c r="Q30" i="28"/>
  <c r="P31" i="28"/>
  <c r="Q31" i="28"/>
  <c r="P32" i="28"/>
  <c r="Q32" i="28"/>
  <c r="P33" i="28"/>
  <c r="Q33" i="28"/>
  <c r="P34" i="28"/>
  <c r="Q34" i="28"/>
  <c r="P35" i="28"/>
  <c r="Q35" i="28"/>
  <c r="P36" i="28"/>
  <c r="Q36" i="28"/>
  <c r="P37" i="28"/>
  <c r="Q37" i="28"/>
  <c r="P38" i="28"/>
  <c r="Q38" i="28"/>
  <c r="P39" i="28"/>
  <c r="Q39" i="28"/>
  <c r="P40" i="28"/>
  <c r="Q40" i="28"/>
  <c r="P41" i="28"/>
  <c r="Q41" i="28"/>
  <c r="P42" i="28"/>
  <c r="Q42" i="28"/>
  <c r="P43" i="28"/>
  <c r="Q43" i="28"/>
  <c r="P44" i="28"/>
  <c r="Q44" i="28"/>
  <c r="P45" i="28"/>
  <c r="Q45" i="28"/>
  <c r="P46" i="28"/>
  <c r="Q46" i="28"/>
  <c r="P47" i="28"/>
  <c r="Q47" i="28"/>
  <c r="Q14" i="28"/>
  <c r="P48" i="28"/>
  <c r="P49" i="28"/>
  <c r="P50" i="28"/>
  <c r="P51" i="28"/>
  <c r="P52" i="28"/>
  <c r="P53" i="28"/>
  <c r="P54" i="28"/>
  <c r="P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14" i="28"/>
  <c r="M32" i="14"/>
  <c r="M11" i="15"/>
  <c r="M14" i="15"/>
  <c r="C15" i="24"/>
  <c r="M16" i="15"/>
  <c r="M17" i="15"/>
  <c r="M21" i="15"/>
  <c r="M23" i="15"/>
  <c r="M25" i="15"/>
  <c r="M28" i="15"/>
  <c r="B33" i="24"/>
  <c r="M33" i="15"/>
  <c r="M35" i="15"/>
  <c r="M36" i="15"/>
  <c r="M41" i="15"/>
  <c r="L96" i="26"/>
  <c r="L95" i="26"/>
  <c r="L79" i="26"/>
  <c r="L80" i="26"/>
  <c r="L82" i="26"/>
  <c r="L83" i="26"/>
  <c r="L84" i="26"/>
  <c r="L85" i="26"/>
  <c r="L86" i="26"/>
  <c r="L88" i="26"/>
  <c r="L90" i="26"/>
  <c r="L91" i="26"/>
  <c r="L92" i="26"/>
  <c r="L78" i="26"/>
  <c r="L73" i="26"/>
  <c r="L74" i="26"/>
  <c r="L72" i="26"/>
  <c r="L67" i="26"/>
  <c r="L69" i="26"/>
  <c r="L66" i="26"/>
  <c r="L60" i="26"/>
  <c r="L61" i="26"/>
  <c r="L62" i="26"/>
  <c r="L63" i="26"/>
  <c r="L64" i="26"/>
  <c r="L53" i="26"/>
  <c r="L54" i="26"/>
  <c r="L56" i="26"/>
  <c r="L57" i="26"/>
  <c r="L52" i="26"/>
  <c r="L43" i="26"/>
  <c r="L44" i="26"/>
  <c r="L45" i="26"/>
  <c r="L46" i="26"/>
  <c r="L47" i="26"/>
  <c r="L48" i="26"/>
  <c r="L49" i="26"/>
  <c r="L50" i="26"/>
  <c r="L42" i="26"/>
  <c r="L40" i="26"/>
  <c r="L31" i="26"/>
  <c r="L32" i="26"/>
  <c r="L33" i="26"/>
  <c r="L34" i="26"/>
  <c r="L36" i="26"/>
  <c r="L37" i="26"/>
  <c r="L22" i="26"/>
  <c r="L25" i="26"/>
  <c r="L16" i="26"/>
  <c r="L17" i="26"/>
  <c r="L18" i="26"/>
  <c r="L19" i="26"/>
  <c r="L15" i="26"/>
  <c r="L13" i="26"/>
  <c r="L11" i="26"/>
  <c r="L9" i="26"/>
  <c r="Q91" i="13" s="1"/>
  <c r="I99" i="26"/>
  <c r="K99" i="26"/>
  <c r="E99" i="26"/>
  <c r="I100" i="26"/>
  <c r="K100" i="26"/>
  <c r="D100" i="26"/>
  <c r="E100" i="26"/>
  <c r="C100" i="26"/>
  <c r="F100" i="26"/>
  <c r="G100" i="26"/>
  <c r="H100" i="26"/>
  <c r="J100" i="26"/>
  <c r="B100" i="26"/>
  <c r="J99" i="26"/>
  <c r="B99" i="26"/>
  <c r="C99" i="26"/>
  <c r="F99" i="26"/>
  <c r="G99" i="26"/>
  <c r="I101" i="26"/>
  <c r="K101" i="26"/>
  <c r="E101" i="26"/>
  <c r="J101" i="26"/>
  <c r="B101" i="26"/>
  <c r="C101" i="26"/>
  <c r="F101" i="26"/>
  <c r="G101" i="26"/>
  <c r="H101" i="26"/>
  <c r="L10" i="29"/>
  <c r="L11" i="29" s="1"/>
  <c r="L12" i="29" s="1"/>
  <c r="L13" i="29" s="1"/>
  <c r="L14" i="29" s="1"/>
  <c r="L15" i="29" s="1"/>
  <c r="L16" i="29" s="1"/>
  <c r="L17" i="29" s="1"/>
  <c r="L18" i="29" s="1"/>
  <c r="L19" i="29" s="1"/>
  <c r="L20" i="29" s="1"/>
  <c r="L21" i="29" s="1"/>
  <c r="L22" i="29" s="1"/>
  <c r="L23" i="29" s="1"/>
  <c r="L24" i="29" s="1"/>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L52" i="29" s="1"/>
  <c r="L53" i="29" s="1"/>
  <c r="L54" i="29" s="1"/>
  <c r="L47" i="20"/>
  <c r="M47" i="20"/>
  <c r="O47" i="20"/>
  <c r="P47" i="20"/>
  <c r="F47" i="20"/>
  <c r="G47" i="20"/>
  <c r="C47" i="20"/>
  <c r="D47" i="20"/>
  <c r="L10" i="28"/>
  <c r="L11" i="28" s="1"/>
  <c r="L12" i="28" s="1"/>
  <c r="L13" i="28" s="1"/>
  <c r="L14" i="28" s="1"/>
  <c r="L15" i="28" s="1"/>
  <c r="L16" i="28" s="1"/>
  <c r="L17" i="28" s="1"/>
  <c r="L18" i="28" s="1"/>
  <c r="L19" i="28" s="1"/>
  <c r="L20" i="28" s="1"/>
  <c r="L21" i="28" s="1"/>
  <c r="L22" i="28" s="1"/>
  <c r="L23" i="28" s="1"/>
  <c r="L24" i="28" s="1"/>
  <c r="L25" i="28" s="1"/>
  <c r="L26" i="28" s="1"/>
  <c r="L27" i="28" s="1"/>
  <c r="L28" i="28" s="1"/>
  <c r="L29" i="28" s="1"/>
  <c r="L30" i="28" s="1"/>
  <c r="L31" i="28" s="1"/>
  <c r="L32" i="28" s="1"/>
  <c r="L33" i="28" s="1"/>
  <c r="L34" i="28" s="1"/>
  <c r="L35" i="28" s="1"/>
  <c r="L36" i="28" s="1"/>
  <c r="L37" i="28" s="1"/>
  <c r="L38" i="28" s="1"/>
  <c r="L39" i="28" s="1"/>
  <c r="L40" i="28" s="1"/>
  <c r="L41" i="28" s="1"/>
  <c r="L42" i="28" s="1"/>
  <c r="L43" i="28" s="1"/>
  <c r="L44" i="28" s="1"/>
  <c r="L45" i="28" s="1"/>
  <c r="L46" i="28" s="1"/>
  <c r="L47" i="28" s="1"/>
  <c r="L48" i="28" s="1"/>
  <c r="L49" i="28" s="1"/>
  <c r="L50" i="28" s="1"/>
  <c r="L51" i="28" s="1"/>
  <c r="L52" i="28" s="1"/>
  <c r="L53" i="28" s="1"/>
  <c r="L54" i="28" s="1"/>
  <c r="L10" i="27"/>
  <c r="L11" i="27" s="1"/>
  <c r="L12" i="27" s="1"/>
  <c r="L13" i="27" s="1"/>
  <c r="L14" i="27" s="1"/>
  <c r="L15" i="27" s="1"/>
  <c r="L16" i="27" s="1"/>
  <c r="L17" i="27" s="1"/>
  <c r="L18" i="27" s="1"/>
  <c r="L19" i="27" s="1"/>
  <c r="L20" i="27" s="1"/>
  <c r="L21" i="27" s="1"/>
  <c r="L22" i="27" s="1"/>
  <c r="L23" i="27" s="1"/>
  <c r="L24" i="27" s="1"/>
  <c r="L25" i="27" s="1"/>
  <c r="L26" i="27" s="1"/>
  <c r="L27" i="27" s="1"/>
  <c r="L28" i="27" s="1"/>
  <c r="L29" i="27" s="1"/>
  <c r="L30" i="27" s="1"/>
  <c r="L31" i="27" s="1"/>
  <c r="L32" i="27" s="1"/>
  <c r="L33" i="27" s="1"/>
  <c r="L34" i="27" s="1"/>
  <c r="L35" i="27" s="1"/>
  <c r="L36" i="27" s="1"/>
  <c r="L37" i="27" s="1"/>
  <c r="L38" i="27" s="1"/>
  <c r="L39" i="27" s="1"/>
  <c r="L40" i="27" s="1"/>
  <c r="L41" i="27" s="1"/>
  <c r="L42" i="27" s="1"/>
  <c r="L43" i="27" s="1"/>
  <c r="L44" i="27" s="1"/>
  <c r="L45" i="27" s="1"/>
  <c r="L46" i="27" s="1"/>
  <c r="L47" i="27" s="1"/>
  <c r="L48" i="27" s="1"/>
  <c r="L49" i="27" s="1"/>
  <c r="L50" i="27" s="1"/>
  <c r="L51" i="27" s="1"/>
  <c r="L52" i="27" s="1"/>
  <c r="L53" i="27" s="1"/>
  <c r="L54" i="27" s="1"/>
  <c r="V9" i="29"/>
  <c r="W9" i="29"/>
  <c r="V10" i="29"/>
  <c r="W10" i="29"/>
  <c r="V11" i="29"/>
  <c r="W11" i="29"/>
  <c r="V12" i="29"/>
  <c r="W12" i="29"/>
  <c r="V13" i="29"/>
  <c r="W13" i="29"/>
  <c r="H99" i="26"/>
  <c r="L60" i="20"/>
  <c r="M60" i="20"/>
  <c r="O60" i="20"/>
  <c r="P60" i="20"/>
  <c r="R42" i="23"/>
  <c r="R43" i="23"/>
  <c r="R34" i="23"/>
  <c r="G30" i="13"/>
  <c r="H30" i="13" s="1"/>
  <c r="G16" i="13"/>
  <c r="H16" i="13" s="1"/>
  <c r="G17" i="13"/>
  <c r="H17" i="13" s="1"/>
  <c r="G19" i="13"/>
  <c r="G21" i="13"/>
  <c r="H21" i="13" s="1"/>
  <c r="G24" i="13"/>
  <c r="H24" i="13" s="1"/>
  <c r="G33" i="13"/>
  <c r="G34" i="13"/>
  <c r="H34" i="13" s="1"/>
  <c r="G38" i="13"/>
  <c r="G10" i="13"/>
  <c r="H10" i="13" s="1"/>
  <c r="N11" i="13"/>
  <c r="N12" i="13"/>
  <c r="N15" i="13"/>
  <c r="N16" i="13"/>
  <c r="N18" i="13"/>
  <c r="N19" i="13"/>
  <c r="N20" i="13"/>
  <c r="N24" i="13"/>
  <c r="N28" i="13"/>
  <c r="N30" i="13"/>
  <c r="N32" i="13"/>
  <c r="N34" i="13"/>
  <c r="N35" i="13"/>
  <c r="N39" i="13"/>
  <c r="N40" i="13"/>
  <c r="D19" i="20"/>
  <c r="F19" i="20"/>
  <c r="I19" i="20"/>
  <c r="J19" i="20"/>
  <c r="L19" i="20"/>
  <c r="O19" i="20"/>
  <c r="P19" i="20"/>
  <c r="D18" i="20"/>
  <c r="F18" i="20"/>
  <c r="L18" i="20"/>
  <c r="M18" i="20"/>
  <c r="O18" i="20"/>
  <c r="N18" i="20" s="1"/>
  <c r="C17" i="20"/>
  <c r="F17" i="20"/>
  <c r="G17" i="20"/>
  <c r="I17" i="20"/>
  <c r="L17" i="20"/>
  <c r="M17" i="20"/>
  <c r="O17" i="20"/>
  <c r="C16" i="20"/>
  <c r="F16" i="20"/>
  <c r="I16" i="20"/>
  <c r="J16" i="20"/>
  <c r="L16" i="20"/>
  <c r="O16" i="20"/>
  <c r="P16" i="20"/>
  <c r="O14" i="20"/>
  <c r="P14" i="20"/>
  <c r="C13" i="20"/>
  <c r="D13" i="20"/>
  <c r="L13" i="20"/>
  <c r="M13" i="20"/>
  <c r="O13" i="20"/>
  <c r="P13" i="20"/>
  <c r="G12" i="20"/>
  <c r="L12" i="20"/>
  <c r="O12" i="20"/>
  <c r="O11" i="20"/>
  <c r="P12" i="20"/>
  <c r="R47" i="23"/>
  <c r="R46" i="23"/>
  <c r="R11" i="23"/>
  <c r="R14" i="23"/>
  <c r="R21" i="23"/>
  <c r="R22" i="23"/>
  <c r="R37" i="23"/>
  <c r="R38" i="23"/>
  <c r="R41" i="23"/>
  <c r="R76" i="23"/>
  <c r="S80" i="23"/>
  <c r="R80" i="23"/>
  <c r="S76" i="23"/>
  <c r="S47" i="23"/>
  <c r="S46" i="23"/>
  <c r="S45" i="23"/>
  <c r="R45" i="23"/>
  <c r="S31" i="23"/>
  <c r="R31" i="23"/>
  <c r="S27" i="23"/>
  <c r="R27" i="23"/>
  <c r="S24" i="23"/>
  <c r="R24" i="23"/>
  <c r="R17" i="23"/>
  <c r="S13" i="23"/>
  <c r="R13" i="23"/>
  <c r="S10" i="23"/>
  <c r="R10" i="23"/>
  <c r="D41" i="15"/>
  <c r="S45" i="21"/>
  <c r="T45" i="21"/>
  <c r="D44" i="15"/>
  <c r="D34" i="15"/>
  <c r="D32" i="15"/>
  <c r="D30" i="15"/>
  <c r="D28" i="15"/>
  <c r="D27" i="15"/>
  <c r="D18" i="15"/>
  <c r="I10" i="15"/>
  <c r="O55" i="20"/>
  <c r="P55" i="20"/>
  <c r="L55" i="20"/>
  <c r="M55" i="20"/>
  <c r="J55" i="20"/>
  <c r="G60" i="20"/>
  <c r="F55" i="20"/>
  <c r="G55" i="20"/>
  <c r="C55" i="20"/>
  <c r="C60" i="20"/>
  <c r="D60" i="20"/>
  <c r="O34" i="20"/>
  <c r="N34" i="20" s="1"/>
  <c r="O32" i="20"/>
  <c r="P30" i="20"/>
  <c r="P29" i="20"/>
  <c r="O29" i="20"/>
  <c r="O26" i="20"/>
  <c r="L32" i="20"/>
  <c r="L31" i="20"/>
  <c r="L30" i="20"/>
  <c r="M29" i="20"/>
  <c r="L29" i="20"/>
  <c r="L26" i="20"/>
  <c r="I32" i="20"/>
  <c r="J32" i="20"/>
  <c r="I30" i="20"/>
  <c r="J30" i="20"/>
  <c r="I29" i="20"/>
  <c r="F34" i="20"/>
  <c r="E34" i="20" s="1"/>
  <c r="F32" i="20"/>
  <c r="G32" i="20"/>
  <c r="G31" i="20"/>
  <c r="F30" i="20"/>
  <c r="F29" i="20"/>
  <c r="G29" i="20"/>
  <c r="G25" i="20"/>
  <c r="X34" i="20"/>
  <c r="C32" i="20"/>
  <c r="D32" i="20"/>
  <c r="C31" i="20"/>
  <c r="D31" i="20"/>
  <c r="C30" i="20"/>
  <c r="C29" i="20"/>
  <c r="D29" i="20"/>
  <c r="C26" i="20"/>
  <c r="D26" i="20"/>
  <c r="AG21" i="20"/>
  <c r="F21" i="20"/>
  <c r="E21" i="20" s="1"/>
  <c r="C21" i="20"/>
  <c r="B21" i="20" s="1"/>
  <c r="O24" i="20"/>
  <c r="O27" i="20"/>
  <c r="P27" i="20"/>
  <c r="O31" i="20"/>
  <c r="P25" i="20"/>
  <c r="O23" i="20"/>
  <c r="L24" i="20"/>
  <c r="L25" i="20"/>
  <c r="L23" i="20"/>
  <c r="AD34" i="20"/>
  <c r="I24" i="20"/>
  <c r="I26" i="20"/>
  <c r="I27" i="20"/>
  <c r="I28" i="20"/>
  <c r="J31" i="20"/>
  <c r="I23" i="20"/>
  <c r="F24" i="20"/>
  <c r="F27" i="20"/>
  <c r="F28" i="20"/>
  <c r="F23" i="20"/>
  <c r="C24" i="20"/>
  <c r="C27" i="20"/>
  <c r="C28" i="20"/>
  <c r="C23" i="20"/>
  <c r="I60" i="20"/>
  <c r="O51" i="20"/>
  <c r="O52" i="20"/>
  <c r="O53" i="20"/>
  <c r="O56" i="20"/>
  <c r="O57" i="20"/>
  <c r="O58" i="20"/>
  <c r="L51" i="20"/>
  <c r="L52" i="20"/>
  <c r="L54" i="20"/>
  <c r="L56" i="20"/>
  <c r="L57" i="20"/>
  <c r="L58" i="20"/>
  <c r="I50" i="20"/>
  <c r="I51" i="20"/>
  <c r="I52" i="20"/>
  <c r="I53" i="20"/>
  <c r="I54" i="20"/>
  <c r="I56" i="20"/>
  <c r="I58" i="20"/>
  <c r="F50" i="20"/>
  <c r="F49" i="20"/>
  <c r="F51" i="20"/>
  <c r="F53" i="20"/>
  <c r="F54" i="20"/>
  <c r="F56" i="20"/>
  <c r="F57" i="20"/>
  <c r="F58" i="20"/>
  <c r="C52" i="20"/>
  <c r="C53" i="20"/>
  <c r="C54" i="20"/>
  <c r="C56" i="20"/>
  <c r="C57" i="20"/>
  <c r="C58" i="20"/>
  <c r="O49" i="20"/>
  <c r="L49" i="20"/>
  <c r="I49" i="20"/>
  <c r="I47" i="20"/>
  <c r="O38" i="20"/>
  <c r="O39" i="20"/>
  <c r="O40" i="20"/>
  <c r="O42" i="20"/>
  <c r="O43" i="20"/>
  <c r="O44" i="20"/>
  <c r="O45" i="20"/>
  <c r="L38" i="20"/>
  <c r="L39" i="20"/>
  <c r="L41" i="20"/>
  <c r="L42" i="20"/>
  <c r="L43" i="20"/>
  <c r="L44" i="20"/>
  <c r="L45" i="20"/>
  <c r="I37" i="20"/>
  <c r="I38" i="20"/>
  <c r="I39" i="20"/>
  <c r="I40" i="20"/>
  <c r="I41" i="20"/>
  <c r="I42" i="20"/>
  <c r="I43" i="20"/>
  <c r="I45" i="20"/>
  <c r="F37" i="20"/>
  <c r="F38" i="20"/>
  <c r="F41" i="20"/>
  <c r="F42" i="20"/>
  <c r="F43" i="20"/>
  <c r="F44" i="20"/>
  <c r="F45" i="20"/>
  <c r="C39" i="20"/>
  <c r="C40" i="20"/>
  <c r="C41" i="20"/>
  <c r="C42" i="20"/>
  <c r="C43" i="20"/>
  <c r="C44" i="20"/>
  <c r="C45" i="20"/>
  <c r="O36" i="20"/>
  <c r="L36" i="20"/>
  <c r="I36" i="20"/>
  <c r="F36" i="20"/>
  <c r="C36" i="20"/>
  <c r="O10" i="20"/>
  <c r="L11" i="20"/>
  <c r="L10" i="20"/>
  <c r="AD21" i="20"/>
  <c r="I11" i="20"/>
  <c r="I13" i="20"/>
  <c r="I14" i="20"/>
  <c r="I15" i="20"/>
  <c r="J18" i="20"/>
  <c r="I10" i="20"/>
  <c r="F11" i="20"/>
  <c r="F14" i="20"/>
  <c r="F15" i="20"/>
  <c r="F10" i="20"/>
  <c r="C11" i="20"/>
  <c r="C14" i="20"/>
  <c r="C15" i="20"/>
  <c r="C10" i="20"/>
  <c r="V39" i="27"/>
  <c r="V39" i="28" s="1"/>
  <c r="V31" i="27"/>
  <c r="V31" i="28" s="1"/>
  <c r="V41" i="27"/>
  <c r="V41" i="28" s="1"/>
  <c r="V38" i="27"/>
  <c r="V32" i="27"/>
  <c r="V32" i="28" s="1"/>
  <c r="U22" i="27"/>
  <c r="V45" i="27"/>
  <c r="V45" i="28" s="1"/>
  <c r="R44" i="28"/>
  <c r="U43" i="27"/>
  <c r="S23" i="28"/>
  <c r="S22" i="28"/>
  <c r="S21" i="28"/>
  <c r="S53" i="28"/>
  <c r="R34" i="28"/>
  <c r="V34" i="27"/>
  <c r="V34" i="28" s="1"/>
  <c r="S19" i="28"/>
  <c r="V16" i="27"/>
  <c r="S16" i="28"/>
  <c r="V35" i="27"/>
  <c r="V35" i="28" s="1"/>
  <c r="T51" i="28"/>
  <c r="V29" i="27"/>
  <c r="V29" i="28" s="1"/>
  <c r="S29" i="28"/>
  <c r="U29" i="27"/>
  <c r="S28" i="28"/>
  <c r="R18" i="28"/>
  <c r="V18" i="27"/>
  <c r="U14" i="27"/>
  <c r="S14" i="28"/>
  <c r="T41" i="28"/>
  <c r="R43" i="28"/>
  <c r="V43" i="27"/>
  <c r="V43" i="28" s="1"/>
  <c r="V40" i="27"/>
  <c r="V40" i="28" s="1"/>
  <c r="S39" i="28"/>
  <c r="R30" i="28"/>
  <c r="V30" i="27"/>
  <c r="S50" i="28"/>
  <c r="S48" i="28"/>
  <c r="V48" i="27"/>
  <c r="V48" i="28" s="1"/>
  <c r="U37" i="27"/>
  <c r="U47" i="27"/>
  <c r="S47" i="28"/>
  <c r="V47" i="27"/>
  <c r="V47" i="28" s="1"/>
  <c r="S33" i="28"/>
  <c r="V33" i="27"/>
  <c r="V33" i="28" s="1"/>
  <c r="S31" i="28"/>
  <c r="U50" i="27"/>
  <c r="U34" i="27"/>
  <c r="U26" i="27"/>
  <c r="U26" i="28" s="1"/>
  <c r="U44" i="27"/>
  <c r="S42" i="28"/>
  <c r="V42" i="27"/>
  <c r="V42" i="28" s="1"/>
  <c r="S24" i="28"/>
  <c r="R51" i="28"/>
  <c r="V51" i="27"/>
  <c r="V51" i="28" s="1"/>
  <c r="U33" i="27"/>
  <c r="V36" i="27"/>
  <c r="V36" i="28" s="1"/>
  <c r="S35" i="28"/>
  <c r="V27" i="27"/>
  <c r="V23" i="27"/>
  <c r="V19" i="27"/>
  <c r="V15" i="27"/>
  <c r="S52" i="28"/>
  <c r="S43" i="23"/>
  <c r="T31" i="28"/>
  <c r="U31" i="27"/>
  <c r="U38" i="27"/>
  <c r="T38" i="28"/>
  <c r="U32" i="27"/>
  <c r="S32" i="28"/>
  <c r="T48" i="28"/>
  <c r="U27" i="27"/>
  <c r="T27" i="28"/>
  <c r="S20" i="28"/>
  <c r="V20" i="27"/>
  <c r="U20" i="27"/>
  <c r="R50" i="28"/>
  <c r="V50" i="27"/>
  <c r="V50" i="28" s="1"/>
  <c r="T49" i="28"/>
  <c r="U49" i="27"/>
  <c r="S30" i="28"/>
  <c r="U30" i="27"/>
  <c r="R26" i="28"/>
  <c r="S44" i="28"/>
  <c r="U46" i="27"/>
  <c r="R49" i="28"/>
  <c r="V49" i="27"/>
  <c r="V49" i="28" s="1"/>
  <c r="R46" i="28"/>
  <c r="V46" i="27"/>
  <c r="V46" i="28" s="1"/>
  <c r="S15" i="28"/>
  <c r="V52" i="27"/>
  <c r="V52" i="28"/>
  <c r="G27" i="13"/>
  <c r="H27" i="13" s="1"/>
  <c r="I27" i="15"/>
  <c r="B32" i="25"/>
  <c r="F32" i="25" s="1"/>
  <c r="C46" i="15"/>
  <c r="H46" i="14"/>
  <c r="I46" i="14" s="1"/>
  <c r="C22" i="24"/>
  <c r="C28" i="24"/>
  <c r="M19" i="14"/>
  <c r="B11" i="24"/>
  <c r="B39" i="24"/>
  <c r="C32" i="24"/>
  <c r="C24" i="24"/>
  <c r="C17" i="24"/>
  <c r="B42" i="24"/>
  <c r="C29" i="24"/>
  <c r="C19" i="24"/>
  <c r="H47" i="14"/>
  <c r="I47" i="14" s="1"/>
  <c r="C30" i="24"/>
  <c r="B52" i="24"/>
  <c r="M30" i="15"/>
  <c r="C16" i="24"/>
  <c r="S32" i="21"/>
  <c r="M20" i="14"/>
  <c r="M37" i="14"/>
  <c r="C37" i="24"/>
  <c r="C41" i="24"/>
  <c r="M41" i="14"/>
  <c r="C14" i="24"/>
  <c r="F33" i="24"/>
  <c r="C33" i="24"/>
  <c r="C44" i="24"/>
  <c r="M34" i="15"/>
  <c r="C34" i="24"/>
  <c r="C42" i="24"/>
  <c r="M38" i="15"/>
  <c r="C38" i="24"/>
  <c r="C21" i="24"/>
  <c r="M19" i="15"/>
  <c r="M38" i="14"/>
  <c r="M17" i="14"/>
  <c r="C11" i="24"/>
  <c r="S33" i="21"/>
  <c r="C40" i="24"/>
  <c r="C46" i="24"/>
  <c r="B43" i="25"/>
  <c r="O35" i="23"/>
  <c r="I27" i="14"/>
  <c r="D27" i="13" s="1"/>
  <c r="E27" i="13" s="1"/>
  <c r="B49" i="24"/>
  <c r="H50" i="15"/>
  <c r="M31" i="15"/>
  <c r="C52" i="15"/>
  <c r="H49" i="15"/>
  <c r="C48" i="15"/>
  <c r="C50" i="15"/>
  <c r="H52" i="15"/>
  <c r="B50" i="24"/>
  <c r="M22" i="14"/>
  <c r="M12" i="14"/>
  <c r="M21" i="14"/>
  <c r="M15" i="14"/>
  <c r="M34" i="14"/>
  <c r="C20" i="24"/>
  <c r="M26" i="14"/>
  <c r="C49" i="15"/>
  <c r="M46" i="15"/>
  <c r="M42" i="14"/>
  <c r="M14" i="14"/>
  <c r="S23" i="21"/>
  <c r="C23" i="24"/>
  <c r="L44" i="25"/>
  <c r="M30" i="14"/>
  <c r="C10" i="24"/>
  <c r="G19" i="24"/>
  <c r="M46" i="14"/>
  <c r="M23" i="14"/>
  <c r="M33" i="14"/>
  <c r="C29" i="188"/>
  <c r="D29" i="188" s="1"/>
  <c r="C27" i="188"/>
  <c r="C14" i="188"/>
  <c r="D14" i="188" s="1"/>
  <c r="M25" i="14"/>
  <c r="D21" i="188"/>
  <c r="F12" i="187" s="1"/>
  <c r="D23" i="188"/>
  <c r="C30" i="188"/>
  <c r="D30" i="188" s="1"/>
  <c r="C28" i="188"/>
  <c r="D28" i="188" s="1"/>
  <c r="F14" i="187"/>
  <c r="C31" i="188"/>
  <c r="D31" i="188" s="1"/>
  <c r="C8" i="188"/>
  <c r="D8" i="188"/>
  <c r="D126" i="184"/>
  <c r="H52" i="14"/>
  <c r="I52" i="14" s="1"/>
  <c r="G52" i="60"/>
  <c r="V50" i="21" s="1"/>
  <c r="H51" i="14"/>
  <c r="I51" i="14" s="1"/>
  <c r="B69" i="15"/>
  <c r="E92" i="59"/>
  <c r="C24" i="13"/>
  <c r="T31" i="21"/>
  <c r="G29" i="13"/>
  <c r="H29" i="13" s="1"/>
  <c r="W44" i="21"/>
  <c r="W59" i="21"/>
  <c r="M47" i="21"/>
  <c r="W47" i="21" s="1"/>
  <c r="C18" i="13"/>
  <c r="G45" i="60"/>
  <c r="V43" i="21" s="1"/>
  <c r="C31" i="24"/>
  <c r="G39" i="60"/>
  <c r="W43" i="98"/>
  <c r="K89" i="17"/>
  <c r="J89" i="17"/>
  <c r="I89" i="17"/>
  <c r="B89" i="14"/>
  <c r="Q25" i="9"/>
  <c r="G91" i="60"/>
  <c r="B89" i="15"/>
  <c r="N15" i="8"/>
  <c r="K47" i="17"/>
  <c r="I93" i="60"/>
  <c r="Q93" i="60" s="1"/>
  <c r="D12" i="187"/>
  <c r="K25" i="256"/>
  <c r="L25" i="256" s="1"/>
  <c r="K24" i="256"/>
  <c r="L24" i="256" s="1"/>
  <c r="K22" i="256"/>
  <c r="L22" i="256" s="1"/>
  <c r="K18" i="256"/>
  <c r="L18" i="256" s="1"/>
  <c r="K16" i="256"/>
  <c r="L16" i="256" s="1"/>
  <c r="K14" i="256"/>
  <c r="L14" i="256" s="1"/>
  <c r="K12" i="256"/>
  <c r="L12" i="256" s="1"/>
  <c r="K10" i="256"/>
  <c r="L10" i="256" s="1"/>
  <c r="K6" i="256"/>
  <c r="L6" i="256" s="1"/>
  <c r="D12" i="188"/>
  <c r="K7" i="256"/>
  <c r="L7" i="256" s="1"/>
  <c r="C78" i="13"/>
  <c r="C56" i="13"/>
  <c r="C72" i="13"/>
  <c r="C87" i="13"/>
  <c r="G101" i="184"/>
  <c r="V101" i="184"/>
  <c r="K50" i="17"/>
  <c r="I79" i="257"/>
  <c r="I75" i="257"/>
  <c r="B51" i="24"/>
  <c r="B51" i="14"/>
  <c r="B47" i="24"/>
  <c r="B47" i="14"/>
  <c r="M52" i="15"/>
  <c r="B50" i="15"/>
  <c r="N22" i="13"/>
  <c r="B48" i="15"/>
  <c r="G50" i="60"/>
  <c r="D37" i="184"/>
  <c r="U37" i="184"/>
  <c r="K4" i="256"/>
  <c r="L4" i="256" s="1"/>
  <c r="V37" i="184"/>
  <c r="AE37" i="184"/>
  <c r="K9" i="256"/>
  <c r="L9" i="256" s="1"/>
  <c r="T50" i="21"/>
  <c r="R30" i="8"/>
  <c r="B55" i="12"/>
  <c r="B15" i="25"/>
  <c r="J37" i="17"/>
  <c r="H11" i="17"/>
  <c r="B11" i="25"/>
  <c r="M48" i="21"/>
  <c r="B48" i="24"/>
  <c r="P48" i="12"/>
  <c r="G20" i="13"/>
  <c r="D20" i="188"/>
  <c r="F11" i="187" s="1"/>
  <c r="C19" i="188"/>
  <c r="D19" i="188"/>
  <c r="F10" i="187" s="1"/>
  <c r="P37" i="184"/>
  <c r="F35" i="30"/>
  <c r="E21" i="30"/>
  <c r="N21" i="13" s="1"/>
  <c r="G26" i="13"/>
  <c r="M50" i="15"/>
  <c r="C81" i="13"/>
  <c r="C54" i="13"/>
  <c r="U101" i="184"/>
  <c r="C14" i="187"/>
  <c r="D14" i="187" s="1"/>
  <c r="Q13" i="59"/>
  <c r="C86" i="13"/>
  <c r="C89" i="13"/>
  <c r="T89" i="13" s="1"/>
  <c r="G35" i="30"/>
  <c r="M69" i="15"/>
  <c r="M85" i="15"/>
  <c r="AP14" i="167"/>
  <c r="AP12" i="167"/>
  <c r="AJ49" i="167"/>
  <c r="F31" i="36"/>
  <c r="P31" i="36" s="1"/>
  <c r="B78" i="15"/>
  <c r="C43" i="13"/>
  <c r="H49" i="14"/>
  <c r="I49" i="14" s="1"/>
  <c r="M48" i="15"/>
  <c r="M80" i="15"/>
  <c r="H48" i="14"/>
  <c r="I48" i="14" s="1"/>
  <c r="T21" i="21" l="1"/>
  <c r="T12" i="21"/>
  <c r="M10" i="14"/>
  <c r="G28" i="13"/>
  <c r="H28" i="13" s="1"/>
  <c r="G21" i="24"/>
  <c r="H173" i="59"/>
  <c r="H118" i="59"/>
  <c r="H107" i="59"/>
  <c r="W40" i="21"/>
  <c r="Q52" i="59"/>
  <c r="B40" i="24"/>
  <c r="S29" i="21"/>
  <c r="S16" i="21"/>
  <c r="F39" i="140"/>
  <c r="I39" i="60" s="1"/>
  <c r="G15" i="19"/>
  <c r="E47" i="24"/>
  <c r="B52" i="15"/>
  <c r="R20" i="23"/>
  <c r="H139" i="59"/>
  <c r="H129" i="59"/>
  <c r="H97" i="59"/>
  <c r="B87" i="15"/>
  <c r="F12" i="24"/>
  <c r="T48" i="21"/>
  <c r="G54" i="60"/>
  <c r="V52" i="21" s="1"/>
  <c r="S28" i="21"/>
  <c r="R33" i="23"/>
  <c r="R19" i="23"/>
  <c r="H210" i="59"/>
  <c r="H162" i="59"/>
  <c r="G44" i="24"/>
  <c r="G54" i="8"/>
  <c r="J46" i="17"/>
  <c r="H20" i="17"/>
  <c r="E11" i="116"/>
  <c r="F28" i="140"/>
  <c r="I28" i="60" s="1"/>
  <c r="F38" i="140"/>
  <c r="I38" i="60" s="1"/>
  <c r="S10" i="21"/>
  <c r="W18" i="21"/>
  <c r="E52" i="24"/>
  <c r="G28" i="24"/>
  <c r="W35" i="21"/>
  <c r="R28" i="23"/>
  <c r="H32" i="59"/>
  <c r="J49" i="21"/>
  <c r="M49" i="15" s="1"/>
  <c r="J51" i="21"/>
  <c r="M51" i="15" s="1"/>
  <c r="F18" i="13"/>
  <c r="H18" i="13" s="1"/>
  <c r="G43" i="167"/>
  <c r="B47" i="15"/>
  <c r="R29" i="23"/>
  <c r="R18" i="23"/>
  <c r="C13" i="24"/>
  <c r="H38" i="13"/>
  <c r="H19" i="13"/>
  <c r="M13" i="14"/>
  <c r="B21" i="25"/>
  <c r="M54" i="21"/>
  <c r="W54" i="21" s="1"/>
  <c r="Q48" i="59"/>
  <c r="Q11" i="59"/>
  <c r="T38" i="21"/>
  <c r="T34" i="21"/>
  <c r="T28" i="21"/>
  <c r="V48" i="167"/>
  <c r="B17" i="24"/>
  <c r="H190" i="59"/>
  <c r="K87" i="59"/>
  <c r="M75" i="21"/>
  <c r="D75" i="24" s="1"/>
  <c r="J75" i="24" s="1"/>
  <c r="K90" i="21"/>
  <c r="K91" i="21" s="1"/>
  <c r="H10" i="59"/>
  <c r="Q50" i="59"/>
  <c r="M69" i="21"/>
  <c r="W69" i="21" s="1"/>
  <c r="S13" i="21"/>
  <c r="R43" i="167"/>
  <c r="C51" i="13"/>
  <c r="F41" i="140"/>
  <c r="I41" i="60" s="1"/>
  <c r="F48" i="140"/>
  <c r="I48" i="60" s="1"/>
  <c r="H26" i="13"/>
  <c r="I43" i="167"/>
  <c r="T52" i="21"/>
  <c r="H51" i="15"/>
  <c r="M44" i="14"/>
  <c r="R16" i="23"/>
  <c r="E87" i="24"/>
  <c r="R26" i="23"/>
  <c r="R15" i="23"/>
  <c r="S36" i="21"/>
  <c r="R23" i="23"/>
  <c r="P49" i="21"/>
  <c r="G49" i="24" s="1"/>
  <c r="M65" i="21"/>
  <c r="Q25" i="59"/>
  <c r="G44" i="60"/>
  <c r="V42" i="21" s="1"/>
  <c r="U27" i="21"/>
  <c r="G24" i="60"/>
  <c r="V22" i="21" s="1"/>
  <c r="T13" i="21"/>
  <c r="C43" i="167"/>
  <c r="AM48" i="167"/>
  <c r="AH49" i="167"/>
  <c r="AD43" i="167"/>
  <c r="AC48" i="167"/>
  <c r="AB43" i="167"/>
  <c r="AA48" i="167"/>
  <c r="Y48" i="167"/>
  <c r="X49" i="167"/>
  <c r="W48" i="167"/>
  <c r="P19" i="12"/>
  <c r="M48" i="13"/>
  <c r="E24" i="116"/>
  <c r="R32" i="261"/>
  <c r="R26" i="261"/>
  <c r="I48" i="116"/>
  <c r="R30" i="261"/>
  <c r="J86" i="21"/>
  <c r="M87" i="15" s="1"/>
  <c r="B86" i="15"/>
  <c r="E86" i="24"/>
  <c r="D33" i="24"/>
  <c r="J33" i="24" s="1"/>
  <c r="W74" i="21"/>
  <c r="S43" i="167"/>
  <c r="K43" i="167"/>
  <c r="W17" i="21"/>
  <c r="D20" i="24"/>
  <c r="B13" i="24"/>
  <c r="E42" i="24"/>
  <c r="W46" i="21"/>
  <c r="H180" i="59"/>
  <c r="P73" i="21"/>
  <c r="G73" i="24" s="1"/>
  <c r="P69" i="21"/>
  <c r="X44" i="21"/>
  <c r="F36" i="24"/>
  <c r="E19" i="24"/>
  <c r="S34" i="21"/>
  <c r="AF43" i="167"/>
  <c r="AA43" i="167"/>
  <c r="V43" i="167"/>
  <c r="AK49" i="167"/>
  <c r="AB49" i="167"/>
  <c r="AA49" i="167"/>
  <c r="Z49" i="167"/>
  <c r="W43" i="167"/>
  <c r="C40" i="13"/>
  <c r="F26" i="24"/>
  <c r="S21" i="21"/>
  <c r="E38" i="24"/>
  <c r="H17" i="59"/>
  <c r="Q38" i="59"/>
  <c r="G38" i="60"/>
  <c r="Q43" i="167"/>
  <c r="B51" i="15"/>
  <c r="U51" i="21" s="1"/>
  <c r="U13" i="21"/>
  <c r="H183" i="59"/>
  <c r="Q212" i="59"/>
  <c r="Q193" i="59"/>
  <c r="Q145" i="59"/>
  <c r="Q137" i="59"/>
  <c r="Q102" i="59"/>
  <c r="Q94" i="59"/>
  <c r="E37" i="24"/>
  <c r="H37" i="24" s="1"/>
  <c r="G57" i="8"/>
  <c r="P57" i="8" s="1"/>
  <c r="Q21" i="59"/>
  <c r="X43" i="167"/>
  <c r="U52" i="21"/>
  <c r="E44" i="24"/>
  <c r="H202" i="59"/>
  <c r="H194" i="59"/>
  <c r="T11" i="21"/>
  <c r="D51" i="24"/>
  <c r="W51" i="21"/>
  <c r="T22" i="21"/>
  <c r="T42" i="21"/>
  <c r="G40" i="24"/>
  <c r="W37" i="21"/>
  <c r="M86" i="21"/>
  <c r="D86" i="24" s="1"/>
  <c r="G76" i="8"/>
  <c r="P76" i="8" s="1"/>
  <c r="B35" i="24"/>
  <c r="F24" i="140"/>
  <c r="I24" i="60" s="1"/>
  <c r="F26" i="140"/>
  <c r="I26" i="60" s="1"/>
  <c r="C28" i="13"/>
  <c r="T36" i="21"/>
  <c r="E49" i="24"/>
  <c r="K25" i="17"/>
  <c r="K16" i="17"/>
  <c r="I16" i="17" s="1"/>
  <c r="B37" i="24"/>
  <c r="S27" i="21"/>
  <c r="S22" i="21"/>
  <c r="S18" i="21"/>
  <c r="T41" i="21"/>
  <c r="F40" i="24"/>
  <c r="F16" i="24"/>
  <c r="I16" i="24" s="1"/>
  <c r="D11" i="60"/>
  <c r="F15" i="24"/>
  <c r="C11" i="13"/>
  <c r="H74" i="59"/>
  <c r="G35" i="24"/>
  <c r="T19" i="21"/>
  <c r="H188" i="59"/>
  <c r="G20" i="24"/>
  <c r="J20" i="24" s="1"/>
  <c r="F22" i="24"/>
  <c r="I22" i="24" s="1"/>
  <c r="H44" i="13"/>
  <c r="E48" i="24"/>
  <c r="F42" i="24"/>
  <c r="J16" i="17"/>
  <c r="B14" i="24"/>
  <c r="G51" i="60"/>
  <c r="V49" i="21" s="1"/>
  <c r="Q180" i="59"/>
  <c r="Q168" i="59"/>
  <c r="G47" i="140"/>
  <c r="G11" i="24"/>
  <c r="D24" i="24"/>
  <c r="C20" i="13"/>
  <c r="D92" i="60"/>
  <c r="B24" i="24"/>
  <c r="C14" i="13"/>
  <c r="W21" i="21"/>
  <c r="S37" i="21"/>
  <c r="H11" i="13"/>
  <c r="M40" i="15"/>
  <c r="B18" i="24"/>
  <c r="Q147" i="59"/>
  <c r="G39" i="24"/>
  <c r="J39" i="24" s="1"/>
  <c r="P31" i="21"/>
  <c r="X31" i="21" s="1"/>
  <c r="E28" i="24"/>
  <c r="G17" i="24"/>
  <c r="B22" i="24"/>
  <c r="H109" i="59"/>
  <c r="G56" i="8"/>
  <c r="P56" i="8" s="1"/>
  <c r="T24" i="21"/>
  <c r="I67" i="257"/>
  <c r="N30" i="8"/>
  <c r="F17" i="140"/>
  <c r="I17" i="60" s="1"/>
  <c r="N11" i="8"/>
  <c r="C34" i="13"/>
  <c r="C22" i="13"/>
  <c r="K21" i="12"/>
  <c r="P67" i="21"/>
  <c r="G67" i="24" s="1"/>
  <c r="P58" i="21"/>
  <c r="X58" i="21" s="1"/>
  <c r="D32" i="24"/>
  <c r="W19" i="21"/>
  <c r="S38" i="21"/>
  <c r="B19" i="24"/>
  <c r="I82" i="59"/>
  <c r="C82" i="21" s="1"/>
  <c r="B82" i="14" s="1"/>
  <c r="H138" i="59"/>
  <c r="W55" i="21"/>
  <c r="T32" i="21"/>
  <c r="T16" i="21"/>
  <c r="H182" i="59"/>
  <c r="H149" i="59"/>
  <c r="H106" i="59"/>
  <c r="G20" i="60"/>
  <c r="V18" i="21" s="1"/>
  <c r="D69" i="24"/>
  <c r="H46" i="15"/>
  <c r="I46" i="15" s="1"/>
  <c r="G38" i="24"/>
  <c r="Q191" i="59"/>
  <c r="Q153" i="59"/>
  <c r="Q100" i="59"/>
  <c r="Q92" i="59"/>
  <c r="F34" i="24"/>
  <c r="F21" i="24"/>
  <c r="Q20" i="59"/>
  <c r="Q36" i="59"/>
  <c r="I59" i="257"/>
  <c r="I32" i="10"/>
  <c r="F23" i="140"/>
  <c r="I23" i="60" s="1"/>
  <c r="M89" i="13"/>
  <c r="F44" i="24"/>
  <c r="I44" i="24" s="1"/>
  <c r="H171" i="59"/>
  <c r="H127" i="59"/>
  <c r="H95" i="59"/>
  <c r="H30" i="59"/>
  <c r="Q29" i="59"/>
  <c r="H191" i="59"/>
  <c r="H159" i="59"/>
  <c r="F19" i="24"/>
  <c r="I19" i="24" s="1"/>
  <c r="P85" i="21"/>
  <c r="P62" i="21"/>
  <c r="G36" i="24"/>
  <c r="J36" i="24" s="1"/>
  <c r="G32" i="24"/>
  <c r="X12" i="21"/>
  <c r="Q10" i="59"/>
  <c r="H39" i="17"/>
  <c r="D75" i="8"/>
  <c r="K75" i="8" s="1"/>
  <c r="S14" i="21"/>
  <c r="P81" i="21"/>
  <c r="G81" i="24" s="1"/>
  <c r="P54" i="21"/>
  <c r="G54" i="24" s="1"/>
  <c r="T26" i="21"/>
  <c r="D30" i="24"/>
  <c r="T44" i="21"/>
  <c r="F42" i="13"/>
  <c r="H42" i="13" s="1"/>
  <c r="G37" i="19"/>
  <c r="G34" i="19"/>
  <c r="F33" i="13"/>
  <c r="H33" i="13" s="1"/>
  <c r="I29" i="13"/>
  <c r="G26" i="19"/>
  <c r="G23" i="19"/>
  <c r="G22" i="19"/>
  <c r="G20" i="19"/>
  <c r="I19" i="13"/>
  <c r="G18" i="19"/>
  <c r="I16" i="13"/>
  <c r="F15" i="13"/>
  <c r="H22" i="59"/>
  <c r="H23" i="59"/>
  <c r="H16" i="59"/>
  <c r="T35" i="21"/>
  <c r="G22" i="60"/>
  <c r="G18" i="60"/>
  <c r="V16" i="21" s="1"/>
  <c r="E11" i="24"/>
  <c r="C33" i="13"/>
  <c r="D11" i="8"/>
  <c r="H134" i="59"/>
  <c r="H178" i="59"/>
  <c r="H102" i="59"/>
  <c r="Q42" i="59"/>
  <c r="W75" i="21"/>
  <c r="W14" i="21"/>
  <c r="S15" i="21"/>
  <c r="B38" i="24"/>
  <c r="F37" i="24"/>
  <c r="P79" i="21"/>
  <c r="M82" i="21"/>
  <c r="D82" i="24" s="1"/>
  <c r="Q31" i="59"/>
  <c r="W10" i="21"/>
  <c r="B29" i="24"/>
  <c r="H200" i="59"/>
  <c r="H123" i="59"/>
  <c r="S35" i="21"/>
  <c r="D28" i="24"/>
  <c r="D39" i="24"/>
  <c r="G26" i="60"/>
  <c r="D15" i="24"/>
  <c r="H197" i="59"/>
  <c r="H175" i="59"/>
  <c r="H142" i="59"/>
  <c r="H131" i="59"/>
  <c r="H121" i="59"/>
  <c r="H110" i="59"/>
  <c r="H99" i="59"/>
  <c r="Q182" i="59"/>
  <c r="Q96" i="59"/>
  <c r="G26" i="24"/>
  <c r="G16" i="24"/>
  <c r="C17" i="154"/>
  <c r="H35" i="59"/>
  <c r="Q22" i="59"/>
  <c r="R38" i="8"/>
  <c r="F36" i="140"/>
  <c r="I36" i="60" s="1"/>
  <c r="I35" i="257"/>
  <c r="G31" i="60"/>
  <c r="H199" i="59"/>
  <c r="H145" i="59"/>
  <c r="H113" i="59"/>
  <c r="G12" i="60"/>
  <c r="V10" i="21" s="1"/>
  <c r="E23" i="24"/>
  <c r="E15" i="24"/>
  <c r="F41" i="24"/>
  <c r="T40" i="21"/>
  <c r="C46" i="21"/>
  <c r="T10" i="21"/>
  <c r="D52" i="24"/>
  <c r="T15" i="21"/>
  <c r="H186" i="59"/>
  <c r="H165" i="59"/>
  <c r="H153" i="59"/>
  <c r="G23" i="24"/>
  <c r="P75" i="21"/>
  <c r="G75" i="24" s="1"/>
  <c r="F11" i="24"/>
  <c r="E41" i="24"/>
  <c r="X33" i="21"/>
  <c r="F20" i="24"/>
  <c r="M56" i="21"/>
  <c r="D56" i="24" s="1"/>
  <c r="K15" i="17"/>
  <c r="B85" i="140"/>
  <c r="R24" i="8"/>
  <c r="F13" i="140"/>
  <c r="I13" i="60" s="1"/>
  <c r="E30" i="24"/>
  <c r="E17" i="24"/>
  <c r="B82" i="24"/>
  <c r="H46" i="59"/>
  <c r="W26" i="21"/>
  <c r="E35" i="24"/>
  <c r="T20" i="21"/>
  <c r="E33" i="24"/>
  <c r="H33" i="24" s="1"/>
  <c r="H170" i="59"/>
  <c r="H147" i="59"/>
  <c r="H137" i="59"/>
  <c r="H126" i="59"/>
  <c r="H115" i="59"/>
  <c r="H105" i="59"/>
  <c r="H94" i="59"/>
  <c r="Q211" i="59"/>
  <c r="Q144" i="59"/>
  <c r="Q101" i="59"/>
  <c r="P84" i="21"/>
  <c r="X84" i="21" s="1"/>
  <c r="P77" i="21"/>
  <c r="E34" i="24"/>
  <c r="G29" i="24"/>
  <c r="D41" i="24"/>
  <c r="D12" i="24"/>
  <c r="J12" i="24" s="1"/>
  <c r="F14" i="140"/>
  <c r="I14" i="60" s="1"/>
  <c r="F19" i="140"/>
  <c r="I19" i="60" s="1"/>
  <c r="I42" i="257"/>
  <c r="D24" i="8"/>
  <c r="I23" i="13"/>
  <c r="F35" i="140"/>
  <c r="I35" i="60" s="1"/>
  <c r="F15" i="140"/>
  <c r="I15" i="60" s="1"/>
  <c r="Q17" i="59"/>
  <c r="H157" i="59"/>
  <c r="I23" i="24"/>
  <c r="D40" i="24"/>
  <c r="Q197" i="59"/>
  <c r="Q184" i="59"/>
  <c r="Q172" i="59"/>
  <c r="Q140" i="59"/>
  <c r="Q122" i="59"/>
  <c r="Q114" i="59"/>
  <c r="Q106" i="59"/>
  <c r="H13" i="59"/>
  <c r="H20" i="59"/>
  <c r="Q34" i="59"/>
  <c r="G16" i="19"/>
  <c r="H62" i="59"/>
  <c r="U43" i="21"/>
  <c r="H15" i="13"/>
  <c r="H206" i="59"/>
  <c r="X23" i="21"/>
  <c r="G32" i="60"/>
  <c r="D50" i="24"/>
  <c r="H37" i="13"/>
  <c r="H213" i="59"/>
  <c r="H204" i="59"/>
  <c r="H196" i="59"/>
  <c r="H174" i="59"/>
  <c r="H141" i="59"/>
  <c r="Q205" i="59"/>
  <c r="Q169" i="59"/>
  <c r="Q130" i="59"/>
  <c r="F46" i="24"/>
  <c r="I46" i="24" s="1"/>
  <c r="F43" i="140"/>
  <c r="I43" i="60" s="1"/>
  <c r="Q43" i="60" s="1"/>
  <c r="F18" i="140"/>
  <c r="I18" i="60" s="1"/>
  <c r="I18" i="10"/>
  <c r="H87" i="21"/>
  <c r="H20" i="13"/>
  <c r="T23" i="21"/>
  <c r="D35" i="24"/>
  <c r="S19" i="21"/>
  <c r="D18" i="24"/>
  <c r="J18" i="24" s="1"/>
  <c r="D58" i="24"/>
  <c r="W88" i="21"/>
  <c r="E69" i="24"/>
  <c r="D38" i="24"/>
  <c r="H211" i="59"/>
  <c r="H195" i="59"/>
  <c r="H163" i="59"/>
  <c r="H151" i="59"/>
  <c r="Q204" i="59"/>
  <c r="Q129" i="59"/>
  <c r="F17" i="24"/>
  <c r="G74" i="8"/>
  <c r="P74" i="8" s="1"/>
  <c r="G66" i="8"/>
  <c r="P66" i="8" s="1"/>
  <c r="B26" i="24"/>
  <c r="E33" i="116"/>
  <c r="F49" i="24"/>
  <c r="F51" i="24"/>
  <c r="T14" i="21"/>
  <c r="T18" i="21"/>
  <c r="F42" i="140"/>
  <c r="I42" i="60" s="1"/>
  <c r="N42" i="8"/>
  <c r="I34" i="257"/>
  <c r="D15" i="8"/>
  <c r="C41" i="13"/>
  <c r="G27" i="60"/>
  <c r="V25" i="21" s="1"/>
  <c r="U25" i="21"/>
  <c r="U31" i="21"/>
  <c r="G33" i="60"/>
  <c r="H198" i="59"/>
  <c r="H177" i="59"/>
  <c r="H143" i="59"/>
  <c r="H133" i="59"/>
  <c r="H122" i="59"/>
  <c r="H111" i="59"/>
  <c r="H101" i="59"/>
  <c r="Q149" i="59"/>
  <c r="Q141" i="59"/>
  <c r="P25" i="21"/>
  <c r="Q158" i="59"/>
  <c r="Q51" i="59"/>
  <c r="F21" i="140"/>
  <c r="I21" i="60" s="1"/>
  <c r="K11" i="60"/>
  <c r="D38" i="8"/>
  <c r="G28" i="60"/>
  <c r="V26" i="21" s="1"/>
  <c r="H25" i="59"/>
  <c r="H31" i="59"/>
  <c r="Q195" i="59"/>
  <c r="Q111" i="59"/>
  <c r="P65" i="21"/>
  <c r="X65" i="21" s="1"/>
  <c r="X34" i="21"/>
  <c r="U50" i="21"/>
  <c r="G37" i="60"/>
  <c r="V35" i="21" s="1"/>
  <c r="N45" i="59"/>
  <c r="D80" i="24"/>
  <c r="G9" i="59"/>
  <c r="Q127" i="59"/>
  <c r="T49" i="21"/>
  <c r="W57" i="21"/>
  <c r="N44" i="8"/>
  <c r="P47" i="21"/>
  <c r="G47" i="24" s="1"/>
  <c r="B49" i="15"/>
  <c r="U49" i="21" s="1"/>
  <c r="D23" i="24"/>
  <c r="D19" i="24"/>
  <c r="J19" i="24" s="1"/>
  <c r="S24" i="21"/>
  <c r="F18" i="24"/>
  <c r="I18" i="24" s="1"/>
  <c r="F14" i="24"/>
  <c r="D29" i="24"/>
  <c r="B34" i="24"/>
  <c r="H34" i="24" s="1"/>
  <c r="E21" i="24"/>
  <c r="G24" i="24"/>
  <c r="H209" i="59"/>
  <c r="Q201" i="59"/>
  <c r="Q155" i="59"/>
  <c r="Q135" i="59"/>
  <c r="Q118" i="59"/>
  <c r="F30" i="24"/>
  <c r="I30" i="24" s="1"/>
  <c r="G15" i="24"/>
  <c r="P80" i="21"/>
  <c r="E40" i="24"/>
  <c r="X28" i="21"/>
  <c r="G22" i="24"/>
  <c r="G14" i="24"/>
  <c r="J14" i="24" s="1"/>
  <c r="E10" i="24"/>
  <c r="M85" i="21"/>
  <c r="D85" i="24" s="1"/>
  <c r="F25" i="140"/>
  <c r="I25" i="60" s="1"/>
  <c r="F31" i="140"/>
  <c r="I31" i="60" s="1"/>
  <c r="D58" i="8"/>
  <c r="J58" i="8" s="1"/>
  <c r="H32" i="17"/>
  <c r="B20" i="24"/>
  <c r="T30" i="21"/>
  <c r="Q119" i="59"/>
  <c r="B16" i="24"/>
  <c r="G53" i="60"/>
  <c r="G36" i="60"/>
  <c r="V34" i="21" s="1"/>
  <c r="E24" i="24"/>
  <c r="F10" i="24"/>
  <c r="I10" i="24" s="1"/>
  <c r="D16" i="24"/>
  <c r="R44" i="23"/>
  <c r="H218" i="59"/>
  <c r="H208" i="59"/>
  <c r="Q209" i="59"/>
  <c r="Q200" i="59"/>
  <c r="Q143" i="59"/>
  <c r="Q134" i="59"/>
  <c r="Q117" i="59"/>
  <c r="P56" i="21"/>
  <c r="G56" i="24" s="1"/>
  <c r="E39" i="24"/>
  <c r="J21" i="17"/>
  <c r="F38" i="24"/>
  <c r="E84" i="24"/>
  <c r="W70" i="21"/>
  <c r="S22" i="23"/>
  <c r="H217" i="59"/>
  <c r="H207" i="59"/>
  <c r="H168" i="59"/>
  <c r="Q208" i="59"/>
  <c r="Q188" i="59"/>
  <c r="Q174" i="59"/>
  <c r="Q163" i="59"/>
  <c r="Q91" i="59"/>
  <c r="Q49" i="59"/>
  <c r="T37" i="21"/>
  <c r="F46" i="140"/>
  <c r="I46" i="60" s="1"/>
  <c r="F30" i="140"/>
  <c r="I30" i="60" s="1"/>
  <c r="H29" i="36"/>
  <c r="I38" i="257"/>
  <c r="F37" i="36"/>
  <c r="P37" i="36" s="1"/>
  <c r="Q196" i="59"/>
  <c r="Q113" i="59"/>
  <c r="U49" i="28"/>
  <c r="E36" i="24"/>
  <c r="V18" i="28"/>
  <c r="Q177" i="59"/>
  <c r="Q165" i="59"/>
  <c r="I86" i="257"/>
  <c r="C22" i="188"/>
  <c r="D22" i="188" s="1"/>
  <c r="D101" i="184"/>
  <c r="W42" i="21"/>
  <c r="H216" i="59"/>
  <c r="H155" i="59"/>
  <c r="H91" i="59"/>
  <c r="C66" i="13"/>
  <c r="S40" i="21"/>
  <c r="V30" i="28"/>
  <c r="E26" i="24"/>
  <c r="H26" i="24" s="1"/>
  <c r="H167" i="59"/>
  <c r="W36" i="21"/>
  <c r="K8" i="256"/>
  <c r="L8" i="256" s="1"/>
  <c r="U48" i="21"/>
  <c r="P101" i="184"/>
  <c r="G14" i="60"/>
  <c r="F29" i="24"/>
  <c r="I29" i="24" s="1"/>
  <c r="V38" i="28"/>
  <c r="V21" i="28"/>
  <c r="G12" i="24"/>
  <c r="H205" i="59"/>
  <c r="H187" i="59"/>
  <c r="H166" i="59"/>
  <c r="H154" i="59"/>
  <c r="Q207" i="59"/>
  <c r="Q198" i="59"/>
  <c r="Q187" i="59"/>
  <c r="Q162" i="59"/>
  <c r="Q132" i="59"/>
  <c r="Q123" i="59"/>
  <c r="Q115" i="59"/>
  <c r="Q107" i="59"/>
  <c r="P82" i="21"/>
  <c r="J18" i="12"/>
  <c r="D18" i="12" s="1"/>
  <c r="U35" i="28"/>
  <c r="Q217" i="59"/>
  <c r="E12" i="24"/>
  <c r="P61" i="21"/>
  <c r="AP13" i="167"/>
  <c r="J39" i="12"/>
  <c r="B26" i="25"/>
  <c r="F26" i="25" s="1"/>
  <c r="H17" i="17"/>
  <c r="M28" i="13"/>
  <c r="H37" i="17"/>
  <c r="K26" i="17"/>
  <c r="I26" i="9"/>
  <c r="C15" i="154"/>
  <c r="E17" i="116"/>
  <c r="I28" i="116"/>
  <c r="H43" i="36"/>
  <c r="G85" i="8"/>
  <c r="G77" i="8"/>
  <c r="P77" i="8" s="1"/>
  <c r="D54" i="8"/>
  <c r="F19" i="25"/>
  <c r="K17" i="12"/>
  <c r="K39" i="12"/>
  <c r="K35" i="12"/>
  <c r="E35" i="12" s="1"/>
  <c r="B35" i="13" s="1"/>
  <c r="R12" i="8"/>
  <c r="G60" i="8"/>
  <c r="P60" i="8" s="1"/>
  <c r="P51" i="12"/>
  <c r="R15" i="8"/>
  <c r="C20" i="154"/>
  <c r="Q46" i="9"/>
  <c r="L35" i="25"/>
  <c r="J43" i="17"/>
  <c r="I48" i="9"/>
  <c r="J48" i="9" s="1"/>
  <c r="I16" i="257"/>
  <c r="I29" i="10"/>
  <c r="P14" i="12"/>
  <c r="H15" i="17"/>
  <c r="M31" i="13"/>
  <c r="D20" i="25"/>
  <c r="H35" i="17"/>
  <c r="I43" i="257"/>
  <c r="P38" i="12"/>
  <c r="B24" i="25"/>
  <c r="R54" i="59"/>
  <c r="G54" i="21" s="1"/>
  <c r="E54" i="24" s="1"/>
  <c r="U22" i="21"/>
  <c r="U14" i="21"/>
  <c r="U29" i="21"/>
  <c r="R58" i="59"/>
  <c r="G58" i="21" s="1"/>
  <c r="J49" i="60"/>
  <c r="E49" i="60" s="1"/>
  <c r="P49" i="60" s="1"/>
  <c r="C42" i="13"/>
  <c r="R68" i="59"/>
  <c r="G68" i="21" s="1"/>
  <c r="H77" i="59"/>
  <c r="K19" i="12"/>
  <c r="L37" i="25"/>
  <c r="L24" i="25"/>
  <c r="Q120" i="59"/>
  <c r="Q112" i="59"/>
  <c r="B12" i="24"/>
  <c r="X13" i="21"/>
  <c r="N90" i="21"/>
  <c r="I47" i="257"/>
  <c r="I87" i="257"/>
  <c r="I71" i="257"/>
  <c r="I63" i="257"/>
  <c r="I55" i="257"/>
  <c r="P11" i="12"/>
  <c r="I54" i="257"/>
  <c r="I77" i="257"/>
  <c r="K31" i="17"/>
  <c r="K19" i="17"/>
  <c r="H36" i="36"/>
  <c r="J25" i="17"/>
  <c r="I25" i="17" s="1"/>
  <c r="E36" i="116"/>
  <c r="C11" i="128"/>
  <c r="E19" i="116"/>
  <c r="R51" i="8"/>
  <c r="K15" i="12"/>
  <c r="C27" i="154"/>
  <c r="P47" i="12"/>
  <c r="B39" i="25"/>
  <c r="F39" i="25" s="1"/>
  <c r="H31" i="36"/>
  <c r="M51" i="13"/>
  <c r="G72" i="8"/>
  <c r="P72" i="8" s="1"/>
  <c r="J31" i="17"/>
  <c r="J19" i="17"/>
  <c r="I16" i="116"/>
  <c r="N27" i="8"/>
  <c r="D78" i="8"/>
  <c r="K78" i="8" s="1"/>
  <c r="J37" i="12"/>
  <c r="L30" i="25"/>
  <c r="R16" i="8"/>
  <c r="K48" i="17"/>
  <c r="I48" i="17" s="1"/>
  <c r="B40" i="25"/>
  <c r="F40" i="25" s="1"/>
  <c r="B17" i="25"/>
  <c r="F17" i="25" s="1"/>
  <c r="Q48" i="9"/>
  <c r="G87" i="8"/>
  <c r="P87" i="8" s="1"/>
  <c r="G71" i="8"/>
  <c r="G63" i="8"/>
  <c r="P63" i="8" s="1"/>
  <c r="C41" i="154"/>
  <c r="J40" i="17"/>
  <c r="I40" i="17" s="1"/>
  <c r="K35" i="17"/>
  <c r="H31" i="17"/>
  <c r="J15" i="17"/>
  <c r="H19" i="17"/>
  <c r="I46" i="116"/>
  <c r="E16" i="116"/>
  <c r="E35" i="116"/>
  <c r="R17" i="8"/>
  <c r="C45" i="9"/>
  <c r="K45" i="268" s="1"/>
  <c r="C46" i="154"/>
  <c r="F12" i="25"/>
  <c r="G78" i="8"/>
  <c r="P78" i="8" s="1"/>
  <c r="G70" i="8"/>
  <c r="P70" i="8" s="1"/>
  <c r="C24" i="154"/>
  <c r="H78" i="17"/>
  <c r="K39" i="17"/>
  <c r="K20" i="17"/>
  <c r="E39" i="116"/>
  <c r="I34" i="116"/>
  <c r="I24" i="10"/>
  <c r="I30" i="10"/>
  <c r="N34" i="8"/>
  <c r="I15" i="257"/>
  <c r="D34" i="8"/>
  <c r="P52" i="9"/>
  <c r="E27" i="140"/>
  <c r="H27" i="60" s="1"/>
  <c r="F25" i="13"/>
  <c r="Q97" i="59"/>
  <c r="I26" i="116"/>
  <c r="E20" i="116"/>
  <c r="R25" i="8"/>
  <c r="F28" i="36"/>
  <c r="L28" i="36" s="1"/>
  <c r="E25" i="21"/>
  <c r="C25" i="13" s="1"/>
  <c r="V27" i="28"/>
  <c r="K39" i="14"/>
  <c r="L39" i="14" s="1"/>
  <c r="Q216" i="59"/>
  <c r="D64" i="24"/>
  <c r="G37" i="184"/>
  <c r="Q203" i="59"/>
  <c r="Q178" i="59"/>
  <c r="Q156" i="59"/>
  <c r="E78" i="116"/>
  <c r="I35" i="116"/>
  <c r="E32" i="116"/>
  <c r="I25" i="9"/>
  <c r="D30" i="8"/>
  <c r="J30" i="8" s="1"/>
  <c r="F12" i="36"/>
  <c r="D19" i="8"/>
  <c r="D71" i="8"/>
  <c r="J71" i="8" s="1"/>
  <c r="F30" i="36"/>
  <c r="L30" i="36" s="1"/>
  <c r="K14" i="9"/>
  <c r="K34" i="25"/>
  <c r="E20" i="24"/>
  <c r="E16" i="24"/>
  <c r="C38" i="100"/>
  <c r="U47" i="21"/>
  <c r="Q176" i="59"/>
  <c r="Q164" i="59"/>
  <c r="D63" i="8"/>
  <c r="J63" i="8" s="1"/>
  <c r="I30" i="257"/>
  <c r="I19" i="257"/>
  <c r="I14" i="10"/>
  <c r="H47" i="24"/>
  <c r="Q98" i="59"/>
  <c r="G73" i="8"/>
  <c r="P73" i="8" s="1"/>
  <c r="I25" i="116"/>
  <c r="H38" i="59"/>
  <c r="H34" i="59"/>
  <c r="Q47" i="59"/>
  <c r="D87" i="8"/>
  <c r="K87" i="8" s="1"/>
  <c r="D78" i="12"/>
  <c r="I73" i="257"/>
  <c r="D32" i="23"/>
  <c r="C32" i="13" s="1"/>
  <c r="U54" i="28"/>
  <c r="K38" i="25"/>
  <c r="P37" i="12"/>
  <c r="P18" i="12"/>
  <c r="C40" i="154"/>
  <c r="D79" i="8"/>
  <c r="J79" i="8" s="1"/>
  <c r="P43" i="12"/>
  <c r="P16" i="12"/>
  <c r="D86" i="8"/>
  <c r="J86" i="8" s="1"/>
  <c r="I32" i="257"/>
  <c r="K39" i="36"/>
  <c r="P46" i="12"/>
  <c r="P21" i="12"/>
  <c r="P13" i="12"/>
  <c r="C29" i="154"/>
  <c r="P39" i="12"/>
  <c r="P20" i="12"/>
  <c r="K19" i="25"/>
  <c r="H41" i="36"/>
  <c r="F79" i="21"/>
  <c r="I79" i="13" s="1"/>
  <c r="G81" i="60"/>
  <c r="V79" i="21" s="1"/>
  <c r="B79" i="14"/>
  <c r="U79" i="21" s="1"/>
  <c r="U20" i="28"/>
  <c r="K44" i="14"/>
  <c r="X41" i="21"/>
  <c r="W29" i="28"/>
  <c r="V25" i="28"/>
  <c r="C21" i="100"/>
  <c r="C43" i="100"/>
  <c r="G45" i="19"/>
  <c r="C79" i="13"/>
  <c r="H91" i="100"/>
  <c r="Q67" i="59"/>
  <c r="R67" i="59" s="1"/>
  <c r="G67" i="21" s="1"/>
  <c r="P87" i="21"/>
  <c r="U52" i="28"/>
  <c r="C61" i="13"/>
  <c r="J42" i="24"/>
  <c r="O91" i="21"/>
  <c r="W41" i="21"/>
  <c r="N90" i="59"/>
  <c r="C59" i="13"/>
  <c r="H11" i="59"/>
  <c r="H28" i="59"/>
  <c r="G13" i="60"/>
  <c r="V11" i="21" s="1"/>
  <c r="C88" i="100"/>
  <c r="G42" i="128"/>
  <c r="I28" i="24"/>
  <c r="V22" i="28"/>
  <c r="G40" i="102"/>
  <c r="H43" i="59"/>
  <c r="P9" i="59"/>
  <c r="C72" i="100"/>
  <c r="C19" i="100"/>
  <c r="U11" i="21"/>
  <c r="U38" i="21"/>
  <c r="U35" i="21"/>
  <c r="S16" i="23"/>
  <c r="U45" i="28"/>
  <c r="U41" i="28"/>
  <c r="U23" i="28"/>
  <c r="Q173" i="59"/>
  <c r="Q126" i="59"/>
  <c r="H117" i="59"/>
  <c r="C56" i="100"/>
  <c r="C15" i="100"/>
  <c r="G42" i="140"/>
  <c r="J42" i="60" s="1"/>
  <c r="F52" i="13"/>
  <c r="C52" i="14"/>
  <c r="D52" i="14" s="1"/>
  <c r="G52" i="13" s="1"/>
  <c r="C9" i="188"/>
  <c r="W30" i="21"/>
  <c r="G41" i="24"/>
  <c r="J41" i="24" s="1"/>
  <c r="D13" i="24"/>
  <c r="U36" i="28"/>
  <c r="U21" i="28"/>
  <c r="Q206" i="59"/>
  <c r="Q148" i="59"/>
  <c r="Q131" i="59"/>
  <c r="C88" i="13"/>
  <c r="C68" i="13"/>
  <c r="T27" i="21"/>
  <c r="J42" i="128"/>
  <c r="Q160" i="59"/>
  <c r="B30" i="24"/>
  <c r="W77" i="21"/>
  <c r="X32" i="21"/>
  <c r="C32" i="188"/>
  <c r="D32" i="188" s="1"/>
  <c r="H214" i="59"/>
  <c r="Q146" i="59"/>
  <c r="Q138" i="59"/>
  <c r="Q103" i="59"/>
  <c r="C82" i="13"/>
  <c r="C71" i="13"/>
  <c r="Q43" i="59"/>
  <c r="Q15" i="59"/>
  <c r="Q24" i="59"/>
  <c r="C80" i="100"/>
  <c r="C64" i="100"/>
  <c r="C11" i="100"/>
  <c r="K36" i="25"/>
  <c r="D34" i="24"/>
  <c r="J34" i="24" s="1"/>
  <c r="C8" i="185"/>
  <c r="X16" i="21"/>
  <c r="B8" i="185"/>
  <c r="T46" i="21"/>
  <c r="U27" i="28"/>
  <c r="U34" i="28"/>
  <c r="U33" i="21"/>
  <c r="H119" i="59"/>
  <c r="H98" i="59"/>
  <c r="D13" i="188"/>
  <c r="T37" i="184"/>
  <c r="C62" i="13"/>
  <c r="C83" i="13"/>
  <c r="H45" i="19"/>
  <c r="U18" i="28"/>
  <c r="E46" i="24"/>
  <c r="D8" i="185"/>
  <c r="D10" i="185" s="1"/>
  <c r="E7" i="187" s="1"/>
  <c r="X10" i="21"/>
  <c r="B79" i="24"/>
  <c r="H79" i="24" s="1"/>
  <c r="E13" i="187"/>
  <c r="D13" i="187" s="1"/>
  <c r="D15" i="188"/>
  <c r="D11" i="24"/>
  <c r="H203" i="59"/>
  <c r="Q192" i="59"/>
  <c r="Q110" i="59"/>
  <c r="Q93" i="59"/>
  <c r="D67" i="8"/>
  <c r="I67" i="8" s="1"/>
  <c r="L67" i="8" s="1"/>
  <c r="D59" i="8"/>
  <c r="J59" i="8" s="1"/>
  <c r="D47" i="8"/>
  <c r="K47" i="8" s="1"/>
  <c r="F13" i="187"/>
  <c r="G13" i="24"/>
  <c r="U32" i="28"/>
  <c r="D37" i="24"/>
  <c r="J37" i="24" s="1"/>
  <c r="W22" i="28"/>
  <c r="H193" i="59"/>
  <c r="H161" i="59"/>
  <c r="Q199" i="59"/>
  <c r="Q133" i="59"/>
  <c r="Q124" i="59"/>
  <c r="Q116" i="59"/>
  <c r="Q108" i="59"/>
  <c r="C80" i="13"/>
  <c r="Q30" i="59"/>
  <c r="Q18" i="59"/>
  <c r="C76" i="100"/>
  <c r="C60" i="100"/>
  <c r="D45" i="19"/>
  <c r="D42" i="8"/>
  <c r="H24" i="17"/>
  <c r="P44" i="12"/>
  <c r="Q60" i="59"/>
  <c r="R60" i="59" s="1"/>
  <c r="G60" i="21" s="1"/>
  <c r="D47" i="24"/>
  <c r="H49" i="24"/>
  <c r="J21" i="24"/>
  <c r="S11" i="23"/>
  <c r="J29" i="24"/>
  <c r="AL43" i="167"/>
  <c r="AP43" i="167" s="1"/>
  <c r="G57" i="140"/>
  <c r="J57" i="60" s="1"/>
  <c r="H55" i="257" s="1"/>
  <c r="G50" i="140"/>
  <c r="J50" i="60" s="1"/>
  <c r="H48" i="257" s="1"/>
  <c r="E30" i="140"/>
  <c r="H30" i="60" s="1"/>
  <c r="J30" i="24"/>
  <c r="Q34" i="60"/>
  <c r="H81" i="59"/>
  <c r="G86" i="140"/>
  <c r="J86" i="60" s="1"/>
  <c r="H84" i="257" s="1"/>
  <c r="R80" i="59"/>
  <c r="G80" i="21" s="1"/>
  <c r="J80" i="21" s="1"/>
  <c r="M81" i="15" s="1"/>
  <c r="H48" i="24"/>
  <c r="P57" i="21"/>
  <c r="H42" i="59"/>
  <c r="Q35" i="59"/>
  <c r="G80" i="140"/>
  <c r="J80" i="60" s="1"/>
  <c r="H78" i="257" s="1"/>
  <c r="H57" i="59"/>
  <c r="AM43" i="167"/>
  <c r="F92" i="60"/>
  <c r="F11" i="60"/>
  <c r="U15" i="28"/>
  <c r="Q159" i="59"/>
  <c r="C75" i="13"/>
  <c r="H26" i="59"/>
  <c r="H24" i="59"/>
  <c r="G21" i="60"/>
  <c r="V19" i="21" s="1"/>
  <c r="H100" i="59"/>
  <c r="C78" i="100"/>
  <c r="C66" i="100"/>
  <c r="C9" i="100"/>
  <c r="E47" i="116"/>
  <c r="J47" i="268"/>
  <c r="K47" i="268"/>
  <c r="H47" i="268"/>
  <c r="C39" i="100"/>
  <c r="C27" i="100"/>
  <c r="C45" i="100"/>
  <c r="E23" i="140"/>
  <c r="H23" i="60" s="1"/>
  <c r="I89" i="261"/>
  <c r="I89" i="268"/>
  <c r="E32" i="23"/>
  <c r="E40" i="23" s="1"/>
  <c r="I40" i="13" s="1"/>
  <c r="D18" i="188"/>
  <c r="F9" i="187" s="1"/>
  <c r="J11" i="24"/>
  <c r="V20" i="28"/>
  <c r="U29" i="28"/>
  <c r="U26" i="21"/>
  <c r="S30" i="23"/>
  <c r="V24" i="28"/>
  <c r="U24" i="28"/>
  <c r="U17" i="28"/>
  <c r="S37" i="23"/>
  <c r="P46" i="21"/>
  <c r="G46" i="24" s="1"/>
  <c r="J46" i="24" s="1"/>
  <c r="C73" i="13"/>
  <c r="C69" i="13"/>
  <c r="C65" i="13"/>
  <c r="H41" i="59"/>
  <c r="G16" i="60"/>
  <c r="V14" i="21" s="1"/>
  <c r="AP33" i="167"/>
  <c r="C82" i="100"/>
  <c r="G56" i="140"/>
  <c r="J56" i="60" s="1"/>
  <c r="H54" i="257" s="1"/>
  <c r="E19" i="140"/>
  <c r="H19" i="60" s="1"/>
  <c r="P35" i="12"/>
  <c r="P49" i="9"/>
  <c r="X75" i="21"/>
  <c r="G84" i="24"/>
  <c r="V15" i="28"/>
  <c r="V16" i="28"/>
  <c r="U22" i="28"/>
  <c r="U40" i="21"/>
  <c r="S29" i="23"/>
  <c r="W17" i="28"/>
  <c r="W15" i="28"/>
  <c r="E8" i="256"/>
  <c r="C84" i="13"/>
  <c r="C77" i="13"/>
  <c r="H19" i="59"/>
  <c r="H40" i="59"/>
  <c r="C31" i="100"/>
  <c r="C49" i="100"/>
  <c r="G82" i="140"/>
  <c r="J82" i="60" s="1"/>
  <c r="H80" i="257" s="1"/>
  <c r="D54" i="12"/>
  <c r="G54" i="12" s="1"/>
  <c r="N54" i="12" s="1"/>
  <c r="P40" i="12"/>
  <c r="J89" i="268"/>
  <c r="K89" i="268"/>
  <c r="H89" i="268"/>
  <c r="B50" i="25"/>
  <c r="J50" i="268"/>
  <c r="K50" i="268"/>
  <c r="H50" i="268"/>
  <c r="U30" i="28"/>
  <c r="W23" i="28"/>
  <c r="J17" i="24"/>
  <c r="W81" i="21"/>
  <c r="H50" i="24"/>
  <c r="U39" i="21"/>
  <c r="R30" i="23"/>
  <c r="S40" i="23"/>
  <c r="W26" i="28"/>
  <c r="W25" i="28"/>
  <c r="W16" i="28"/>
  <c r="U48" i="28"/>
  <c r="U19" i="28"/>
  <c r="L14" i="14"/>
  <c r="D14" i="13" s="1"/>
  <c r="W24" i="21"/>
  <c r="Q154" i="59"/>
  <c r="C62" i="100"/>
  <c r="E83" i="116"/>
  <c r="H83" i="268"/>
  <c r="AG49" i="167"/>
  <c r="C35" i="100"/>
  <c r="C23" i="100"/>
  <c r="Q88" i="59"/>
  <c r="R88" i="59" s="1"/>
  <c r="G88" i="21" s="1"/>
  <c r="I11" i="17"/>
  <c r="H54" i="268"/>
  <c r="K40" i="268"/>
  <c r="H40" i="268"/>
  <c r="J40" i="268"/>
  <c r="K36" i="268"/>
  <c r="H36" i="268"/>
  <c r="J36" i="268"/>
  <c r="H32" i="261"/>
  <c r="H32" i="268"/>
  <c r="H25" i="268"/>
  <c r="J25" i="268"/>
  <c r="K25" i="268"/>
  <c r="K20" i="268"/>
  <c r="H20" i="268"/>
  <c r="J20" i="268"/>
  <c r="K16" i="268"/>
  <c r="H16" i="268"/>
  <c r="J16" i="268"/>
  <c r="J11" i="268"/>
  <c r="K11" i="268"/>
  <c r="H11" i="268"/>
  <c r="H46" i="17"/>
  <c r="H46" i="268"/>
  <c r="J46" i="268"/>
  <c r="K46" i="268"/>
  <c r="I10" i="10"/>
  <c r="I27" i="10"/>
  <c r="H52" i="17"/>
  <c r="K52" i="268"/>
  <c r="H52" i="268"/>
  <c r="J52" i="268"/>
  <c r="J43" i="268"/>
  <c r="K43" i="268"/>
  <c r="H43" i="268"/>
  <c r="J39" i="268"/>
  <c r="K39" i="268"/>
  <c r="H39" i="268"/>
  <c r="J35" i="268"/>
  <c r="K35" i="268"/>
  <c r="H35" i="268"/>
  <c r="B31" i="25"/>
  <c r="D31" i="25" s="1"/>
  <c r="J31" i="268"/>
  <c r="K31" i="268"/>
  <c r="H31" i="268"/>
  <c r="H24" i="261"/>
  <c r="H24" i="268"/>
  <c r="J19" i="268"/>
  <c r="K19" i="268"/>
  <c r="H19" i="268"/>
  <c r="J15" i="268"/>
  <c r="K15" i="268"/>
  <c r="H15" i="268"/>
  <c r="K48" i="268"/>
  <c r="H48" i="268"/>
  <c r="J48" i="268"/>
  <c r="H78" i="268"/>
  <c r="H49" i="268"/>
  <c r="J49" i="268"/>
  <c r="K49" i="268"/>
  <c r="H42" i="268"/>
  <c r="J42" i="268"/>
  <c r="K42" i="268"/>
  <c r="H38" i="268"/>
  <c r="J38" i="268"/>
  <c r="K38" i="268"/>
  <c r="H34" i="17"/>
  <c r="H34" i="268"/>
  <c r="J34" i="268"/>
  <c r="K34" i="268"/>
  <c r="H29" i="268"/>
  <c r="J29" i="268"/>
  <c r="K29" i="268"/>
  <c r="H22" i="268"/>
  <c r="J22" i="268"/>
  <c r="K22" i="268"/>
  <c r="B18" i="25"/>
  <c r="D18" i="25" s="1"/>
  <c r="H18" i="268"/>
  <c r="J18" i="268"/>
  <c r="K18" i="268"/>
  <c r="K14" i="17"/>
  <c r="H14" i="268"/>
  <c r="J14" i="268"/>
  <c r="K14" i="268"/>
  <c r="H30" i="261"/>
  <c r="H30" i="268"/>
  <c r="K44" i="268"/>
  <c r="H44" i="268"/>
  <c r="J44" i="268"/>
  <c r="H77" i="268"/>
  <c r="H41" i="268"/>
  <c r="J41" i="268"/>
  <c r="K41" i="268"/>
  <c r="K37" i="17"/>
  <c r="I37" i="17" s="1"/>
  <c r="H37" i="268"/>
  <c r="J37" i="268"/>
  <c r="K37" i="268"/>
  <c r="H33" i="268"/>
  <c r="J33" i="268"/>
  <c r="K33" i="268"/>
  <c r="E26" i="116"/>
  <c r="H26" i="268"/>
  <c r="J26" i="268"/>
  <c r="K26" i="268"/>
  <c r="H21" i="268"/>
  <c r="J21" i="268"/>
  <c r="K21" i="268"/>
  <c r="H17" i="268"/>
  <c r="J17" i="268"/>
  <c r="K17" i="268"/>
  <c r="H12" i="261"/>
  <c r="H12" i="268"/>
  <c r="J51" i="268"/>
  <c r="K51" i="268"/>
  <c r="H51" i="268"/>
  <c r="E28" i="116"/>
  <c r="K28" i="268"/>
  <c r="H28" i="268"/>
  <c r="J28" i="268"/>
  <c r="V19" i="28"/>
  <c r="W56" i="21"/>
  <c r="I20" i="24"/>
  <c r="U38" i="28"/>
  <c r="U17" i="21"/>
  <c r="S42" i="23"/>
  <c r="L34" i="14"/>
  <c r="D34" i="13" s="1"/>
  <c r="E34" i="13" s="1"/>
  <c r="T34" i="13" s="1"/>
  <c r="W31" i="28"/>
  <c r="X73" i="21"/>
  <c r="H21" i="24"/>
  <c r="S33" i="23"/>
  <c r="W60" i="21"/>
  <c r="U30" i="21"/>
  <c r="H52" i="24"/>
  <c r="H22" i="24"/>
  <c r="V23" i="28"/>
  <c r="U36" i="21"/>
  <c r="K47" i="20"/>
  <c r="H36" i="24"/>
  <c r="W14" i="28"/>
  <c r="V14" i="28"/>
  <c r="W30" i="28"/>
  <c r="W20" i="28"/>
  <c r="U37" i="28"/>
  <c r="Q218" i="59"/>
  <c r="G91" i="100"/>
  <c r="M91" i="100"/>
  <c r="Q23" i="59"/>
  <c r="Q26" i="59"/>
  <c r="H116" i="59"/>
  <c r="H192" i="59"/>
  <c r="AP8" i="167"/>
  <c r="AL49" i="167"/>
  <c r="F29" i="140"/>
  <c r="I29" i="60" s="1"/>
  <c r="I70" i="257"/>
  <c r="AN49" i="167"/>
  <c r="H79" i="21"/>
  <c r="W32" i="28"/>
  <c r="V28" i="28"/>
  <c r="W18" i="28"/>
  <c r="V17" i="28"/>
  <c r="K93" i="60"/>
  <c r="O93" i="60" s="1"/>
  <c r="G55" i="140"/>
  <c r="X21" i="21"/>
  <c r="W32" i="21"/>
  <c r="Q171" i="59"/>
  <c r="C85" i="13"/>
  <c r="C76" i="13"/>
  <c r="C70" i="13"/>
  <c r="C74" i="13"/>
  <c r="H29" i="59"/>
  <c r="Q39" i="59"/>
  <c r="Q40" i="59"/>
  <c r="AP10" i="167"/>
  <c r="C41" i="100"/>
  <c r="C37" i="100"/>
  <c r="C33" i="100"/>
  <c r="C29" i="100"/>
  <c r="C25" i="100"/>
  <c r="C17" i="100"/>
  <c r="C13" i="100"/>
  <c r="C51" i="100"/>
  <c r="G63" i="140"/>
  <c r="J63" i="60" s="1"/>
  <c r="H61" i="257" s="1"/>
  <c r="G61" i="140"/>
  <c r="J61" i="60" s="1"/>
  <c r="H59" i="257" s="1"/>
  <c r="G53" i="140"/>
  <c r="J53" i="60" s="1"/>
  <c r="H51" i="257" s="1"/>
  <c r="G43" i="140"/>
  <c r="J43" i="60" s="1"/>
  <c r="E43" i="60" s="1"/>
  <c r="G14" i="140"/>
  <c r="J14" i="60" s="1"/>
  <c r="H12" i="257" s="1"/>
  <c r="G29" i="140"/>
  <c r="J29" i="60" s="1"/>
  <c r="H27" i="257" s="1"/>
  <c r="F19" i="36"/>
  <c r="L19" i="36" s="1"/>
  <c r="I84" i="257"/>
  <c r="I76" i="257"/>
  <c r="I64" i="257"/>
  <c r="I60" i="257"/>
  <c r="I56" i="257"/>
  <c r="G11" i="19"/>
  <c r="P52" i="21"/>
  <c r="P48" i="21"/>
  <c r="G48" i="24" s="1"/>
  <c r="X14" i="21"/>
  <c r="W78" i="21"/>
  <c r="Q170" i="59"/>
  <c r="C9" i="187"/>
  <c r="D9" i="187" s="1"/>
  <c r="C60" i="13"/>
  <c r="D52" i="100"/>
  <c r="C42" i="100"/>
  <c r="C34" i="100"/>
  <c r="C30" i="100"/>
  <c r="C26" i="100"/>
  <c r="C22" i="100"/>
  <c r="C18" i="100"/>
  <c r="C14" i="100"/>
  <c r="K89" i="100"/>
  <c r="C40" i="100"/>
  <c r="C36" i="100"/>
  <c r="C32" i="100"/>
  <c r="C28" i="100"/>
  <c r="C24" i="100"/>
  <c r="C20" i="100"/>
  <c r="C16" i="100"/>
  <c r="C12" i="100"/>
  <c r="H34" i="36"/>
  <c r="E37" i="140"/>
  <c r="H37" i="60" s="1"/>
  <c r="Q37" i="60" s="1"/>
  <c r="E39" i="140"/>
  <c r="H39" i="60" s="1"/>
  <c r="E44" i="140"/>
  <c r="H44" i="60" s="1"/>
  <c r="G89" i="25"/>
  <c r="I16" i="9"/>
  <c r="Q16" i="9"/>
  <c r="F13" i="36"/>
  <c r="P13" i="36" s="1"/>
  <c r="I22" i="10"/>
  <c r="O44" i="36"/>
  <c r="F38" i="36"/>
  <c r="P38" i="36" s="1"/>
  <c r="K41" i="36"/>
  <c r="D40" i="8"/>
  <c r="F44" i="36"/>
  <c r="L44" i="36" s="1"/>
  <c r="F43" i="36"/>
  <c r="L43" i="36" s="1"/>
  <c r="I41" i="10"/>
  <c r="F39" i="36"/>
  <c r="P39" i="36" s="1"/>
  <c r="G24" i="25"/>
  <c r="K24" i="25" s="1"/>
  <c r="I24" i="9"/>
  <c r="Q15" i="9"/>
  <c r="M15" i="13"/>
  <c r="J30" i="36"/>
  <c r="J26" i="9"/>
  <c r="M10" i="13"/>
  <c r="N20" i="8"/>
  <c r="I10" i="116"/>
  <c r="I15" i="116"/>
  <c r="G26" i="25"/>
  <c r="K26" i="25" s="1"/>
  <c r="I19" i="10"/>
  <c r="O43" i="36"/>
  <c r="D88" i="8"/>
  <c r="I88" i="8" s="1"/>
  <c r="L88" i="8" s="1"/>
  <c r="D60" i="8"/>
  <c r="K60" i="8" s="1"/>
  <c r="D35" i="8"/>
  <c r="D25" i="8"/>
  <c r="J25" i="8" s="1"/>
  <c r="C21" i="154"/>
  <c r="M19" i="13"/>
  <c r="N16" i="8"/>
  <c r="I38" i="116"/>
  <c r="I24" i="116"/>
  <c r="N35" i="8"/>
  <c r="D33" i="8"/>
  <c r="J33" i="8" s="1"/>
  <c r="I29" i="257"/>
  <c r="I14" i="257"/>
  <c r="I51" i="257"/>
  <c r="D43" i="8"/>
  <c r="J43" i="8" s="1"/>
  <c r="D80" i="8"/>
  <c r="J80" i="8" s="1"/>
  <c r="D16" i="8"/>
  <c r="J16" i="8" s="1"/>
  <c r="D76" i="8"/>
  <c r="K76" i="8" s="1"/>
  <c r="D64" i="8"/>
  <c r="J64" i="8" s="1"/>
  <c r="D20" i="8"/>
  <c r="J20" i="8" s="1"/>
  <c r="I15" i="10"/>
  <c r="I11" i="10"/>
  <c r="C26" i="128"/>
  <c r="K10" i="9"/>
  <c r="B46" i="25"/>
  <c r="R10" i="8"/>
  <c r="G16" i="25"/>
  <c r="K16" i="25" s="1"/>
  <c r="I39" i="17"/>
  <c r="Q10" i="9"/>
  <c r="D19" i="25"/>
  <c r="M34" i="13"/>
  <c r="M24" i="13"/>
  <c r="O19" i="25"/>
  <c r="Q24" i="9"/>
  <c r="I19" i="116"/>
  <c r="N39" i="8"/>
  <c r="I20" i="257"/>
  <c r="I39" i="257"/>
  <c r="I40" i="10"/>
  <c r="I31" i="9"/>
  <c r="X62" i="21"/>
  <c r="G62" i="24"/>
  <c r="X49" i="21"/>
  <c r="G85" i="24"/>
  <c r="J85" i="24" s="1"/>
  <c r="X85" i="21"/>
  <c r="U28" i="21"/>
  <c r="U32" i="21"/>
  <c r="F51" i="140"/>
  <c r="I51" i="60" s="1"/>
  <c r="D49" i="24"/>
  <c r="J49" i="24" s="1"/>
  <c r="C49" i="13"/>
  <c r="U15" i="21"/>
  <c r="U44" i="21"/>
  <c r="U37" i="21"/>
  <c r="H50" i="14"/>
  <c r="I50" i="14" s="1"/>
  <c r="F52" i="140"/>
  <c r="I52" i="60" s="1"/>
  <c r="C50" i="13"/>
  <c r="W48" i="21"/>
  <c r="D48" i="24"/>
  <c r="V41" i="21"/>
  <c r="H20" i="24"/>
  <c r="D17" i="13"/>
  <c r="E17" i="13" s="1"/>
  <c r="AP29" i="167"/>
  <c r="E31" i="140"/>
  <c r="H31" i="60" s="1"/>
  <c r="Q31" i="60" s="1"/>
  <c r="K39" i="15"/>
  <c r="L39" i="15" s="1"/>
  <c r="S19" i="23"/>
  <c r="U10" i="21"/>
  <c r="X37" i="21"/>
  <c r="P78" i="21"/>
  <c r="P72" i="21"/>
  <c r="Q210" i="59"/>
  <c r="Q202" i="59"/>
  <c r="Q186" i="59"/>
  <c r="Q183" i="59"/>
  <c r="Q33" i="59"/>
  <c r="Q14" i="59"/>
  <c r="H96" i="59"/>
  <c r="G72" i="140"/>
  <c r="J72" i="60" s="1"/>
  <c r="H70" i="257" s="1"/>
  <c r="G77" i="140"/>
  <c r="J77" i="60" s="1"/>
  <c r="H75" i="257" s="1"/>
  <c r="G41" i="140"/>
  <c r="J41" i="60" s="1"/>
  <c r="E12" i="140"/>
  <c r="G21" i="140"/>
  <c r="J21" i="60" s="1"/>
  <c r="E21" i="140"/>
  <c r="E18" i="140"/>
  <c r="H18" i="60" s="1"/>
  <c r="E15" i="140"/>
  <c r="H15" i="60" s="1"/>
  <c r="J34" i="13"/>
  <c r="F34" i="19" s="1"/>
  <c r="I32" i="24"/>
  <c r="H28" i="24"/>
  <c r="I33" i="24"/>
  <c r="U42" i="21"/>
  <c r="S18" i="23"/>
  <c r="D26" i="13"/>
  <c r="E26" i="13" s="1"/>
  <c r="T26" i="13" s="1"/>
  <c r="D22" i="13"/>
  <c r="E22" i="13" s="1"/>
  <c r="T22" i="13" s="1"/>
  <c r="D23" i="13"/>
  <c r="E23" i="13" s="1"/>
  <c r="T23" i="13" s="1"/>
  <c r="X42" i="21"/>
  <c r="X40" i="21"/>
  <c r="H136" i="59"/>
  <c r="G74" i="140"/>
  <c r="J74" i="60" s="1"/>
  <c r="H72" i="257" s="1"/>
  <c r="E32" i="140"/>
  <c r="H32" i="60" s="1"/>
  <c r="G26" i="140"/>
  <c r="J26" i="60" s="1"/>
  <c r="E26" i="60" s="1"/>
  <c r="G35" i="140"/>
  <c r="J35" i="60" s="1"/>
  <c r="H33" i="257" s="1"/>
  <c r="E28" i="140"/>
  <c r="H28" i="60" s="1"/>
  <c r="G34" i="140"/>
  <c r="J34" i="60" s="1"/>
  <c r="H32" i="257" s="1"/>
  <c r="H55" i="59"/>
  <c r="Q83" i="59"/>
  <c r="R61" i="59"/>
  <c r="G61" i="21" s="1"/>
  <c r="R56" i="59"/>
  <c r="G56" i="21" s="1"/>
  <c r="J56" i="21" s="1"/>
  <c r="M56" i="15" s="1"/>
  <c r="D42" i="13"/>
  <c r="P86" i="21"/>
  <c r="X86" i="21" s="1"/>
  <c r="Q104" i="59"/>
  <c r="H37" i="59"/>
  <c r="G23" i="60"/>
  <c r="AP36" i="167"/>
  <c r="G79" i="140"/>
  <c r="J79" i="60" s="1"/>
  <c r="H77" i="257" s="1"/>
  <c r="G67" i="140"/>
  <c r="J67" i="60" s="1"/>
  <c r="H65" i="257" s="1"/>
  <c r="G91" i="140"/>
  <c r="J91" i="60" s="1"/>
  <c r="H89" i="257" s="1"/>
  <c r="G87" i="140"/>
  <c r="J87" i="60" s="1"/>
  <c r="H85" i="257" s="1"/>
  <c r="E48" i="140"/>
  <c r="H48" i="60" s="1"/>
  <c r="H76" i="59"/>
  <c r="D65" i="24"/>
  <c r="W65" i="21"/>
  <c r="W83" i="21"/>
  <c r="D83" i="24"/>
  <c r="J22" i="24"/>
  <c r="H18" i="24"/>
  <c r="P71" i="21"/>
  <c r="I17" i="24"/>
  <c r="U24" i="21"/>
  <c r="U18" i="21"/>
  <c r="J44" i="24"/>
  <c r="X54" i="21"/>
  <c r="X81" i="21"/>
  <c r="J56" i="24"/>
  <c r="J23" i="24"/>
  <c r="I36" i="24"/>
  <c r="H42" i="24"/>
  <c r="H19" i="24"/>
  <c r="X30" i="21"/>
  <c r="P74" i="21"/>
  <c r="C48" i="14"/>
  <c r="D48" i="14" s="1"/>
  <c r="G48" i="13" s="1"/>
  <c r="F48" i="13"/>
  <c r="J28" i="24"/>
  <c r="I26" i="24"/>
  <c r="U20" i="21"/>
  <c r="H32" i="24"/>
  <c r="H35" i="24"/>
  <c r="U12" i="21"/>
  <c r="S14" i="23"/>
  <c r="S20" i="23"/>
  <c r="S34" i="23"/>
  <c r="L24" i="14"/>
  <c r="D24" i="13" s="1"/>
  <c r="E24" i="13" s="1"/>
  <c r="T24" i="13" s="1"/>
  <c r="D21" i="13"/>
  <c r="E21" i="13" s="1"/>
  <c r="T21" i="13" s="1"/>
  <c r="D15" i="13"/>
  <c r="E15" i="13" s="1"/>
  <c r="D11" i="13"/>
  <c r="E11" i="13" s="1"/>
  <c r="T11" i="13" s="1"/>
  <c r="H23" i="24"/>
  <c r="H15" i="24"/>
  <c r="I13" i="24"/>
  <c r="J24" i="24"/>
  <c r="I12" i="24"/>
  <c r="P66" i="21"/>
  <c r="X36" i="21"/>
  <c r="X17" i="21"/>
  <c r="X15" i="21"/>
  <c r="C49" i="14"/>
  <c r="D49" i="14" s="1"/>
  <c r="G49" i="13" s="1"/>
  <c r="F49" i="13"/>
  <c r="AF48" i="167"/>
  <c r="H59" i="59"/>
  <c r="Q99" i="59"/>
  <c r="H15" i="59"/>
  <c r="G40" i="60"/>
  <c r="V38" i="21" s="1"/>
  <c r="H184" i="59"/>
  <c r="AP40" i="167"/>
  <c r="AP37" i="167"/>
  <c r="G71" i="140"/>
  <c r="J71" i="60" s="1"/>
  <c r="H69" i="257" s="1"/>
  <c r="G75" i="140"/>
  <c r="J75" i="60" s="1"/>
  <c r="H73" i="257" s="1"/>
  <c r="G73" i="140"/>
  <c r="J73" i="60" s="1"/>
  <c r="H71" i="257" s="1"/>
  <c r="G51" i="140"/>
  <c r="J51" i="60" s="1"/>
  <c r="G33" i="140"/>
  <c r="J33" i="60" s="1"/>
  <c r="H31" i="257" s="1"/>
  <c r="E43" i="140"/>
  <c r="H43" i="60" s="1"/>
  <c r="E20" i="140"/>
  <c r="G32" i="140"/>
  <c r="J32" i="60" s="1"/>
  <c r="H30" i="257" s="1"/>
  <c r="E14" i="140"/>
  <c r="H14" i="60" s="1"/>
  <c r="E46" i="140"/>
  <c r="H46" i="60" s="1"/>
  <c r="Q46" i="60" s="1"/>
  <c r="E40" i="140"/>
  <c r="H40" i="60" s="1"/>
  <c r="E22" i="140"/>
  <c r="H22" i="60" s="1"/>
  <c r="G17" i="140"/>
  <c r="J17" i="60" s="1"/>
  <c r="H15" i="257" s="1"/>
  <c r="I38" i="10"/>
  <c r="J20" i="13"/>
  <c r="F20" i="19" s="1"/>
  <c r="E20" i="19" s="1"/>
  <c r="K38" i="9"/>
  <c r="F43" i="21"/>
  <c r="X29" i="21"/>
  <c r="P55" i="21"/>
  <c r="Q179" i="59"/>
  <c r="Q151" i="59"/>
  <c r="Q136" i="59"/>
  <c r="Q125" i="59"/>
  <c r="Q105" i="59"/>
  <c r="H44" i="59"/>
  <c r="G45" i="59"/>
  <c r="H39" i="59"/>
  <c r="H36" i="59"/>
  <c r="H21" i="59"/>
  <c r="Q27" i="59"/>
  <c r="G25" i="60"/>
  <c r="H160" i="59"/>
  <c r="E43" i="167"/>
  <c r="AP42" i="167"/>
  <c r="V49" i="167"/>
  <c r="G68" i="140"/>
  <c r="J68" i="60" s="1"/>
  <c r="H66" i="257" s="1"/>
  <c r="G59" i="140"/>
  <c r="J59" i="60" s="1"/>
  <c r="H57" i="257" s="1"/>
  <c r="G40" i="140"/>
  <c r="J40" i="60" s="1"/>
  <c r="G22" i="140"/>
  <c r="J22" i="60" s="1"/>
  <c r="H20" i="257" s="1"/>
  <c r="J41" i="13"/>
  <c r="F41" i="19" s="1"/>
  <c r="F9" i="59"/>
  <c r="I32" i="23"/>
  <c r="I12" i="23" s="1"/>
  <c r="X26" i="21"/>
  <c r="P88" i="21"/>
  <c r="P83" i="21"/>
  <c r="P50" i="21"/>
  <c r="W22" i="21"/>
  <c r="Q214" i="59"/>
  <c r="Q190" i="59"/>
  <c r="Q167" i="59"/>
  <c r="H33" i="59"/>
  <c r="H12" i="59"/>
  <c r="B41" i="24"/>
  <c r="G17" i="60"/>
  <c r="H176" i="59"/>
  <c r="H156" i="59"/>
  <c r="H124" i="59"/>
  <c r="H148" i="59"/>
  <c r="L43" i="167"/>
  <c r="AP32" i="167"/>
  <c r="AP26" i="167"/>
  <c r="AP23" i="167"/>
  <c r="AP21" i="167"/>
  <c r="AP19" i="167"/>
  <c r="AP9" i="167"/>
  <c r="G60" i="140"/>
  <c r="J60" i="60" s="1"/>
  <c r="H58" i="257" s="1"/>
  <c r="G54" i="140"/>
  <c r="J54" i="60" s="1"/>
  <c r="G78" i="140"/>
  <c r="J78" i="60" s="1"/>
  <c r="H76" i="257" s="1"/>
  <c r="J43" i="21"/>
  <c r="M43" i="15" s="1"/>
  <c r="G89" i="140"/>
  <c r="J89" i="60" s="1"/>
  <c r="H87" i="257" s="1"/>
  <c r="F32" i="140"/>
  <c r="I32" i="60" s="1"/>
  <c r="E42" i="140"/>
  <c r="H42" i="60" s="1"/>
  <c r="G28" i="140"/>
  <c r="J28" i="60" s="1"/>
  <c r="H26" i="257" s="1"/>
  <c r="E17" i="140"/>
  <c r="H17" i="60" s="1"/>
  <c r="I36" i="10"/>
  <c r="G52" i="140"/>
  <c r="J52" i="60" s="1"/>
  <c r="H50" i="257" s="1"/>
  <c r="P29" i="12"/>
  <c r="R74" i="59"/>
  <c r="G74" i="21" s="1"/>
  <c r="J34" i="12"/>
  <c r="J16" i="12"/>
  <c r="D16" i="12" s="1"/>
  <c r="J12" i="12"/>
  <c r="V36" i="21"/>
  <c r="E10" i="187"/>
  <c r="C24" i="188"/>
  <c r="D24" i="188" s="1"/>
  <c r="X61" i="21"/>
  <c r="G61" i="24"/>
  <c r="D9" i="185"/>
  <c r="D11" i="185" s="1"/>
  <c r="C35" i="188"/>
  <c r="V30" i="21"/>
  <c r="D54" i="24"/>
  <c r="J54" i="24" s="1"/>
  <c r="D84" i="24"/>
  <c r="W71" i="21"/>
  <c r="D71" i="24"/>
  <c r="H45" i="59"/>
  <c r="J81" i="24"/>
  <c r="X60" i="21"/>
  <c r="G60" i="24"/>
  <c r="J60" i="24" s="1"/>
  <c r="U41" i="21"/>
  <c r="S15" i="23"/>
  <c r="D62" i="24"/>
  <c r="W62" i="21"/>
  <c r="X56" i="21"/>
  <c r="X69" i="21"/>
  <c r="G69" i="24"/>
  <c r="J10" i="24"/>
  <c r="S28" i="23"/>
  <c r="S41" i="23"/>
  <c r="P90" i="59"/>
  <c r="I34" i="24"/>
  <c r="P59" i="21"/>
  <c r="G59" i="24" s="1"/>
  <c r="J59" i="24" s="1"/>
  <c r="F24" i="24"/>
  <c r="X24" i="21"/>
  <c r="H13" i="24"/>
  <c r="Q121" i="59"/>
  <c r="X35" i="21"/>
  <c r="F35" i="24"/>
  <c r="I35" i="24" s="1"/>
  <c r="J32" i="24"/>
  <c r="Q142" i="59"/>
  <c r="J15" i="24"/>
  <c r="J38" i="24"/>
  <c r="Q139" i="59"/>
  <c r="W87" i="21"/>
  <c r="Q166" i="59"/>
  <c r="AE68" i="184"/>
  <c r="K13" i="256"/>
  <c r="L13" i="256" s="1"/>
  <c r="K5" i="256"/>
  <c r="L5" i="256" s="1"/>
  <c r="K15" i="256"/>
  <c r="L15" i="256" s="1"/>
  <c r="K23" i="256"/>
  <c r="L23" i="256" s="1"/>
  <c r="K11" i="256"/>
  <c r="L11" i="256" s="1"/>
  <c r="K19" i="256"/>
  <c r="L19" i="256" s="1"/>
  <c r="H14" i="59"/>
  <c r="H51" i="24"/>
  <c r="I38" i="24"/>
  <c r="J40" i="24"/>
  <c r="I41" i="24"/>
  <c r="U47" i="28"/>
  <c r="D29" i="13"/>
  <c r="E29" i="13" s="1"/>
  <c r="T29" i="13" s="1"/>
  <c r="D20" i="13"/>
  <c r="E20" i="13" s="1"/>
  <c r="T20" i="13" s="1"/>
  <c r="B47" i="20"/>
  <c r="N47" i="20"/>
  <c r="V26" i="28"/>
  <c r="U28" i="28"/>
  <c r="U16" i="28"/>
  <c r="J26" i="24"/>
  <c r="J93" i="60"/>
  <c r="P93" i="60" s="1"/>
  <c r="P51" i="21"/>
  <c r="X18" i="21"/>
  <c r="H201" i="59"/>
  <c r="H130" i="59"/>
  <c r="B10" i="24"/>
  <c r="H10" i="24" s="1"/>
  <c r="G35" i="60"/>
  <c r="T33" i="21"/>
  <c r="E29" i="24"/>
  <c r="H29" i="24" s="1"/>
  <c r="T29" i="21"/>
  <c r="U89" i="21"/>
  <c r="I42" i="24"/>
  <c r="H38" i="24"/>
  <c r="I14" i="24"/>
  <c r="H17" i="24"/>
  <c r="I37" i="24"/>
  <c r="H11" i="24"/>
  <c r="U46" i="28"/>
  <c r="U31" i="28"/>
  <c r="U33" i="28"/>
  <c r="U44" i="28"/>
  <c r="U50" i="28"/>
  <c r="U14" i="28"/>
  <c r="S21" i="23"/>
  <c r="S23" i="23"/>
  <c r="D37" i="13"/>
  <c r="K34" i="14"/>
  <c r="D16" i="13"/>
  <c r="E16" i="13" s="1"/>
  <c r="N60" i="20"/>
  <c r="I15" i="24"/>
  <c r="U40" i="28"/>
  <c r="W28" i="28"/>
  <c r="W24" i="28"/>
  <c r="U42" i="28"/>
  <c r="U39" i="28"/>
  <c r="Q213" i="59"/>
  <c r="Q152" i="59"/>
  <c r="Q109" i="59"/>
  <c r="L44" i="14"/>
  <c r="D44" i="13" s="1"/>
  <c r="X39" i="21"/>
  <c r="X22" i="21"/>
  <c r="X20" i="21"/>
  <c r="X11" i="21"/>
  <c r="W12" i="21"/>
  <c r="Q175" i="59"/>
  <c r="Q128" i="59"/>
  <c r="C64" i="13"/>
  <c r="C57" i="13"/>
  <c r="C55" i="13"/>
  <c r="C67" i="13"/>
  <c r="E91" i="100"/>
  <c r="P64" i="21"/>
  <c r="Q28" i="59"/>
  <c r="N22" i="261"/>
  <c r="N22" i="17"/>
  <c r="H140" i="59"/>
  <c r="Q95" i="59"/>
  <c r="M40" i="102"/>
  <c r="X19" i="21"/>
  <c r="P76" i="21"/>
  <c r="P70" i="21"/>
  <c r="G70" i="24" s="1"/>
  <c r="J70" i="24" s="1"/>
  <c r="X38" i="21"/>
  <c r="Q194" i="59"/>
  <c r="B9" i="185"/>
  <c r="C63" i="13"/>
  <c r="C58" i="13"/>
  <c r="L91" i="100"/>
  <c r="I91" i="100"/>
  <c r="H27" i="59"/>
  <c r="N9" i="59"/>
  <c r="Q16" i="59"/>
  <c r="Q41" i="59"/>
  <c r="Q37" i="59"/>
  <c r="Q12" i="59"/>
  <c r="J91" i="100"/>
  <c r="G42" i="60"/>
  <c r="G29" i="60"/>
  <c r="H132" i="59"/>
  <c r="H108" i="59"/>
  <c r="H172" i="59"/>
  <c r="H104" i="59"/>
  <c r="T43" i="167"/>
  <c r="P43" i="167"/>
  <c r="I59" i="54"/>
  <c r="AC43" i="167"/>
  <c r="Y43" i="167"/>
  <c r="AP17" i="167"/>
  <c r="AE49" i="167"/>
  <c r="C48" i="100"/>
  <c r="D89" i="100"/>
  <c r="G66" i="140"/>
  <c r="J66" i="60" s="1"/>
  <c r="H64" i="257" s="1"/>
  <c r="G62" i="140"/>
  <c r="J62" i="60" s="1"/>
  <c r="H60" i="257" s="1"/>
  <c r="G69" i="140"/>
  <c r="J69" i="60" s="1"/>
  <c r="H67" i="257" s="1"/>
  <c r="G90" i="140"/>
  <c r="J90" i="60" s="1"/>
  <c r="H88" i="257" s="1"/>
  <c r="G64" i="140"/>
  <c r="J64" i="60" s="1"/>
  <c r="H62" i="257" s="1"/>
  <c r="G65" i="140"/>
  <c r="J65" i="60" s="1"/>
  <c r="H63" i="257" s="1"/>
  <c r="H43" i="167"/>
  <c r="D43" i="167"/>
  <c r="AJ43" i="167"/>
  <c r="Z43" i="167"/>
  <c r="AI49" i="167"/>
  <c r="D44" i="100"/>
  <c r="C51" i="14"/>
  <c r="D51" i="14" s="1"/>
  <c r="G51" i="13" s="1"/>
  <c r="F51" i="13"/>
  <c r="F50" i="13"/>
  <c r="C50" i="14"/>
  <c r="D50" i="14" s="1"/>
  <c r="G50" i="13" s="1"/>
  <c r="Q46" i="59"/>
  <c r="Q19" i="59"/>
  <c r="V54" i="28"/>
  <c r="G15" i="60"/>
  <c r="H212" i="59"/>
  <c r="H152" i="59"/>
  <c r="H128" i="59"/>
  <c r="H112" i="59"/>
  <c r="H164" i="59"/>
  <c r="H120" i="59"/>
  <c r="U43" i="167"/>
  <c r="M43" i="167"/>
  <c r="AG43" i="167"/>
  <c r="AP38" i="167"/>
  <c r="AP34" i="167"/>
  <c r="AP30" i="167"/>
  <c r="AP18" i="167"/>
  <c r="Y49" i="167"/>
  <c r="X48" i="167"/>
  <c r="K8" i="100"/>
  <c r="D8" i="100"/>
  <c r="G88" i="140"/>
  <c r="J88" i="60" s="1"/>
  <c r="H86" i="257" s="1"/>
  <c r="G70" i="140"/>
  <c r="J70" i="60" s="1"/>
  <c r="H68" i="257" s="1"/>
  <c r="G83" i="140"/>
  <c r="J83" i="60" s="1"/>
  <c r="H81" i="257" s="1"/>
  <c r="Q62" i="59"/>
  <c r="L35" i="23"/>
  <c r="AP39" i="167"/>
  <c r="AP35" i="167"/>
  <c r="AP31" i="167"/>
  <c r="AP24" i="167"/>
  <c r="AP22" i="167"/>
  <c r="AP20" i="167"/>
  <c r="AC49" i="167"/>
  <c r="AB48" i="167"/>
  <c r="C90" i="100"/>
  <c r="C50" i="100"/>
  <c r="C46" i="100"/>
  <c r="C10" i="100"/>
  <c r="J78" i="21"/>
  <c r="M78" i="15" s="1"/>
  <c r="F47" i="13"/>
  <c r="C47" i="14"/>
  <c r="D47" i="14" s="1"/>
  <c r="G47" i="13" s="1"/>
  <c r="I82" i="257"/>
  <c r="I78" i="257"/>
  <c r="I74" i="257"/>
  <c r="I66" i="257"/>
  <c r="I62" i="257"/>
  <c r="I58" i="257"/>
  <c r="I18" i="257"/>
  <c r="I10" i="257"/>
  <c r="H89" i="261"/>
  <c r="K89" i="261"/>
  <c r="J89" i="261"/>
  <c r="R73" i="59"/>
  <c r="G73" i="21" s="1"/>
  <c r="G58" i="140"/>
  <c r="J58" i="60" s="1"/>
  <c r="H56" i="257" s="1"/>
  <c r="G76" i="140"/>
  <c r="J76" i="60" s="1"/>
  <c r="H74" i="257" s="1"/>
  <c r="I43" i="21"/>
  <c r="G37" i="140"/>
  <c r="J37" i="60" s="1"/>
  <c r="G16" i="140"/>
  <c r="J16" i="60" s="1"/>
  <c r="E16" i="140"/>
  <c r="H16" i="60" s="1"/>
  <c r="G81" i="140"/>
  <c r="J81" i="60" s="1"/>
  <c r="G25" i="140"/>
  <c r="J25" i="60" s="1"/>
  <c r="H23" i="257" s="1"/>
  <c r="E26" i="140"/>
  <c r="D26" i="140" s="1"/>
  <c r="G30" i="140"/>
  <c r="J30" i="60" s="1"/>
  <c r="H28" i="257" s="1"/>
  <c r="G48" i="140"/>
  <c r="J48" i="60" s="1"/>
  <c r="H46" i="257" s="1"/>
  <c r="G31" i="140"/>
  <c r="J31" i="60" s="1"/>
  <c r="H29" i="257" s="1"/>
  <c r="G19" i="140"/>
  <c r="J19" i="60" s="1"/>
  <c r="H17" i="257" s="1"/>
  <c r="E38" i="140"/>
  <c r="H38" i="60" s="1"/>
  <c r="Q38" i="60" s="1"/>
  <c r="G13" i="140"/>
  <c r="J13" i="60" s="1"/>
  <c r="H11" i="8"/>
  <c r="J11" i="8" s="1"/>
  <c r="G23" i="140"/>
  <c r="J23" i="60" s="1"/>
  <c r="E23" i="60" s="1"/>
  <c r="W22" i="99"/>
  <c r="L22" i="99"/>
  <c r="I89" i="257"/>
  <c r="I85" i="257"/>
  <c r="I81" i="257"/>
  <c r="I69" i="257"/>
  <c r="I65" i="257"/>
  <c r="I61" i="257"/>
  <c r="I57" i="257"/>
  <c r="I52" i="257"/>
  <c r="B89" i="25"/>
  <c r="P28" i="12"/>
  <c r="E15" i="8"/>
  <c r="B15" i="9" s="1"/>
  <c r="H15" i="9" s="1"/>
  <c r="H86" i="21"/>
  <c r="I88" i="59"/>
  <c r="C88" i="21" s="1"/>
  <c r="F88" i="21" s="1"/>
  <c r="I77" i="59"/>
  <c r="I74" i="59"/>
  <c r="R63" i="59"/>
  <c r="G63" i="21" s="1"/>
  <c r="F47" i="21"/>
  <c r="J31" i="13"/>
  <c r="F31" i="19" s="1"/>
  <c r="E31" i="19" s="1"/>
  <c r="I88" i="257"/>
  <c r="I80" i="257"/>
  <c r="I72" i="257"/>
  <c r="I68" i="257"/>
  <c r="I31" i="257"/>
  <c r="E31" i="21"/>
  <c r="F33" i="140" s="1"/>
  <c r="I33" i="60" s="1"/>
  <c r="Q33" i="60" s="1"/>
  <c r="O45" i="59"/>
  <c r="F51" i="21"/>
  <c r="H43" i="21"/>
  <c r="G24" i="140"/>
  <c r="J24" i="60" s="1"/>
  <c r="E24" i="140"/>
  <c r="E25" i="140"/>
  <c r="D25" i="140" s="1"/>
  <c r="E36" i="140"/>
  <c r="H36" i="60" s="1"/>
  <c r="Q36" i="60" s="1"/>
  <c r="G18" i="140"/>
  <c r="J18" i="60" s="1"/>
  <c r="G38" i="140"/>
  <c r="J38" i="60" s="1"/>
  <c r="H36" i="257" s="1"/>
  <c r="E13" i="140"/>
  <c r="H13" i="60" s="1"/>
  <c r="H15" i="8"/>
  <c r="J15" i="8" s="1"/>
  <c r="I44" i="10"/>
  <c r="W43" i="99"/>
  <c r="W18" i="99"/>
  <c r="L220" i="59"/>
  <c r="I50" i="257"/>
  <c r="P47" i="9"/>
  <c r="H88" i="59"/>
  <c r="Q65" i="59"/>
  <c r="R65" i="59" s="1"/>
  <c r="G65" i="21" s="1"/>
  <c r="O60" i="59"/>
  <c r="F50" i="21"/>
  <c r="E52" i="140" s="1"/>
  <c r="O18" i="25"/>
  <c r="C37" i="128"/>
  <c r="K29" i="20"/>
  <c r="C35" i="10"/>
  <c r="F27" i="36"/>
  <c r="P27" i="36" s="1"/>
  <c r="O36" i="36"/>
  <c r="N19" i="20"/>
  <c r="O34" i="25"/>
  <c r="F20" i="36"/>
  <c r="P20" i="36" s="1"/>
  <c r="O32" i="25"/>
  <c r="C10" i="10"/>
  <c r="O22" i="25"/>
  <c r="O19" i="36"/>
  <c r="AG55" i="20"/>
  <c r="AJ34" i="20"/>
  <c r="F24" i="36"/>
  <c r="L24" i="36" s="1"/>
  <c r="R32" i="8"/>
  <c r="O16" i="25"/>
  <c r="I47" i="17"/>
  <c r="Q39" i="9"/>
  <c r="G39" i="25"/>
  <c r="K39" i="25" s="1"/>
  <c r="H44" i="36"/>
  <c r="I13" i="10"/>
  <c r="F11" i="36"/>
  <c r="L11" i="36" s="1"/>
  <c r="Q26" i="9"/>
  <c r="AJ13" i="20"/>
  <c r="G81" i="8"/>
  <c r="P81" i="8" s="1"/>
  <c r="O31" i="36"/>
  <c r="C53" i="154"/>
  <c r="C22" i="154"/>
  <c r="G15" i="25"/>
  <c r="K15" i="25" s="1"/>
  <c r="AG18" i="20"/>
  <c r="P10" i="12"/>
  <c r="K52" i="17"/>
  <c r="I52" i="17" s="1"/>
  <c r="E52" i="116"/>
  <c r="O25" i="36"/>
  <c r="H39" i="36"/>
  <c r="O16" i="36"/>
  <c r="B49" i="12"/>
  <c r="C34" i="10"/>
  <c r="N41" i="8"/>
  <c r="N18" i="8"/>
  <c r="I41" i="257"/>
  <c r="D41" i="8"/>
  <c r="J41" i="8" s="1"/>
  <c r="D29" i="8"/>
  <c r="J29" i="8" s="1"/>
  <c r="F34" i="36"/>
  <c r="L34" i="36" s="1"/>
  <c r="F16" i="36"/>
  <c r="L16" i="36" s="1"/>
  <c r="D84" i="8"/>
  <c r="K84" i="8" s="1"/>
  <c r="F36" i="36"/>
  <c r="P36" i="36" s="1"/>
  <c r="D83" i="12"/>
  <c r="K20" i="9"/>
  <c r="F20" i="25"/>
  <c r="D21" i="25"/>
  <c r="P50" i="12"/>
  <c r="R34" i="8"/>
  <c r="H83" i="17"/>
  <c r="I46" i="17"/>
  <c r="I31" i="116"/>
  <c r="H11" i="36"/>
  <c r="R31" i="8"/>
  <c r="N37" i="8"/>
  <c r="I33" i="257"/>
  <c r="D37" i="8"/>
  <c r="J37" i="8" s="1"/>
  <c r="D18" i="8"/>
  <c r="J18" i="8" s="1"/>
  <c r="I28" i="9"/>
  <c r="I12" i="10"/>
  <c r="D32" i="8"/>
  <c r="E22" i="8"/>
  <c r="O38" i="36"/>
  <c r="K37" i="12"/>
  <c r="K26" i="12"/>
  <c r="L43" i="25"/>
  <c r="L32" i="25"/>
  <c r="O29" i="25"/>
  <c r="J26" i="12"/>
  <c r="J22" i="12"/>
  <c r="J20" i="12"/>
  <c r="L18" i="25"/>
  <c r="N10" i="8"/>
  <c r="I20" i="10"/>
  <c r="O29" i="36"/>
  <c r="Q31" i="9"/>
  <c r="G61" i="8"/>
  <c r="P61" i="8" s="1"/>
  <c r="C45" i="154"/>
  <c r="N29" i="8"/>
  <c r="D74" i="8"/>
  <c r="I74" i="8" s="1"/>
  <c r="L74" i="8" s="1"/>
  <c r="N25" i="8"/>
  <c r="M39" i="13"/>
  <c r="M26" i="13"/>
  <c r="C22" i="128"/>
  <c r="I21" i="10"/>
  <c r="I34" i="20"/>
  <c r="J45" i="261"/>
  <c r="H45" i="261"/>
  <c r="B65" i="9"/>
  <c r="B65" i="12" s="1"/>
  <c r="G65" i="8"/>
  <c r="P65" i="8" s="1"/>
  <c r="P71" i="8"/>
  <c r="O18" i="36"/>
  <c r="I11" i="9"/>
  <c r="G11" i="25"/>
  <c r="K11" i="25" s="1"/>
  <c r="R36" i="8"/>
  <c r="Q36" i="9"/>
  <c r="I36" i="116"/>
  <c r="M36" i="13"/>
  <c r="M29" i="13"/>
  <c r="I29" i="116"/>
  <c r="R29" i="8"/>
  <c r="K21" i="9"/>
  <c r="I21" i="116"/>
  <c r="I17" i="116"/>
  <c r="M17" i="13"/>
  <c r="Q12" i="9"/>
  <c r="I12" i="116"/>
  <c r="O35" i="36"/>
  <c r="H49" i="36"/>
  <c r="C34" i="128"/>
  <c r="G33" i="10"/>
  <c r="I33" i="10" s="1"/>
  <c r="C48" i="128"/>
  <c r="C49" i="154"/>
  <c r="C24" i="128"/>
  <c r="C25" i="154"/>
  <c r="M27" i="13"/>
  <c r="I27" i="116"/>
  <c r="G86" i="8"/>
  <c r="P86" i="8" s="1"/>
  <c r="F21" i="25"/>
  <c r="X32" i="20"/>
  <c r="O11" i="36"/>
  <c r="R39" i="8"/>
  <c r="R23" i="8"/>
  <c r="J17" i="20"/>
  <c r="H17" i="20" s="1"/>
  <c r="AD17" i="20"/>
  <c r="D17" i="20"/>
  <c r="B17" i="20" s="1"/>
  <c r="X17" i="20"/>
  <c r="N51" i="8"/>
  <c r="C54" i="154"/>
  <c r="N31" i="8"/>
  <c r="C23" i="154"/>
  <c r="I23" i="10"/>
  <c r="I19" i="9"/>
  <c r="Q19" i="9"/>
  <c r="C18" i="128"/>
  <c r="I17" i="10"/>
  <c r="C19" i="154"/>
  <c r="F35" i="9"/>
  <c r="K35" i="9"/>
  <c r="G35" i="25"/>
  <c r="K35" i="25" s="1"/>
  <c r="I35" i="9"/>
  <c r="M16" i="13"/>
  <c r="M11" i="13"/>
  <c r="B83" i="9"/>
  <c r="K83" i="8"/>
  <c r="H77" i="261"/>
  <c r="B49" i="25"/>
  <c r="K49" i="261"/>
  <c r="J49" i="261"/>
  <c r="H49" i="261"/>
  <c r="J49" i="17"/>
  <c r="I49" i="17" s="1"/>
  <c r="E49" i="116"/>
  <c r="H49" i="17"/>
  <c r="F42" i="9"/>
  <c r="I42" i="116"/>
  <c r="R42" i="8"/>
  <c r="K42" i="261"/>
  <c r="J42" i="261"/>
  <c r="H42" i="261"/>
  <c r="E38" i="116"/>
  <c r="K38" i="261"/>
  <c r="H38" i="261"/>
  <c r="J38" i="261"/>
  <c r="K34" i="261"/>
  <c r="H34" i="261"/>
  <c r="J34" i="261"/>
  <c r="K29" i="261"/>
  <c r="J29" i="261"/>
  <c r="H29" i="261"/>
  <c r="K22" i="261"/>
  <c r="H22" i="261"/>
  <c r="J22" i="261"/>
  <c r="K18" i="261"/>
  <c r="H18" i="261"/>
  <c r="J18" i="261"/>
  <c r="J14" i="261"/>
  <c r="K14" i="261"/>
  <c r="H14" i="261"/>
  <c r="H51" i="261"/>
  <c r="K51" i="261"/>
  <c r="J51" i="261"/>
  <c r="C44" i="10"/>
  <c r="F21" i="36"/>
  <c r="L21" i="36" s="1"/>
  <c r="I51" i="9"/>
  <c r="B15" i="36"/>
  <c r="H15" i="36" s="1"/>
  <c r="N13" i="8"/>
  <c r="I44" i="36"/>
  <c r="D36" i="8"/>
  <c r="J36" i="8" s="1"/>
  <c r="B54" i="25"/>
  <c r="H54" i="261"/>
  <c r="K50" i="261"/>
  <c r="J50" i="261"/>
  <c r="H50" i="261"/>
  <c r="B41" i="25"/>
  <c r="D41" i="25" s="1"/>
  <c r="J41" i="261"/>
  <c r="H41" i="261"/>
  <c r="K41" i="261"/>
  <c r="B33" i="25"/>
  <c r="D33" i="25" s="1"/>
  <c r="H33" i="261"/>
  <c r="K33" i="261"/>
  <c r="J33" i="261"/>
  <c r="K21" i="261"/>
  <c r="J21" i="261"/>
  <c r="H21" i="261"/>
  <c r="J17" i="261"/>
  <c r="H17" i="261"/>
  <c r="K17" i="261"/>
  <c r="O34" i="36"/>
  <c r="Q14" i="9"/>
  <c r="M14" i="13"/>
  <c r="D24" i="25"/>
  <c r="R35" i="8"/>
  <c r="M46" i="13"/>
  <c r="H19" i="36"/>
  <c r="L20" i="25"/>
  <c r="Q28" i="9"/>
  <c r="J38" i="17"/>
  <c r="I38" i="17" s="1"/>
  <c r="Q51" i="9"/>
  <c r="M35" i="13"/>
  <c r="L22" i="25"/>
  <c r="B34" i="25"/>
  <c r="D34" i="25" s="1"/>
  <c r="B14" i="25"/>
  <c r="D14" i="25" s="1"/>
  <c r="L26" i="25"/>
  <c r="H19" i="20"/>
  <c r="O12" i="25"/>
  <c r="P52" i="12"/>
  <c r="G69" i="8"/>
  <c r="P69" i="8" s="1"/>
  <c r="C33" i="154"/>
  <c r="J33" i="17"/>
  <c r="I33" i="17" s="1"/>
  <c r="K28" i="17"/>
  <c r="H22" i="17"/>
  <c r="H21" i="17"/>
  <c r="K18" i="17"/>
  <c r="H50" i="17"/>
  <c r="H12" i="17"/>
  <c r="H26" i="17"/>
  <c r="H41" i="17"/>
  <c r="E54" i="116"/>
  <c r="E21" i="116"/>
  <c r="I11" i="116"/>
  <c r="I39" i="116"/>
  <c r="I51" i="116"/>
  <c r="E41" i="116"/>
  <c r="O24" i="36"/>
  <c r="N49" i="8"/>
  <c r="C32" i="10"/>
  <c r="C37" i="10"/>
  <c r="I38" i="36"/>
  <c r="B52" i="36"/>
  <c r="D52" i="36" s="1"/>
  <c r="K52" i="36" s="1"/>
  <c r="C14" i="10"/>
  <c r="R20" i="8"/>
  <c r="I25" i="257"/>
  <c r="N32" i="8"/>
  <c r="I48" i="257"/>
  <c r="D72" i="8"/>
  <c r="J72" i="8" s="1"/>
  <c r="B83" i="25"/>
  <c r="H83" i="261"/>
  <c r="B52" i="25"/>
  <c r="J52" i="261"/>
  <c r="H52" i="261"/>
  <c r="K52" i="261"/>
  <c r="H47" i="261"/>
  <c r="K47" i="261"/>
  <c r="J47" i="261"/>
  <c r="J40" i="261"/>
  <c r="H40" i="261"/>
  <c r="K40" i="261"/>
  <c r="H36" i="261"/>
  <c r="K36" i="261"/>
  <c r="J36" i="261"/>
  <c r="B25" i="25"/>
  <c r="D25" i="25" s="1"/>
  <c r="K25" i="261"/>
  <c r="J25" i="261"/>
  <c r="H25" i="261"/>
  <c r="J20" i="261"/>
  <c r="H20" i="261"/>
  <c r="K20" i="261"/>
  <c r="J16" i="261"/>
  <c r="H16" i="261"/>
  <c r="K16" i="261"/>
  <c r="K11" i="261"/>
  <c r="H11" i="261"/>
  <c r="J11" i="261"/>
  <c r="K43" i="12"/>
  <c r="K11" i="12"/>
  <c r="K48" i="261"/>
  <c r="J48" i="261"/>
  <c r="H48" i="261"/>
  <c r="J35" i="12"/>
  <c r="J29" i="12"/>
  <c r="C21" i="10"/>
  <c r="D44" i="8"/>
  <c r="H44" i="8" s="1"/>
  <c r="J44" i="8" s="1"/>
  <c r="F28" i="9"/>
  <c r="J37" i="261"/>
  <c r="H37" i="261"/>
  <c r="K37" i="261"/>
  <c r="H26" i="261"/>
  <c r="J26" i="261"/>
  <c r="K26" i="261"/>
  <c r="H46" i="261"/>
  <c r="J46" i="261"/>
  <c r="K46" i="261"/>
  <c r="K28" i="261"/>
  <c r="J28" i="261"/>
  <c r="H28" i="261"/>
  <c r="G59" i="8"/>
  <c r="P59" i="8" s="1"/>
  <c r="H38" i="17"/>
  <c r="B38" i="25"/>
  <c r="D38" i="25" s="1"/>
  <c r="H25" i="36"/>
  <c r="C28" i="154"/>
  <c r="P55" i="8"/>
  <c r="H20" i="36"/>
  <c r="J50" i="17"/>
  <c r="I50" i="17" s="1"/>
  <c r="G47" i="8"/>
  <c r="P47" i="8" s="1"/>
  <c r="B37" i="25"/>
  <c r="D37" i="25" s="1"/>
  <c r="B22" i="25"/>
  <c r="D22" i="25" s="1"/>
  <c r="N14" i="20"/>
  <c r="AG16" i="20"/>
  <c r="E47" i="20"/>
  <c r="Q35" i="9"/>
  <c r="G88" i="8"/>
  <c r="P88" i="8" s="1"/>
  <c r="C16" i="154"/>
  <c r="H33" i="17"/>
  <c r="J28" i="17"/>
  <c r="K17" i="17"/>
  <c r="I17" i="17" s="1"/>
  <c r="O43" i="25"/>
  <c r="F41" i="36"/>
  <c r="J41" i="17"/>
  <c r="I14" i="116"/>
  <c r="E12" i="116"/>
  <c r="N43" i="8"/>
  <c r="R40" i="8"/>
  <c r="N12" i="8"/>
  <c r="N28" i="8"/>
  <c r="C15" i="10"/>
  <c r="I12" i="257"/>
  <c r="I28" i="257"/>
  <c r="I13" i="257"/>
  <c r="R11" i="8"/>
  <c r="I46" i="257"/>
  <c r="D31" i="8"/>
  <c r="J31" i="8" s="1"/>
  <c r="D56" i="8"/>
  <c r="K56" i="8" s="1"/>
  <c r="D39" i="8"/>
  <c r="J39" i="8" s="1"/>
  <c r="D68" i="8"/>
  <c r="K68" i="8" s="1"/>
  <c r="D12" i="8"/>
  <c r="J12" i="8" s="1"/>
  <c r="D62" i="8"/>
  <c r="K62" i="8" s="1"/>
  <c r="I28" i="36"/>
  <c r="B78" i="25"/>
  <c r="H78" i="261"/>
  <c r="B28" i="25"/>
  <c r="D28" i="25" s="1"/>
  <c r="E41" i="8"/>
  <c r="P41" i="8" s="1"/>
  <c r="K43" i="261"/>
  <c r="J43" i="261"/>
  <c r="H43" i="261"/>
  <c r="J39" i="261"/>
  <c r="H39" i="261"/>
  <c r="K39" i="261"/>
  <c r="K35" i="261"/>
  <c r="H35" i="261"/>
  <c r="J35" i="261"/>
  <c r="K31" i="261"/>
  <c r="J31" i="261"/>
  <c r="H31" i="261"/>
  <c r="H19" i="261"/>
  <c r="K19" i="261"/>
  <c r="J19" i="261"/>
  <c r="K15" i="261"/>
  <c r="J15" i="261"/>
  <c r="H15" i="261"/>
  <c r="H44" i="261"/>
  <c r="J44" i="261"/>
  <c r="K44" i="261"/>
  <c r="O35" i="25"/>
  <c r="R19" i="8"/>
  <c r="N19" i="8"/>
  <c r="P75" i="8"/>
  <c r="D15" i="25"/>
  <c r="R28" i="8"/>
  <c r="P83" i="8"/>
  <c r="O21" i="20"/>
  <c r="N21" i="20" s="1"/>
  <c r="AJ21" i="20"/>
  <c r="AD55" i="20"/>
  <c r="O17" i="25"/>
  <c r="F10" i="36"/>
  <c r="P10" i="36" s="1"/>
  <c r="R41" i="8"/>
  <c r="I24" i="19"/>
  <c r="J24" i="19"/>
  <c r="K17" i="20"/>
  <c r="F24" i="25"/>
  <c r="I21" i="20"/>
  <c r="AG29" i="20"/>
  <c r="AA29" i="20"/>
  <c r="X26" i="20"/>
  <c r="L21" i="20"/>
  <c r="K21" i="20" s="1"/>
  <c r="AA21" i="20"/>
  <c r="AD32" i="20"/>
  <c r="I40" i="36"/>
  <c r="F40" i="36"/>
  <c r="E29" i="20"/>
  <c r="G33" i="25"/>
  <c r="I33" i="9"/>
  <c r="M33" i="13"/>
  <c r="C16" i="10"/>
  <c r="C11" i="10"/>
  <c r="K40" i="36"/>
  <c r="K19" i="36"/>
  <c r="D10" i="8"/>
  <c r="E10" i="8" s="1"/>
  <c r="D73" i="8"/>
  <c r="J73" i="8" s="1"/>
  <c r="E16" i="8"/>
  <c r="I16" i="8" s="1"/>
  <c r="L16" i="8" s="1"/>
  <c r="E42" i="8"/>
  <c r="J24" i="12"/>
  <c r="J40" i="12"/>
  <c r="J21" i="12"/>
  <c r="J19" i="12"/>
  <c r="J15" i="12"/>
  <c r="J11" i="12"/>
  <c r="D43" i="25"/>
  <c r="H16" i="20"/>
  <c r="O26" i="25"/>
  <c r="C17" i="10"/>
  <c r="C36" i="10"/>
  <c r="D70" i="8"/>
  <c r="J70" i="8" s="1"/>
  <c r="O41" i="36"/>
  <c r="O11" i="25"/>
  <c r="D22" i="8"/>
  <c r="D82" i="8"/>
  <c r="J82" i="8" s="1"/>
  <c r="M25" i="13"/>
  <c r="K31" i="9"/>
  <c r="E19" i="8"/>
  <c r="K19" i="8" s="1"/>
  <c r="E34" i="8"/>
  <c r="P34" i="8" s="1"/>
  <c r="K40" i="12"/>
  <c r="K36" i="12"/>
  <c r="K34" i="12"/>
  <c r="K32" i="12"/>
  <c r="K29" i="12"/>
  <c r="K24" i="12"/>
  <c r="K22" i="12"/>
  <c r="K20" i="12"/>
  <c r="K18" i="12"/>
  <c r="K16" i="12"/>
  <c r="J43" i="12"/>
  <c r="J38" i="12"/>
  <c r="J36" i="12"/>
  <c r="J32" i="12"/>
  <c r="H16" i="36"/>
  <c r="D66" i="8"/>
  <c r="K66" i="8" s="1"/>
  <c r="K24" i="9"/>
  <c r="O37" i="36"/>
  <c r="I36" i="9"/>
  <c r="K34" i="9"/>
  <c r="K26" i="9"/>
  <c r="K16" i="9"/>
  <c r="E39" i="8"/>
  <c r="I49" i="116"/>
  <c r="B44" i="25"/>
  <c r="J44" i="17"/>
  <c r="E44" i="116"/>
  <c r="K44" i="17"/>
  <c r="M44" i="13"/>
  <c r="I44" i="116"/>
  <c r="L31" i="36"/>
  <c r="I55" i="20"/>
  <c r="H55" i="20" s="1"/>
  <c r="L21" i="25"/>
  <c r="L40" i="25"/>
  <c r="X18" i="20"/>
  <c r="C18" i="20"/>
  <c r="B18" i="20" s="1"/>
  <c r="I15" i="36"/>
  <c r="F15" i="36"/>
  <c r="L15" i="36" s="1"/>
  <c r="C35" i="128"/>
  <c r="I34" i="10"/>
  <c r="C44" i="154"/>
  <c r="C43" i="128"/>
  <c r="I42" i="10"/>
  <c r="I38" i="9"/>
  <c r="F38" i="9"/>
  <c r="Q38" i="9"/>
  <c r="C17" i="128"/>
  <c r="C18" i="154"/>
  <c r="I16" i="10"/>
  <c r="K15" i="9"/>
  <c r="I15" i="9"/>
  <c r="B75" i="9"/>
  <c r="B75" i="12" s="1"/>
  <c r="E77" i="116"/>
  <c r="H77" i="17"/>
  <c r="D77" i="12"/>
  <c r="E40" i="8"/>
  <c r="B40" i="36"/>
  <c r="E32" i="8"/>
  <c r="B32" i="36"/>
  <c r="O32" i="36" s="1"/>
  <c r="E30" i="8"/>
  <c r="B30" i="36"/>
  <c r="E12" i="8"/>
  <c r="B12" i="36"/>
  <c r="B42" i="25"/>
  <c r="D42" i="25" s="1"/>
  <c r="H42" i="17"/>
  <c r="E42" i="116"/>
  <c r="J42" i="17"/>
  <c r="I42" i="17" s="1"/>
  <c r="E34" i="116"/>
  <c r="J34" i="17"/>
  <c r="K34" i="17"/>
  <c r="E29" i="116"/>
  <c r="H29" i="17"/>
  <c r="B29" i="25"/>
  <c r="J29" i="17"/>
  <c r="K29" i="17"/>
  <c r="J22" i="17"/>
  <c r="K22" i="17"/>
  <c r="E22" i="116"/>
  <c r="E18" i="116"/>
  <c r="H18" i="17"/>
  <c r="J18" i="17"/>
  <c r="H14" i="17"/>
  <c r="E14" i="116"/>
  <c r="J14" i="17"/>
  <c r="I23" i="257"/>
  <c r="N23" i="8"/>
  <c r="P23" i="12"/>
  <c r="L38" i="25"/>
  <c r="K38" i="12"/>
  <c r="L12" i="25"/>
  <c r="K12" i="12"/>
  <c r="B51" i="25"/>
  <c r="H51" i="17"/>
  <c r="E51" i="8"/>
  <c r="E51" i="116"/>
  <c r="J51" i="17"/>
  <c r="K51" i="17"/>
  <c r="B50" i="9"/>
  <c r="G50" i="8"/>
  <c r="P50" i="8" s="1"/>
  <c r="B30" i="25"/>
  <c r="E30" i="116"/>
  <c r="H30" i="17"/>
  <c r="L17" i="25"/>
  <c r="J17" i="12"/>
  <c r="M30" i="13"/>
  <c r="I30" i="116"/>
  <c r="R49" i="8"/>
  <c r="L11" i="25"/>
  <c r="N24" i="8"/>
  <c r="H30" i="20"/>
  <c r="AB20" i="20"/>
  <c r="F20" i="20" s="1"/>
  <c r="H38" i="36"/>
  <c r="AA32" i="20"/>
  <c r="N38" i="8"/>
  <c r="C42" i="10"/>
  <c r="K15" i="36"/>
  <c r="H17" i="36"/>
  <c r="I43" i="10"/>
  <c r="I39" i="10"/>
  <c r="I35" i="10"/>
  <c r="I31" i="10"/>
  <c r="I26" i="10"/>
  <c r="G45" i="10"/>
  <c r="C50" i="154"/>
  <c r="K39" i="9"/>
  <c r="I39" i="9"/>
  <c r="J32" i="19"/>
  <c r="I32" i="19"/>
  <c r="C29" i="128"/>
  <c r="I28" i="10"/>
  <c r="C30" i="154"/>
  <c r="Q43" i="9"/>
  <c r="I43" i="116"/>
  <c r="R43" i="8"/>
  <c r="F37" i="9"/>
  <c r="I37" i="116"/>
  <c r="R37" i="8"/>
  <c r="I32" i="116"/>
  <c r="M22" i="13"/>
  <c r="K18" i="9"/>
  <c r="I18" i="116"/>
  <c r="R18" i="8"/>
  <c r="G9" i="9"/>
  <c r="R13" i="8"/>
  <c r="I13" i="116"/>
  <c r="B77" i="25"/>
  <c r="B64" i="9"/>
  <c r="B64" i="12" s="1"/>
  <c r="K41" i="9"/>
  <c r="I41" i="116"/>
  <c r="E21" i="8"/>
  <c r="B21" i="36"/>
  <c r="H54" i="17"/>
  <c r="AA55" i="20"/>
  <c r="O39" i="36"/>
  <c r="C102" i="8"/>
  <c r="P28" i="36"/>
  <c r="AJ27" i="20"/>
  <c r="E55" i="20"/>
  <c r="AJ14" i="20"/>
  <c r="H9" i="10"/>
  <c r="G97" i="9"/>
  <c r="AD19" i="20"/>
  <c r="M38" i="13"/>
  <c r="L19" i="25"/>
  <c r="L15" i="25"/>
  <c r="P85" i="8"/>
  <c r="G62" i="8"/>
  <c r="P62" i="8" s="1"/>
  <c r="H44" i="17"/>
  <c r="R21" i="8"/>
  <c r="N21" i="8"/>
  <c r="R26" i="8"/>
  <c r="N26" i="8"/>
  <c r="K28" i="36"/>
  <c r="K34" i="36"/>
  <c r="I29" i="36"/>
  <c r="F29" i="36"/>
  <c r="K22" i="36"/>
  <c r="C49" i="128"/>
  <c r="G78" i="12"/>
  <c r="N78" i="12" s="1"/>
  <c r="D89" i="8"/>
  <c r="J89" i="8" s="1"/>
  <c r="D85" i="8"/>
  <c r="K85" i="8" s="1"/>
  <c r="P36" i="12"/>
  <c r="N36" i="8"/>
  <c r="P26" i="12"/>
  <c r="I26" i="257"/>
  <c r="N17" i="8"/>
  <c r="P17" i="12"/>
  <c r="P49" i="12"/>
  <c r="I49" i="257"/>
  <c r="B47" i="25"/>
  <c r="H47" i="17"/>
  <c r="I31" i="17"/>
  <c r="O40" i="25"/>
  <c r="H37" i="36"/>
  <c r="C49" i="10"/>
  <c r="C40" i="10"/>
  <c r="C20" i="10"/>
  <c r="C46" i="10"/>
  <c r="C18" i="10"/>
  <c r="D77" i="8"/>
  <c r="J77" i="8" s="1"/>
  <c r="I17" i="257"/>
  <c r="K29" i="36"/>
  <c r="D57" i="8"/>
  <c r="J57" i="8" s="1"/>
  <c r="D61" i="8"/>
  <c r="J61" i="8" s="1"/>
  <c r="D50" i="36"/>
  <c r="F26" i="9"/>
  <c r="D13" i="8"/>
  <c r="K19" i="9"/>
  <c r="D52" i="8"/>
  <c r="D48" i="8"/>
  <c r="H48" i="8" s="1"/>
  <c r="J48" i="8" s="1"/>
  <c r="D50" i="8"/>
  <c r="I50" i="8" s="1"/>
  <c r="L50" i="8" s="1"/>
  <c r="D27" i="8"/>
  <c r="H27" i="8" s="1"/>
  <c r="J27" i="8" s="1"/>
  <c r="E17" i="8"/>
  <c r="E24" i="8"/>
  <c r="I24" i="8" s="1"/>
  <c r="L24" i="8" s="1"/>
  <c r="E43" i="8"/>
  <c r="K55" i="20"/>
  <c r="B13" i="20"/>
  <c r="X16" i="20"/>
  <c r="O38" i="25"/>
  <c r="O36" i="25"/>
  <c r="G68" i="8"/>
  <c r="P68" i="8" s="1"/>
  <c r="C45" i="36"/>
  <c r="I21" i="257"/>
  <c r="K13" i="36"/>
  <c r="I25" i="36"/>
  <c r="J40" i="8"/>
  <c r="D69" i="8"/>
  <c r="K69" i="8" s="1"/>
  <c r="D21" i="8"/>
  <c r="K31" i="36"/>
  <c r="D9" i="17"/>
  <c r="D91" i="17" s="1"/>
  <c r="K36" i="9"/>
  <c r="D51" i="8"/>
  <c r="H51" i="8" s="1"/>
  <c r="J51" i="8" s="1"/>
  <c r="D77" i="9"/>
  <c r="G77" i="25" s="1"/>
  <c r="E20" i="8"/>
  <c r="E18" i="8"/>
  <c r="E25" i="8"/>
  <c r="E37" i="8"/>
  <c r="P37" i="8" s="1"/>
  <c r="D32" i="25"/>
  <c r="AE20" i="20"/>
  <c r="I20" i="20" s="1"/>
  <c r="X29" i="20"/>
  <c r="AJ55" i="20"/>
  <c r="O30" i="25"/>
  <c r="O20" i="25"/>
  <c r="G79" i="8"/>
  <c r="P79" i="8" s="1"/>
  <c r="I36" i="17"/>
  <c r="I35" i="17"/>
  <c r="I21" i="17"/>
  <c r="D65" i="8"/>
  <c r="K65" i="8" s="1"/>
  <c r="C28" i="10"/>
  <c r="I44" i="257"/>
  <c r="D12" i="25"/>
  <c r="D81" i="8"/>
  <c r="J81" i="8" s="1"/>
  <c r="D26" i="8"/>
  <c r="D28" i="8"/>
  <c r="H28" i="8" s="1"/>
  <c r="J28" i="8" s="1"/>
  <c r="E38" i="8"/>
  <c r="I38" i="8" s="1"/>
  <c r="L38" i="8" s="1"/>
  <c r="N55" i="20"/>
  <c r="E39" i="12"/>
  <c r="AE46" i="20"/>
  <c r="I46" i="20" s="1"/>
  <c r="AJ16" i="20"/>
  <c r="AB33" i="20"/>
  <c r="F33" i="20" s="1"/>
  <c r="F15" i="25"/>
  <c r="AJ29" i="20"/>
  <c r="H24" i="36"/>
  <c r="R27" i="8"/>
  <c r="J29" i="20"/>
  <c r="H29" i="20" s="1"/>
  <c r="AD29" i="20"/>
  <c r="K13" i="20"/>
  <c r="E17" i="20"/>
  <c r="K60" i="20"/>
  <c r="I51" i="36"/>
  <c r="F62" i="36"/>
  <c r="G48" i="36" s="1"/>
  <c r="F34" i="9"/>
  <c r="I34" i="9"/>
  <c r="Q34" i="9"/>
  <c r="C30" i="128"/>
  <c r="N22" i="8"/>
  <c r="R22" i="8"/>
  <c r="X13" i="20"/>
  <c r="K18" i="20"/>
  <c r="AD30" i="20"/>
  <c r="Y33" i="20"/>
  <c r="C33" i="20" s="1"/>
  <c r="AE66" i="20"/>
  <c r="P82" i="8"/>
  <c r="D16" i="20"/>
  <c r="B16" i="20" s="1"/>
  <c r="N40" i="8"/>
  <c r="AA34" i="20"/>
  <c r="H32" i="20"/>
  <c r="N13" i="20"/>
  <c r="AG17" i="20"/>
  <c r="C36" i="128"/>
  <c r="L15" i="99"/>
  <c r="E9" i="59"/>
  <c r="L21" i="98"/>
  <c r="W35" i="99"/>
  <c r="L42" i="98"/>
  <c r="W23" i="98"/>
  <c r="W28" i="98"/>
  <c r="L11" i="98"/>
  <c r="B29" i="20"/>
  <c r="AK59" i="20"/>
  <c r="O59" i="20" s="1"/>
  <c r="Y20" i="20"/>
  <c r="C20" i="20" s="1"/>
  <c r="X21" i="20"/>
  <c r="N12" i="20"/>
  <c r="I12" i="20"/>
  <c r="AE59" i="20"/>
  <c r="I59" i="20" s="1"/>
  <c r="F36" i="25"/>
  <c r="D36" i="25"/>
  <c r="B26" i="20"/>
  <c r="X30" i="20"/>
  <c r="C34" i="20"/>
  <c r="B34" i="20" s="1"/>
  <c r="AJ17" i="20"/>
  <c r="P17" i="20"/>
  <c r="N17" i="20" s="1"/>
  <c r="I19" i="17"/>
  <c r="I20" i="36"/>
  <c r="K20" i="36"/>
  <c r="O20" i="36"/>
  <c r="D55" i="8"/>
  <c r="J55" i="8" s="1"/>
  <c r="C53" i="8"/>
  <c r="I32" i="36"/>
  <c r="F32" i="36"/>
  <c r="L32" i="36" s="1"/>
  <c r="I46" i="9"/>
  <c r="K46" i="9"/>
  <c r="G46" i="25"/>
  <c r="N29" i="20"/>
  <c r="O39" i="25"/>
  <c r="O15" i="25"/>
  <c r="C29" i="10"/>
  <c r="I83" i="8"/>
  <c r="L83" i="8" s="1"/>
  <c r="C22" i="10"/>
  <c r="I39" i="36"/>
  <c r="K32" i="36"/>
  <c r="J34" i="8"/>
  <c r="I58" i="8"/>
  <c r="L58" i="8" s="1"/>
  <c r="K58" i="8"/>
  <c r="I36" i="36"/>
  <c r="K28" i="9"/>
  <c r="C50" i="128"/>
  <c r="F24" i="9"/>
  <c r="G31" i="25"/>
  <c r="F31" i="9"/>
  <c r="I16" i="36"/>
  <c r="I11" i="36"/>
  <c r="K11" i="9"/>
  <c r="F11" i="9"/>
  <c r="O21" i="25"/>
  <c r="P49" i="8"/>
  <c r="O24" i="25"/>
  <c r="C43" i="10"/>
  <c r="I43" i="36"/>
  <c r="J35" i="8"/>
  <c r="B14" i="9"/>
  <c r="I14" i="9"/>
  <c r="E48" i="8"/>
  <c r="K48" i="9"/>
  <c r="G48" i="25"/>
  <c r="F48" i="9"/>
  <c r="C19" i="10"/>
  <c r="K43" i="36"/>
  <c r="K29" i="9"/>
  <c r="C12" i="128"/>
  <c r="D39" i="12"/>
  <c r="F39" i="9"/>
  <c r="E36" i="8"/>
  <c r="C24" i="10"/>
  <c r="C41" i="10"/>
  <c r="C27" i="10"/>
  <c r="J19" i="8"/>
  <c r="C41" i="128"/>
  <c r="F46" i="9"/>
  <c r="F14" i="9"/>
  <c r="F10" i="9"/>
  <c r="D49" i="8"/>
  <c r="J49" i="8" s="1"/>
  <c r="B89" i="9"/>
  <c r="D78" i="9"/>
  <c r="E26" i="8"/>
  <c r="E44" i="8"/>
  <c r="D23" i="8"/>
  <c r="J23" i="8" s="1"/>
  <c r="B28" i="9"/>
  <c r="B53" i="8"/>
  <c r="D52" i="9"/>
  <c r="G45" i="9"/>
  <c r="E35" i="8"/>
  <c r="I35" i="8" s="1"/>
  <c r="L35" i="8" s="1"/>
  <c r="P54" i="8"/>
  <c r="C37" i="20"/>
  <c r="Y46" i="20"/>
  <c r="C46" i="20" s="1"/>
  <c r="F40" i="20"/>
  <c r="AB46" i="20"/>
  <c r="F46" i="20" s="1"/>
  <c r="I25" i="20"/>
  <c r="AE33" i="20"/>
  <c r="I33" i="20" s="1"/>
  <c r="L28" i="20"/>
  <c r="AH33" i="20"/>
  <c r="L33" i="20" s="1"/>
  <c r="AA18" i="20"/>
  <c r="G18" i="20"/>
  <c r="E18" i="20" s="1"/>
  <c r="M19" i="20"/>
  <c r="K19" i="20" s="1"/>
  <c r="AG19" i="20"/>
  <c r="X25" i="21"/>
  <c r="C8" i="187"/>
  <c r="D11" i="187"/>
  <c r="C49" i="20"/>
  <c r="Y66" i="20"/>
  <c r="AJ25" i="20"/>
  <c r="AK33" i="20"/>
  <c r="O33" i="20" s="1"/>
  <c r="O25" i="20"/>
  <c r="W25" i="21"/>
  <c r="D43" i="24"/>
  <c r="G80" i="24"/>
  <c r="J80" i="24" s="1"/>
  <c r="X80" i="21"/>
  <c r="E14" i="60"/>
  <c r="V12" i="21"/>
  <c r="AH46" i="20"/>
  <c r="L46" i="20" s="1"/>
  <c r="L37" i="20"/>
  <c r="AK46" i="20"/>
  <c r="O46" i="20" s="1"/>
  <c r="O37" i="20"/>
  <c r="M26" i="20"/>
  <c r="K26" i="20" s="1"/>
  <c r="AG26" i="20"/>
  <c r="M30" i="20"/>
  <c r="K30" i="20" s="1"/>
  <c r="AG30" i="20"/>
  <c r="P32" i="20"/>
  <c r="N32" i="20" s="1"/>
  <c r="AJ32" i="20"/>
  <c r="X55" i="20"/>
  <c r="D55" i="20"/>
  <c r="B55" i="20" s="1"/>
  <c r="F60" i="20"/>
  <c r="E60" i="20" s="1"/>
  <c r="AB66" i="20"/>
  <c r="W66" i="21"/>
  <c r="D66" i="24"/>
  <c r="V51" i="21"/>
  <c r="B46" i="14"/>
  <c r="U46" i="21" s="1"/>
  <c r="S46" i="21"/>
  <c r="B46" i="24"/>
  <c r="G48" i="60"/>
  <c r="V46" i="21" s="1"/>
  <c r="O50" i="20"/>
  <c r="AK66" i="20"/>
  <c r="E35" i="30"/>
  <c r="N42" i="13" s="1"/>
  <c r="W79" i="21"/>
  <c r="D79" i="24"/>
  <c r="D67" i="24"/>
  <c r="J67" i="24" s="1"/>
  <c r="W67" i="21"/>
  <c r="V31" i="21"/>
  <c r="E33" i="60"/>
  <c r="V29" i="21"/>
  <c r="E31" i="60"/>
  <c r="G65" i="24"/>
  <c r="H92" i="59"/>
  <c r="E90" i="59"/>
  <c r="AH59" i="20"/>
  <c r="L59" i="20" s="1"/>
  <c r="L50" i="20"/>
  <c r="B32" i="20"/>
  <c r="F31" i="20"/>
  <c r="E31" i="20" s="1"/>
  <c r="AA31" i="20"/>
  <c r="AJ26" i="20"/>
  <c r="P26" i="20"/>
  <c r="N26" i="20" s="1"/>
  <c r="AK20" i="20"/>
  <c r="O20" i="20" s="1"/>
  <c r="N20" i="20" s="1"/>
  <c r="G16" i="20"/>
  <c r="E16" i="20" s="1"/>
  <c r="AA16" i="20"/>
  <c r="AA19" i="20"/>
  <c r="G19" i="20"/>
  <c r="E19" i="20" s="1"/>
  <c r="E37" i="13"/>
  <c r="T37" i="13" s="1"/>
  <c r="H14" i="24"/>
  <c r="D9" i="188"/>
  <c r="C10" i="185"/>
  <c r="C7" i="187" s="1"/>
  <c r="D7" i="187" s="1"/>
  <c r="AH66" i="20"/>
  <c r="C9" i="185"/>
  <c r="C11" i="185" s="1"/>
  <c r="P12" i="36"/>
  <c r="L12" i="36"/>
  <c r="F25" i="20"/>
  <c r="E25" i="20" s="1"/>
  <c r="AA25" i="20"/>
  <c r="AA30" i="20"/>
  <c r="G30" i="20"/>
  <c r="E30" i="20" s="1"/>
  <c r="M31" i="20"/>
  <c r="K31" i="20" s="1"/>
  <c r="AG31" i="20"/>
  <c r="AG34" i="20"/>
  <c r="L34" i="20"/>
  <c r="K34" i="20" s="1"/>
  <c r="U23" i="21"/>
  <c r="U21" i="21"/>
  <c r="U19" i="21"/>
  <c r="M12" i="20"/>
  <c r="K12" i="20" s="1"/>
  <c r="AG12" i="20"/>
  <c r="AA12" i="20"/>
  <c r="F12" i="20"/>
  <c r="E12" i="20" s="1"/>
  <c r="T17" i="13"/>
  <c r="D16" i="25"/>
  <c r="O37" i="25"/>
  <c r="V24" i="21"/>
  <c r="D35" i="188"/>
  <c r="F11" i="25"/>
  <c r="D11" i="25"/>
  <c r="V48" i="21"/>
  <c r="G77" i="24"/>
  <c r="J77" i="24" s="1"/>
  <c r="X77" i="21"/>
  <c r="V20" i="21"/>
  <c r="D68" i="24"/>
  <c r="W68" i="21"/>
  <c r="D73" i="24"/>
  <c r="J73" i="24" s="1"/>
  <c r="C33" i="188"/>
  <c r="D27" i="188"/>
  <c r="X79" i="21"/>
  <c r="G79" i="24"/>
  <c r="F43" i="25"/>
  <c r="I21" i="24"/>
  <c r="L15" i="20"/>
  <c r="AH20" i="20"/>
  <c r="L20" i="20" s="1"/>
  <c r="D30" i="20"/>
  <c r="B30" i="20" s="1"/>
  <c r="X31" i="20"/>
  <c r="AJ30" i="20"/>
  <c r="O30" i="20"/>
  <c r="N30" i="20" s="1"/>
  <c r="B60" i="20"/>
  <c r="S44" i="23"/>
  <c r="X19" i="20"/>
  <c r="C19" i="20"/>
  <c r="B19" i="20" s="1"/>
  <c r="L100" i="26"/>
  <c r="K10" i="14"/>
  <c r="L10" i="14" s="1"/>
  <c r="D10" i="13" s="1"/>
  <c r="W21" i="28"/>
  <c r="U53" i="28"/>
  <c r="U25" i="28"/>
  <c r="X70" i="21"/>
  <c r="E6" i="174"/>
  <c r="AN43" i="167"/>
  <c r="AN48" i="167"/>
  <c r="AD16" i="20"/>
  <c r="AJ12" i="20"/>
  <c r="AG13" i="20"/>
  <c r="M16" i="20"/>
  <c r="K16" i="20" s="1"/>
  <c r="T27" i="13"/>
  <c r="I11" i="24"/>
  <c r="U43" i="28"/>
  <c r="AB59" i="20"/>
  <c r="F59" i="20" s="1"/>
  <c r="B31" i="20"/>
  <c r="AA17" i="20"/>
  <c r="D38" i="13"/>
  <c r="L99" i="26"/>
  <c r="D10" i="187"/>
  <c r="V40" i="21"/>
  <c r="AK43" i="167"/>
  <c r="AP11" i="167"/>
  <c r="AL48" i="167"/>
  <c r="N16" i="20"/>
  <c r="V89" i="21"/>
  <c r="G90" i="59"/>
  <c r="Q39" i="60"/>
  <c r="V37" i="21"/>
  <c r="J35" i="24"/>
  <c r="I24" i="24"/>
  <c r="H39" i="24"/>
  <c r="J16" i="24"/>
  <c r="C50" i="20"/>
  <c r="Y59" i="20"/>
  <c r="C59" i="20" s="1"/>
  <c r="E32" i="20"/>
  <c r="M32" i="20"/>
  <c r="K32" i="20" s="1"/>
  <c r="AG32" i="20"/>
  <c r="U16" i="21"/>
  <c r="U34" i="21"/>
  <c r="S26" i="23"/>
  <c r="S38" i="23"/>
  <c r="AJ19" i="20"/>
  <c r="D40" i="13"/>
  <c r="D19" i="13"/>
  <c r="D35" i="25"/>
  <c r="L101" i="26"/>
  <c r="I40" i="24"/>
  <c r="W27" i="28"/>
  <c r="W19" i="28"/>
  <c r="H44" i="24"/>
  <c r="D61" i="24"/>
  <c r="W61" i="21"/>
  <c r="V33" i="21"/>
  <c r="E25" i="60"/>
  <c r="V23" i="21"/>
  <c r="P43" i="21"/>
  <c r="X43" i="21" s="1"/>
  <c r="P68" i="21"/>
  <c r="G68" i="24" s="1"/>
  <c r="M76" i="21"/>
  <c r="D76" i="24" s="1"/>
  <c r="M72" i="21"/>
  <c r="D72" i="24" s="1"/>
  <c r="K21" i="256"/>
  <c r="L21" i="256" s="1"/>
  <c r="K17" i="256"/>
  <c r="L17" i="256" s="1"/>
  <c r="G84" i="8"/>
  <c r="P84" i="8" s="1"/>
  <c r="G80" i="8"/>
  <c r="P80" i="8" s="1"/>
  <c r="G64" i="8"/>
  <c r="P64" i="8" s="1"/>
  <c r="G58" i="8"/>
  <c r="G30" i="60"/>
  <c r="G19" i="60"/>
  <c r="AE43" i="167"/>
  <c r="K52" i="100"/>
  <c r="C52" i="100" s="1"/>
  <c r="AD49" i="167"/>
  <c r="C47" i="100"/>
  <c r="AD48" i="167"/>
  <c r="AP41" i="167"/>
  <c r="AJ48" i="167"/>
  <c r="E43" i="24"/>
  <c r="H43" i="24" s="1"/>
  <c r="Z48" i="167"/>
  <c r="K44" i="100"/>
  <c r="H24" i="257"/>
  <c r="J39" i="21"/>
  <c r="H39" i="21" s="1"/>
  <c r="H26" i="60"/>
  <c r="D17" i="8"/>
  <c r="C14" i="8"/>
  <c r="J67" i="8"/>
  <c r="H14" i="257"/>
  <c r="G27" i="140"/>
  <c r="J27" i="60" s="1"/>
  <c r="E27" i="60" s="1"/>
  <c r="D37" i="140"/>
  <c r="C37" i="140" s="1"/>
  <c r="B37" i="140" s="1"/>
  <c r="H12" i="60"/>
  <c r="D12" i="140"/>
  <c r="D46" i="140"/>
  <c r="C30" i="10"/>
  <c r="K38" i="36"/>
  <c r="E29" i="140"/>
  <c r="K63" i="8"/>
  <c r="I21" i="36"/>
  <c r="K26" i="36"/>
  <c r="F61" i="36"/>
  <c r="I37" i="36"/>
  <c r="K37" i="36"/>
  <c r="G84" i="140"/>
  <c r="J84" i="60" s="1"/>
  <c r="H82" i="257" s="1"/>
  <c r="C39" i="10"/>
  <c r="G45" i="140"/>
  <c r="J45" i="60" s="1"/>
  <c r="E45" i="60" s="1"/>
  <c r="G12" i="140"/>
  <c r="J12" i="60" s="1"/>
  <c r="D43" i="140"/>
  <c r="C43" i="140" s="1"/>
  <c r="B43" i="140" s="1"/>
  <c r="J54" i="8"/>
  <c r="K54" i="8"/>
  <c r="I54" i="8"/>
  <c r="D30" i="140"/>
  <c r="I22" i="257"/>
  <c r="I27" i="257"/>
  <c r="J38" i="8"/>
  <c r="K86" i="8"/>
  <c r="I86" i="8"/>
  <c r="L86" i="8" s="1"/>
  <c r="C48" i="10"/>
  <c r="C31" i="10"/>
  <c r="C13" i="10"/>
  <c r="G36" i="140"/>
  <c r="J36" i="60" s="1"/>
  <c r="D38" i="140"/>
  <c r="C38" i="140" s="1"/>
  <c r="B38" i="140" s="1"/>
  <c r="M38" i="140" s="1"/>
  <c r="G44" i="140"/>
  <c r="J44" i="60" s="1"/>
  <c r="G15" i="140"/>
  <c r="J15" i="60" s="1"/>
  <c r="I41" i="36"/>
  <c r="I79" i="8"/>
  <c r="L79" i="8" s="1"/>
  <c r="K79" i="8"/>
  <c r="K36" i="36"/>
  <c r="G20" i="140"/>
  <c r="J20" i="60" s="1"/>
  <c r="H18" i="257" s="1"/>
  <c r="G46" i="140"/>
  <c r="J46" i="60" s="1"/>
  <c r="C38" i="10"/>
  <c r="J83" i="8"/>
  <c r="E35" i="140"/>
  <c r="K21" i="36"/>
  <c r="C26" i="10"/>
  <c r="G39" i="140"/>
  <c r="J39" i="60" s="1"/>
  <c r="E39" i="60" s="1"/>
  <c r="D17" i="140"/>
  <c r="C17" i="140" s="1"/>
  <c r="B17" i="140" s="1"/>
  <c r="D34" i="140"/>
  <c r="C34" i="140" s="1"/>
  <c r="B34" i="140" s="1"/>
  <c r="M34" i="140" s="1"/>
  <c r="I11" i="257"/>
  <c r="K44" i="36"/>
  <c r="I34" i="36"/>
  <c r="K16" i="36"/>
  <c r="J76" i="8"/>
  <c r="K30" i="36"/>
  <c r="I24" i="36"/>
  <c r="K24" i="36"/>
  <c r="I31" i="36"/>
  <c r="D47" i="36"/>
  <c r="C12" i="10"/>
  <c r="I36" i="257"/>
  <c r="D44" i="140"/>
  <c r="D23" i="140"/>
  <c r="J24" i="8"/>
  <c r="I12" i="36"/>
  <c r="K12" i="36"/>
  <c r="K59" i="8"/>
  <c r="K27" i="36"/>
  <c r="K71" i="8"/>
  <c r="I71" i="8"/>
  <c r="L71" i="8" s="1"/>
  <c r="I19" i="36"/>
  <c r="K11" i="36"/>
  <c r="I24" i="257"/>
  <c r="I40" i="257"/>
  <c r="I37" i="257"/>
  <c r="H47" i="21"/>
  <c r="J24" i="13"/>
  <c r="J33" i="13"/>
  <c r="F33" i="19" s="1"/>
  <c r="I30" i="19"/>
  <c r="J30" i="19"/>
  <c r="L91" i="21"/>
  <c r="F36" i="9"/>
  <c r="B9" i="8"/>
  <c r="F19" i="9"/>
  <c r="H86" i="59"/>
  <c r="I86" i="59" s="1"/>
  <c r="H73" i="59"/>
  <c r="H68" i="59"/>
  <c r="H56" i="59"/>
  <c r="I56" i="59" s="1"/>
  <c r="R9" i="59"/>
  <c r="H54" i="59"/>
  <c r="B45" i="8"/>
  <c r="B28" i="36"/>
  <c r="K12" i="59"/>
  <c r="K9" i="59" s="1"/>
  <c r="I9" i="59"/>
  <c r="H85" i="59"/>
  <c r="I85" i="59" s="1"/>
  <c r="H71" i="59"/>
  <c r="H65" i="59"/>
  <c r="I65" i="59" s="1"/>
  <c r="C65" i="21" s="1"/>
  <c r="C101" i="8"/>
  <c r="C46" i="8" s="1"/>
  <c r="F16" i="9"/>
  <c r="F15" i="9"/>
  <c r="B33" i="9"/>
  <c r="F82" i="21"/>
  <c r="D82" i="21" s="1"/>
  <c r="E12" i="23"/>
  <c r="I12" i="13" s="1"/>
  <c r="D47" i="9"/>
  <c r="E31" i="8"/>
  <c r="E29" i="8"/>
  <c r="E11" i="8"/>
  <c r="D36" i="23"/>
  <c r="C36" i="13" s="1"/>
  <c r="H61" i="59"/>
  <c r="R72" i="59"/>
  <c r="G72" i="21" s="1"/>
  <c r="I72" i="59"/>
  <c r="H84" i="59"/>
  <c r="I84" i="59" s="1"/>
  <c r="H70" i="59"/>
  <c r="H64" i="59"/>
  <c r="C87" i="21"/>
  <c r="J68" i="21"/>
  <c r="M68" i="15" s="1"/>
  <c r="H75" i="59"/>
  <c r="H69" i="59"/>
  <c r="I69" i="59" s="1"/>
  <c r="H63" i="59"/>
  <c r="D54" i="9"/>
  <c r="H84" i="21"/>
  <c r="J61" i="21"/>
  <c r="M61" i="15" s="1"/>
  <c r="F89" i="21"/>
  <c r="I89" i="13" s="1"/>
  <c r="H83" i="59"/>
  <c r="I81" i="59"/>
  <c r="C81" i="21" s="1"/>
  <c r="H78" i="59"/>
  <c r="I78" i="59" s="1"/>
  <c r="H67" i="59"/>
  <c r="I67" i="59" s="1"/>
  <c r="J88" i="21"/>
  <c r="M89" i="15" s="1"/>
  <c r="I57" i="59"/>
  <c r="C57" i="21" s="1"/>
  <c r="F90" i="59"/>
  <c r="R82" i="59"/>
  <c r="G82" i="21" s="1"/>
  <c r="Q77" i="59"/>
  <c r="R77" i="59" s="1"/>
  <c r="G77" i="21" s="1"/>
  <c r="D39" i="23"/>
  <c r="H80" i="59"/>
  <c r="H60" i="59"/>
  <c r="I60" i="59" s="1"/>
  <c r="J88" i="59"/>
  <c r="J53" i="59" s="1"/>
  <c r="J220" i="59" s="1"/>
  <c r="I62" i="59"/>
  <c r="F53" i="59"/>
  <c r="E58" i="59"/>
  <c r="Q85" i="59"/>
  <c r="R85" i="59" s="1"/>
  <c r="G85" i="21" s="1"/>
  <c r="R83" i="59"/>
  <c r="G83" i="21" s="1"/>
  <c r="O9" i="59"/>
  <c r="D79" i="21"/>
  <c r="B46" i="9"/>
  <c r="H69" i="21"/>
  <c r="H89" i="21"/>
  <c r="F45" i="59"/>
  <c r="Q75" i="59"/>
  <c r="I76" i="59"/>
  <c r="R62" i="59"/>
  <c r="G62" i="21" s="1"/>
  <c r="Q59" i="59"/>
  <c r="Q57" i="59"/>
  <c r="F49" i="21"/>
  <c r="I36" i="23"/>
  <c r="I35" i="23"/>
  <c r="H66" i="59"/>
  <c r="I59" i="59"/>
  <c r="R76" i="59"/>
  <c r="G76" i="21" s="1"/>
  <c r="R70" i="59"/>
  <c r="G70" i="21" s="1"/>
  <c r="Q66" i="59"/>
  <c r="F52" i="21"/>
  <c r="E54" i="140" s="1"/>
  <c r="F48" i="21"/>
  <c r="H32" i="23"/>
  <c r="H36" i="23" s="1"/>
  <c r="R81" i="59"/>
  <c r="G81" i="21" s="1"/>
  <c r="R71" i="59"/>
  <c r="G71" i="21" s="1"/>
  <c r="R64" i="59"/>
  <c r="G64" i="21" s="1"/>
  <c r="Q55" i="59"/>
  <c r="O67" i="59"/>
  <c r="O53" i="59" s="1"/>
  <c r="O90" i="59"/>
  <c r="D43" i="21"/>
  <c r="I39" i="23"/>
  <c r="F39" i="21"/>
  <c r="G9" i="10" l="1"/>
  <c r="Q13" i="60"/>
  <c r="Q22" i="60"/>
  <c r="E51" i="60"/>
  <c r="P51" i="60" s="1"/>
  <c r="E36" i="23"/>
  <c r="I36" i="13" s="1"/>
  <c r="I63" i="8"/>
  <c r="L63" i="8" s="1"/>
  <c r="J69" i="24"/>
  <c r="Q28" i="60"/>
  <c r="X67" i="21"/>
  <c r="H16" i="24"/>
  <c r="E18" i="60"/>
  <c r="H47" i="257"/>
  <c r="E34" i="19"/>
  <c r="G58" i="24"/>
  <c r="J58" i="24" s="1"/>
  <c r="Q18" i="60"/>
  <c r="E39" i="23"/>
  <c r="E53" i="60"/>
  <c r="H24" i="24"/>
  <c r="H40" i="24"/>
  <c r="T51" i="21"/>
  <c r="C23" i="140"/>
  <c r="B23" i="140" s="1"/>
  <c r="D28" i="140"/>
  <c r="C28" i="140" s="1"/>
  <c r="B28" i="140" s="1"/>
  <c r="D26" i="25"/>
  <c r="W86" i="21"/>
  <c r="L36" i="99"/>
  <c r="Q44" i="60"/>
  <c r="H30" i="24"/>
  <c r="I68" i="8"/>
  <c r="L68" i="8" s="1"/>
  <c r="Q68" i="8" s="1"/>
  <c r="D36" i="140"/>
  <c r="H41" i="24"/>
  <c r="I26" i="17"/>
  <c r="I43" i="17"/>
  <c r="X47" i="21"/>
  <c r="J47" i="24"/>
  <c r="W85" i="21"/>
  <c r="W82" i="21"/>
  <c r="I32" i="13"/>
  <c r="W42" i="98"/>
  <c r="I15" i="17"/>
  <c r="Q14" i="60"/>
  <c r="L37" i="36"/>
  <c r="D19" i="140"/>
  <c r="H87" i="13"/>
  <c r="C87" i="15"/>
  <c r="T87" i="21"/>
  <c r="F87" i="24"/>
  <c r="L35" i="99"/>
  <c r="I82" i="8"/>
  <c r="L82" i="8" s="1"/>
  <c r="H12" i="24"/>
  <c r="J13" i="24"/>
  <c r="F18" i="25"/>
  <c r="I25" i="8"/>
  <c r="L25" i="8" s="1"/>
  <c r="Q25" i="8" s="1"/>
  <c r="G82" i="24"/>
  <c r="J82" i="24" s="1"/>
  <c r="X82" i="21"/>
  <c r="N91" i="21"/>
  <c r="F27" i="140"/>
  <c r="K30" i="8"/>
  <c r="E19" i="12"/>
  <c r="J25" i="9"/>
  <c r="L31" i="99"/>
  <c r="P44" i="36"/>
  <c r="K20" i="8"/>
  <c r="K34" i="8"/>
  <c r="I59" i="8"/>
  <c r="L59" i="8" s="1"/>
  <c r="O53" i="257"/>
  <c r="Q53" i="257" s="1"/>
  <c r="I64" i="59"/>
  <c r="R57" i="59"/>
  <c r="G57" i="21" s="1"/>
  <c r="I70" i="59"/>
  <c r="C70" i="21" s="1"/>
  <c r="G72" i="60" s="1"/>
  <c r="E72" i="60" s="1"/>
  <c r="C72" i="60" s="1"/>
  <c r="O70" i="257" s="1"/>
  <c r="Q70" i="257" s="1"/>
  <c r="D19" i="12"/>
  <c r="R59" i="59"/>
  <c r="G59" i="21" s="1"/>
  <c r="M83" i="8"/>
  <c r="N83" i="8" s="1"/>
  <c r="D35" i="23"/>
  <c r="C35" i="13" s="1"/>
  <c r="D34" i="12"/>
  <c r="G34" i="12" s="1"/>
  <c r="N34" i="12" s="1"/>
  <c r="J16" i="9"/>
  <c r="J58" i="21"/>
  <c r="E58" i="24"/>
  <c r="B58" i="15"/>
  <c r="Q45" i="59"/>
  <c r="E35" i="60"/>
  <c r="F12" i="9"/>
  <c r="B12" i="10" s="1"/>
  <c r="C12" i="19" s="1"/>
  <c r="B38" i="10"/>
  <c r="C32" i="23"/>
  <c r="G32" i="13" s="1"/>
  <c r="D48" i="140"/>
  <c r="I55" i="59"/>
  <c r="C55" i="21" s="1"/>
  <c r="D37" i="12"/>
  <c r="G37" i="12" s="1"/>
  <c r="N37" i="12" s="1"/>
  <c r="I80" i="59"/>
  <c r="R75" i="59"/>
  <c r="G75" i="21" s="1"/>
  <c r="G77" i="60" s="1"/>
  <c r="E77" i="60" s="1"/>
  <c r="C77" i="60" s="1"/>
  <c r="O75" i="257" s="1"/>
  <c r="Q75" i="257" s="1"/>
  <c r="I75" i="59"/>
  <c r="C75" i="21" s="1"/>
  <c r="I61" i="59"/>
  <c r="D38" i="12"/>
  <c r="I42" i="8"/>
  <c r="L42" i="8" s="1"/>
  <c r="J78" i="12"/>
  <c r="I66" i="59"/>
  <c r="K66" i="59" s="1"/>
  <c r="I63" i="59"/>
  <c r="I83" i="59"/>
  <c r="D22" i="12"/>
  <c r="B68" i="15"/>
  <c r="E68" i="24"/>
  <c r="R55" i="59"/>
  <c r="G55" i="21" s="1"/>
  <c r="E55" i="24" s="1"/>
  <c r="I73" i="59"/>
  <c r="C73" i="21" s="1"/>
  <c r="R66" i="59"/>
  <c r="G66" i="21" s="1"/>
  <c r="I71" i="59"/>
  <c r="E16" i="12"/>
  <c r="H16" i="12" s="1"/>
  <c r="O16" i="12" s="1"/>
  <c r="D11" i="12"/>
  <c r="I47" i="8"/>
  <c r="L47" i="8" s="1"/>
  <c r="I20" i="17"/>
  <c r="I68" i="59"/>
  <c r="C68" i="21" s="1"/>
  <c r="E15" i="12"/>
  <c r="H15" i="12" s="1"/>
  <c r="O15" i="12" s="1"/>
  <c r="J54" i="21"/>
  <c r="B54" i="15"/>
  <c r="H49" i="257"/>
  <c r="D18" i="140"/>
  <c r="C18" i="140" s="1"/>
  <c r="B18" i="140" s="1"/>
  <c r="L16" i="257" s="1"/>
  <c r="D22" i="140"/>
  <c r="C22" i="140" s="1"/>
  <c r="B22" i="140" s="1"/>
  <c r="X48" i="21"/>
  <c r="D15" i="140"/>
  <c r="H25" i="60"/>
  <c r="C26" i="140"/>
  <c r="B26" i="140" s="1"/>
  <c r="D42" i="140"/>
  <c r="C42" i="140" s="1"/>
  <c r="B42" i="140" s="1"/>
  <c r="C49" i="60"/>
  <c r="O47" i="257" s="1"/>
  <c r="J87" i="8"/>
  <c r="E12" i="12"/>
  <c r="B12" i="13" s="1"/>
  <c r="F37" i="25"/>
  <c r="K45" i="261"/>
  <c r="I45" i="261" s="1"/>
  <c r="P30" i="36"/>
  <c r="J45" i="268"/>
  <c r="I45" i="268" s="1"/>
  <c r="D39" i="25"/>
  <c r="I64" i="8"/>
  <c r="L64" i="8" s="1"/>
  <c r="D40" i="25"/>
  <c r="J45" i="17"/>
  <c r="I76" i="8"/>
  <c r="L76" i="8" s="1"/>
  <c r="J42" i="8"/>
  <c r="J78" i="8"/>
  <c r="H45" i="17"/>
  <c r="H45" i="268"/>
  <c r="K73" i="8"/>
  <c r="G52" i="8"/>
  <c r="P52" i="8" s="1"/>
  <c r="I57" i="8"/>
  <c r="L57" i="8" s="1"/>
  <c r="P43" i="36"/>
  <c r="K64" i="8"/>
  <c r="K45" i="17"/>
  <c r="I40" i="8"/>
  <c r="L40" i="8" s="1"/>
  <c r="I78" i="8"/>
  <c r="L78" i="8" s="1"/>
  <c r="D17" i="25"/>
  <c r="X46" i="21"/>
  <c r="H35" i="12"/>
  <c r="O35" i="12" s="1"/>
  <c r="E35" i="23"/>
  <c r="I35" i="13" s="1"/>
  <c r="I69" i="8"/>
  <c r="L69" i="8" s="1"/>
  <c r="I65" i="8"/>
  <c r="L65" i="8" s="1"/>
  <c r="Q37" i="9"/>
  <c r="Q44" i="9"/>
  <c r="J69" i="8"/>
  <c r="I41" i="9"/>
  <c r="Q41" i="9"/>
  <c r="F34" i="25"/>
  <c r="K37" i="9"/>
  <c r="I29" i="9"/>
  <c r="J29" i="9" s="1"/>
  <c r="C41" i="127"/>
  <c r="J68" i="8"/>
  <c r="I87" i="8"/>
  <c r="L87" i="8" s="1"/>
  <c r="H46" i="24"/>
  <c r="I14" i="17"/>
  <c r="E29" i="12"/>
  <c r="B29" i="13" s="1"/>
  <c r="D31" i="140"/>
  <c r="M79" i="14"/>
  <c r="I37" i="9"/>
  <c r="E20" i="12"/>
  <c r="F49" i="36"/>
  <c r="P49" i="36" s="1"/>
  <c r="P45" i="59"/>
  <c r="E21" i="60"/>
  <c r="P21" i="60" s="1"/>
  <c r="D12" i="23"/>
  <c r="C25" i="140"/>
  <c r="B25" i="140" s="1"/>
  <c r="M25" i="140" s="1"/>
  <c r="J84" i="24"/>
  <c r="E50" i="60"/>
  <c r="C50" i="60" s="1"/>
  <c r="K80" i="8"/>
  <c r="L38" i="36"/>
  <c r="I80" i="8"/>
  <c r="L80" i="8" s="1"/>
  <c r="N220" i="59"/>
  <c r="E34" i="60"/>
  <c r="C34" i="60" s="1"/>
  <c r="I70" i="8"/>
  <c r="L70" i="8" s="1"/>
  <c r="D14" i="140"/>
  <c r="C14" i="140" s="1"/>
  <c r="B14" i="140" s="1"/>
  <c r="L12" i="257" s="1"/>
  <c r="I44" i="9"/>
  <c r="K70" i="8"/>
  <c r="E15" i="60"/>
  <c r="P15" i="60" s="1"/>
  <c r="C30" i="140"/>
  <c r="B30" i="140" s="1"/>
  <c r="F44" i="9"/>
  <c r="J47" i="8"/>
  <c r="L20" i="36"/>
  <c r="J54" i="12"/>
  <c r="Q16" i="60"/>
  <c r="G44" i="25"/>
  <c r="J44" i="25" s="1"/>
  <c r="K44" i="25" s="1"/>
  <c r="E16" i="60"/>
  <c r="C16" i="60" s="1"/>
  <c r="D39" i="140"/>
  <c r="K44" i="9"/>
  <c r="X87" i="21"/>
  <c r="G87" i="24"/>
  <c r="J87" i="24" s="1"/>
  <c r="H40" i="257"/>
  <c r="E42" i="60"/>
  <c r="C42" i="60" s="1"/>
  <c r="K12" i="9"/>
  <c r="C8" i="100"/>
  <c r="C53" i="13"/>
  <c r="D8" i="187"/>
  <c r="H10" i="8"/>
  <c r="J10" i="8" s="1"/>
  <c r="J62" i="24"/>
  <c r="H41" i="257"/>
  <c r="P16" i="36"/>
  <c r="G12" i="25"/>
  <c r="K12" i="25" s="1"/>
  <c r="I12" i="9"/>
  <c r="H24" i="19"/>
  <c r="C45" i="13"/>
  <c r="H52" i="13"/>
  <c r="E81" i="140"/>
  <c r="D16" i="140"/>
  <c r="C16" i="140" s="1"/>
  <c r="B16" i="140" s="1"/>
  <c r="K67" i="8"/>
  <c r="E37" i="30"/>
  <c r="D37" i="30" s="1"/>
  <c r="N68" i="261" s="1"/>
  <c r="L39" i="36"/>
  <c r="J88" i="8"/>
  <c r="W10" i="98"/>
  <c r="E8" i="187"/>
  <c r="F8" i="187" s="1"/>
  <c r="D13" i="140"/>
  <c r="C13" i="140" s="1"/>
  <c r="B13" i="140" s="1"/>
  <c r="M13" i="140" s="1"/>
  <c r="K74" i="8"/>
  <c r="P15" i="8"/>
  <c r="P19" i="36"/>
  <c r="E52" i="60"/>
  <c r="P52" i="60" s="1"/>
  <c r="I15" i="8"/>
  <c r="L15" i="8" s="1"/>
  <c r="L36" i="36"/>
  <c r="H19" i="257"/>
  <c r="D32" i="140"/>
  <c r="C32" i="140" s="1"/>
  <c r="B32" i="140" s="1"/>
  <c r="L25" i="99"/>
  <c r="K15" i="8"/>
  <c r="K88" i="8"/>
  <c r="E22" i="60"/>
  <c r="C22" i="60" s="1"/>
  <c r="O15" i="9"/>
  <c r="K17" i="36"/>
  <c r="K36" i="8"/>
  <c r="E18" i="12"/>
  <c r="B18" i="13" s="1"/>
  <c r="B15" i="12"/>
  <c r="J48" i="24"/>
  <c r="C44" i="100"/>
  <c r="C89" i="100" s="1"/>
  <c r="J65" i="24"/>
  <c r="W29" i="99"/>
  <c r="G86" i="24"/>
  <c r="J86" i="24" s="1"/>
  <c r="G57" i="24"/>
  <c r="J57" i="24" s="1"/>
  <c r="X57" i="21"/>
  <c r="B80" i="15"/>
  <c r="E80" i="24"/>
  <c r="I28" i="268"/>
  <c r="I18" i="268"/>
  <c r="I22" i="268"/>
  <c r="I40" i="268"/>
  <c r="K32" i="268"/>
  <c r="K24" i="268"/>
  <c r="E88" i="24"/>
  <c r="B88" i="15"/>
  <c r="K30" i="268"/>
  <c r="P32" i="36"/>
  <c r="J24" i="268"/>
  <c r="I14" i="268"/>
  <c r="I49" i="268"/>
  <c r="K82" i="8"/>
  <c r="L38" i="99"/>
  <c r="B34" i="9"/>
  <c r="B34" i="12" s="1"/>
  <c r="F29" i="9"/>
  <c r="I39" i="268"/>
  <c r="I50" i="268"/>
  <c r="I47" i="268"/>
  <c r="I37" i="268"/>
  <c r="I41" i="268"/>
  <c r="I46" i="268"/>
  <c r="I52" i="268"/>
  <c r="I15" i="268"/>
  <c r="I20" i="268"/>
  <c r="I36" i="268"/>
  <c r="M20" i="13"/>
  <c r="H63" i="268"/>
  <c r="H71" i="268"/>
  <c r="H82" i="268"/>
  <c r="H60" i="268"/>
  <c r="H68" i="268"/>
  <c r="H88" i="268"/>
  <c r="H56" i="268"/>
  <c r="I51" i="268"/>
  <c r="I17" i="268"/>
  <c r="I44" i="268"/>
  <c r="I34" i="268"/>
  <c r="I38" i="268"/>
  <c r="I16" i="268"/>
  <c r="H87" i="268"/>
  <c r="I87" i="268"/>
  <c r="J87" i="268"/>
  <c r="K87" i="268"/>
  <c r="J30" i="261"/>
  <c r="J30" i="268"/>
  <c r="H62" i="268"/>
  <c r="H70" i="268"/>
  <c r="H81" i="268"/>
  <c r="H65" i="268"/>
  <c r="H73" i="268"/>
  <c r="H85" i="268"/>
  <c r="C31" i="261"/>
  <c r="C34" i="261"/>
  <c r="I29" i="268"/>
  <c r="I48" i="268"/>
  <c r="I19" i="268"/>
  <c r="I43" i="268"/>
  <c r="H67" i="268"/>
  <c r="H76" i="268"/>
  <c r="H64" i="268"/>
  <c r="H72" i="268"/>
  <c r="H84" i="268"/>
  <c r="H55" i="268"/>
  <c r="H57" i="268"/>
  <c r="H75" i="268"/>
  <c r="I26" i="268"/>
  <c r="I33" i="268"/>
  <c r="H79" i="268"/>
  <c r="K79" i="268"/>
  <c r="J79" i="268"/>
  <c r="H58" i="268"/>
  <c r="H66" i="268"/>
  <c r="H86" i="268"/>
  <c r="H61" i="268"/>
  <c r="H69" i="268"/>
  <c r="H80" i="268"/>
  <c r="J32" i="261"/>
  <c r="J32" i="268"/>
  <c r="I21" i="268"/>
  <c r="I42" i="268"/>
  <c r="I31" i="268"/>
  <c r="I35" i="268"/>
  <c r="I11" i="268"/>
  <c r="I25" i="268"/>
  <c r="J79" i="24"/>
  <c r="I34" i="8"/>
  <c r="L34" i="8" s="1"/>
  <c r="B41" i="9"/>
  <c r="P41" i="9" s="1"/>
  <c r="K22" i="8"/>
  <c r="J83" i="12"/>
  <c r="H48" i="13"/>
  <c r="H79" i="13"/>
  <c r="C79" i="15"/>
  <c r="T79" i="21"/>
  <c r="F79" i="24"/>
  <c r="G52" i="24"/>
  <c r="J52" i="24" s="1"/>
  <c r="X52" i="21"/>
  <c r="D66" i="9"/>
  <c r="M66" i="13" s="1"/>
  <c r="I45" i="116"/>
  <c r="E45" i="116"/>
  <c r="I32" i="8"/>
  <c r="L32" i="8" s="1"/>
  <c r="P15" i="9"/>
  <c r="K25" i="8"/>
  <c r="K77" i="8"/>
  <c r="J74" i="8"/>
  <c r="J32" i="8"/>
  <c r="J60" i="8"/>
  <c r="W19" i="98"/>
  <c r="L17" i="98"/>
  <c r="W36" i="99"/>
  <c r="F38" i="25"/>
  <c r="P15" i="36"/>
  <c r="D43" i="12"/>
  <c r="G43" i="12" s="1"/>
  <c r="N43" i="12" s="1"/>
  <c r="E34" i="12"/>
  <c r="B34" i="13" s="1"/>
  <c r="K34" i="13" s="1"/>
  <c r="L34" i="13" s="1"/>
  <c r="D24" i="12"/>
  <c r="G24" i="12" s="1"/>
  <c r="N24" i="12" s="1"/>
  <c r="J28" i="36"/>
  <c r="J38" i="36"/>
  <c r="L42" i="9"/>
  <c r="G42" i="261" s="1"/>
  <c r="B35" i="10"/>
  <c r="F35" i="10" s="1"/>
  <c r="K35" i="10" s="1"/>
  <c r="J28" i="9"/>
  <c r="D12" i="12"/>
  <c r="J11" i="9"/>
  <c r="J24" i="9"/>
  <c r="F18" i="9"/>
  <c r="K12" i="8"/>
  <c r="F22" i="25"/>
  <c r="D36" i="12"/>
  <c r="G36" i="12" s="1"/>
  <c r="N36" i="12" s="1"/>
  <c r="C34" i="17"/>
  <c r="I18" i="9"/>
  <c r="J18" i="9" s="1"/>
  <c r="H18" i="59"/>
  <c r="Q18" i="9"/>
  <c r="I60" i="8"/>
  <c r="L60" i="8" s="1"/>
  <c r="I43" i="8"/>
  <c r="L43" i="8" s="1"/>
  <c r="D32" i="12"/>
  <c r="G32" i="12" s="1"/>
  <c r="N32" i="12" s="1"/>
  <c r="E24" i="12"/>
  <c r="H24" i="12" s="1"/>
  <c r="O24" i="12" s="1"/>
  <c r="E36" i="12"/>
  <c r="H36" i="12" s="1"/>
  <c r="O36" i="12" s="1"/>
  <c r="L62" i="8"/>
  <c r="M78" i="8"/>
  <c r="R78" i="8" s="1"/>
  <c r="I41" i="17"/>
  <c r="D29" i="12"/>
  <c r="G29" i="12" s="1"/>
  <c r="N29" i="12" s="1"/>
  <c r="J35" i="9"/>
  <c r="J19" i="9"/>
  <c r="D26" i="12"/>
  <c r="E26" i="12"/>
  <c r="H26" i="12" s="1"/>
  <c r="O26" i="12" s="1"/>
  <c r="B26" i="10"/>
  <c r="P26" i="13" s="1"/>
  <c r="O26" i="13" s="1"/>
  <c r="J26" i="13" s="1"/>
  <c r="F26" i="19" s="1"/>
  <c r="E26" i="19" s="1"/>
  <c r="E11" i="12"/>
  <c r="B11" i="13" s="1"/>
  <c r="J51" i="9"/>
  <c r="J31" i="9"/>
  <c r="C20" i="261"/>
  <c r="I22" i="8"/>
  <c r="L22" i="8" s="1"/>
  <c r="I77" i="8"/>
  <c r="L77" i="8" s="1"/>
  <c r="D35" i="12"/>
  <c r="G35" i="12" s="1"/>
  <c r="N35" i="12" s="1"/>
  <c r="K32" i="8"/>
  <c r="D40" i="12"/>
  <c r="G40" i="12" s="1"/>
  <c r="N40" i="12" s="1"/>
  <c r="J44" i="36"/>
  <c r="D20" i="12"/>
  <c r="H52" i="60"/>
  <c r="Q52" i="60" s="1"/>
  <c r="D52" i="140"/>
  <c r="C52" i="140" s="1"/>
  <c r="B52" i="140" s="1"/>
  <c r="B56" i="15"/>
  <c r="E56" i="24"/>
  <c r="H39" i="257"/>
  <c r="E41" i="60"/>
  <c r="C43" i="60"/>
  <c r="P43" i="60"/>
  <c r="E13" i="99"/>
  <c r="E61" i="24"/>
  <c r="B61" i="15"/>
  <c r="D21" i="140"/>
  <c r="C21" i="140" s="1"/>
  <c r="B21" i="140" s="1"/>
  <c r="L19" i="257" s="1"/>
  <c r="H21" i="60"/>
  <c r="Q21" i="60" s="1"/>
  <c r="V21" i="21"/>
  <c r="Q23" i="60"/>
  <c r="G72" i="24"/>
  <c r="J72" i="24" s="1"/>
  <c r="X72" i="21"/>
  <c r="E91" i="60"/>
  <c r="Q42" i="60"/>
  <c r="E42" i="13"/>
  <c r="T42" i="13" s="1"/>
  <c r="G78" i="24"/>
  <c r="J78" i="24" s="1"/>
  <c r="X78" i="21"/>
  <c r="L14" i="98"/>
  <c r="O15" i="36"/>
  <c r="I39" i="8"/>
  <c r="L39" i="8" s="1"/>
  <c r="Q90" i="59"/>
  <c r="Q17" i="60"/>
  <c r="V15" i="21"/>
  <c r="E17" i="60"/>
  <c r="G50" i="24"/>
  <c r="J50" i="24" s="1"/>
  <c r="X50" i="21"/>
  <c r="I43" i="13"/>
  <c r="M43" i="14"/>
  <c r="H49" i="13"/>
  <c r="G66" i="24"/>
  <c r="J66" i="24" s="1"/>
  <c r="X66" i="21"/>
  <c r="X74" i="21"/>
  <c r="G74" i="24"/>
  <c r="J74" i="24" s="1"/>
  <c r="E32" i="60"/>
  <c r="I84" i="8"/>
  <c r="L84" i="8" s="1"/>
  <c r="C48" i="140"/>
  <c r="B48" i="140" s="1"/>
  <c r="L46" i="257" s="1"/>
  <c r="J61" i="24"/>
  <c r="H90" i="59"/>
  <c r="G45" i="13"/>
  <c r="E17" i="12"/>
  <c r="B17" i="13" s="1"/>
  <c r="I20" i="9"/>
  <c r="D31" i="12"/>
  <c r="G31" i="12" s="1"/>
  <c r="N31" i="12" s="1"/>
  <c r="T43" i="21"/>
  <c r="K41" i="13"/>
  <c r="B41" i="13" s="1"/>
  <c r="H56" i="21"/>
  <c r="C56" i="15" s="1"/>
  <c r="H52" i="257"/>
  <c r="E54" i="60"/>
  <c r="X83" i="21"/>
  <c r="G83" i="24"/>
  <c r="J83" i="24" s="1"/>
  <c r="G71" i="24"/>
  <c r="J71" i="24" s="1"/>
  <c r="X71" i="21"/>
  <c r="Q9" i="59"/>
  <c r="D20" i="140"/>
  <c r="C20" i="140" s="1"/>
  <c r="B20" i="140" s="1"/>
  <c r="H20" i="60"/>
  <c r="Q20" i="60" s="1"/>
  <c r="E45" i="140"/>
  <c r="K57" i="8"/>
  <c r="D40" i="140"/>
  <c r="C40" i="140" s="1"/>
  <c r="B40" i="140" s="1"/>
  <c r="M40" i="140" s="1"/>
  <c r="O40" i="140" s="1"/>
  <c r="I18" i="36"/>
  <c r="L34" i="98"/>
  <c r="F17" i="9"/>
  <c r="F20" i="9"/>
  <c r="C23" i="127" s="1"/>
  <c r="I56" i="8"/>
  <c r="L56" i="8" s="1"/>
  <c r="H16" i="257"/>
  <c r="V44" i="167"/>
  <c r="T16" i="13"/>
  <c r="P24" i="36"/>
  <c r="J84" i="8"/>
  <c r="F45" i="13"/>
  <c r="H50" i="13"/>
  <c r="X59" i="21"/>
  <c r="T15" i="13"/>
  <c r="J74" i="21"/>
  <c r="M74" i="15" s="1"/>
  <c r="B74" i="15"/>
  <c r="E74" i="24"/>
  <c r="G88" i="24"/>
  <c r="J88" i="24" s="1"/>
  <c r="X88" i="21"/>
  <c r="G55" i="24"/>
  <c r="J55" i="24" s="1"/>
  <c r="X55" i="21"/>
  <c r="P18" i="60"/>
  <c r="C18" i="60"/>
  <c r="P16" i="60"/>
  <c r="E28" i="60"/>
  <c r="C28" i="60" s="1"/>
  <c r="I50" i="13"/>
  <c r="M50" i="14"/>
  <c r="C50" i="24"/>
  <c r="I50" i="24" s="1"/>
  <c r="S50" i="21"/>
  <c r="C31" i="13"/>
  <c r="K31" i="13" s="1"/>
  <c r="B31" i="13" s="1"/>
  <c r="E91" i="21"/>
  <c r="S31" i="21"/>
  <c r="H38" i="257"/>
  <c r="E40" i="60"/>
  <c r="C77" i="21"/>
  <c r="G79" i="60" s="1"/>
  <c r="V77" i="21" s="1"/>
  <c r="K77" i="59"/>
  <c r="C23" i="60"/>
  <c r="P23" i="60"/>
  <c r="H78" i="21"/>
  <c r="X76" i="21"/>
  <c r="G76" i="24"/>
  <c r="J76" i="24" s="1"/>
  <c r="E38" i="60"/>
  <c r="H80" i="21"/>
  <c r="H80" i="13" s="1"/>
  <c r="F7" i="187"/>
  <c r="N73" i="261"/>
  <c r="N69" i="261"/>
  <c r="N54" i="261"/>
  <c r="D24" i="140"/>
  <c r="C24" i="140" s="1"/>
  <c r="B24" i="140" s="1"/>
  <c r="H24" i="60"/>
  <c r="Q24" i="60" s="1"/>
  <c r="I51" i="13"/>
  <c r="C51" i="24"/>
  <c r="I51" i="24" s="1"/>
  <c r="S51" i="21"/>
  <c r="M51" i="14"/>
  <c r="I47" i="13"/>
  <c r="C47" i="24"/>
  <c r="S47" i="21"/>
  <c r="M47" i="14"/>
  <c r="H35" i="257"/>
  <c r="E37" i="60"/>
  <c r="C31" i="140"/>
  <c r="B31" i="140" s="1"/>
  <c r="Q15" i="60"/>
  <c r="V13" i="21"/>
  <c r="C35" i="23"/>
  <c r="F32" i="13"/>
  <c r="J32" i="13" s="1"/>
  <c r="F32" i="19" s="1"/>
  <c r="D33" i="140"/>
  <c r="C33" i="140" s="1"/>
  <c r="B33" i="140" s="1"/>
  <c r="M33" i="140" s="1"/>
  <c r="D91" i="100"/>
  <c r="H22" i="257"/>
  <c r="E24" i="60"/>
  <c r="J63" i="21"/>
  <c r="M63" i="15" s="1"/>
  <c r="B63" i="15"/>
  <c r="H86" i="13"/>
  <c r="C86" i="15"/>
  <c r="T86" i="21"/>
  <c r="F86" i="24"/>
  <c r="H11" i="257"/>
  <c r="E13" i="60"/>
  <c r="E81" i="60"/>
  <c r="C81" i="60" s="1"/>
  <c r="O79" i="257" s="1"/>
  <c r="Q79" i="257" s="1"/>
  <c r="H79" i="257"/>
  <c r="F45" i="140"/>
  <c r="I45" i="60" s="1"/>
  <c r="I91" i="21"/>
  <c r="J60" i="21"/>
  <c r="M60" i="15" s="1"/>
  <c r="B60" i="15"/>
  <c r="E60" i="24"/>
  <c r="H47" i="13"/>
  <c r="H21" i="257"/>
  <c r="H51" i="13"/>
  <c r="E29" i="60"/>
  <c r="V27" i="21"/>
  <c r="G64" i="24"/>
  <c r="J64" i="24" s="1"/>
  <c r="X64" i="21"/>
  <c r="X51" i="21"/>
  <c r="G51" i="24"/>
  <c r="J51" i="24" s="1"/>
  <c r="AE69" i="184"/>
  <c r="B11" i="185" s="1"/>
  <c r="B10" i="185"/>
  <c r="H37" i="257"/>
  <c r="X68" i="21"/>
  <c r="R44" i="167"/>
  <c r="D36" i="13"/>
  <c r="E36" i="13" s="1"/>
  <c r="O49" i="36"/>
  <c r="K18" i="36"/>
  <c r="G90" i="60"/>
  <c r="E90" i="60" s="1"/>
  <c r="P90" i="60" s="1"/>
  <c r="B88" i="24"/>
  <c r="B88" i="14"/>
  <c r="C74" i="21"/>
  <c r="K74" i="59"/>
  <c r="J73" i="21"/>
  <c r="E73" i="24"/>
  <c r="B73" i="15"/>
  <c r="E53" i="140"/>
  <c r="C19" i="140"/>
  <c r="B19" i="140" s="1"/>
  <c r="L59" i="54"/>
  <c r="I99" i="54"/>
  <c r="L99" i="54" s="1"/>
  <c r="E44" i="13"/>
  <c r="T44" i="13" s="1"/>
  <c r="I44" i="17"/>
  <c r="D69" i="9"/>
  <c r="G69" i="25" s="1"/>
  <c r="I21" i="8"/>
  <c r="L21" i="8" s="1"/>
  <c r="Q17" i="9"/>
  <c r="E31" i="99"/>
  <c r="E14" i="99"/>
  <c r="P19" i="99"/>
  <c r="E28" i="99"/>
  <c r="K17" i="9"/>
  <c r="D72" i="9"/>
  <c r="F72" i="9" s="1"/>
  <c r="K26" i="8"/>
  <c r="I34" i="17"/>
  <c r="E40" i="12"/>
  <c r="B40" i="13" s="1"/>
  <c r="P11" i="36"/>
  <c r="K21" i="8"/>
  <c r="K37" i="8"/>
  <c r="I22" i="36"/>
  <c r="M43" i="13"/>
  <c r="K43" i="9"/>
  <c r="I30" i="9"/>
  <c r="P31" i="98"/>
  <c r="F21" i="9"/>
  <c r="B21" i="10" s="1"/>
  <c r="D62" i="9"/>
  <c r="G62" i="25" s="1"/>
  <c r="K62" i="12" s="1"/>
  <c r="J26" i="8"/>
  <c r="I30" i="8"/>
  <c r="L30" i="8" s="1"/>
  <c r="Q30" i="8" s="1"/>
  <c r="I26" i="8"/>
  <c r="L26" i="8" s="1"/>
  <c r="C29" i="127"/>
  <c r="F30" i="9"/>
  <c r="K30" i="9"/>
  <c r="G30" i="25"/>
  <c r="K30" i="12" s="1"/>
  <c r="I43" i="9"/>
  <c r="I35" i="36"/>
  <c r="J85" i="8"/>
  <c r="H22" i="36"/>
  <c r="F10" i="8"/>
  <c r="E101" i="8"/>
  <c r="E21" i="12"/>
  <c r="H21" i="12" s="1"/>
  <c r="O21" i="12" s="1"/>
  <c r="E43" i="12"/>
  <c r="B43" i="13" s="1"/>
  <c r="H35" i="36"/>
  <c r="B22" i="9"/>
  <c r="O22" i="9" s="1"/>
  <c r="P22" i="8"/>
  <c r="G83" i="12"/>
  <c r="N83" i="12" s="1"/>
  <c r="P21" i="36"/>
  <c r="C10" i="128"/>
  <c r="Q30" i="9"/>
  <c r="W16" i="99"/>
  <c r="P27" i="99"/>
  <c r="L10" i="99"/>
  <c r="P9" i="99"/>
  <c r="J62" i="8"/>
  <c r="F35" i="36"/>
  <c r="L35" i="36" s="1"/>
  <c r="C47" i="154"/>
  <c r="P34" i="36"/>
  <c r="I97" i="116"/>
  <c r="C31" i="17"/>
  <c r="B37" i="9"/>
  <c r="O37" i="9" s="1"/>
  <c r="W34" i="98"/>
  <c r="P21" i="99"/>
  <c r="W10" i="99"/>
  <c r="E32" i="99"/>
  <c r="E10" i="99"/>
  <c r="W11" i="99"/>
  <c r="I18" i="8"/>
  <c r="L18" i="8" s="1"/>
  <c r="K35" i="36"/>
  <c r="I18" i="17"/>
  <c r="Q20" i="9"/>
  <c r="G20" i="25"/>
  <c r="K20" i="25" s="1"/>
  <c r="I25" i="261"/>
  <c r="I51" i="261"/>
  <c r="I49" i="261"/>
  <c r="I26" i="261"/>
  <c r="I15" i="261"/>
  <c r="I35" i="261"/>
  <c r="I33" i="261"/>
  <c r="I28" i="261"/>
  <c r="I48" i="261"/>
  <c r="I39" i="261"/>
  <c r="I40" i="261"/>
  <c r="I52" i="261"/>
  <c r="I41" i="261"/>
  <c r="I43" i="261"/>
  <c r="I46" i="261"/>
  <c r="I19" i="261"/>
  <c r="I31" i="261"/>
  <c r="I47" i="261"/>
  <c r="I22" i="261"/>
  <c r="I29" i="261"/>
  <c r="H67" i="261"/>
  <c r="H72" i="261"/>
  <c r="H55" i="261"/>
  <c r="J24" i="17"/>
  <c r="J24" i="261"/>
  <c r="L28" i="9"/>
  <c r="C31" i="127"/>
  <c r="G42" i="25"/>
  <c r="Q42" i="9"/>
  <c r="K42" i="9"/>
  <c r="F22" i="9"/>
  <c r="K79" i="261"/>
  <c r="J79" i="261"/>
  <c r="H79" i="261"/>
  <c r="H81" i="261"/>
  <c r="H85" i="261"/>
  <c r="J66" i="8"/>
  <c r="K72" i="8"/>
  <c r="I73" i="8"/>
  <c r="L73" i="8" s="1"/>
  <c r="E51" i="99"/>
  <c r="W17" i="98"/>
  <c r="L28" i="98"/>
  <c r="L18" i="99"/>
  <c r="E46" i="99"/>
  <c r="W31" i="99"/>
  <c r="E39" i="99"/>
  <c r="F18" i="36"/>
  <c r="L18" i="36" s="1"/>
  <c r="I28" i="17"/>
  <c r="I14" i="261"/>
  <c r="M40" i="13"/>
  <c r="I31" i="8"/>
  <c r="L31" i="8" s="1"/>
  <c r="H63" i="261"/>
  <c r="H71" i="261"/>
  <c r="H82" i="261"/>
  <c r="D60" i="9"/>
  <c r="O60" i="9" s="1"/>
  <c r="H60" i="261"/>
  <c r="H68" i="261"/>
  <c r="H88" i="261"/>
  <c r="H56" i="261"/>
  <c r="K30" i="17"/>
  <c r="K30" i="261"/>
  <c r="H58" i="261"/>
  <c r="H75" i="261"/>
  <c r="I12" i="8"/>
  <c r="L12" i="8" s="1"/>
  <c r="J22" i="8"/>
  <c r="I66" i="8"/>
  <c r="L66" i="8" s="1"/>
  <c r="G46" i="36"/>
  <c r="G45" i="36" s="1"/>
  <c r="I36" i="8"/>
  <c r="L36" i="8" s="1"/>
  <c r="K22" i="9"/>
  <c r="I72" i="8"/>
  <c r="L72" i="8" s="1"/>
  <c r="I85" i="8"/>
  <c r="L85" i="8" s="1"/>
  <c r="F77" i="9"/>
  <c r="B77" i="10" s="1"/>
  <c r="E37" i="12"/>
  <c r="H37" i="12" s="1"/>
  <c r="O37" i="12" s="1"/>
  <c r="Q22" i="9"/>
  <c r="F43" i="9"/>
  <c r="F40" i="9"/>
  <c r="L40" i="9" s="1"/>
  <c r="P17" i="99"/>
  <c r="L37" i="98"/>
  <c r="W34" i="99"/>
  <c r="L34" i="99"/>
  <c r="I51" i="8"/>
  <c r="L51" i="8" s="1"/>
  <c r="H32" i="36"/>
  <c r="E103" i="9"/>
  <c r="E89" i="9" s="1"/>
  <c r="M12" i="13"/>
  <c r="C11" i="154"/>
  <c r="I42" i="9"/>
  <c r="C45" i="127"/>
  <c r="P41" i="36"/>
  <c r="L41" i="36"/>
  <c r="I11" i="261"/>
  <c r="I20" i="261"/>
  <c r="I17" i="261"/>
  <c r="I18" i="261"/>
  <c r="I38" i="261"/>
  <c r="M42" i="13"/>
  <c r="G27" i="25"/>
  <c r="F27" i="9"/>
  <c r="K27" i="9"/>
  <c r="I17" i="9"/>
  <c r="G17" i="25"/>
  <c r="K17" i="25" s="1"/>
  <c r="H76" i="261"/>
  <c r="H64" i="261"/>
  <c r="H84" i="261"/>
  <c r="H57" i="261"/>
  <c r="I40" i="9"/>
  <c r="Q40" i="9"/>
  <c r="G40" i="25"/>
  <c r="K40" i="25" s="1"/>
  <c r="H62" i="261"/>
  <c r="H70" i="261"/>
  <c r="H65" i="261"/>
  <c r="H73" i="261"/>
  <c r="I19" i="8"/>
  <c r="L19" i="8" s="1"/>
  <c r="L10" i="98"/>
  <c r="E36" i="99"/>
  <c r="D36" i="99" s="1"/>
  <c r="E14" i="98"/>
  <c r="P11" i="99"/>
  <c r="E35" i="99"/>
  <c r="D35" i="99" s="1"/>
  <c r="I9" i="10"/>
  <c r="K49" i="36"/>
  <c r="I44" i="261"/>
  <c r="I21" i="261"/>
  <c r="C38" i="127"/>
  <c r="L35" i="9"/>
  <c r="H87" i="261"/>
  <c r="K87" i="261"/>
  <c r="J87" i="261"/>
  <c r="I87" i="261"/>
  <c r="D55" i="9"/>
  <c r="O55" i="9" s="1"/>
  <c r="H66" i="261"/>
  <c r="D86" i="9"/>
  <c r="G86" i="25" s="1"/>
  <c r="H86" i="261"/>
  <c r="H61" i="261"/>
  <c r="H69" i="261"/>
  <c r="H80" i="261"/>
  <c r="J56" i="8"/>
  <c r="J21" i="8"/>
  <c r="I49" i="36"/>
  <c r="B28" i="10"/>
  <c r="F28" i="10" s="1"/>
  <c r="K28" i="10" s="1"/>
  <c r="K40" i="9"/>
  <c r="E35" i="98"/>
  <c r="L36" i="98"/>
  <c r="L20" i="98"/>
  <c r="P16" i="99"/>
  <c r="E9" i="99"/>
  <c r="W42" i="99"/>
  <c r="L20" i="99"/>
  <c r="H51" i="36"/>
  <c r="K32" i="17"/>
  <c r="K32" i="261"/>
  <c r="K41" i="8"/>
  <c r="I41" i="8"/>
  <c r="L41" i="8" s="1"/>
  <c r="B42" i="10"/>
  <c r="C42" i="19" s="1"/>
  <c r="B42" i="19" s="1"/>
  <c r="K39" i="8"/>
  <c r="K24" i="17"/>
  <c r="K24" i="261"/>
  <c r="I37" i="261"/>
  <c r="I16" i="261"/>
  <c r="I36" i="261"/>
  <c r="I50" i="261"/>
  <c r="I34" i="261"/>
  <c r="I42" i="261"/>
  <c r="D83" i="9"/>
  <c r="B83" i="12"/>
  <c r="Q27" i="9"/>
  <c r="I21" i="9"/>
  <c r="G21" i="25"/>
  <c r="K21" i="25" s="1"/>
  <c r="M21" i="13"/>
  <c r="Q21" i="9"/>
  <c r="G29" i="25"/>
  <c r="K29" i="25" s="1"/>
  <c r="Q29" i="9"/>
  <c r="H18" i="36"/>
  <c r="D73" i="9"/>
  <c r="M73" i="13" s="1"/>
  <c r="E25" i="98"/>
  <c r="P21" i="98"/>
  <c r="P49" i="98"/>
  <c r="P43" i="99"/>
  <c r="O43" i="99" s="1"/>
  <c r="E19" i="98"/>
  <c r="E30" i="98"/>
  <c r="P32" i="99"/>
  <c r="P41" i="99"/>
  <c r="P35" i="99"/>
  <c r="O35" i="99" s="1"/>
  <c r="P33" i="99"/>
  <c r="P28" i="99"/>
  <c r="P25" i="99"/>
  <c r="P13" i="99"/>
  <c r="P51" i="99"/>
  <c r="L23" i="99"/>
  <c r="E29" i="99"/>
  <c r="E45" i="99"/>
  <c r="P40" i="99"/>
  <c r="P37" i="99"/>
  <c r="P29" i="99"/>
  <c r="O29" i="99" s="1"/>
  <c r="P20" i="99"/>
  <c r="P50" i="99"/>
  <c r="E43" i="99"/>
  <c r="E23" i="99"/>
  <c r="E18" i="99"/>
  <c r="P36" i="99"/>
  <c r="P12" i="99"/>
  <c r="E40" i="99"/>
  <c r="E37" i="99"/>
  <c r="E26" i="99"/>
  <c r="E22" i="99"/>
  <c r="D22" i="99" s="1"/>
  <c r="E19" i="99"/>
  <c r="E17" i="99"/>
  <c r="E12" i="99"/>
  <c r="L26" i="9"/>
  <c r="E20" i="98"/>
  <c r="J36" i="9"/>
  <c r="B42" i="9"/>
  <c r="K42" i="8"/>
  <c r="P42" i="8"/>
  <c r="I9" i="116"/>
  <c r="L38" i="9"/>
  <c r="D21" i="12"/>
  <c r="B16" i="9"/>
  <c r="K16" i="8"/>
  <c r="P16" i="8"/>
  <c r="I29" i="17"/>
  <c r="J33" i="9"/>
  <c r="L40" i="36"/>
  <c r="P40" i="36"/>
  <c r="D84" i="9"/>
  <c r="G84" i="25" s="1"/>
  <c r="C46" i="128"/>
  <c r="B39" i="9"/>
  <c r="P39" i="8"/>
  <c r="B19" i="9"/>
  <c r="P19" i="8"/>
  <c r="D15" i="12"/>
  <c r="J40" i="36"/>
  <c r="B38" i="9"/>
  <c r="K38" i="8"/>
  <c r="P38" i="8"/>
  <c r="B17" i="9"/>
  <c r="P17" i="8"/>
  <c r="M32" i="13"/>
  <c r="Q32" i="9"/>
  <c r="G32" i="25"/>
  <c r="K32" i="25" s="1"/>
  <c r="D17" i="12"/>
  <c r="D30" i="25"/>
  <c r="J30" i="12" s="1"/>
  <c r="F30" i="25"/>
  <c r="H20" i="12"/>
  <c r="O20" i="12" s="1"/>
  <c r="B20" i="13"/>
  <c r="G77" i="12"/>
  <c r="N77" i="12" s="1"/>
  <c r="J77" i="12"/>
  <c r="K49" i="9"/>
  <c r="O49" i="9"/>
  <c r="M49" i="13"/>
  <c r="K81" i="8"/>
  <c r="I44" i="8"/>
  <c r="L44" i="8" s="1"/>
  <c r="F49" i="9"/>
  <c r="P32" i="98"/>
  <c r="L25" i="98"/>
  <c r="E42" i="99"/>
  <c r="P46" i="99"/>
  <c r="B25" i="9"/>
  <c r="P25" i="8"/>
  <c r="J25" i="36"/>
  <c r="J65" i="8"/>
  <c r="B43" i="9"/>
  <c r="K43" i="8"/>
  <c r="P43" i="8"/>
  <c r="E13" i="8"/>
  <c r="H13" i="8"/>
  <c r="I50" i="36"/>
  <c r="H50" i="36"/>
  <c r="O50" i="36"/>
  <c r="O22" i="36"/>
  <c r="F22" i="36"/>
  <c r="P29" i="36"/>
  <c r="L29" i="36"/>
  <c r="I37" i="8"/>
  <c r="L37" i="8" s="1"/>
  <c r="B21" i="9"/>
  <c r="P21" i="8"/>
  <c r="G41" i="25"/>
  <c r="F41" i="9"/>
  <c r="M41" i="13"/>
  <c r="I22" i="9"/>
  <c r="G22" i="25"/>
  <c r="K22" i="25" s="1"/>
  <c r="J39" i="9"/>
  <c r="K50" i="8"/>
  <c r="E22" i="12"/>
  <c r="C22" i="12" s="1"/>
  <c r="S22" i="260" s="1"/>
  <c r="U22" i="260" s="1"/>
  <c r="F29" i="25"/>
  <c r="D29" i="25"/>
  <c r="H12" i="36"/>
  <c r="O12" i="36"/>
  <c r="H40" i="36"/>
  <c r="O40" i="36"/>
  <c r="B20" i="9"/>
  <c r="P20" i="8"/>
  <c r="J52" i="8"/>
  <c r="K52" i="8"/>
  <c r="I52" i="8"/>
  <c r="L52" i="8" s="1"/>
  <c r="J32" i="17"/>
  <c r="H32" i="19"/>
  <c r="B10" i="9"/>
  <c r="K10" i="8"/>
  <c r="E38" i="12"/>
  <c r="O30" i="36"/>
  <c r="H30" i="36"/>
  <c r="J38" i="9"/>
  <c r="J15" i="36"/>
  <c r="D64" i="9"/>
  <c r="O64" i="9" s="1"/>
  <c r="I81" i="8"/>
  <c r="L81" i="8" s="1"/>
  <c r="E32" i="12"/>
  <c r="H32" i="12" s="1"/>
  <c r="O32" i="12" s="1"/>
  <c r="I49" i="9"/>
  <c r="W15" i="98"/>
  <c r="P10" i="98"/>
  <c r="P16" i="98"/>
  <c r="E22" i="98"/>
  <c r="L23" i="98"/>
  <c r="W38" i="99"/>
  <c r="F32" i="9"/>
  <c r="P20" i="98"/>
  <c r="D56" i="9"/>
  <c r="I56" i="9" s="1"/>
  <c r="D58" i="9"/>
  <c r="G58" i="25" s="1"/>
  <c r="I20" i="8"/>
  <c r="L20" i="8" s="1"/>
  <c r="G49" i="25"/>
  <c r="I32" i="9"/>
  <c r="W36" i="98"/>
  <c r="P28" i="98"/>
  <c r="O28" i="98" s="1"/>
  <c r="L31" i="98"/>
  <c r="L16" i="98"/>
  <c r="P37" i="98"/>
  <c r="P17" i="98"/>
  <c r="L42" i="99"/>
  <c r="E28" i="98"/>
  <c r="E45" i="98"/>
  <c r="E26" i="98"/>
  <c r="B18" i="9"/>
  <c r="P18" i="8"/>
  <c r="K32" i="9"/>
  <c r="B24" i="9"/>
  <c r="K24" i="8"/>
  <c r="P24" i="8"/>
  <c r="K61" i="8"/>
  <c r="I61" i="8"/>
  <c r="L61" i="8" s="1"/>
  <c r="R83" i="8"/>
  <c r="M47" i="8"/>
  <c r="J29" i="36"/>
  <c r="H19" i="12"/>
  <c r="O19" i="12" s="1"/>
  <c r="B19" i="13"/>
  <c r="M18" i="13"/>
  <c r="G18" i="25"/>
  <c r="K18" i="25" s="1"/>
  <c r="G37" i="25"/>
  <c r="K37" i="25" s="1"/>
  <c r="M37" i="13"/>
  <c r="G43" i="25"/>
  <c r="K43" i="25" s="1"/>
  <c r="H49" i="9"/>
  <c r="D50" i="9"/>
  <c r="O50" i="9" s="1"/>
  <c r="B50" i="12"/>
  <c r="P50" i="9"/>
  <c r="K18" i="8"/>
  <c r="B51" i="9"/>
  <c r="K51" i="8"/>
  <c r="G51" i="8"/>
  <c r="P51" i="8" s="1"/>
  <c r="I22" i="17"/>
  <c r="B12" i="9"/>
  <c r="P12" i="8"/>
  <c r="B32" i="9"/>
  <c r="P32" i="8"/>
  <c r="B40" i="9"/>
  <c r="K40" i="8"/>
  <c r="P40" i="8"/>
  <c r="L75" i="8"/>
  <c r="J75" i="8"/>
  <c r="J15" i="9"/>
  <c r="Q49" i="9"/>
  <c r="E39" i="98"/>
  <c r="P26" i="98"/>
  <c r="W38" i="98"/>
  <c r="W25" i="99"/>
  <c r="I77" i="9"/>
  <c r="K77" i="9"/>
  <c r="O77" i="9"/>
  <c r="M77" i="13"/>
  <c r="H77" i="9"/>
  <c r="O21" i="36"/>
  <c r="H21" i="36"/>
  <c r="I17" i="36"/>
  <c r="F17" i="36"/>
  <c r="L17" i="36" s="1"/>
  <c r="O17" i="36"/>
  <c r="I51" i="17"/>
  <c r="B30" i="9"/>
  <c r="P30" i="8"/>
  <c r="H34" i="9"/>
  <c r="P34" i="9"/>
  <c r="O34" i="9"/>
  <c r="E44" i="25"/>
  <c r="J44" i="12" s="1"/>
  <c r="D44" i="25"/>
  <c r="J50" i="8"/>
  <c r="D24" i="19"/>
  <c r="D71" i="9"/>
  <c r="I71" i="9" s="1"/>
  <c r="D88" i="9"/>
  <c r="G88" i="25" s="1"/>
  <c r="Q59" i="8"/>
  <c r="J34" i="36"/>
  <c r="J41" i="36"/>
  <c r="B26" i="9"/>
  <c r="P26" i="8"/>
  <c r="B10" i="10"/>
  <c r="C13" i="127"/>
  <c r="B46" i="10"/>
  <c r="C49" i="127"/>
  <c r="L46" i="9"/>
  <c r="B14" i="12"/>
  <c r="E14" i="8"/>
  <c r="O14" i="9"/>
  <c r="H14" i="9"/>
  <c r="P14" i="9"/>
  <c r="B24" i="10"/>
  <c r="L24" i="9"/>
  <c r="J39" i="36"/>
  <c r="I55" i="8"/>
  <c r="L55" i="8" s="1"/>
  <c r="K55" i="8"/>
  <c r="E102" i="8"/>
  <c r="F48" i="8" s="1"/>
  <c r="B48" i="36" s="1"/>
  <c r="D48" i="36" s="1"/>
  <c r="F48" i="36" s="1"/>
  <c r="L48" i="36" s="1"/>
  <c r="D53" i="8"/>
  <c r="C38" i="19"/>
  <c r="B38" i="19" s="1"/>
  <c r="J38" i="10"/>
  <c r="P38" i="13"/>
  <c r="O38" i="13" s="1"/>
  <c r="J38" i="13" s="1"/>
  <c r="P40" i="98"/>
  <c r="P45" i="98"/>
  <c r="E17" i="98"/>
  <c r="D17" i="98" s="1"/>
  <c r="E23" i="98"/>
  <c r="E46" i="98"/>
  <c r="E27" i="98"/>
  <c r="W11" i="98"/>
  <c r="P33" i="98"/>
  <c r="P11" i="98"/>
  <c r="L29" i="98"/>
  <c r="E36" i="98"/>
  <c r="E49" i="98"/>
  <c r="W31" i="98"/>
  <c r="W16" i="98"/>
  <c r="P42" i="98"/>
  <c r="O42" i="98" s="1"/>
  <c r="P25" i="98"/>
  <c r="P50" i="98"/>
  <c r="L38" i="98"/>
  <c r="L29" i="99"/>
  <c r="E41" i="99"/>
  <c r="W39" i="99"/>
  <c r="P42" i="99"/>
  <c r="P31" i="99"/>
  <c r="P26" i="99"/>
  <c r="L17" i="99"/>
  <c r="E50" i="99"/>
  <c r="B34" i="10"/>
  <c r="C37" i="127"/>
  <c r="L34" i="9"/>
  <c r="O51" i="36"/>
  <c r="E27" i="99"/>
  <c r="Q71" i="8"/>
  <c r="M59" i="8"/>
  <c r="N59" i="8" s="1"/>
  <c r="J24" i="36"/>
  <c r="Q83" i="8"/>
  <c r="Q86" i="8"/>
  <c r="B35" i="9"/>
  <c r="K35" i="8"/>
  <c r="P35" i="8"/>
  <c r="E28" i="8"/>
  <c r="B28" i="12"/>
  <c r="P28" i="9"/>
  <c r="H28" i="9"/>
  <c r="O28" i="9"/>
  <c r="G78" i="25"/>
  <c r="I78" i="9"/>
  <c r="O78" i="9"/>
  <c r="M78" i="13"/>
  <c r="H78" i="9"/>
  <c r="B14" i="10"/>
  <c r="C17" i="127"/>
  <c r="L14" i="9"/>
  <c r="G16" i="12"/>
  <c r="N16" i="12" s="1"/>
  <c r="G22" i="12"/>
  <c r="N22" i="12" s="1"/>
  <c r="C42" i="127"/>
  <c r="B39" i="10"/>
  <c r="F39" i="10" s="1"/>
  <c r="K39" i="10" s="1"/>
  <c r="L39" i="9"/>
  <c r="G39" i="12"/>
  <c r="N39" i="12" s="1"/>
  <c r="G38" i="12"/>
  <c r="N38" i="12" s="1"/>
  <c r="B11" i="10"/>
  <c r="C14" i="127"/>
  <c r="L11" i="9"/>
  <c r="J16" i="36"/>
  <c r="J46" i="9"/>
  <c r="B37" i="10"/>
  <c r="C40" i="127"/>
  <c r="L37" i="9"/>
  <c r="O52" i="36"/>
  <c r="E11" i="98"/>
  <c r="D11" i="98" s="1"/>
  <c r="P36" i="98"/>
  <c r="E50" i="98"/>
  <c r="E32" i="98"/>
  <c r="P27" i="98"/>
  <c r="P29" i="98"/>
  <c r="P13" i="98"/>
  <c r="P43" i="98"/>
  <c r="O43" i="98" s="1"/>
  <c r="P51" i="98"/>
  <c r="E33" i="99"/>
  <c r="E29" i="98"/>
  <c r="E16" i="98"/>
  <c r="E51" i="98"/>
  <c r="E33" i="98"/>
  <c r="W25" i="98"/>
  <c r="W14" i="98"/>
  <c r="P38" i="98"/>
  <c r="P18" i="98"/>
  <c r="W29" i="98"/>
  <c r="L35" i="98"/>
  <c r="P15" i="99"/>
  <c r="P10" i="99"/>
  <c r="L11" i="99"/>
  <c r="P49" i="99"/>
  <c r="L16" i="99"/>
  <c r="E20" i="99"/>
  <c r="E15" i="99"/>
  <c r="D15" i="99" s="1"/>
  <c r="W37" i="99"/>
  <c r="W20" i="99"/>
  <c r="L39" i="99"/>
  <c r="C20" i="17"/>
  <c r="C74" i="9"/>
  <c r="J19" i="36"/>
  <c r="P38" i="140"/>
  <c r="J31" i="36"/>
  <c r="P58" i="8"/>
  <c r="E89" i="8"/>
  <c r="H89" i="9"/>
  <c r="B53" i="9"/>
  <c r="B89" i="12"/>
  <c r="O89" i="9"/>
  <c r="E23" i="8"/>
  <c r="I23" i="8" s="1"/>
  <c r="L23" i="8" s="1"/>
  <c r="I52" i="36"/>
  <c r="J52" i="36" s="1"/>
  <c r="F52" i="36"/>
  <c r="H52" i="36"/>
  <c r="B36" i="9"/>
  <c r="P36" i="8"/>
  <c r="B48" i="9"/>
  <c r="K48" i="8"/>
  <c r="I48" i="8"/>
  <c r="L48" i="8" s="1"/>
  <c r="D101" i="8"/>
  <c r="J32" i="36"/>
  <c r="E38" i="98"/>
  <c r="E18" i="98"/>
  <c r="P12" i="98"/>
  <c r="E37" i="98"/>
  <c r="E10" i="98"/>
  <c r="E40" i="98"/>
  <c r="E9" i="98"/>
  <c r="P41" i="98"/>
  <c r="P23" i="98"/>
  <c r="O23" i="98" s="1"/>
  <c r="P39" i="98"/>
  <c r="L39" i="98"/>
  <c r="L19" i="98"/>
  <c r="W28" i="99"/>
  <c r="P38" i="99"/>
  <c r="E21" i="98"/>
  <c r="D21" i="98" s="1"/>
  <c r="E41" i="98"/>
  <c r="E12" i="98"/>
  <c r="W37" i="98"/>
  <c r="W20" i="98"/>
  <c r="P34" i="98"/>
  <c r="P45" i="99"/>
  <c r="W21" i="99"/>
  <c r="P22" i="99"/>
  <c r="O22" i="99" s="1"/>
  <c r="L21" i="99"/>
  <c r="L14" i="99"/>
  <c r="E34" i="99"/>
  <c r="E25" i="99"/>
  <c r="W17" i="99"/>
  <c r="L37" i="99"/>
  <c r="E21" i="99"/>
  <c r="E16" i="99"/>
  <c r="E11" i="99"/>
  <c r="Q80" i="8"/>
  <c r="C39" i="12"/>
  <c r="S39" i="260" s="1"/>
  <c r="H39" i="12"/>
  <c r="O39" i="12" s="1"/>
  <c r="B39" i="13"/>
  <c r="F24" i="19"/>
  <c r="E24" i="19" s="1"/>
  <c r="E5" i="273" s="1"/>
  <c r="J12" i="36"/>
  <c r="J37" i="36"/>
  <c r="J21" i="36"/>
  <c r="G52" i="25"/>
  <c r="F52" i="9"/>
  <c r="K52" i="9"/>
  <c r="I52" i="9"/>
  <c r="Q52" i="9"/>
  <c r="H52" i="9"/>
  <c r="M52" i="13"/>
  <c r="O52" i="9"/>
  <c r="B44" i="9"/>
  <c r="K44" i="8"/>
  <c r="P44" i="8"/>
  <c r="K49" i="8"/>
  <c r="I49" i="8"/>
  <c r="L49" i="8" s="1"/>
  <c r="G11" i="12"/>
  <c r="N11" i="12" s="1"/>
  <c r="G19" i="12"/>
  <c r="N19" i="12" s="1"/>
  <c r="C19" i="12"/>
  <c r="S19" i="260" s="1"/>
  <c r="U19" i="260" s="1"/>
  <c r="F13" i="9"/>
  <c r="M13" i="13"/>
  <c r="G13" i="25"/>
  <c r="Q13" i="9"/>
  <c r="B48" i="10"/>
  <c r="F48" i="10" s="1"/>
  <c r="K48" i="10" s="1"/>
  <c r="C51" i="127"/>
  <c r="L48" i="9"/>
  <c r="J14" i="9"/>
  <c r="J43" i="36"/>
  <c r="K13" i="9"/>
  <c r="G18" i="12"/>
  <c r="N18" i="12" s="1"/>
  <c r="J11" i="36"/>
  <c r="C34" i="127"/>
  <c r="B31" i="10"/>
  <c r="F31" i="10" s="1"/>
  <c r="K31" i="10" s="1"/>
  <c r="L31" i="9"/>
  <c r="J36" i="36"/>
  <c r="Q58" i="8"/>
  <c r="J20" i="36"/>
  <c r="E34" i="98"/>
  <c r="P14" i="98"/>
  <c r="P19" i="98"/>
  <c r="P46" i="98"/>
  <c r="P22" i="98"/>
  <c r="E31" i="98"/>
  <c r="E43" i="98"/>
  <c r="E13" i="98"/>
  <c r="W39" i="98"/>
  <c r="P9" i="98"/>
  <c r="P35" i="98"/>
  <c r="P15" i="98"/>
  <c r="L15" i="98"/>
  <c r="P14" i="99"/>
  <c r="E42" i="98"/>
  <c r="D42" i="98" s="1"/>
  <c r="E15" i="98"/>
  <c r="W35" i="98"/>
  <c r="W18" i="98"/>
  <c r="W21" i="98"/>
  <c r="P30" i="98"/>
  <c r="L18" i="98"/>
  <c r="W23" i="99"/>
  <c r="W14" i="99"/>
  <c r="P39" i="99"/>
  <c r="P34" i="99"/>
  <c r="L28" i="99"/>
  <c r="E38" i="99"/>
  <c r="W19" i="99"/>
  <c r="P30" i="99"/>
  <c r="L19" i="99"/>
  <c r="E49" i="99"/>
  <c r="W15" i="99"/>
  <c r="P23" i="99"/>
  <c r="P18" i="99"/>
  <c r="O18" i="99" s="1"/>
  <c r="E30" i="99"/>
  <c r="J34" i="9"/>
  <c r="J51" i="36"/>
  <c r="F65" i="21"/>
  <c r="D65" i="21" s="1"/>
  <c r="B65" i="24"/>
  <c r="B65" i="14"/>
  <c r="K68" i="59"/>
  <c r="K83" i="59"/>
  <c r="M85" i="140"/>
  <c r="C83" i="21"/>
  <c r="G85" i="60" s="1"/>
  <c r="D64" i="19"/>
  <c r="K64" i="59"/>
  <c r="C64" i="21"/>
  <c r="G66" i="60" s="1"/>
  <c r="E66" i="60" s="1"/>
  <c r="C66" i="60" s="1"/>
  <c r="O64" i="257" s="1"/>
  <c r="Q64" i="257" s="1"/>
  <c r="K73" i="59"/>
  <c r="P25" i="140"/>
  <c r="O25" i="140"/>
  <c r="N25" i="140"/>
  <c r="AP44" i="167"/>
  <c r="C78" i="21"/>
  <c r="K78" i="59"/>
  <c r="K63" i="59"/>
  <c r="C63" i="21"/>
  <c r="K61" i="59"/>
  <c r="C61" i="21"/>
  <c r="K71" i="59"/>
  <c r="C71" i="21"/>
  <c r="G73" i="60" s="1"/>
  <c r="K86" i="59"/>
  <c r="C86" i="21"/>
  <c r="E33" i="19"/>
  <c r="D33" i="12"/>
  <c r="J57" i="21"/>
  <c r="M57" i="15" s="1"/>
  <c r="G59" i="60"/>
  <c r="V57" i="21" s="1"/>
  <c r="E57" i="24"/>
  <c r="B57" i="15"/>
  <c r="K60" i="59"/>
  <c r="C60" i="21"/>
  <c r="K69" i="59"/>
  <c r="C69" i="21"/>
  <c r="J72" i="21"/>
  <c r="M72" i="15" s="1"/>
  <c r="B72" i="15"/>
  <c r="E72" i="24"/>
  <c r="G82" i="13"/>
  <c r="C82" i="14"/>
  <c r="D82" i="14" s="1"/>
  <c r="S82" i="21"/>
  <c r="C82" i="24"/>
  <c r="K56" i="59"/>
  <c r="C56" i="21"/>
  <c r="I39" i="13"/>
  <c r="M39" i="14"/>
  <c r="J67" i="21"/>
  <c r="M67" i="15" s="1"/>
  <c r="E67" i="24"/>
  <c r="B67" i="15"/>
  <c r="J71" i="21"/>
  <c r="M71" i="15" s="1"/>
  <c r="B71" i="15"/>
  <c r="E71" i="24"/>
  <c r="I48" i="13"/>
  <c r="S48" i="21"/>
  <c r="M89" i="14"/>
  <c r="M48" i="14"/>
  <c r="C48" i="24"/>
  <c r="I48" i="24" s="1"/>
  <c r="J70" i="21"/>
  <c r="M70" i="15" s="1"/>
  <c r="E70" i="24"/>
  <c r="B70" i="15"/>
  <c r="C72" i="21"/>
  <c r="K72" i="59"/>
  <c r="I49" i="13"/>
  <c r="S49" i="21"/>
  <c r="C49" i="24"/>
  <c r="I49" i="24" s="1"/>
  <c r="M49" i="14"/>
  <c r="J62" i="21"/>
  <c r="M62" i="15" s="1"/>
  <c r="B62" i="15"/>
  <c r="E62" i="24"/>
  <c r="J75" i="21"/>
  <c r="M75" i="15" s="1"/>
  <c r="E75" i="24"/>
  <c r="E46" i="8"/>
  <c r="B46" i="12"/>
  <c r="P46" i="9"/>
  <c r="H46" i="9"/>
  <c r="O46" i="9"/>
  <c r="J55" i="21"/>
  <c r="M55" i="15" s="1"/>
  <c r="B55" i="15"/>
  <c r="H58" i="59"/>
  <c r="E53" i="59"/>
  <c r="E220" i="59" s="1"/>
  <c r="E226" i="59" s="1"/>
  <c r="C80" i="21"/>
  <c r="K80" i="59"/>
  <c r="J65" i="21"/>
  <c r="M65" i="15" s="1"/>
  <c r="B65" i="15"/>
  <c r="E65" i="24"/>
  <c r="G67" i="60"/>
  <c r="E67" i="60" s="1"/>
  <c r="C67" i="60" s="1"/>
  <c r="O65" i="257" s="1"/>
  <c r="Q65" i="257" s="1"/>
  <c r="F220" i="59"/>
  <c r="C90" i="21"/>
  <c r="F75" i="21"/>
  <c r="D75" i="21" s="1"/>
  <c r="B75" i="14"/>
  <c r="B75" i="24"/>
  <c r="D84" i="19"/>
  <c r="K84" i="59"/>
  <c r="B63" i="25"/>
  <c r="D63" i="12"/>
  <c r="G63" i="12" s="1"/>
  <c r="E63" i="116"/>
  <c r="H63" i="17"/>
  <c r="M68" i="8"/>
  <c r="R68" i="8" s="1"/>
  <c r="I68" i="116"/>
  <c r="M88" i="8"/>
  <c r="I88" i="116"/>
  <c r="B57" i="25"/>
  <c r="D57" i="12"/>
  <c r="G57" i="12" s="1"/>
  <c r="E57" i="116"/>
  <c r="H57" i="17"/>
  <c r="E41" i="19"/>
  <c r="E14" i="273" s="1"/>
  <c r="D41" i="12"/>
  <c r="M70" i="8"/>
  <c r="R70" i="8" s="1"/>
  <c r="I70" i="116"/>
  <c r="B69" i="25"/>
  <c r="D69" i="12"/>
  <c r="G69" i="12" s="1"/>
  <c r="E69" i="116"/>
  <c r="H69" i="17"/>
  <c r="I47" i="36"/>
  <c r="H47" i="36"/>
  <c r="O47" i="36"/>
  <c r="F47" i="36"/>
  <c r="L47" i="36" s="1"/>
  <c r="L15" i="257"/>
  <c r="F38" i="10"/>
  <c r="K38" i="10" s="1"/>
  <c r="E44" i="60"/>
  <c r="H42" i="257"/>
  <c r="M21" i="140"/>
  <c r="P45" i="60"/>
  <c r="C45" i="60"/>
  <c r="D54" i="140"/>
  <c r="C54" i="140" s="1"/>
  <c r="B54" i="140" s="1"/>
  <c r="H54" i="60"/>
  <c r="D81" i="140"/>
  <c r="C81" i="140" s="1"/>
  <c r="B81" i="140" s="1"/>
  <c r="Q26" i="60"/>
  <c r="M32" i="140"/>
  <c r="L30" i="257"/>
  <c r="Q19" i="60"/>
  <c r="E19" i="60"/>
  <c r="C25" i="60"/>
  <c r="P25" i="60"/>
  <c r="E40" i="13"/>
  <c r="T40" i="13" s="1"/>
  <c r="F44" i="167"/>
  <c r="V17" i="21"/>
  <c r="N54" i="17"/>
  <c r="N68" i="17"/>
  <c r="N73" i="17"/>
  <c r="N75" i="17"/>
  <c r="N69" i="17"/>
  <c r="N71" i="17"/>
  <c r="N70" i="17"/>
  <c r="P53" i="60"/>
  <c r="C53" i="60"/>
  <c r="J76" i="21"/>
  <c r="M76" i="15" s="1"/>
  <c r="E76" i="24"/>
  <c r="B76" i="15"/>
  <c r="H69" i="13"/>
  <c r="T69" i="21"/>
  <c r="C69" i="15"/>
  <c r="F69" i="24"/>
  <c r="J83" i="21"/>
  <c r="M84" i="15" s="1"/>
  <c r="B83" i="15"/>
  <c r="E83" i="24"/>
  <c r="C39" i="13"/>
  <c r="D39" i="13"/>
  <c r="F57" i="21"/>
  <c r="D57" i="21" s="1"/>
  <c r="B57" i="24"/>
  <c r="B57" i="14"/>
  <c r="F81" i="21"/>
  <c r="D81" i="21" s="1"/>
  <c r="B81" i="14"/>
  <c r="B81" i="24"/>
  <c r="H61" i="21"/>
  <c r="F87" i="21"/>
  <c r="B87" i="14"/>
  <c r="U87" i="21" s="1"/>
  <c r="G89" i="60"/>
  <c r="E89" i="60" s="1"/>
  <c r="C89" i="60" s="1"/>
  <c r="O87" i="257" s="1"/>
  <c r="Q87" i="257" s="1"/>
  <c r="B87" i="24"/>
  <c r="H87" i="24" s="1"/>
  <c r="M67" i="8"/>
  <c r="R67" i="8" s="1"/>
  <c r="I67" i="116"/>
  <c r="M76" i="8"/>
  <c r="I76" i="116"/>
  <c r="D67" i="9"/>
  <c r="O67" i="9" s="1"/>
  <c r="B60" i="25"/>
  <c r="D60" i="12"/>
  <c r="G60" i="12" s="1"/>
  <c r="E60" i="116"/>
  <c r="H60" i="17"/>
  <c r="M79" i="8"/>
  <c r="R79" i="8" s="1"/>
  <c r="I79" i="116"/>
  <c r="AA9" i="99"/>
  <c r="AA13" i="99"/>
  <c r="AB13" i="99" s="1"/>
  <c r="AA26" i="99"/>
  <c r="AB26" i="99" s="1"/>
  <c r="AA30" i="99"/>
  <c r="AB30" i="99" s="1"/>
  <c r="AA33" i="99"/>
  <c r="AB33" i="99" s="1"/>
  <c r="AA43" i="99"/>
  <c r="AB43" i="99" s="1"/>
  <c r="AA46" i="99"/>
  <c r="AB46" i="99" s="1"/>
  <c r="AA50" i="99"/>
  <c r="AB50" i="99" s="1"/>
  <c r="AA24" i="99"/>
  <c r="AB24" i="99" s="1"/>
  <c r="AA48" i="99"/>
  <c r="AB48" i="99" s="1"/>
  <c r="AA32" i="99"/>
  <c r="AB32" i="99" s="1"/>
  <c r="AA51" i="99"/>
  <c r="AB51" i="99" s="1"/>
  <c r="AA89" i="99"/>
  <c r="AB89" i="99" s="1"/>
  <c r="AA47" i="99"/>
  <c r="AB47" i="99" s="1"/>
  <c r="AA22" i="99"/>
  <c r="AB22" i="99" s="1"/>
  <c r="AA45" i="99"/>
  <c r="AB45" i="99" s="1"/>
  <c r="AA27" i="99"/>
  <c r="AB27" i="99" s="1"/>
  <c r="AA49" i="99"/>
  <c r="AB49" i="99" s="1"/>
  <c r="AA12" i="99"/>
  <c r="AB12" i="99" s="1"/>
  <c r="AA41" i="99"/>
  <c r="AB41" i="99" s="1"/>
  <c r="AA20" i="98"/>
  <c r="AA20" i="99"/>
  <c r="AA16" i="99"/>
  <c r="AA19" i="99"/>
  <c r="AA27" i="98"/>
  <c r="AB27" i="98" s="1"/>
  <c r="AA30" i="98"/>
  <c r="AB30" i="98" s="1"/>
  <c r="AA21" i="98"/>
  <c r="AA51" i="98"/>
  <c r="AB51" i="98" s="1"/>
  <c r="AA45" i="98"/>
  <c r="AB45" i="98" s="1"/>
  <c r="AA38" i="99"/>
  <c r="AA15" i="99"/>
  <c r="AA34" i="98"/>
  <c r="AA9" i="98"/>
  <c r="AA35" i="98"/>
  <c r="AA11" i="99"/>
  <c r="AA18" i="98"/>
  <c r="AA24" i="98"/>
  <c r="AB24" i="98" s="1"/>
  <c r="AA46" i="98"/>
  <c r="AB46" i="98" s="1"/>
  <c r="AA39" i="98"/>
  <c r="AA23" i="99"/>
  <c r="AA43" i="98"/>
  <c r="AB43" i="98" s="1"/>
  <c r="AA13" i="98"/>
  <c r="AB13" i="98" s="1"/>
  <c r="AA40" i="98"/>
  <c r="AA29" i="98"/>
  <c r="AA21" i="99"/>
  <c r="AA40" i="99"/>
  <c r="AA49" i="98"/>
  <c r="AB49" i="98" s="1"/>
  <c r="AA15" i="98"/>
  <c r="AA42" i="99"/>
  <c r="AA12" i="98"/>
  <c r="AB12" i="98" s="1"/>
  <c r="AA41" i="98"/>
  <c r="AB41" i="98" s="1"/>
  <c r="AA28" i="99"/>
  <c r="AA17" i="99"/>
  <c r="AA23" i="98"/>
  <c r="AA42" i="98"/>
  <c r="AA14" i="98"/>
  <c r="AA31" i="98"/>
  <c r="AA29" i="99"/>
  <c r="AA39" i="99"/>
  <c r="AA89" i="98"/>
  <c r="AB89" i="98" s="1"/>
  <c r="AA25" i="98"/>
  <c r="AA17" i="98"/>
  <c r="AA33" i="98"/>
  <c r="AB33" i="98" s="1"/>
  <c r="AA22" i="98"/>
  <c r="AB22" i="98" s="1"/>
  <c r="AA11" i="98"/>
  <c r="AA32" i="98"/>
  <c r="AB32" i="98" s="1"/>
  <c r="AA37" i="98"/>
  <c r="AA36" i="99"/>
  <c r="AA28" i="98"/>
  <c r="AA16" i="98"/>
  <c r="AA10" i="99"/>
  <c r="AA38" i="98"/>
  <c r="AA26" i="98"/>
  <c r="AB26" i="98" s="1"/>
  <c r="AA25" i="99"/>
  <c r="AA19" i="98"/>
  <c r="AA47" i="98"/>
  <c r="AB47" i="98" s="1"/>
  <c r="AA50" i="98"/>
  <c r="AB50" i="98" s="1"/>
  <c r="AA10" i="98"/>
  <c r="AA37" i="99"/>
  <c r="AA35" i="99"/>
  <c r="AA48" i="98"/>
  <c r="AB48" i="98" s="1"/>
  <c r="AA18" i="99"/>
  <c r="AA34" i="99"/>
  <c r="AA36" i="98"/>
  <c r="AA14" i="99"/>
  <c r="AA31" i="99"/>
  <c r="M58" i="8"/>
  <c r="I58" i="116"/>
  <c r="B70" i="25"/>
  <c r="D70" i="12"/>
  <c r="G70" i="12" s="1"/>
  <c r="E70" i="116"/>
  <c r="H70" i="17"/>
  <c r="M65" i="8"/>
  <c r="I65" i="116"/>
  <c r="I73" i="116"/>
  <c r="O220" i="59"/>
  <c r="G90" i="21"/>
  <c r="J64" i="21"/>
  <c r="M64" i="15" s="1"/>
  <c r="E64" i="24"/>
  <c r="B64" i="15"/>
  <c r="G32" i="23"/>
  <c r="H39" i="23"/>
  <c r="J66" i="21"/>
  <c r="M66" i="15" s="1"/>
  <c r="B66" i="15"/>
  <c r="E66" i="24"/>
  <c r="D66" i="19"/>
  <c r="J59" i="21"/>
  <c r="M59" i="15" s="1"/>
  <c r="E59" i="24"/>
  <c r="B59" i="15"/>
  <c r="H89" i="13"/>
  <c r="C89" i="15"/>
  <c r="T89" i="21"/>
  <c r="J85" i="21"/>
  <c r="M86" i="15" s="1"/>
  <c r="E85" i="24"/>
  <c r="B85" i="15"/>
  <c r="J82" i="21"/>
  <c r="M83" i="15" s="1"/>
  <c r="B82" i="15"/>
  <c r="U82" i="21" s="1"/>
  <c r="G84" i="60"/>
  <c r="V82" i="21" s="1"/>
  <c r="E82" i="24"/>
  <c r="H82" i="24" s="1"/>
  <c r="H88" i="21"/>
  <c r="G53" i="9"/>
  <c r="M54" i="8"/>
  <c r="I54" i="116"/>
  <c r="H54" i="9"/>
  <c r="M54" i="13"/>
  <c r="H68" i="21"/>
  <c r="C84" i="21"/>
  <c r="H72" i="59"/>
  <c r="G53" i="59"/>
  <c r="G220" i="59" s="1"/>
  <c r="B33" i="12"/>
  <c r="E33" i="8"/>
  <c r="P33" i="9"/>
  <c r="O33" i="9"/>
  <c r="H33" i="9"/>
  <c r="B16" i="10"/>
  <c r="C19" i="127"/>
  <c r="L16" i="9"/>
  <c r="M63" i="8"/>
  <c r="R63" i="8" s="1"/>
  <c r="I63" i="116"/>
  <c r="M71" i="8"/>
  <c r="R71" i="8" s="1"/>
  <c r="I71" i="116"/>
  <c r="I82" i="116"/>
  <c r="F28" i="8"/>
  <c r="O28" i="36"/>
  <c r="H28" i="36"/>
  <c r="B19" i="10"/>
  <c r="C22" i="127"/>
  <c r="L19" i="9"/>
  <c r="D70" i="9"/>
  <c r="H70" i="9" s="1"/>
  <c r="B64" i="25"/>
  <c r="D64" i="12"/>
  <c r="E64" i="116"/>
  <c r="H64" i="17"/>
  <c r="B72" i="25"/>
  <c r="H72" i="17"/>
  <c r="E72" i="116"/>
  <c r="B84" i="25"/>
  <c r="D84" i="12"/>
  <c r="E84" i="116"/>
  <c r="H84" i="17"/>
  <c r="I55" i="116"/>
  <c r="I57" i="116"/>
  <c r="B66" i="25"/>
  <c r="D66" i="12"/>
  <c r="G66" i="12" s="1"/>
  <c r="H66" i="17"/>
  <c r="E66" i="116"/>
  <c r="M75" i="8"/>
  <c r="I75" i="116"/>
  <c r="B86" i="25"/>
  <c r="D86" i="12"/>
  <c r="G86" i="12" s="1"/>
  <c r="E86" i="116"/>
  <c r="H86" i="17"/>
  <c r="I61" i="116"/>
  <c r="M69" i="8"/>
  <c r="R69" i="8" s="1"/>
  <c r="I69" i="116"/>
  <c r="M80" i="8"/>
  <c r="I80" i="116"/>
  <c r="C44" i="140"/>
  <c r="B44" i="140" s="1"/>
  <c r="P39" i="60"/>
  <c r="C39" i="60"/>
  <c r="E50" i="140"/>
  <c r="I26" i="36"/>
  <c r="F26" i="36"/>
  <c r="L26" i="36" s="1"/>
  <c r="H26" i="36"/>
  <c r="O26" i="36"/>
  <c r="Q63" i="8"/>
  <c r="L14" i="257"/>
  <c r="C12" i="140"/>
  <c r="B12" i="140" s="1"/>
  <c r="K17" i="8"/>
  <c r="I17" i="8"/>
  <c r="L17" i="8" s="1"/>
  <c r="J17" i="8"/>
  <c r="C39" i="140"/>
  <c r="B39" i="140" s="1"/>
  <c r="H43" i="257"/>
  <c r="H25" i="257"/>
  <c r="P34" i="60"/>
  <c r="W72" i="21"/>
  <c r="E19" i="13"/>
  <c r="T19" i="13" s="1"/>
  <c r="X44" i="167"/>
  <c r="E38" i="13"/>
  <c r="T38" i="13" s="1"/>
  <c r="M44" i="167"/>
  <c r="H13" i="257"/>
  <c r="H35" i="23"/>
  <c r="C37" i="188"/>
  <c r="D37" i="188" s="1"/>
  <c r="D33" i="188"/>
  <c r="G11" i="60"/>
  <c r="P50" i="60"/>
  <c r="W44" i="167"/>
  <c r="C33" i="60"/>
  <c r="P33" i="60"/>
  <c r="P91" i="21"/>
  <c r="Q72" i="59"/>
  <c r="P53" i="59"/>
  <c r="P220" i="59" s="1"/>
  <c r="B11" i="9"/>
  <c r="K11" i="8"/>
  <c r="P11" i="8"/>
  <c r="G47" i="25"/>
  <c r="F47" i="9"/>
  <c r="I47" i="9"/>
  <c r="K47" i="9"/>
  <c r="M47" i="13"/>
  <c r="O47" i="9"/>
  <c r="H47" i="9"/>
  <c r="Q47" i="9"/>
  <c r="M82" i="14"/>
  <c r="G54" i="25"/>
  <c r="I54" i="9"/>
  <c r="O54" i="9"/>
  <c r="B71" i="25"/>
  <c r="D71" i="12"/>
  <c r="G71" i="12" s="1"/>
  <c r="E71" i="116"/>
  <c r="H71" i="17"/>
  <c r="B82" i="25"/>
  <c r="E82" i="116"/>
  <c r="H82" i="17"/>
  <c r="K65" i="59"/>
  <c r="K85" i="59"/>
  <c r="D82" i="9"/>
  <c r="H82" i="9" s="1"/>
  <c r="M60" i="8"/>
  <c r="I60" i="116"/>
  <c r="B79" i="25"/>
  <c r="D79" i="9"/>
  <c r="M79" i="13" s="1"/>
  <c r="D79" i="12"/>
  <c r="G79" i="12" s="1"/>
  <c r="E79" i="116"/>
  <c r="J79" i="17"/>
  <c r="H79" i="17"/>
  <c r="K79" i="17"/>
  <c r="B55" i="25"/>
  <c r="D55" i="12"/>
  <c r="G55" i="12" s="1"/>
  <c r="E55" i="116"/>
  <c r="H55" i="17"/>
  <c r="M62" i="8"/>
  <c r="I62" i="116"/>
  <c r="I81" i="116"/>
  <c r="B61" i="25"/>
  <c r="D61" i="12"/>
  <c r="G61" i="12" s="1"/>
  <c r="E61" i="116"/>
  <c r="H61" i="17"/>
  <c r="B80" i="25"/>
  <c r="D80" i="12"/>
  <c r="E80" i="116"/>
  <c r="H80" i="17"/>
  <c r="C47" i="15"/>
  <c r="L21" i="257"/>
  <c r="M23" i="140"/>
  <c r="K47" i="36"/>
  <c r="O34" i="140"/>
  <c r="P34" i="140"/>
  <c r="L54" i="8"/>
  <c r="M43" i="140"/>
  <c r="L41" i="257"/>
  <c r="Q32" i="60"/>
  <c r="L23" i="257"/>
  <c r="Q25" i="140"/>
  <c r="M17" i="140"/>
  <c r="G44" i="167"/>
  <c r="P22" i="60"/>
  <c r="E48" i="60"/>
  <c r="Q48" i="60"/>
  <c r="M91" i="21"/>
  <c r="J81" i="21"/>
  <c r="M82" i="15" s="1"/>
  <c r="B81" i="15"/>
  <c r="E81" i="24"/>
  <c r="G83" i="60"/>
  <c r="V81" i="21" s="1"/>
  <c r="I52" i="13"/>
  <c r="M52" i="14"/>
  <c r="S52" i="21"/>
  <c r="C52" i="24"/>
  <c r="I52" i="24" s="1"/>
  <c r="G79" i="13"/>
  <c r="C79" i="24"/>
  <c r="I79" i="24" s="1"/>
  <c r="C79" i="14"/>
  <c r="D79" i="14" s="1"/>
  <c r="H81" i="60"/>
  <c r="S79" i="21"/>
  <c r="J77" i="21"/>
  <c r="M77" i="15" s="1"/>
  <c r="E77" i="24"/>
  <c r="B77" i="15"/>
  <c r="C67" i="21"/>
  <c r="K67" i="59"/>
  <c r="K75" i="59"/>
  <c r="K70" i="59"/>
  <c r="B29" i="9"/>
  <c r="K29" i="8"/>
  <c r="I29" i="8"/>
  <c r="L29" i="8" s="1"/>
  <c r="P29" i="8"/>
  <c r="I88" i="13"/>
  <c r="M88" i="14"/>
  <c r="D57" i="9"/>
  <c r="M57" i="13" s="1"/>
  <c r="D63" i="9"/>
  <c r="B87" i="25"/>
  <c r="D87" i="9"/>
  <c r="O87" i="9" s="1"/>
  <c r="D87" i="12"/>
  <c r="G87" i="12" s="1"/>
  <c r="E87" i="116"/>
  <c r="H87" i="17"/>
  <c r="I87" i="17"/>
  <c r="K87" i="17"/>
  <c r="J87" i="17"/>
  <c r="B90" i="8"/>
  <c r="C39" i="127"/>
  <c r="B36" i="10"/>
  <c r="L36" i="9"/>
  <c r="B68" i="25"/>
  <c r="D68" i="12"/>
  <c r="H68" i="17"/>
  <c r="E68" i="116"/>
  <c r="B88" i="25"/>
  <c r="E88" i="116"/>
  <c r="H88" i="17"/>
  <c r="M56" i="8"/>
  <c r="R56" i="8" s="1"/>
  <c r="I56" i="116"/>
  <c r="B62" i="25"/>
  <c r="D62" i="12"/>
  <c r="E62" i="116"/>
  <c r="H62" i="17"/>
  <c r="B81" i="25"/>
  <c r="D81" i="9"/>
  <c r="H81" i="9" s="1"/>
  <c r="E81" i="116"/>
  <c r="H81" i="17"/>
  <c r="M85" i="8"/>
  <c r="R85" i="8" s="1"/>
  <c r="I85" i="116"/>
  <c r="J47" i="21"/>
  <c r="M47" i="15" s="1"/>
  <c r="L32" i="257"/>
  <c r="Q34" i="140"/>
  <c r="H44" i="257"/>
  <c r="E46" i="60"/>
  <c r="L50" i="257"/>
  <c r="C15" i="60"/>
  <c r="O38" i="140"/>
  <c r="M28" i="140"/>
  <c r="L26" i="257"/>
  <c r="M14" i="140"/>
  <c r="I11" i="8"/>
  <c r="L11" i="8" s="1"/>
  <c r="N34" i="140"/>
  <c r="H10" i="257"/>
  <c r="J11" i="60"/>
  <c r="K33" i="13"/>
  <c r="B33" i="13" s="1"/>
  <c r="E51" i="140"/>
  <c r="C27" i="60"/>
  <c r="P27" i="60"/>
  <c r="Q40" i="60"/>
  <c r="N38" i="140"/>
  <c r="F39" i="24"/>
  <c r="T39" i="21"/>
  <c r="K91" i="100"/>
  <c r="E30" i="60"/>
  <c r="Q30" i="60"/>
  <c r="P44" i="167"/>
  <c r="E20" i="60"/>
  <c r="W76" i="21"/>
  <c r="E14" i="13"/>
  <c r="T14" i="13" s="1"/>
  <c r="V28" i="21"/>
  <c r="N44" i="167"/>
  <c r="E10" i="13"/>
  <c r="T10" i="13" s="1"/>
  <c r="Q12" i="60"/>
  <c r="U44" i="167"/>
  <c r="C52" i="60"/>
  <c r="C31" i="60"/>
  <c r="P31" i="60"/>
  <c r="F43" i="13"/>
  <c r="S43" i="21"/>
  <c r="C43" i="24"/>
  <c r="C59" i="21"/>
  <c r="K59" i="59"/>
  <c r="C76" i="21"/>
  <c r="C62" i="21"/>
  <c r="G64" i="60" s="1"/>
  <c r="K62" i="59"/>
  <c r="D39" i="21"/>
  <c r="E41" i="140" s="1"/>
  <c r="D89" i="21"/>
  <c r="H84" i="13"/>
  <c r="T84" i="21"/>
  <c r="C84" i="15"/>
  <c r="F84" i="24"/>
  <c r="B31" i="9"/>
  <c r="K31" i="8"/>
  <c r="P31" i="8"/>
  <c r="D88" i="21"/>
  <c r="D80" i="9"/>
  <c r="M80" i="13" s="1"/>
  <c r="D68" i="9"/>
  <c r="H68" i="9" s="1"/>
  <c r="B15" i="10"/>
  <c r="C18" i="127"/>
  <c r="L15" i="9"/>
  <c r="B67" i="25"/>
  <c r="D67" i="12"/>
  <c r="G67" i="12" s="1"/>
  <c r="E67" i="116"/>
  <c r="H67" i="17"/>
  <c r="B76" i="25"/>
  <c r="E76" i="116"/>
  <c r="H76" i="17"/>
  <c r="M87" i="8"/>
  <c r="R87" i="8" s="1"/>
  <c r="I87" i="116"/>
  <c r="D61" i="9"/>
  <c r="M61" i="13" s="1"/>
  <c r="C45" i="8"/>
  <c r="D46" i="8"/>
  <c r="C85" i="21"/>
  <c r="D76" i="9"/>
  <c r="M76" i="13" s="1"/>
  <c r="I54" i="59"/>
  <c r="C59" i="9"/>
  <c r="D65" i="9"/>
  <c r="M65" i="13" s="1"/>
  <c r="M64" i="8"/>
  <c r="R64" i="8" s="1"/>
  <c r="I64" i="116"/>
  <c r="I72" i="116"/>
  <c r="M84" i="8"/>
  <c r="R84" i="8" s="1"/>
  <c r="I84" i="116"/>
  <c r="B56" i="25"/>
  <c r="D56" i="12"/>
  <c r="G56" i="12" s="1"/>
  <c r="E56" i="116"/>
  <c r="H56" i="17"/>
  <c r="H30" i="19"/>
  <c r="J30" i="17"/>
  <c r="B58" i="25"/>
  <c r="D58" i="12"/>
  <c r="E58" i="116"/>
  <c r="H58" i="17"/>
  <c r="M66" i="8"/>
  <c r="R66" i="8" s="1"/>
  <c r="I66" i="116"/>
  <c r="B75" i="25"/>
  <c r="D75" i="9"/>
  <c r="O75" i="9" s="1"/>
  <c r="D75" i="12"/>
  <c r="E75" i="116"/>
  <c r="H75" i="17"/>
  <c r="M86" i="8"/>
  <c r="R86" i="8" s="1"/>
  <c r="I86" i="116"/>
  <c r="B65" i="25"/>
  <c r="D65" i="12"/>
  <c r="G65" i="12" s="1"/>
  <c r="E65" i="116"/>
  <c r="H65" i="17"/>
  <c r="B73" i="25"/>
  <c r="D73" i="12"/>
  <c r="G73" i="12" s="1"/>
  <c r="E73" i="116"/>
  <c r="H73" i="17"/>
  <c r="B85" i="25"/>
  <c r="D85" i="9"/>
  <c r="O85" i="9" s="1"/>
  <c r="D85" i="12"/>
  <c r="G85" i="12" s="1"/>
  <c r="E85" i="116"/>
  <c r="H85" i="17"/>
  <c r="C15" i="140"/>
  <c r="B15" i="140" s="1"/>
  <c r="H35" i="60"/>
  <c r="D35" i="140"/>
  <c r="C35" i="140" s="1"/>
  <c r="B35" i="140" s="1"/>
  <c r="Q79" i="8"/>
  <c r="Q38" i="140"/>
  <c r="L36" i="257"/>
  <c r="H34" i="257"/>
  <c r="E36" i="60"/>
  <c r="M30" i="140"/>
  <c r="L28" i="257"/>
  <c r="G33" i="36"/>
  <c r="G23" i="36"/>
  <c r="G42" i="36"/>
  <c r="G14" i="36"/>
  <c r="D29" i="140"/>
  <c r="C29" i="140" s="1"/>
  <c r="B29" i="140" s="1"/>
  <c r="H29" i="60"/>
  <c r="Q25" i="60"/>
  <c r="C46" i="140"/>
  <c r="B46" i="140" s="1"/>
  <c r="M37" i="140"/>
  <c r="L35" i="257"/>
  <c r="D14" i="8"/>
  <c r="C9" i="8"/>
  <c r="C36" i="140"/>
  <c r="B36" i="140" s="1"/>
  <c r="L24" i="257"/>
  <c r="M26" i="140"/>
  <c r="M39" i="15"/>
  <c r="Q44" i="167"/>
  <c r="D44" i="167"/>
  <c r="H44" i="167"/>
  <c r="L44" i="167"/>
  <c r="O44" i="167"/>
  <c r="E44" i="167"/>
  <c r="K44" i="167"/>
  <c r="I44" i="167"/>
  <c r="C44" i="167"/>
  <c r="J68" i="24"/>
  <c r="T44" i="167"/>
  <c r="C35" i="60"/>
  <c r="P35" i="60"/>
  <c r="H12" i="23"/>
  <c r="P42" i="60"/>
  <c r="J44" i="167"/>
  <c r="E12" i="60"/>
  <c r="C26" i="60"/>
  <c r="P26" i="60"/>
  <c r="P14" i="60"/>
  <c r="C14" i="60"/>
  <c r="S44" i="167"/>
  <c r="K55" i="59" l="1"/>
  <c r="D25" i="99"/>
  <c r="C51" i="60"/>
  <c r="O51" i="60" s="1"/>
  <c r="D38" i="99"/>
  <c r="I48" i="36"/>
  <c r="D34" i="98"/>
  <c r="H62" i="12"/>
  <c r="O62" i="12" s="1"/>
  <c r="B53" i="12"/>
  <c r="C26" i="19"/>
  <c r="B26" i="19" s="1"/>
  <c r="L20" i="257"/>
  <c r="M22" i="140"/>
  <c r="D31" i="99"/>
  <c r="H88" i="24"/>
  <c r="C12" i="12"/>
  <c r="S12" i="260" s="1"/>
  <c r="U12" i="260" s="1"/>
  <c r="G73" i="25"/>
  <c r="I30" i="261"/>
  <c r="D14" i="98"/>
  <c r="R32" i="23"/>
  <c r="H45" i="257"/>
  <c r="O49" i="60"/>
  <c r="D45" i="9"/>
  <c r="I45" i="9" s="1"/>
  <c r="J45" i="9" s="1"/>
  <c r="N71" i="261"/>
  <c r="N75" i="261"/>
  <c r="I27" i="60"/>
  <c r="D27" i="140"/>
  <c r="C27" i="140" s="1"/>
  <c r="B27" i="140" s="1"/>
  <c r="C90" i="60"/>
  <c r="O90" i="60" s="1"/>
  <c r="C35" i="12"/>
  <c r="S35" i="260" s="1"/>
  <c r="U35" i="260" s="1"/>
  <c r="C38" i="12"/>
  <c r="S38" i="260" s="1"/>
  <c r="U38" i="260" s="1"/>
  <c r="F56" i="24"/>
  <c r="N70" i="261"/>
  <c r="D34" i="99"/>
  <c r="M34" i="261"/>
  <c r="I84" i="9"/>
  <c r="J84" i="9" s="1"/>
  <c r="H62" i="8"/>
  <c r="B16" i="13"/>
  <c r="C16" i="12"/>
  <c r="S16" i="260" s="1"/>
  <c r="U16" i="260" s="1"/>
  <c r="M34" i="17"/>
  <c r="C29" i="12"/>
  <c r="S29" i="260" s="1"/>
  <c r="U29" i="260" s="1"/>
  <c r="O16" i="99"/>
  <c r="G42" i="17"/>
  <c r="L42" i="17" s="1"/>
  <c r="T42" i="17" s="1"/>
  <c r="O36" i="99"/>
  <c r="L43" i="9"/>
  <c r="G43" i="17" s="1"/>
  <c r="Q32" i="8"/>
  <c r="M82" i="8"/>
  <c r="N82" i="8" s="1"/>
  <c r="Q13" i="140"/>
  <c r="Q69" i="8"/>
  <c r="Q73" i="8"/>
  <c r="Q87" i="8"/>
  <c r="M58" i="15"/>
  <c r="H58" i="21"/>
  <c r="H84" i="9"/>
  <c r="F80" i="24"/>
  <c r="L38" i="257"/>
  <c r="H55" i="9"/>
  <c r="C66" i="21"/>
  <c r="B66" i="24" s="1"/>
  <c r="H66" i="24" s="1"/>
  <c r="N13" i="140"/>
  <c r="C26" i="17"/>
  <c r="M26" i="17" s="1"/>
  <c r="I62" i="8"/>
  <c r="Q74" i="8"/>
  <c r="I24" i="268"/>
  <c r="Q70" i="8"/>
  <c r="M77" i="8"/>
  <c r="N77" i="8" s="1"/>
  <c r="B29" i="10"/>
  <c r="P29" i="13" s="1"/>
  <c r="O29" i="13" s="1"/>
  <c r="J29" i="13" s="1"/>
  <c r="F29" i="19" s="1"/>
  <c r="E29" i="19" s="1"/>
  <c r="Q33" i="140"/>
  <c r="M61" i="8"/>
  <c r="R61" i="8" s="1"/>
  <c r="O66" i="9"/>
  <c r="B75" i="15"/>
  <c r="U75" i="21" s="1"/>
  <c r="J44" i="9"/>
  <c r="O10" i="98"/>
  <c r="J20" i="9"/>
  <c r="Q34" i="8"/>
  <c r="Q88" i="8"/>
  <c r="M54" i="15"/>
  <c r="H54" i="21"/>
  <c r="Q53" i="59"/>
  <c r="Q220" i="59" s="1"/>
  <c r="P13" i="140"/>
  <c r="I58" i="59"/>
  <c r="C58" i="21" s="1"/>
  <c r="J37" i="9"/>
  <c r="G20" i="12"/>
  <c r="N20" i="12" s="1"/>
  <c r="C25" i="127"/>
  <c r="Q64" i="8"/>
  <c r="Q78" i="8"/>
  <c r="I64" i="268"/>
  <c r="L32" i="9"/>
  <c r="G32" i="261" s="1"/>
  <c r="J49" i="9"/>
  <c r="J12" i="9"/>
  <c r="Q47" i="8"/>
  <c r="R59" i="8"/>
  <c r="I82" i="13"/>
  <c r="G57" i="60"/>
  <c r="E57" i="60" s="1"/>
  <c r="O41" i="9"/>
  <c r="I10" i="8"/>
  <c r="L10" i="8" s="1"/>
  <c r="D35" i="13"/>
  <c r="E35" i="13" s="1"/>
  <c r="T35" i="13" s="1"/>
  <c r="Q67" i="8"/>
  <c r="AB14" i="271"/>
  <c r="Q76" i="8"/>
  <c r="L11" i="257"/>
  <c r="O62" i="9"/>
  <c r="R53" i="59"/>
  <c r="R220" i="59" s="1"/>
  <c r="I84" i="268"/>
  <c r="O19" i="99"/>
  <c r="B41" i="12"/>
  <c r="B15" i="13"/>
  <c r="L12" i="9"/>
  <c r="G12" i="17" s="1"/>
  <c r="M74" i="8"/>
  <c r="N74" i="8" s="1"/>
  <c r="J41" i="9"/>
  <c r="C40" i="23"/>
  <c r="C39" i="23"/>
  <c r="B39" i="23" s="1"/>
  <c r="R39" i="23" s="1"/>
  <c r="C12" i="23"/>
  <c r="C36" i="23"/>
  <c r="C21" i="60"/>
  <c r="O19" i="257" s="1"/>
  <c r="I45" i="17"/>
  <c r="B44" i="10"/>
  <c r="C44" i="19" s="1"/>
  <c r="B44" i="19" s="1"/>
  <c r="C34" i="12"/>
  <c r="B36" i="13"/>
  <c r="Q82" i="8"/>
  <c r="L49" i="36"/>
  <c r="L29" i="9"/>
  <c r="G29" i="17" s="1"/>
  <c r="L29" i="17" s="1"/>
  <c r="T29" i="17" s="1"/>
  <c r="H29" i="12"/>
  <c r="O29" i="12" s="1"/>
  <c r="I66" i="9"/>
  <c r="O31" i="98"/>
  <c r="L22" i="9"/>
  <c r="G22" i="17" s="1"/>
  <c r="L22" i="17" s="1"/>
  <c r="T22" i="17" s="1"/>
  <c r="G66" i="25"/>
  <c r="H12" i="12"/>
  <c r="O12" i="12" s="1"/>
  <c r="O21" i="99"/>
  <c r="P35" i="13"/>
  <c r="C32" i="127"/>
  <c r="G12" i="12"/>
  <c r="N12" i="12" s="1"/>
  <c r="H34" i="12"/>
  <c r="O34" i="12" s="1"/>
  <c r="AB14" i="101"/>
  <c r="L44" i="9"/>
  <c r="G44" i="17" s="1"/>
  <c r="F26" i="10"/>
  <c r="K26" i="10" s="1"/>
  <c r="M60" i="13"/>
  <c r="I60" i="9"/>
  <c r="O13" i="140"/>
  <c r="C47" i="127"/>
  <c r="H66" i="9"/>
  <c r="H60" i="9"/>
  <c r="G60" i="25"/>
  <c r="M73" i="8"/>
  <c r="R73" i="8" s="1"/>
  <c r="B26" i="13"/>
  <c r="K26" i="13" s="1"/>
  <c r="L26" i="13" s="1"/>
  <c r="B21" i="13"/>
  <c r="O34" i="98"/>
  <c r="N35" i="10"/>
  <c r="J26" i="10"/>
  <c r="H41" i="9"/>
  <c r="I30" i="268"/>
  <c r="H56" i="13"/>
  <c r="C12" i="13"/>
  <c r="D12" i="13"/>
  <c r="M42" i="140"/>
  <c r="L40" i="257"/>
  <c r="Q15" i="8"/>
  <c r="I32" i="268"/>
  <c r="AB13" i="271"/>
  <c r="O49" i="257"/>
  <c r="P28" i="60"/>
  <c r="H18" i="12"/>
  <c r="O18" i="12" s="1"/>
  <c r="U88" i="21"/>
  <c r="I32" i="261"/>
  <c r="U65" i="21"/>
  <c r="E68" i="9"/>
  <c r="F68" i="9" s="1"/>
  <c r="T36" i="13"/>
  <c r="F79" i="13"/>
  <c r="J79" i="13" s="1"/>
  <c r="K79" i="13" s="1"/>
  <c r="B79" i="13" s="1"/>
  <c r="C18" i="12"/>
  <c r="S18" i="260" s="1"/>
  <c r="U18" i="260" s="1"/>
  <c r="B74" i="25"/>
  <c r="C11" i="12"/>
  <c r="S11" i="260" s="1"/>
  <c r="U11" i="260" s="1"/>
  <c r="I66" i="261"/>
  <c r="H81" i="24"/>
  <c r="D31" i="98"/>
  <c r="O37" i="99"/>
  <c r="H45" i="13"/>
  <c r="I64" i="17"/>
  <c r="I66" i="268"/>
  <c r="I84" i="261"/>
  <c r="H32" i="13"/>
  <c r="B38" i="261"/>
  <c r="C33" i="261"/>
  <c r="M33" i="261" s="1"/>
  <c r="H74" i="17"/>
  <c r="H74" i="268"/>
  <c r="H59" i="268"/>
  <c r="H55" i="21"/>
  <c r="T55" i="21" s="1"/>
  <c r="O11" i="99"/>
  <c r="H71" i="21"/>
  <c r="T71" i="21" s="1"/>
  <c r="H67" i="21"/>
  <c r="T67" i="21" s="1"/>
  <c r="D19" i="99"/>
  <c r="Q84" i="8"/>
  <c r="M57" i="8"/>
  <c r="R57" i="8" s="1"/>
  <c r="G26" i="12"/>
  <c r="N26" i="12" s="1"/>
  <c r="L18" i="9"/>
  <c r="G18" i="17" s="1"/>
  <c r="L18" i="17" s="1"/>
  <c r="T18" i="17" s="1"/>
  <c r="L30" i="9"/>
  <c r="G30" i="261" s="1"/>
  <c r="H56" i="9"/>
  <c r="Q60" i="8"/>
  <c r="H17" i="12"/>
  <c r="O17" i="12" s="1"/>
  <c r="M62" i="13"/>
  <c r="G55" i="25"/>
  <c r="I62" i="9"/>
  <c r="Q19" i="8"/>
  <c r="C35" i="19"/>
  <c r="B35" i="19" s="1"/>
  <c r="O10" i="99"/>
  <c r="J35" i="10"/>
  <c r="Q42" i="8"/>
  <c r="D18" i="99"/>
  <c r="B40" i="10"/>
  <c r="F40" i="10" s="1"/>
  <c r="K40" i="10" s="1"/>
  <c r="N78" i="8"/>
  <c r="B17" i="10"/>
  <c r="P17" i="13" s="1"/>
  <c r="O17" i="13" s="1"/>
  <c r="I55" i="9"/>
  <c r="M55" i="13"/>
  <c r="Q18" i="8"/>
  <c r="Q72" i="8"/>
  <c r="M20" i="261"/>
  <c r="M84" i="13"/>
  <c r="C21" i="127"/>
  <c r="H62" i="9"/>
  <c r="J43" i="9"/>
  <c r="O28" i="99"/>
  <c r="C24" i="12"/>
  <c r="S24" i="260" s="1"/>
  <c r="U24" i="260" s="1"/>
  <c r="Q57" i="8"/>
  <c r="B24" i="13"/>
  <c r="K24" i="13" s="1"/>
  <c r="L24" i="13" s="1"/>
  <c r="H11" i="12"/>
  <c r="O11" i="12" s="1"/>
  <c r="B18" i="10"/>
  <c r="C18" i="19" s="1"/>
  <c r="B18" i="19" s="1"/>
  <c r="L17" i="9"/>
  <c r="G17" i="261" s="1"/>
  <c r="L17" i="261" s="1"/>
  <c r="AH17" i="261" s="1"/>
  <c r="O72" i="9"/>
  <c r="O19" i="98"/>
  <c r="C37" i="12"/>
  <c r="S37" i="260" s="1"/>
  <c r="H40" i="12"/>
  <c r="O40" i="12" s="1"/>
  <c r="M72" i="13"/>
  <c r="C20" i="127"/>
  <c r="O69" i="9"/>
  <c r="C28" i="19"/>
  <c r="B28" i="19" s="1"/>
  <c r="G72" i="25"/>
  <c r="H69" i="9"/>
  <c r="H58" i="9"/>
  <c r="H37" i="9"/>
  <c r="U41" i="13"/>
  <c r="L41" i="13"/>
  <c r="E41" i="12"/>
  <c r="C41" i="12" s="1"/>
  <c r="S41" i="260" s="1"/>
  <c r="J22" i="36"/>
  <c r="N40" i="140"/>
  <c r="Q36" i="8"/>
  <c r="F12" i="10"/>
  <c r="K12" i="10" s="1"/>
  <c r="K72" i="9"/>
  <c r="Q28" i="140"/>
  <c r="B20" i="10"/>
  <c r="C20" i="19" s="1"/>
  <c r="B20" i="19" s="1"/>
  <c r="M69" i="13"/>
  <c r="B37" i="12"/>
  <c r="D14" i="99"/>
  <c r="D10" i="98"/>
  <c r="Q35" i="8"/>
  <c r="J35" i="36"/>
  <c r="B32" i="10"/>
  <c r="P32" i="13" s="1"/>
  <c r="H22" i="9"/>
  <c r="Q65" i="8"/>
  <c r="L49" i="9"/>
  <c r="G49" i="17" s="1"/>
  <c r="L49" i="17" s="1"/>
  <c r="T49" i="17" s="1"/>
  <c r="Q38" i="8"/>
  <c r="J21" i="9"/>
  <c r="M31" i="261"/>
  <c r="M31" i="17"/>
  <c r="J40" i="9"/>
  <c r="J17" i="9"/>
  <c r="B22" i="10"/>
  <c r="F22" i="10" s="1"/>
  <c r="K22" i="10" s="1"/>
  <c r="Q40" i="8"/>
  <c r="M81" i="8"/>
  <c r="R81" i="8" s="1"/>
  <c r="B30" i="10"/>
  <c r="F30" i="10" s="1"/>
  <c r="K30" i="10" s="1"/>
  <c r="I72" i="9"/>
  <c r="I69" i="9"/>
  <c r="Q40" i="140"/>
  <c r="C20" i="12"/>
  <c r="S20" i="260" s="1"/>
  <c r="U20" i="260" s="1"/>
  <c r="P37" i="9"/>
  <c r="J12" i="10"/>
  <c r="D11" i="99"/>
  <c r="C40" i="12"/>
  <c r="S40" i="260" s="1"/>
  <c r="U40" i="260" s="1"/>
  <c r="M20" i="17"/>
  <c r="O38" i="98"/>
  <c r="L77" i="9"/>
  <c r="G77" i="261" s="1"/>
  <c r="Q16" i="8"/>
  <c r="Q39" i="8"/>
  <c r="J49" i="36"/>
  <c r="J42" i="9"/>
  <c r="M72" i="8"/>
  <c r="R72" i="8" s="1"/>
  <c r="Q62" i="8"/>
  <c r="E30" i="12"/>
  <c r="H30" i="12" s="1"/>
  <c r="O30" i="12" s="1"/>
  <c r="C24" i="127"/>
  <c r="P33" i="140"/>
  <c r="H9" i="59"/>
  <c r="Q12" i="8"/>
  <c r="J30" i="9"/>
  <c r="Q56" i="8"/>
  <c r="H72" i="9"/>
  <c r="Q23" i="140"/>
  <c r="L20" i="9"/>
  <c r="G20" i="17" s="1"/>
  <c r="Q77" i="8"/>
  <c r="C41" i="261"/>
  <c r="M41" i="261" s="1"/>
  <c r="O21" i="98"/>
  <c r="P12" i="13"/>
  <c r="O12" i="13" s="1"/>
  <c r="J12" i="19" s="1"/>
  <c r="C24" i="261"/>
  <c r="M24" i="261" s="1"/>
  <c r="C26" i="12"/>
  <c r="S26" i="260" s="1"/>
  <c r="U26" i="260" s="1"/>
  <c r="C36" i="12"/>
  <c r="P40" i="140"/>
  <c r="C43" i="127"/>
  <c r="Q41" i="8"/>
  <c r="J32" i="9"/>
  <c r="Q37" i="8"/>
  <c r="Q22" i="8"/>
  <c r="Q66" i="8"/>
  <c r="D10" i="99"/>
  <c r="J18" i="36"/>
  <c r="C26" i="261"/>
  <c r="M26" i="261" s="1"/>
  <c r="Q61" i="8"/>
  <c r="H74" i="21"/>
  <c r="T74" i="21" s="1"/>
  <c r="D17" i="99"/>
  <c r="O43" i="60"/>
  <c r="O41" i="257"/>
  <c r="D23" i="99"/>
  <c r="D45" i="140"/>
  <c r="C45" i="140" s="1"/>
  <c r="B45" i="140" s="1"/>
  <c r="M45" i="140" s="1"/>
  <c r="B55" i="24"/>
  <c r="H55" i="24" s="1"/>
  <c r="B55" i="14"/>
  <c r="U55" i="21" s="1"/>
  <c r="F55" i="21"/>
  <c r="P91" i="60"/>
  <c r="C91" i="60"/>
  <c r="P41" i="60"/>
  <c r="C41" i="60"/>
  <c r="M86" i="13"/>
  <c r="M58" i="13"/>
  <c r="H45" i="60"/>
  <c r="Q45" i="60" s="1"/>
  <c r="H43" i="12"/>
  <c r="O43" i="12" s="1"/>
  <c r="K30" i="25"/>
  <c r="N28" i="10"/>
  <c r="D16" i="98"/>
  <c r="D20" i="98"/>
  <c r="P32" i="60"/>
  <c r="C32" i="60"/>
  <c r="U81" i="21"/>
  <c r="H86" i="9"/>
  <c r="M18" i="140"/>
  <c r="L21" i="9"/>
  <c r="G21" i="17" s="1"/>
  <c r="L21" i="17" s="1"/>
  <c r="T21" i="17" s="1"/>
  <c r="I86" i="9"/>
  <c r="T80" i="21"/>
  <c r="O33" i="140"/>
  <c r="O86" i="9"/>
  <c r="H53" i="59"/>
  <c r="H65" i="24"/>
  <c r="D28" i="99"/>
  <c r="O14" i="98"/>
  <c r="J28" i="10"/>
  <c r="C32" i="12"/>
  <c r="S32" i="260" s="1"/>
  <c r="U32" i="260" s="1"/>
  <c r="J31" i="12"/>
  <c r="Q85" i="8"/>
  <c r="T56" i="21"/>
  <c r="L31" i="257"/>
  <c r="N33" i="140"/>
  <c r="C80" i="15"/>
  <c r="H75" i="21"/>
  <c r="T75" i="21" s="1"/>
  <c r="H62" i="21"/>
  <c r="T62" i="21" s="1"/>
  <c r="P28" i="13"/>
  <c r="O28" i="13" s="1"/>
  <c r="J28" i="13" s="1"/>
  <c r="F28" i="19" s="1"/>
  <c r="E28" i="19" s="1"/>
  <c r="B37" i="13"/>
  <c r="C43" i="12"/>
  <c r="S43" i="260" s="1"/>
  <c r="U43" i="260" s="1"/>
  <c r="D20" i="99"/>
  <c r="B32" i="13"/>
  <c r="K32" i="13" s="1"/>
  <c r="L32" i="13" s="1"/>
  <c r="C21" i="12"/>
  <c r="S21" i="260" s="1"/>
  <c r="U21" i="260" s="1"/>
  <c r="H60" i="21"/>
  <c r="C60" i="15" s="1"/>
  <c r="C54" i="60"/>
  <c r="P54" i="60"/>
  <c r="P17" i="60"/>
  <c r="C17" i="60"/>
  <c r="E73" i="60"/>
  <c r="C73" i="60" s="1"/>
  <c r="O71" i="257" s="1"/>
  <c r="Q71" i="257" s="1"/>
  <c r="V71" i="21"/>
  <c r="H70" i="21"/>
  <c r="H70" i="13" s="1"/>
  <c r="F35" i="13"/>
  <c r="B35" i="23"/>
  <c r="R35" i="23" s="1"/>
  <c r="G35" i="13"/>
  <c r="C37" i="60"/>
  <c r="P37" i="60"/>
  <c r="H76" i="21"/>
  <c r="H76" i="13" s="1"/>
  <c r="I64" i="261"/>
  <c r="L17" i="257"/>
  <c r="M19" i="140"/>
  <c r="M73" i="15"/>
  <c r="H73" i="21"/>
  <c r="C24" i="60"/>
  <c r="P24" i="60"/>
  <c r="H78" i="13"/>
  <c r="C78" i="15"/>
  <c r="T78" i="21"/>
  <c r="F78" i="24"/>
  <c r="F77" i="21"/>
  <c r="M77" i="14" s="1"/>
  <c r="B77" i="24"/>
  <c r="H77" i="24" s="1"/>
  <c r="B77" i="14"/>
  <c r="U77" i="21" s="1"/>
  <c r="H81" i="21"/>
  <c r="T81" i="21" s="1"/>
  <c r="H53" i="60"/>
  <c r="Q53" i="60" s="1"/>
  <c r="D53" i="140"/>
  <c r="C53" i="140" s="1"/>
  <c r="B53" i="140" s="1"/>
  <c r="V88" i="21"/>
  <c r="P29" i="60"/>
  <c r="C29" i="60"/>
  <c r="C38" i="60"/>
  <c r="P38" i="60"/>
  <c r="C40" i="60"/>
  <c r="P40" i="60"/>
  <c r="O14" i="257"/>
  <c r="O16" i="60"/>
  <c r="O18" i="60"/>
  <c r="O16" i="257"/>
  <c r="D6" i="174"/>
  <c r="H59" i="21"/>
  <c r="T59" i="21" s="1"/>
  <c r="V64" i="21"/>
  <c r="V65" i="21"/>
  <c r="V75" i="21"/>
  <c r="U57" i="21"/>
  <c r="H57" i="21"/>
  <c r="T57" i="21" s="1"/>
  <c r="G76" i="60"/>
  <c r="E76" i="60" s="1"/>
  <c r="B74" i="14"/>
  <c r="U74" i="21" s="1"/>
  <c r="B74" i="24"/>
  <c r="H74" i="24" s="1"/>
  <c r="F74" i="21"/>
  <c r="C13" i="60"/>
  <c r="P13" i="60"/>
  <c r="H63" i="21"/>
  <c r="M31" i="140"/>
  <c r="L29" i="257"/>
  <c r="L22" i="257"/>
  <c r="M24" i="140"/>
  <c r="O23" i="60"/>
  <c r="O21" i="257"/>
  <c r="Q26" i="8"/>
  <c r="B45" i="9"/>
  <c r="O45" i="9" s="1"/>
  <c r="O25" i="99"/>
  <c r="P35" i="36"/>
  <c r="B10" i="36"/>
  <c r="H10" i="36" s="1"/>
  <c r="P10" i="8"/>
  <c r="M56" i="13"/>
  <c r="O84" i="9"/>
  <c r="G56" i="25"/>
  <c r="G71" i="25"/>
  <c r="O15" i="99"/>
  <c r="Q51" i="8"/>
  <c r="P18" i="36"/>
  <c r="O20" i="99"/>
  <c r="D25" i="98"/>
  <c r="B22" i="12"/>
  <c r="I22" i="12" s="1"/>
  <c r="P22" i="9"/>
  <c r="O56" i="9"/>
  <c r="D38" i="98"/>
  <c r="D36" i="98"/>
  <c r="I13" i="8"/>
  <c r="L13" i="8" s="1"/>
  <c r="Q21" i="8"/>
  <c r="H71" i="9"/>
  <c r="O17" i="99"/>
  <c r="O42" i="99"/>
  <c r="AB13" i="101"/>
  <c r="G16" i="17"/>
  <c r="L16" i="17" s="1"/>
  <c r="T16" i="17" s="1"/>
  <c r="G16" i="261"/>
  <c r="L16" i="261" s="1"/>
  <c r="AH16" i="261" s="1"/>
  <c r="G38" i="17"/>
  <c r="L38" i="17" s="1"/>
  <c r="T38" i="17" s="1"/>
  <c r="G38" i="261"/>
  <c r="L38" i="261" s="1"/>
  <c r="AH38" i="261" s="1"/>
  <c r="H83" i="9"/>
  <c r="I83" i="9"/>
  <c r="M83" i="13"/>
  <c r="F83" i="9"/>
  <c r="G83" i="25"/>
  <c r="K83" i="9"/>
  <c r="L42" i="19"/>
  <c r="B42" i="261"/>
  <c r="B42" i="17"/>
  <c r="C30" i="127"/>
  <c r="B27" i="10"/>
  <c r="G28" i="17"/>
  <c r="L28" i="17" s="1"/>
  <c r="T28" i="17" s="1"/>
  <c r="G28" i="261"/>
  <c r="L28" i="261" s="1"/>
  <c r="AH28" i="261" s="1"/>
  <c r="H59" i="261"/>
  <c r="O34" i="99"/>
  <c r="O38" i="99"/>
  <c r="D35" i="98"/>
  <c r="D28" i="98"/>
  <c r="I58" i="9"/>
  <c r="I64" i="9"/>
  <c r="H73" i="9"/>
  <c r="O15" i="98"/>
  <c r="G31" i="17"/>
  <c r="L31" i="17" s="1"/>
  <c r="T31" i="17" s="1"/>
  <c r="G31" i="261"/>
  <c r="L31" i="261" s="1"/>
  <c r="AH31" i="261" s="1"/>
  <c r="D37" i="99"/>
  <c r="G48" i="8"/>
  <c r="P48" i="8" s="1"/>
  <c r="G39" i="17"/>
  <c r="G39" i="261"/>
  <c r="L39" i="261" s="1"/>
  <c r="AH39" i="261" s="1"/>
  <c r="O31" i="99"/>
  <c r="D29" i="99"/>
  <c r="G40" i="17"/>
  <c r="L40" i="17" s="1"/>
  <c r="T40" i="17" s="1"/>
  <c r="G40" i="261"/>
  <c r="L40" i="261" s="1"/>
  <c r="AH40" i="261" s="1"/>
  <c r="B43" i="10"/>
  <c r="F43" i="10" s="1"/>
  <c r="K43" i="10" s="1"/>
  <c r="G46" i="17"/>
  <c r="L46" i="17" s="1"/>
  <c r="T46" i="17" s="1"/>
  <c r="G46" i="261"/>
  <c r="L46" i="261" s="1"/>
  <c r="AH46" i="261" s="1"/>
  <c r="P42" i="13"/>
  <c r="O42" i="13" s="1"/>
  <c r="J42" i="13" s="1"/>
  <c r="K42" i="13" s="1"/>
  <c r="G26" i="17"/>
  <c r="G26" i="261"/>
  <c r="L26" i="261" s="1"/>
  <c r="AH26" i="261" s="1"/>
  <c r="I24" i="17"/>
  <c r="G15" i="17"/>
  <c r="L15" i="17" s="1"/>
  <c r="T15" i="17" s="1"/>
  <c r="G15" i="261"/>
  <c r="L15" i="261" s="1"/>
  <c r="AH15" i="261" s="1"/>
  <c r="G19" i="17"/>
  <c r="G19" i="261"/>
  <c r="L19" i="261" s="1"/>
  <c r="AH19" i="261" s="1"/>
  <c r="G14" i="17"/>
  <c r="L14" i="17" s="1"/>
  <c r="T14" i="17" s="1"/>
  <c r="G14" i="261"/>
  <c r="L14" i="261" s="1"/>
  <c r="AH14" i="261" s="1"/>
  <c r="E31" i="12"/>
  <c r="U31" i="13"/>
  <c r="G35" i="17"/>
  <c r="L35" i="17" s="1"/>
  <c r="T35" i="17" s="1"/>
  <c r="G35" i="261"/>
  <c r="L35" i="261" s="1"/>
  <c r="AH35" i="261" s="1"/>
  <c r="E74" i="9"/>
  <c r="E69" i="9"/>
  <c r="E78" i="9"/>
  <c r="E71" i="9"/>
  <c r="K71" i="9" s="1"/>
  <c r="E55" i="9"/>
  <c r="E70" i="9"/>
  <c r="F70" i="9" s="1"/>
  <c r="E79" i="9"/>
  <c r="K79" i="9" s="1"/>
  <c r="E56" i="9"/>
  <c r="E63" i="9"/>
  <c r="F63" i="9" s="1"/>
  <c r="E57" i="9"/>
  <c r="F57" i="9" s="1"/>
  <c r="E82" i="9"/>
  <c r="F82" i="9" s="1"/>
  <c r="E81" i="9"/>
  <c r="K81" i="9" s="1"/>
  <c r="E75" i="9"/>
  <c r="F75" i="9" s="1"/>
  <c r="E66" i="9"/>
  <c r="E60" i="9"/>
  <c r="E54" i="9"/>
  <c r="E76" i="9"/>
  <c r="F76" i="9" s="1"/>
  <c r="E59" i="9"/>
  <c r="E86" i="9"/>
  <c r="E87" i="9"/>
  <c r="F87" i="9" s="1"/>
  <c r="E58" i="9"/>
  <c r="K58" i="9" s="1"/>
  <c r="E84" i="9"/>
  <c r="E88" i="9"/>
  <c r="K88" i="9" s="1"/>
  <c r="E80" i="9"/>
  <c r="K80" i="9" s="1"/>
  <c r="E61" i="9"/>
  <c r="F61" i="9" s="1"/>
  <c r="E85" i="9"/>
  <c r="K85" i="9" s="1"/>
  <c r="E73" i="9"/>
  <c r="E62" i="9"/>
  <c r="G34" i="17"/>
  <c r="L34" i="17" s="1"/>
  <c r="T34" i="17" s="1"/>
  <c r="G34" i="261"/>
  <c r="L34" i="261" s="1"/>
  <c r="AH34" i="261" s="1"/>
  <c r="C46" i="127"/>
  <c r="L42" i="261"/>
  <c r="AH42" i="261" s="1"/>
  <c r="I24" i="261"/>
  <c r="H48" i="36"/>
  <c r="O73" i="9"/>
  <c r="O58" i="9"/>
  <c r="G36" i="17"/>
  <c r="L36" i="17" s="1"/>
  <c r="T36" i="17" s="1"/>
  <c r="G36" i="261"/>
  <c r="L36" i="261" s="1"/>
  <c r="AH36" i="261" s="1"/>
  <c r="I73" i="9"/>
  <c r="O35" i="98"/>
  <c r="G48" i="17"/>
  <c r="L48" i="17" s="1"/>
  <c r="T48" i="17" s="1"/>
  <c r="G48" i="261"/>
  <c r="L48" i="261" s="1"/>
  <c r="AH48" i="261" s="1"/>
  <c r="D19" i="98"/>
  <c r="D37" i="98"/>
  <c r="D74" i="12"/>
  <c r="G74" i="12" s="1"/>
  <c r="H74" i="261"/>
  <c r="D39" i="99"/>
  <c r="O36" i="98"/>
  <c r="G37" i="17"/>
  <c r="L37" i="17" s="1"/>
  <c r="T37" i="17" s="1"/>
  <c r="G37" i="261"/>
  <c r="L37" i="261" s="1"/>
  <c r="AH37" i="261" s="1"/>
  <c r="G11" i="17"/>
  <c r="L11" i="17" s="1"/>
  <c r="T11" i="17" s="1"/>
  <c r="G11" i="261"/>
  <c r="L11" i="261" s="1"/>
  <c r="AH11" i="261" s="1"/>
  <c r="G24" i="17"/>
  <c r="G24" i="261"/>
  <c r="O17" i="98"/>
  <c r="E64" i="9"/>
  <c r="F64" i="9" s="1"/>
  <c r="J42" i="10"/>
  <c r="O83" i="9"/>
  <c r="L31" i="13"/>
  <c r="F42" i="10"/>
  <c r="F44" i="25"/>
  <c r="D32" i="19"/>
  <c r="G15" i="12"/>
  <c r="N15" i="12" s="1"/>
  <c r="B39" i="12"/>
  <c r="F39" i="12" s="1"/>
  <c r="T39" i="260" s="1"/>
  <c r="P39" i="9"/>
  <c r="O39" i="9"/>
  <c r="H39" i="9"/>
  <c r="B16" i="12"/>
  <c r="P16" i="9"/>
  <c r="O16" i="9"/>
  <c r="H16" i="9"/>
  <c r="G21" i="12"/>
  <c r="N21" i="12" s="1"/>
  <c r="M87" i="13"/>
  <c r="M67" i="13"/>
  <c r="Q55" i="8"/>
  <c r="B19" i="12"/>
  <c r="F19" i="12" s="1"/>
  <c r="T19" i="260" s="1"/>
  <c r="V19" i="260" s="1"/>
  <c r="O19" i="9"/>
  <c r="P19" i="9"/>
  <c r="H19" i="9"/>
  <c r="Q43" i="140"/>
  <c r="D23" i="98"/>
  <c r="C15" i="12"/>
  <c r="S15" i="260" s="1"/>
  <c r="U15" i="260" s="1"/>
  <c r="D42" i="99"/>
  <c r="B49" i="10"/>
  <c r="C49" i="19" s="1"/>
  <c r="B49" i="19" s="1"/>
  <c r="B42" i="12"/>
  <c r="O42" i="9"/>
  <c r="P42" i="9"/>
  <c r="H42" i="9"/>
  <c r="J47" i="36"/>
  <c r="J17" i="36"/>
  <c r="B21" i="12"/>
  <c r="O21" i="9"/>
  <c r="P21" i="9"/>
  <c r="H21" i="9"/>
  <c r="J50" i="36"/>
  <c r="B38" i="12"/>
  <c r="F38" i="12" s="1"/>
  <c r="T38" i="260" s="1"/>
  <c r="V38" i="260" s="1"/>
  <c r="H38" i="9"/>
  <c r="P38" i="9"/>
  <c r="O38" i="9"/>
  <c r="O18" i="98"/>
  <c r="O20" i="98"/>
  <c r="D39" i="98"/>
  <c r="Q81" i="8"/>
  <c r="Q43" i="8"/>
  <c r="Q75" i="8"/>
  <c r="H75" i="8"/>
  <c r="P32" i="9"/>
  <c r="B32" i="12"/>
  <c r="O32" i="9"/>
  <c r="B20" i="12"/>
  <c r="P20" i="9"/>
  <c r="H20" i="9"/>
  <c r="O20" i="9"/>
  <c r="B41" i="10"/>
  <c r="L41" i="9"/>
  <c r="B43" i="12"/>
  <c r="P43" i="9"/>
  <c r="O43" i="9"/>
  <c r="D30" i="12"/>
  <c r="K48" i="36"/>
  <c r="O65" i="9"/>
  <c r="H64" i="9"/>
  <c r="G64" i="25"/>
  <c r="M55" i="8"/>
  <c r="R55" i="8" s="1"/>
  <c r="I88" i="9"/>
  <c r="D74" i="9"/>
  <c r="O74" i="9" s="1"/>
  <c r="C52" i="127"/>
  <c r="Q24" i="8"/>
  <c r="Q50" i="8"/>
  <c r="P17" i="36"/>
  <c r="B40" i="12"/>
  <c r="O40" i="9"/>
  <c r="H40" i="9"/>
  <c r="P40" i="9"/>
  <c r="P12" i="9"/>
  <c r="O12" i="9"/>
  <c r="B12" i="12"/>
  <c r="I12" i="12" s="1"/>
  <c r="H12" i="9"/>
  <c r="G50" i="25"/>
  <c r="I50" i="9"/>
  <c r="H50" i="9"/>
  <c r="M50" i="13"/>
  <c r="Q50" i="9"/>
  <c r="H43" i="9"/>
  <c r="B18" i="12"/>
  <c r="P18" i="9"/>
  <c r="O18" i="9"/>
  <c r="H18" i="9"/>
  <c r="Q52" i="8"/>
  <c r="M50" i="8"/>
  <c r="Q49" i="8"/>
  <c r="J77" i="9"/>
  <c r="B38" i="13"/>
  <c r="K38" i="13" s="1"/>
  <c r="L38" i="13" s="1"/>
  <c r="H38" i="12"/>
  <c r="O38" i="12" s="1"/>
  <c r="I32" i="17"/>
  <c r="Q20" i="8"/>
  <c r="E74" i="116"/>
  <c r="O30" i="9"/>
  <c r="B30" i="12"/>
  <c r="P30" i="9"/>
  <c r="H30" i="9"/>
  <c r="B17" i="12"/>
  <c r="H17" i="9"/>
  <c r="P17" i="9"/>
  <c r="O17" i="9"/>
  <c r="O48" i="36"/>
  <c r="M64" i="13"/>
  <c r="J47" i="9"/>
  <c r="O23" i="99"/>
  <c r="O37" i="98"/>
  <c r="O16" i="98"/>
  <c r="D29" i="98"/>
  <c r="D44" i="12"/>
  <c r="I75" i="8"/>
  <c r="B51" i="12"/>
  <c r="O51" i="9"/>
  <c r="H51" i="9"/>
  <c r="P51" i="9"/>
  <c r="R47" i="8"/>
  <c r="N47" i="8"/>
  <c r="B24" i="12"/>
  <c r="H24" i="9"/>
  <c r="P24" i="9"/>
  <c r="O24" i="9"/>
  <c r="C10" i="9"/>
  <c r="O10" i="9" s="1"/>
  <c r="B10" i="12"/>
  <c r="P10" i="9"/>
  <c r="H10" i="9"/>
  <c r="M52" i="8"/>
  <c r="M54" i="140" s="1"/>
  <c r="B22" i="13"/>
  <c r="H22" i="12"/>
  <c r="O22" i="12" s="1"/>
  <c r="J22" i="9"/>
  <c r="P22" i="36"/>
  <c r="L22" i="36"/>
  <c r="B13" i="9"/>
  <c r="F13" i="8"/>
  <c r="B13" i="36" s="1"/>
  <c r="G13" i="8"/>
  <c r="B25" i="12"/>
  <c r="H25" i="9"/>
  <c r="P25" i="9"/>
  <c r="O25" i="9"/>
  <c r="K20" i="13"/>
  <c r="L20" i="13" s="1"/>
  <c r="G17" i="12"/>
  <c r="N17" i="12" s="1"/>
  <c r="C17" i="12"/>
  <c r="S17" i="260" s="1"/>
  <c r="U17" i="260" s="1"/>
  <c r="H32" i="9"/>
  <c r="C24" i="17"/>
  <c r="J71" i="9"/>
  <c r="Q22" i="140"/>
  <c r="B52" i="10"/>
  <c r="L52" i="9"/>
  <c r="C55" i="127"/>
  <c r="B48" i="12"/>
  <c r="P48" i="9"/>
  <c r="H48" i="9"/>
  <c r="O48" i="9"/>
  <c r="B36" i="12"/>
  <c r="H36" i="9"/>
  <c r="O36" i="9"/>
  <c r="P36" i="9"/>
  <c r="F44" i="10"/>
  <c r="K44" i="10" s="1"/>
  <c r="F77" i="10"/>
  <c r="C77" i="10" s="1"/>
  <c r="N77" i="10" s="1"/>
  <c r="J77" i="10"/>
  <c r="P77" i="13" s="1"/>
  <c r="O77" i="13" s="1"/>
  <c r="C77" i="19"/>
  <c r="J46" i="10"/>
  <c r="F46" i="10"/>
  <c r="K46" i="10" s="1"/>
  <c r="C46" i="19"/>
  <c r="B46" i="19" s="1"/>
  <c r="C10" i="19"/>
  <c r="B10" i="19" s="1"/>
  <c r="J10" i="10"/>
  <c r="F10" i="10"/>
  <c r="K10" i="10" s="1"/>
  <c r="P10" i="13"/>
  <c r="O10" i="13" s="1"/>
  <c r="J10" i="13" s="1"/>
  <c r="H87" i="9"/>
  <c r="O39" i="99"/>
  <c r="D15" i="98"/>
  <c r="O39" i="98"/>
  <c r="D18" i="98"/>
  <c r="M48" i="8"/>
  <c r="Q48" i="8"/>
  <c r="F89" i="9"/>
  <c r="K89" i="9"/>
  <c r="C39" i="19"/>
  <c r="B39" i="19" s="1"/>
  <c r="J39" i="10"/>
  <c r="P39" i="13"/>
  <c r="O39" i="13" s="1"/>
  <c r="B35" i="12"/>
  <c r="F35" i="12" s="1"/>
  <c r="T35" i="260" s="1"/>
  <c r="V35" i="260" s="1"/>
  <c r="P35" i="9"/>
  <c r="H35" i="9"/>
  <c r="O35" i="9"/>
  <c r="I30" i="17"/>
  <c r="J54" i="9"/>
  <c r="C33" i="17"/>
  <c r="M33" i="17" s="1"/>
  <c r="Q54" i="8"/>
  <c r="O82" i="9"/>
  <c r="O71" i="9"/>
  <c r="M71" i="13"/>
  <c r="H88" i="9"/>
  <c r="D102" i="9"/>
  <c r="C102" i="9"/>
  <c r="O14" i="99"/>
  <c r="C48" i="19"/>
  <c r="B48" i="19" s="1"/>
  <c r="J48" i="10"/>
  <c r="B13" i="10"/>
  <c r="C16" i="127"/>
  <c r="B44" i="12"/>
  <c r="P44" i="9"/>
  <c r="H44" i="9"/>
  <c r="O44" i="9"/>
  <c r="D16" i="99"/>
  <c r="D21" i="99"/>
  <c r="B23" i="9"/>
  <c r="F23" i="8"/>
  <c r="B23" i="36" s="1"/>
  <c r="K23" i="8"/>
  <c r="G23" i="8"/>
  <c r="U34" i="13"/>
  <c r="P37" i="13"/>
  <c r="O37" i="13" s="1"/>
  <c r="J37" i="13" s="1"/>
  <c r="F37" i="19" s="1"/>
  <c r="E37" i="19" s="1"/>
  <c r="J37" i="10"/>
  <c r="C37" i="19"/>
  <c r="B37" i="19" s="1"/>
  <c r="F37" i="10"/>
  <c r="K37" i="10" s="1"/>
  <c r="C11" i="19"/>
  <c r="B11" i="19" s="1"/>
  <c r="F11" i="10"/>
  <c r="K11" i="10" s="1"/>
  <c r="J11" i="10"/>
  <c r="P11" i="13"/>
  <c r="O11" i="13" s="1"/>
  <c r="J11" i="13" s="1"/>
  <c r="P14" i="13"/>
  <c r="O14" i="13" s="1"/>
  <c r="J14" i="13" s="1"/>
  <c r="C14" i="19"/>
  <c r="B14" i="19" s="1"/>
  <c r="F14" i="10"/>
  <c r="K14" i="10" s="1"/>
  <c r="J14" i="10"/>
  <c r="J78" i="9"/>
  <c r="C34" i="19"/>
  <c r="B34" i="19" s="1"/>
  <c r="J34" i="10"/>
  <c r="P34" i="13"/>
  <c r="F34" i="10"/>
  <c r="K34" i="10" s="1"/>
  <c r="O25" i="98"/>
  <c r="O11" i="98"/>
  <c r="C24" i="19"/>
  <c r="B24" i="19" s="1"/>
  <c r="C5" i="273" s="1"/>
  <c r="F24" i="10"/>
  <c r="K24" i="10" s="1"/>
  <c r="P24" i="13"/>
  <c r="J24" i="10"/>
  <c r="Q44" i="8"/>
  <c r="Q31" i="8"/>
  <c r="J56" i="9"/>
  <c r="I28" i="8"/>
  <c r="L28" i="8" s="1"/>
  <c r="K28" i="8"/>
  <c r="F38" i="19"/>
  <c r="E38" i="19" s="1"/>
  <c r="J48" i="36"/>
  <c r="Q26" i="140"/>
  <c r="Q37" i="140"/>
  <c r="Q14" i="140"/>
  <c r="O81" i="9"/>
  <c r="O88" i="9"/>
  <c r="J26" i="36"/>
  <c r="Q21" i="140"/>
  <c r="M88" i="13"/>
  <c r="E102" i="9"/>
  <c r="E51" i="9" s="1"/>
  <c r="C31" i="19"/>
  <c r="B31" i="19" s="1"/>
  <c r="P31" i="13"/>
  <c r="J31" i="10"/>
  <c r="J52" i="9"/>
  <c r="K44" i="12"/>
  <c r="O44" i="25"/>
  <c r="P52" i="36"/>
  <c r="L52" i="36"/>
  <c r="I89" i="8"/>
  <c r="L89" i="8" s="1"/>
  <c r="E53" i="8"/>
  <c r="F89" i="8"/>
  <c r="K89" i="8"/>
  <c r="O29" i="98"/>
  <c r="B38" i="17"/>
  <c r="L38" i="19"/>
  <c r="F14" i="8"/>
  <c r="B14" i="36" s="1"/>
  <c r="C61" i="36" s="1"/>
  <c r="G14" i="8"/>
  <c r="B26" i="12"/>
  <c r="H26" i="9"/>
  <c r="O26" i="9"/>
  <c r="P26" i="9"/>
  <c r="G57" i="13"/>
  <c r="C57" i="24"/>
  <c r="C57" i="14"/>
  <c r="D57" i="14" s="1"/>
  <c r="S57" i="21"/>
  <c r="G75" i="13"/>
  <c r="C75" i="24"/>
  <c r="C75" i="14"/>
  <c r="D75" i="14" s="1"/>
  <c r="S75" i="21"/>
  <c r="E64" i="60"/>
  <c r="Q29" i="60"/>
  <c r="P48" i="36"/>
  <c r="O14" i="60"/>
  <c r="O12" i="257"/>
  <c r="G9" i="36"/>
  <c r="G85" i="25"/>
  <c r="I85" i="9"/>
  <c r="N86" i="8"/>
  <c r="J75" i="12"/>
  <c r="N66" i="8"/>
  <c r="N64" i="8"/>
  <c r="B59" i="25"/>
  <c r="D59" i="12"/>
  <c r="G59" i="12" s="1"/>
  <c r="E59" i="116"/>
  <c r="H59" i="17"/>
  <c r="D59" i="9"/>
  <c r="O59" i="9" s="1"/>
  <c r="B31" i="12"/>
  <c r="P31" i="9"/>
  <c r="O31" i="9"/>
  <c r="H31" i="9"/>
  <c r="G89" i="13"/>
  <c r="F89" i="13" s="1"/>
  <c r="C89" i="14"/>
  <c r="D89" i="14" s="1"/>
  <c r="S89" i="21"/>
  <c r="O27" i="60"/>
  <c r="O25" i="257"/>
  <c r="O15" i="60"/>
  <c r="O13" i="257"/>
  <c r="C46" i="60"/>
  <c r="P46" i="60"/>
  <c r="J62" i="12"/>
  <c r="C62" i="12"/>
  <c r="S62" i="260" s="1"/>
  <c r="J68" i="12"/>
  <c r="G63" i="25"/>
  <c r="I63" i="9"/>
  <c r="F67" i="21"/>
  <c r="D67" i="21" s="1"/>
  <c r="B67" i="24"/>
  <c r="H67" i="24" s="1"/>
  <c r="B67" i="14"/>
  <c r="U67" i="21" s="1"/>
  <c r="C48" i="60"/>
  <c r="P48" i="60"/>
  <c r="P17" i="140"/>
  <c r="N17" i="140"/>
  <c r="O17" i="140"/>
  <c r="E49" i="140"/>
  <c r="J80" i="12"/>
  <c r="O61" i="9"/>
  <c r="N62" i="8"/>
  <c r="N60" i="8"/>
  <c r="C29" i="17"/>
  <c r="B47" i="10"/>
  <c r="L47" i="9"/>
  <c r="C50" i="127"/>
  <c r="Q11" i="8"/>
  <c r="O33" i="60"/>
  <c r="O31" i="257"/>
  <c r="L37" i="257"/>
  <c r="M39" i="140"/>
  <c r="O39" i="60"/>
  <c r="O37" i="257"/>
  <c r="L42" i="257"/>
  <c r="M44" i="140"/>
  <c r="H80" i="9"/>
  <c r="M75" i="13"/>
  <c r="N75" i="8"/>
  <c r="J84" i="12"/>
  <c r="F84" i="21"/>
  <c r="D84" i="21" s="1"/>
  <c r="S84" i="21" s="1"/>
  <c r="G86" i="60"/>
  <c r="V84" i="21" s="1"/>
  <c r="B84" i="14"/>
  <c r="U84" i="21" s="1"/>
  <c r="B84" i="24"/>
  <c r="H84" i="24" s="1"/>
  <c r="G12" i="23"/>
  <c r="G32" i="19"/>
  <c r="E32" i="19" s="1"/>
  <c r="E8" i="273" s="1"/>
  <c r="S32" i="23"/>
  <c r="G35" i="23"/>
  <c r="G36" i="23"/>
  <c r="G39" i="23"/>
  <c r="H65" i="9"/>
  <c r="N65" i="8"/>
  <c r="N58" i="8"/>
  <c r="AD33" i="98"/>
  <c r="AD41" i="98"/>
  <c r="AD49" i="98"/>
  <c r="AD12" i="99"/>
  <c r="AD22" i="99"/>
  <c r="AD32" i="99"/>
  <c r="AD46" i="99"/>
  <c r="AD26" i="99"/>
  <c r="H79" i="9"/>
  <c r="H76" i="9"/>
  <c r="H61" i="13"/>
  <c r="T61" i="21"/>
  <c r="F61" i="24"/>
  <c r="C61" i="15"/>
  <c r="G81" i="13"/>
  <c r="C81" i="14"/>
  <c r="D81" i="14" s="1"/>
  <c r="C81" i="24"/>
  <c r="P32" i="140"/>
  <c r="O32" i="140"/>
  <c r="N32" i="140"/>
  <c r="O43" i="257"/>
  <c r="O45" i="60"/>
  <c r="P21" i="140"/>
  <c r="O21" i="140"/>
  <c r="N21" i="140"/>
  <c r="P44" i="60"/>
  <c r="C44" i="60"/>
  <c r="G41" i="12"/>
  <c r="N41" i="12" s="1"/>
  <c r="J41" i="12"/>
  <c r="N88" i="8"/>
  <c r="F90" i="21"/>
  <c r="D90" i="21" s="1"/>
  <c r="G90" i="13" s="1"/>
  <c r="F80" i="21"/>
  <c r="D80" i="21" s="1"/>
  <c r="S80" i="21" s="1"/>
  <c r="G82" i="60"/>
  <c r="V80" i="21" s="1"/>
  <c r="B80" i="14"/>
  <c r="U80" i="21" s="1"/>
  <c r="B80" i="24"/>
  <c r="H80" i="24" s="1"/>
  <c r="H75" i="24"/>
  <c r="V70" i="21"/>
  <c r="G33" i="12"/>
  <c r="N33" i="12" s="1"/>
  <c r="J33" i="12"/>
  <c r="F63" i="21"/>
  <c r="D63" i="21" s="1"/>
  <c r="G65" i="60"/>
  <c r="E65" i="60" s="1"/>
  <c r="C65" i="60" s="1"/>
  <c r="O63" i="257" s="1"/>
  <c r="Q63" i="257" s="1"/>
  <c r="B63" i="14"/>
  <c r="U63" i="21" s="1"/>
  <c r="L43" i="257"/>
  <c r="F68" i="21"/>
  <c r="D68" i="21" s="1"/>
  <c r="B68" i="24"/>
  <c r="H68" i="24" s="1"/>
  <c r="B68" i="14"/>
  <c r="U68" i="21" s="1"/>
  <c r="G70" i="60"/>
  <c r="E70" i="60" s="1"/>
  <c r="C70" i="60" s="1"/>
  <c r="O68" i="257" s="1"/>
  <c r="Q68" i="257" s="1"/>
  <c r="P12" i="60"/>
  <c r="C12" i="60"/>
  <c r="E11" i="60"/>
  <c r="B6" i="174"/>
  <c r="N30" i="140"/>
  <c r="P30" i="140"/>
  <c r="O30" i="140"/>
  <c r="O26" i="60"/>
  <c r="O24" i="257"/>
  <c r="O42" i="60"/>
  <c r="O40" i="257"/>
  <c r="O35" i="60"/>
  <c r="O33" i="257"/>
  <c r="C6" i="174"/>
  <c r="K14" i="8"/>
  <c r="H14" i="8"/>
  <c r="I14" i="8" s="1"/>
  <c r="D9" i="8"/>
  <c r="L44" i="257"/>
  <c r="M46" i="140"/>
  <c r="H42" i="36"/>
  <c r="N48" i="10"/>
  <c r="N31" i="10"/>
  <c r="L13" i="257"/>
  <c r="M15" i="140"/>
  <c r="N73" i="12"/>
  <c r="J73" i="12"/>
  <c r="G75" i="12"/>
  <c r="N75" i="12" s="1"/>
  <c r="D30" i="19"/>
  <c r="J56" i="12"/>
  <c r="N56" i="12"/>
  <c r="I53" i="59"/>
  <c r="I220" i="59" s="1"/>
  <c r="K54" i="59"/>
  <c r="C54" i="21"/>
  <c r="B72" i="10"/>
  <c r="L72" i="9"/>
  <c r="G61" i="25"/>
  <c r="I61" i="9"/>
  <c r="P15" i="13"/>
  <c r="O15" i="13" s="1"/>
  <c r="C15" i="19"/>
  <c r="J15" i="10"/>
  <c r="F15" i="10"/>
  <c r="K15" i="10" s="1"/>
  <c r="G88" i="13"/>
  <c r="S88" i="21"/>
  <c r="C88" i="14"/>
  <c r="D88" i="14" s="1"/>
  <c r="C88" i="24"/>
  <c r="F59" i="21"/>
  <c r="D59" i="21" s="1"/>
  <c r="B59" i="24"/>
  <c r="H59" i="24" s="1"/>
  <c r="B59" i="14"/>
  <c r="U59" i="21" s="1"/>
  <c r="O50" i="257"/>
  <c r="O52" i="60"/>
  <c r="P28" i="140"/>
  <c r="N28" i="140"/>
  <c r="O28" i="140"/>
  <c r="O68" i="9"/>
  <c r="G68" i="12"/>
  <c r="N68" i="12" s="1"/>
  <c r="C36" i="19"/>
  <c r="B36" i="19" s="1"/>
  <c r="F36" i="10"/>
  <c r="K36" i="10" s="1"/>
  <c r="J36" i="10"/>
  <c r="P36" i="13"/>
  <c r="O36" i="13" s="1"/>
  <c r="G87" i="25"/>
  <c r="I87" i="9"/>
  <c r="G57" i="25"/>
  <c r="I57" i="9"/>
  <c r="Q29" i="8"/>
  <c r="E79" i="60"/>
  <c r="T47" i="21"/>
  <c r="G80" i="12"/>
  <c r="N80" i="12" s="1"/>
  <c r="R62" i="8"/>
  <c r="C53" i="9"/>
  <c r="N79" i="12"/>
  <c r="J79" i="12"/>
  <c r="R60" i="8"/>
  <c r="G82" i="25"/>
  <c r="I82" i="9"/>
  <c r="J71" i="12"/>
  <c r="N71" i="12"/>
  <c r="Q45" i="9"/>
  <c r="M45" i="13"/>
  <c r="B11" i="12"/>
  <c r="O11" i="9"/>
  <c r="H11" i="9"/>
  <c r="P11" i="9"/>
  <c r="C101" i="9"/>
  <c r="O34" i="60"/>
  <c r="O32" i="257"/>
  <c r="Q17" i="8"/>
  <c r="L10" i="257"/>
  <c r="M12" i="140"/>
  <c r="P26" i="36"/>
  <c r="D50" i="140"/>
  <c r="C50" i="140" s="1"/>
  <c r="B50" i="140" s="1"/>
  <c r="H50" i="60"/>
  <c r="H61" i="9"/>
  <c r="J86" i="12"/>
  <c r="N86" i="12"/>
  <c r="R75" i="8"/>
  <c r="N66" i="12"/>
  <c r="J66" i="12"/>
  <c r="M82" i="13"/>
  <c r="N71" i="8"/>
  <c r="H68" i="13"/>
  <c r="F68" i="24"/>
  <c r="T68" i="21"/>
  <c r="C68" i="15"/>
  <c r="I53" i="116"/>
  <c r="H88" i="13"/>
  <c r="E90" i="140"/>
  <c r="H90" i="60"/>
  <c r="T88" i="21"/>
  <c r="C88" i="15"/>
  <c r="F88" i="24"/>
  <c r="H82" i="21"/>
  <c r="H85" i="21"/>
  <c r="E91" i="140"/>
  <c r="I66" i="17"/>
  <c r="H66" i="21"/>
  <c r="J90" i="21"/>
  <c r="J91" i="21" s="1"/>
  <c r="N70" i="12"/>
  <c r="J70" i="12"/>
  <c r="AD32" i="98"/>
  <c r="AD12" i="98"/>
  <c r="AD13" i="98"/>
  <c r="AD46" i="98"/>
  <c r="AD30" i="98"/>
  <c r="AD49" i="99"/>
  <c r="AG47" i="99"/>
  <c r="AD47" i="99"/>
  <c r="AG48" i="99"/>
  <c r="AD48" i="99"/>
  <c r="AD13" i="99"/>
  <c r="G67" i="25"/>
  <c r="F67" i="9"/>
  <c r="I67" i="9"/>
  <c r="K67" i="9"/>
  <c r="S81" i="21"/>
  <c r="I81" i="13"/>
  <c r="M81" i="14"/>
  <c r="O25" i="60"/>
  <c r="O23" i="257"/>
  <c r="Q54" i="60"/>
  <c r="N38" i="10"/>
  <c r="C41" i="17"/>
  <c r="J57" i="12"/>
  <c r="N57" i="12"/>
  <c r="N68" i="8"/>
  <c r="I84" i="17"/>
  <c r="H65" i="21"/>
  <c r="E45" i="8"/>
  <c r="K46" i="8"/>
  <c r="F46" i="8"/>
  <c r="H72" i="21"/>
  <c r="F60" i="21"/>
  <c r="D60" i="21" s="1"/>
  <c r="S60" i="21" s="1"/>
  <c r="G62" i="60"/>
  <c r="B60" i="24"/>
  <c r="H60" i="24" s="1"/>
  <c r="B60" i="14"/>
  <c r="U60" i="21" s="1"/>
  <c r="F61" i="21"/>
  <c r="B61" i="24"/>
  <c r="H61" i="24" s="1"/>
  <c r="G63" i="60"/>
  <c r="V61" i="21" s="1"/>
  <c r="B61" i="14"/>
  <c r="U61" i="21" s="1"/>
  <c r="F78" i="21"/>
  <c r="D78" i="21" s="1"/>
  <c r="G80" i="60"/>
  <c r="E80" i="60" s="1"/>
  <c r="C80" i="60" s="1"/>
  <c r="O78" i="257" s="1"/>
  <c r="Q78" i="257" s="1"/>
  <c r="B78" i="24"/>
  <c r="H78" i="24" s="1"/>
  <c r="B78" i="14"/>
  <c r="U78" i="21" s="1"/>
  <c r="F83" i="21"/>
  <c r="D83" i="21" s="1"/>
  <c r="B83" i="24"/>
  <c r="H83" i="24" s="1"/>
  <c r="B83" i="14"/>
  <c r="U83" i="21" s="1"/>
  <c r="P22" i="140"/>
  <c r="N22" i="140"/>
  <c r="O22" i="140"/>
  <c r="L33" i="257"/>
  <c r="G75" i="25"/>
  <c r="I75" i="9"/>
  <c r="J58" i="12"/>
  <c r="N84" i="8"/>
  <c r="F85" i="21"/>
  <c r="D85" i="21" s="1"/>
  <c r="B85" i="24"/>
  <c r="H85" i="24" s="1"/>
  <c r="B85" i="14"/>
  <c r="U85" i="21" s="1"/>
  <c r="N87" i="8"/>
  <c r="G68" i="25"/>
  <c r="I68" i="9"/>
  <c r="F62" i="21"/>
  <c r="B62" i="14"/>
  <c r="U62" i="21" s="1"/>
  <c r="B62" i="24"/>
  <c r="H62" i="24" s="1"/>
  <c r="F76" i="21"/>
  <c r="B76" i="24"/>
  <c r="H76" i="24" s="1"/>
  <c r="B76" i="14"/>
  <c r="U76" i="21" s="1"/>
  <c r="P30" i="60"/>
  <c r="C30" i="60"/>
  <c r="E33" i="12"/>
  <c r="C33" i="12" s="1"/>
  <c r="U33" i="13"/>
  <c r="D41" i="140"/>
  <c r="C41" i="140" s="1"/>
  <c r="B41" i="140" s="1"/>
  <c r="H41" i="60"/>
  <c r="D51" i="140"/>
  <c r="C51" i="140" s="1"/>
  <c r="B51" i="140" s="1"/>
  <c r="H51" i="60"/>
  <c r="P14" i="140"/>
  <c r="N14" i="140"/>
  <c r="O14" i="140"/>
  <c r="H85" i="9"/>
  <c r="N85" i="8"/>
  <c r="G81" i="25"/>
  <c r="I81" i="9"/>
  <c r="B29" i="12"/>
  <c r="O29" i="9"/>
  <c r="P29" i="9"/>
  <c r="H29" i="9"/>
  <c r="F47" i="24"/>
  <c r="I47" i="24" s="1"/>
  <c r="O80" i="9"/>
  <c r="J55" i="12"/>
  <c r="N55" i="12"/>
  <c r="G79" i="25"/>
  <c r="I79" i="9"/>
  <c r="O50" i="60"/>
  <c r="O48" i="257"/>
  <c r="L18" i="257"/>
  <c r="M20" i="140"/>
  <c r="N80" i="8"/>
  <c r="H75" i="9"/>
  <c r="J64" i="12"/>
  <c r="G70" i="25"/>
  <c r="I70" i="9"/>
  <c r="C19" i="19"/>
  <c r="B19" i="19" s="1"/>
  <c r="J19" i="10"/>
  <c r="F19" i="10"/>
  <c r="K19" i="10" s="1"/>
  <c r="P19" i="13"/>
  <c r="O19" i="13" s="1"/>
  <c r="G28" i="8"/>
  <c r="M63" i="13"/>
  <c r="N63" i="8"/>
  <c r="N54" i="8"/>
  <c r="E84" i="60"/>
  <c r="G87" i="60"/>
  <c r="V85" i="21" s="1"/>
  <c r="F226" i="59"/>
  <c r="F227" i="59" s="1"/>
  <c r="O70" i="9"/>
  <c r="AD48" i="98"/>
  <c r="AG48" i="98"/>
  <c r="AD50" i="98"/>
  <c r="AD26" i="98"/>
  <c r="AG24" i="98"/>
  <c r="AD24" i="98"/>
  <c r="AB9" i="98"/>
  <c r="AA90" i="98"/>
  <c r="AD45" i="98"/>
  <c r="AD27" i="98"/>
  <c r="AD27" i="99"/>
  <c r="AG89" i="99"/>
  <c r="AD89" i="99"/>
  <c r="AD24" i="99"/>
  <c r="AG24" i="99"/>
  <c r="AD33" i="99"/>
  <c r="AB9" i="99"/>
  <c r="AA90" i="99"/>
  <c r="N76" i="8"/>
  <c r="I87" i="13"/>
  <c r="M87" i="14"/>
  <c r="I57" i="13"/>
  <c r="M57" i="14"/>
  <c r="V83" i="21"/>
  <c r="G78" i="60"/>
  <c r="O51" i="257"/>
  <c r="O53" i="60"/>
  <c r="C19" i="60"/>
  <c r="P19" i="60"/>
  <c r="O57" i="9"/>
  <c r="J63" i="12"/>
  <c r="N63" i="12"/>
  <c r="I75" i="13"/>
  <c r="M75" i="14"/>
  <c r="G91" i="21"/>
  <c r="F62" i="24"/>
  <c r="F72" i="21"/>
  <c r="B72" i="14"/>
  <c r="U72" i="21" s="1"/>
  <c r="B72" i="24"/>
  <c r="H72" i="24" s="1"/>
  <c r="G69" i="60"/>
  <c r="V67" i="21" s="1"/>
  <c r="H67" i="13"/>
  <c r="C67" i="15"/>
  <c r="F67" i="24"/>
  <c r="F56" i="21"/>
  <c r="D56" i="21" s="1"/>
  <c r="S56" i="21" s="1"/>
  <c r="G58" i="60"/>
  <c r="V56" i="21" s="1"/>
  <c r="B56" i="24"/>
  <c r="H56" i="24" s="1"/>
  <c r="B56" i="14"/>
  <c r="U56" i="21" s="1"/>
  <c r="G74" i="60"/>
  <c r="F69" i="21"/>
  <c r="B69" i="24"/>
  <c r="H69" i="24" s="1"/>
  <c r="G71" i="60"/>
  <c r="V69" i="21" s="1"/>
  <c r="B69" i="14"/>
  <c r="U69" i="21" s="1"/>
  <c r="H57" i="24"/>
  <c r="F71" i="21"/>
  <c r="D71" i="21" s="1"/>
  <c r="S71" i="21" s="1"/>
  <c r="B71" i="14"/>
  <c r="U71" i="21" s="1"/>
  <c r="B71" i="24"/>
  <c r="H71" i="24" s="1"/>
  <c r="F64" i="21"/>
  <c r="D64" i="21" s="1"/>
  <c r="S64" i="21" s="1"/>
  <c r="B64" i="14"/>
  <c r="U64" i="21" s="1"/>
  <c r="B64" i="24"/>
  <c r="H64" i="24" s="1"/>
  <c r="N85" i="140"/>
  <c r="Q85" i="140"/>
  <c r="P85" i="140"/>
  <c r="G65" i="13"/>
  <c r="C65" i="14"/>
  <c r="D65" i="14" s="1"/>
  <c r="C65" i="24"/>
  <c r="O26" i="140"/>
  <c r="P26" i="140"/>
  <c r="N26" i="140"/>
  <c r="L34" i="257"/>
  <c r="M36" i="140"/>
  <c r="P37" i="140"/>
  <c r="N37" i="140"/>
  <c r="O37" i="140"/>
  <c r="L27" i="257"/>
  <c r="M29" i="140"/>
  <c r="H33" i="36"/>
  <c r="Q30" i="140"/>
  <c r="P36" i="60"/>
  <c r="C36" i="60"/>
  <c r="Q35" i="60"/>
  <c r="N85" i="12"/>
  <c r="J85" i="12"/>
  <c r="N65" i="12"/>
  <c r="J65" i="12"/>
  <c r="G58" i="12"/>
  <c r="N58" i="12" s="1"/>
  <c r="G65" i="25"/>
  <c r="F65" i="9"/>
  <c r="I65" i="9"/>
  <c r="K65" i="9"/>
  <c r="G76" i="25"/>
  <c r="I76" i="9"/>
  <c r="D45" i="8"/>
  <c r="H46" i="8"/>
  <c r="I46" i="8" s="1"/>
  <c r="O76" i="9"/>
  <c r="J67" i="12"/>
  <c r="N67" i="12"/>
  <c r="G80" i="25"/>
  <c r="I80" i="9"/>
  <c r="F39" i="13"/>
  <c r="C39" i="24"/>
  <c r="I39" i="24" s="1"/>
  <c r="S39" i="21"/>
  <c r="O29" i="257"/>
  <c r="O31" i="60"/>
  <c r="O28" i="60"/>
  <c r="O26" i="257"/>
  <c r="P20" i="60"/>
  <c r="C20" i="60"/>
  <c r="C91" i="100"/>
  <c r="H94" i="126" s="1"/>
  <c r="L33" i="13"/>
  <c r="N39" i="10"/>
  <c r="H9" i="257"/>
  <c r="M85" i="13"/>
  <c r="G62" i="12"/>
  <c r="N62" i="12" s="1"/>
  <c r="N56" i="8"/>
  <c r="C90" i="8"/>
  <c r="C91" i="8" s="1"/>
  <c r="C96" i="8" s="1"/>
  <c r="B91" i="8"/>
  <c r="I90" i="257"/>
  <c r="C21" i="19"/>
  <c r="B21" i="19" s="1"/>
  <c r="F21" i="10"/>
  <c r="K21" i="10" s="1"/>
  <c r="J21" i="10"/>
  <c r="P21" i="13"/>
  <c r="O21" i="13" s="1"/>
  <c r="J87" i="12"/>
  <c r="N87" i="12"/>
  <c r="F70" i="21"/>
  <c r="B70" i="14"/>
  <c r="U70" i="21" s="1"/>
  <c r="B70" i="24"/>
  <c r="H70" i="24" s="1"/>
  <c r="H77" i="21"/>
  <c r="E83" i="60"/>
  <c r="O20" i="257"/>
  <c r="O22" i="60"/>
  <c r="P43" i="140"/>
  <c r="O43" i="140"/>
  <c r="N43" i="140"/>
  <c r="P23" i="140"/>
  <c r="N23" i="140"/>
  <c r="O23" i="140"/>
  <c r="J61" i="12"/>
  <c r="N61" i="12"/>
  <c r="M81" i="13"/>
  <c r="O79" i="9"/>
  <c r="F17" i="10"/>
  <c r="K17" i="10" s="1"/>
  <c r="R80" i="8"/>
  <c r="N69" i="8"/>
  <c r="H57" i="9"/>
  <c r="G84" i="12"/>
  <c r="N84" i="12" s="1"/>
  <c r="G64" i="12"/>
  <c r="N64" i="12" s="1"/>
  <c r="H63" i="9"/>
  <c r="P16" i="13"/>
  <c r="O16" i="13" s="1"/>
  <c r="C16" i="19"/>
  <c r="B16" i="19" s="1"/>
  <c r="J16" i="10"/>
  <c r="F16" i="10"/>
  <c r="K16" i="10" s="1"/>
  <c r="K33" i="8"/>
  <c r="G33" i="8"/>
  <c r="P33" i="8" s="1"/>
  <c r="I33" i="8"/>
  <c r="L33" i="8" s="1"/>
  <c r="R54" i="8"/>
  <c r="G101" i="9"/>
  <c r="H91" i="60"/>
  <c r="G61" i="60"/>
  <c r="V59" i="21" s="1"/>
  <c r="H64" i="21"/>
  <c r="R65" i="8"/>
  <c r="R58" i="8"/>
  <c r="AD47" i="98"/>
  <c r="AG47" i="98"/>
  <c r="AD22" i="98"/>
  <c r="AG89" i="98"/>
  <c r="AD89" i="98"/>
  <c r="AD51" i="98"/>
  <c r="AD41" i="99"/>
  <c r="AD45" i="99"/>
  <c r="AD51" i="99"/>
  <c r="AD50" i="99"/>
  <c r="AD30" i="99"/>
  <c r="M81" i="140"/>
  <c r="N79" i="8"/>
  <c r="N60" i="12"/>
  <c r="J60" i="12"/>
  <c r="R76" i="8"/>
  <c r="H67" i="9"/>
  <c r="N67" i="8"/>
  <c r="V87" i="21"/>
  <c r="D87" i="21"/>
  <c r="E39" i="13"/>
  <c r="T39" i="13" s="1"/>
  <c r="H83" i="21"/>
  <c r="Q32" i="140"/>
  <c r="L52" i="257"/>
  <c r="Q17" i="140"/>
  <c r="P47" i="36"/>
  <c r="N69" i="12"/>
  <c r="J69" i="12"/>
  <c r="M70" i="13"/>
  <c r="N70" i="8"/>
  <c r="R88" i="8"/>
  <c r="M68" i="13"/>
  <c r="O63" i="9"/>
  <c r="V62" i="21"/>
  <c r="I45" i="13"/>
  <c r="E59" i="60"/>
  <c r="F86" i="21"/>
  <c r="B86" i="24"/>
  <c r="H86" i="24" s="1"/>
  <c r="B86" i="14"/>
  <c r="U86" i="21" s="1"/>
  <c r="G88" i="60"/>
  <c r="V86" i="21" s="1"/>
  <c r="F73" i="21"/>
  <c r="D73" i="21" s="1"/>
  <c r="B73" i="14"/>
  <c r="U73" i="21" s="1"/>
  <c r="G75" i="60"/>
  <c r="E75" i="60" s="1"/>
  <c r="C75" i="60" s="1"/>
  <c r="O73" i="257" s="1"/>
  <c r="Q73" i="257" s="1"/>
  <c r="B73" i="24"/>
  <c r="H73" i="24" s="1"/>
  <c r="S65" i="21"/>
  <c r="I65" i="13"/>
  <c r="M65" i="14"/>
  <c r="L30" i="261" l="1"/>
  <c r="AH30" i="261" s="1"/>
  <c r="N61" i="8"/>
  <c r="B26" i="17"/>
  <c r="F26" i="17" s="1"/>
  <c r="B26" i="261"/>
  <c r="L26" i="19"/>
  <c r="R74" i="8"/>
  <c r="K26" i="19"/>
  <c r="C29" i="261"/>
  <c r="M29" i="261" s="1"/>
  <c r="G20" i="261"/>
  <c r="L20" i="261" s="1"/>
  <c r="AH20" i="261" s="1"/>
  <c r="O21" i="60"/>
  <c r="H55" i="13"/>
  <c r="J29" i="10"/>
  <c r="C62" i="15"/>
  <c r="G17" i="17"/>
  <c r="L17" i="17" s="1"/>
  <c r="T17" i="17" s="1"/>
  <c r="H83" i="60"/>
  <c r="Q83" i="60" s="1"/>
  <c r="K87" i="9"/>
  <c r="H62" i="13"/>
  <c r="F85" i="9"/>
  <c r="L85" i="9" s="1"/>
  <c r="K58" i="59"/>
  <c r="K53" i="59" s="1"/>
  <c r="K220" i="59" s="1"/>
  <c r="G30" i="17"/>
  <c r="F16" i="12"/>
  <c r="T16" i="260" s="1"/>
  <c r="V16" i="260" s="1"/>
  <c r="G32" i="17"/>
  <c r="L32" i="17" s="1"/>
  <c r="T32" i="17" s="1"/>
  <c r="I36" i="12"/>
  <c r="Q36" i="12" s="1"/>
  <c r="S36" i="260"/>
  <c r="U36" i="260" s="1"/>
  <c r="F34" i="12"/>
  <c r="T34" i="260" s="1"/>
  <c r="V34" i="260" s="1"/>
  <c r="S34" i="260"/>
  <c r="U34" i="260" s="1"/>
  <c r="I33" i="12"/>
  <c r="Q33" i="12" s="1"/>
  <c r="S33" i="260"/>
  <c r="O88" i="257"/>
  <c r="Q88" i="257" s="1"/>
  <c r="F32" i="12"/>
  <c r="T32" i="260" s="1"/>
  <c r="V32" i="260" s="1"/>
  <c r="K29" i="13"/>
  <c r="L29" i="13" s="1"/>
  <c r="M27" i="140"/>
  <c r="L25" i="257"/>
  <c r="Q27" i="60"/>
  <c r="I11" i="60"/>
  <c r="I92" i="60"/>
  <c r="F59" i="24"/>
  <c r="I34" i="12"/>
  <c r="Q34" i="12" s="1"/>
  <c r="H53" i="8"/>
  <c r="J53" i="8" s="1"/>
  <c r="G22" i="261"/>
  <c r="L22" i="261" s="1"/>
  <c r="AH22" i="261" s="1"/>
  <c r="C59" i="15"/>
  <c r="P20" i="13"/>
  <c r="F29" i="10"/>
  <c r="K29" i="10" s="1"/>
  <c r="E12" i="13"/>
  <c r="T12" i="13" s="1"/>
  <c r="F71" i="24"/>
  <c r="H59" i="13"/>
  <c r="F20" i="10"/>
  <c r="K20" i="10" s="1"/>
  <c r="V55" i="21"/>
  <c r="H71" i="13"/>
  <c r="J20" i="10"/>
  <c r="T60" i="21"/>
  <c r="C29" i="19"/>
  <c r="B29" i="19" s="1"/>
  <c r="C71" i="15"/>
  <c r="G43" i="261"/>
  <c r="L43" i="261" s="1"/>
  <c r="AH43" i="261" s="1"/>
  <c r="J66" i="9"/>
  <c r="R82" i="8"/>
  <c r="B28" i="17"/>
  <c r="J86" i="9"/>
  <c r="F40" i="13"/>
  <c r="G40" i="19"/>
  <c r="B40" i="23"/>
  <c r="R40" i="23" s="1"/>
  <c r="G40" i="13"/>
  <c r="T70" i="21"/>
  <c r="E77" i="140"/>
  <c r="F66" i="21"/>
  <c r="I66" i="13" s="1"/>
  <c r="K75" i="9"/>
  <c r="C70" i="15"/>
  <c r="T76" i="21"/>
  <c r="C76" i="15"/>
  <c r="J40" i="10"/>
  <c r="F32" i="10"/>
  <c r="K32" i="10" s="1"/>
  <c r="B30" i="13"/>
  <c r="J30" i="13" s="1"/>
  <c r="F30" i="19" s="1"/>
  <c r="E30" i="19" s="1"/>
  <c r="E6" i="273" s="1"/>
  <c r="J55" i="9"/>
  <c r="G29" i="261"/>
  <c r="L29" i="261" s="1"/>
  <c r="AH29" i="261" s="1"/>
  <c r="G12" i="261"/>
  <c r="I226" i="59"/>
  <c r="L226" i="59" s="1"/>
  <c r="M65" i="59" s="1"/>
  <c r="D65" i="19" s="1"/>
  <c r="H77" i="60"/>
  <c r="B66" i="14"/>
  <c r="U66" i="21" s="1"/>
  <c r="F70" i="24"/>
  <c r="F76" i="24"/>
  <c r="R77" i="8"/>
  <c r="G68" i="60"/>
  <c r="V66" i="21" s="1"/>
  <c r="F55" i="24"/>
  <c r="C32" i="19"/>
  <c r="B32" i="19" s="1"/>
  <c r="C8" i="273" s="1"/>
  <c r="J83" i="9"/>
  <c r="T54" i="21"/>
  <c r="F54" i="24"/>
  <c r="H54" i="13"/>
  <c r="C54" i="15"/>
  <c r="F36" i="13"/>
  <c r="B36" i="23"/>
  <c r="R36" i="23" s="1"/>
  <c r="G36" i="13"/>
  <c r="J73" i="9"/>
  <c r="C43" i="19"/>
  <c r="B43" i="19" s="1"/>
  <c r="J60" i="9"/>
  <c r="J32" i="10"/>
  <c r="F36" i="12"/>
  <c r="T36" i="260" s="1"/>
  <c r="V36" i="260" s="1"/>
  <c r="C55" i="15"/>
  <c r="Q10" i="8"/>
  <c r="H58" i="13"/>
  <c r="F58" i="24"/>
  <c r="C58" i="15"/>
  <c r="T58" i="21"/>
  <c r="J69" i="9"/>
  <c r="B12" i="23"/>
  <c r="R12" i="23" s="1"/>
  <c r="G12" i="13"/>
  <c r="F12" i="13"/>
  <c r="G77" i="17"/>
  <c r="Q13" i="8"/>
  <c r="J62" i="9"/>
  <c r="E83" i="140"/>
  <c r="D83" i="140" s="1"/>
  <c r="C83" i="140" s="1"/>
  <c r="B83" i="140" s="1"/>
  <c r="H81" i="13"/>
  <c r="F81" i="13" s="1"/>
  <c r="J81" i="13" s="1"/>
  <c r="K81" i="13" s="1"/>
  <c r="L32" i="261"/>
  <c r="AH32" i="261" s="1"/>
  <c r="C81" i="15"/>
  <c r="F81" i="24"/>
  <c r="I81" i="24" s="1"/>
  <c r="G49" i="261"/>
  <c r="L49" i="261" s="1"/>
  <c r="AH49" i="261" s="1"/>
  <c r="J17" i="10"/>
  <c r="C17" i="19"/>
  <c r="B17" i="19" s="1"/>
  <c r="P18" i="13"/>
  <c r="O18" i="13" s="1"/>
  <c r="J18" i="13" s="1"/>
  <c r="F21" i="12"/>
  <c r="T21" i="260" s="1"/>
  <c r="V21" i="260" s="1"/>
  <c r="J18" i="10"/>
  <c r="C10" i="36"/>
  <c r="O10" i="36" s="1"/>
  <c r="N73" i="8"/>
  <c r="F18" i="10"/>
  <c r="K18" i="10" s="1"/>
  <c r="K57" i="9"/>
  <c r="F26" i="12"/>
  <c r="T26" i="260" s="1"/>
  <c r="V26" i="260" s="1"/>
  <c r="J44" i="10"/>
  <c r="L28" i="19"/>
  <c r="P44" i="13"/>
  <c r="O44" i="13" s="1"/>
  <c r="G18" i="261"/>
  <c r="L18" i="261" s="1"/>
  <c r="AH18" i="261" s="1"/>
  <c r="G44" i="261"/>
  <c r="L44" i="261" s="1"/>
  <c r="AH44" i="261" s="1"/>
  <c r="N72" i="8"/>
  <c r="F20" i="12"/>
  <c r="T20" i="260" s="1"/>
  <c r="V20" i="260" s="1"/>
  <c r="N26" i="10"/>
  <c r="N42" i="140"/>
  <c r="P42" i="140"/>
  <c r="O42" i="140"/>
  <c r="Q42" i="140"/>
  <c r="L35" i="19"/>
  <c r="F79" i="9"/>
  <c r="B79" i="10" s="1"/>
  <c r="C23" i="9"/>
  <c r="H23" i="268" s="1"/>
  <c r="E53" i="116"/>
  <c r="C74" i="15"/>
  <c r="F57" i="24"/>
  <c r="I57" i="24" s="1"/>
  <c r="N57" i="8"/>
  <c r="K68" i="9"/>
  <c r="P40" i="13"/>
  <c r="O40" i="13" s="1"/>
  <c r="J40" i="13" s="1"/>
  <c r="F40" i="19" s="1"/>
  <c r="I12" i="19"/>
  <c r="J12" i="17" s="1"/>
  <c r="C40" i="19"/>
  <c r="B40" i="19" s="1"/>
  <c r="U24" i="13"/>
  <c r="P45" i="9"/>
  <c r="K70" i="9"/>
  <c r="H45" i="9"/>
  <c r="J30" i="10"/>
  <c r="N30" i="10"/>
  <c r="P30" i="13"/>
  <c r="K64" i="9"/>
  <c r="C30" i="19"/>
  <c r="H57" i="13"/>
  <c r="F57" i="13" s="1"/>
  <c r="B35" i="17"/>
  <c r="F24" i="12"/>
  <c r="T24" i="260" s="1"/>
  <c r="V24" i="260" s="1"/>
  <c r="E59" i="140"/>
  <c r="C75" i="15"/>
  <c r="H41" i="12"/>
  <c r="O41" i="12" s="1"/>
  <c r="I88" i="24"/>
  <c r="F88" i="9"/>
  <c r="B88" i="10" s="1"/>
  <c r="C88" i="19" s="1"/>
  <c r="F74" i="24"/>
  <c r="C57" i="15"/>
  <c r="C22" i="19"/>
  <c r="B22" i="19" s="1"/>
  <c r="F75" i="24"/>
  <c r="I75" i="24" s="1"/>
  <c r="K82" i="9"/>
  <c r="V73" i="21"/>
  <c r="H59" i="60"/>
  <c r="Q59" i="60" s="1"/>
  <c r="H75" i="13"/>
  <c r="F75" i="13" s="1"/>
  <c r="I20" i="12"/>
  <c r="B36" i="261"/>
  <c r="B18" i="261"/>
  <c r="B34" i="261"/>
  <c r="E34" i="261" s="1"/>
  <c r="O34" i="261" s="1"/>
  <c r="B14" i="261"/>
  <c r="B48" i="261"/>
  <c r="B44" i="261"/>
  <c r="B28" i="261"/>
  <c r="B11" i="261"/>
  <c r="C37" i="261"/>
  <c r="M37" i="261" s="1"/>
  <c r="B39" i="261"/>
  <c r="K12" i="261"/>
  <c r="K12" i="268"/>
  <c r="B10" i="261"/>
  <c r="H10" i="268"/>
  <c r="J10" i="268"/>
  <c r="K10" i="268"/>
  <c r="B49" i="261"/>
  <c r="B21" i="261"/>
  <c r="H53" i="268"/>
  <c r="B16" i="261"/>
  <c r="B20" i="261"/>
  <c r="E20" i="261" s="1"/>
  <c r="O20" i="261" s="1"/>
  <c r="B31" i="261"/>
  <c r="E31" i="261" s="1"/>
  <c r="O31" i="261" s="1"/>
  <c r="C38" i="261"/>
  <c r="M38" i="261" s="1"/>
  <c r="B24" i="261"/>
  <c r="F24" i="261" s="1"/>
  <c r="B46" i="261"/>
  <c r="G21" i="261"/>
  <c r="L21" i="261" s="1"/>
  <c r="AH21" i="261" s="1"/>
  <c r="B19" i="261"/>
  <c r="B37" i="261"/>
  <c r="J49" i="10"/>
  <c r="C28" i="261"/>
  <c r="H220" i="59"/>
  <c r="B35" i="261"/>
  <c r="M24" i="17"/>
  <c r="V74" i="21"/>
  <c r="F60" i="24"/>
  <c r="Q18" i="140"/>
  <c r="K76" i="9"/>
  <c r="N18" i="140"/>
  <c r="K41" i="12"/>
  <c r="P22" i="13"/>
  <c r="O22" i="13" s="1"/>
  <c r="J22" i="13" s="1"/>
  <c r="F22" i="12"/>
  <c r="T22" i="260" s="1"/>
  <c r="V22" i="260" s="1"/>
  <c r="F42" i="19"/>
  <c r="D42" i="12" s="1"/>
  <c r="N12" i="10"/>
  <c r="P18" i="140"/>
  <c r="J22" i="10"/>
  <c r="O18" i="140"/>
  <c r="K61" i="9"/>
  <c r="I16" i="12"/>
  <c r="I43" i="12"/>
  <c r="I37" i="12"/>
  <c r="C32" i="261"/>
  <c r="M32" i="261" s="1"/>
  <c r="Q46" i="140"/>
  <c r="J72" i="9"/>
  <c r="L24" i="17"/>
  <c r="T24" i="17" s="1"/>
  <c r="I40" i="12"/>
  <c r="L20" i="17"/>
  <c r="T20" i="17" s="1"/>
  <c r="L26" i="17"/>
  <c r="T26" i="17" s="1"/>
  <c r="J64" i="9"/>
  <c r="F37" i="12"/>
  <c r="T37" i="260" s="1"/>
  <c r="J88" i="9"/>
  <c r="N81" i="8"/>
  <c r="F80" i="9"/>
  <c r="L80" i="9" s="1"/>
  <c r="F81" i="9"/>
  <c r="L81" i="9" s="1"/>
  <c r="L43" i="17"/>
  <c r="T43" i="17" s="1"/>
  <c r="L44" i="17"/>
  <c r="T44" i="17" s="1"/>
  <c r="L19" i="17"/>
  <c r="T19" i="17" s="1"/>
  <c r="L39" i="17"/>
  <c r="T39" i="17" s="1"/>
  <c r="J58" i="9"/>
  <c r="Q24" i="140"/>
  <c r="D14" i="36"/>
  <c r="I14" i="36" s="1"/>
  <c r="I38" i="12"/>
  <c r="F49" i="10"/>
  <c r="K49" i="10" s="1"/>
  <c r="P13" i="8"/>
  <c r="H60" i="13"/>
  <c r="O91" i="60"/>
  <c r="O89" i="257"/>
  <c r="Q89" i="257" s="1"/>
  <c r="L24" i="261"/>
  <c r="AH24" i="261" s="1"/>
  <c r="H74" i="13"/>
  <c r="O41" i="60"/>
  <c r="O39" i="257"/>
  <c r="D55" i="21"/>
  <c r="I55" i="13"/>
  <c r="M55" i="14"/>
  <c r="N55" i="8"/>
  <c r="N74" i="12"/>
  <c r="P43" i="13"/>
  <c r="O43" i="13" s="1"/>
  <c r="J43" i="13" s="1"/>
  <c r="F43" i="19" s="1"/>
  <c r="E43" i="19" s="1"/>
  <c r="I32" i="12"/>
  <c r="D77" i="21"/>
  <c r="S77" i="21" s="1"/>
  <c r="O15" i="257"/>
  <c r="O17" i="60"/>
  <c r="N43" i="10"/>
  <c r="F43" i="12"/>
  <c r="T43" i="260" s="1"/>
  <c r="V43" i="260" s="1"/>
  <c r="K28" i="13"/>
  <c r="B28" i="13" s="1"/>
  <c r="L28" i="13" s="1"/>
  <c r="I39" i="12"/>
  <c r="O30" i="257"/>
  <c r="O32" i="60"/>
  <c r="O54" i="60"/>
  <c r="O52" i="257"/>
  <c r="J74" i="12"/>
  <c r="J43" i="10"/>
  <c r="E53" i="9"/>
  <c r="C76" i="60"/>
  <c r="P76" i="60"/>
  <c r="O38" i="60"/>
  <c r="O36" i="257"/>
  <c r="L51" i="257"/>
  <c r="M53" i="140"/>
  <c r="O24" i="60"/>
  <c r="O22" i="257"/>
  <c r="F73" i="24"/>
  <c r="H73" i="13"/>
  <c r="T73" i="21"/>
  <c r="C73" i="15"/>
  <c r="O37" i="60"/>
  <c r="O35" i="257"/>
  <c r="H90" i="21"/>
  <c r="H90" i="13" s="1"/>
  <c r="O13" i="60"/>
  <c r="O11" i="257"/>
  <c r="O29" i="60"/>
  <c r="O27" i="257"/>
  <c r="H35" i="13"/>
  <c r="P24" i="140"/>
  <c r="N24" i="140"/>
  <c r="O24" i="140"/>
  <c r="N31" i="140"/>
  <c r="O31" i="140"/>
  <c r="Q31" i="140"/>
  <c r="P31" i="140"/>
  <c r="O40" i="60"/>
  <c r="O38" i="257"/>
  <c r="P19" i="140"/>
  <c r="Q19" i="140"/>
  <c r="N19" i="140"/>
  <c r="O19" i="140"/>
  <c r="V78" i="21"/>
  <c r="F79" i="19"/>
  <c r="H63" i="13"/>
  <c r="C63" i="15"/>
  <c r="T63" i="21"/>
  <c r="I74" i="13"/>
  <c r="D74" i="21"/>
  <c r="M74" i="14"/>
  <c r="J35" i="13"/>
  <c r="K35" i="13" s="1"/>
  <c r="L35" i="13" s="1"/>
  <c r="B64" i="10"/>
  <c r="C64" i="19" s="1"/>
  <c r="B64" i="19" s="1"/>
  <c r="B64" i="261" s="1"/>
  <c r="L64" i="9"/>
  <c r="G64" i="261" s="1"/>
  <c r="K63" i="9"/>
  <c r="L30" i="17"/>
  <c r="T30" i="17" s="1"/>
  <c r="B45" i="12"/>
  <c r="K74" i="9"/>
  <c r="K24" i="19"/>
  <c r="D5" i="273" s="1"/>
  <c r="G72" i="17"/>
  <c r="G72" i="261"/>
  <c r="K55" i="9"/>
  <c r="F55" i="9"/>
  <c r="I19" i="12"/>
  <c r="G41" i="17"/>
  <c r="G41" i="261"/>
  <c r="L41" i="261" s="1"/>
  <c r="AH41" i="261" s="1"/>
  <c r="F62" i="9"/>
  <c r="K62" i="9"/>
  <c r="H31" i="12"/>
  <c r="O31" i="12" s="1"/>
  <c r="K31" i="12"/>
  <c r="C31" i="12"/>
  <c r="B83" i="10"/>
  <c r="L83" i="9"/>
  <c r="H53" i="261"/>
  <c r="B24" i="17"/>
  <c r="E24" i="17" s="1"/>
  <c r="O24" i="17" s="1"/>
  <c r="F12" i="12"/>
  <c r="T12" i="260" s="1"/>
  <c r="V12" i="260" s="1"/>
  <c r="U26" i="13"/>
  <c r="F71" i="9"/>
  <c r="K73" i="9"/>
  <c r="F73" i="9"/>
  <c r="F86" i="9"/>
  <c r="K86" i="9"/>
  <c r="K60" i="9"/>
  <c r="F60" i="9"/>
  <c r="F78" i="9"/>
  <c r="K78" i="9"/>
  <c r="L24" i="19"/>
  <c r="G52" i="17"/>
  <c r="L52" i="17" s="1"/>
  <c r="T52" i="17" s="1"/>
  <c r="G52" i="261"/>
  <c r="L52" i="261" s="1"/>
  <c r="AH52" i="261" s="1"/>
  <c r="K54" i="9"/>
  <c r="F54" i="9"/>
  <c r="K56" i="9"/>
  <c r="F56" i="9"/>
  <c r="E26" i="261"/>
  <c r="O26" i="261" s="1"/>
  <c r="F26" i="261"/>
  <c r="J27" i="10"/>
  <c r="P27" i="13"/>
  <c r="O27" i="13" s="1"/>
  <c r="J27" i="13" s="1"/>
  <c r="C27" i="19"/>
  <c r="B27" i="19" s="1"/>
  <c r="F27" i="10"/>
  <c r="K27" i="10" s="1"/>
  <c r="I74" i="9"/>
  <c r="G47" i="17"/>
  <c r="L47" i="17" s="1"/>
  <c r="T47" i="17" s="1"/>
  <c r="G47" i="261"/>
  <c r="L47" i="261" s="1"/>
  <c r="AH47" i="261" s="1"/>
  <c r="K28" i="19"/>
  <c r="J10" i="261"/>
  <c r="K10" i="261"/>
  <c r="H10" i="261"/>
  <c r="K42" i="10"/>
  <c r="N42" i="10"/>
  <c r="K84" i="9"/>
  <c r="F84" i="9"/>
  <c r="K66" i="9"/>
  <c r="F66" i="9"/>
  <c r="F69" i="9"/>
  <c r="K69" i="9"/>
  <c r="F58" i="9"/>
  <c r="I26" i="12"/>
  <c r="I15" i="12"/>
  <c r="F15" i="12"/>
  <c r="T15" i="260" s="1"/>
  <c r="V15" i="260" s="1"/>
  <c r="Q54" i="140"/>
  <c r="Q15" i="140"/>
  <c r="F40" i="12"/>
  <c r="T40" i="260" s="1"/>
  <c r="V40" i="260" s="1"/>
  <c r="F17" i="12"/>
  <c r="T17" i="260" s="1"/>
  <c r="V17" i="260" s="1"/>
  <c r="K37" i="13"/>
  <c r="L37" i="13" s="1"/>
  <c r="U20" i="13"/>
  <c r="E10" i="116"/>
  <c r="H10" i="17"/>
  <c r="I10" i="9"/>
  <c r="J10" i="17"/>
  <c r="K10" i="17"/>
  <c r="B10" i="25"/>
  <c r="L10" i="9"/>
  <c r="H74" i="9"/>
  <c r="G74" i="25"/>
  <c r="N17" i="10"/>
  <c r="D90" i="8"/>
  <c r="E50" i="9"/>
  <c r="E45" i="9" s="1"/>
  <c r="K45" i="9" s="1"/>
  <c r="I24" i="12"/>
  <c r="C13" i="36"/>
  <c r="O13" i="36" s="1"/>
  <c r="H13" i="36"/>
  <c r="N52" i="8"/>
  <c r="R52" i="8"/>
  <c r="B13" i="12"/>
  <c r="P13" i="9"/>
  <c r="H13" i="9"/>
  <c r="C13" i="9"/>
  <c r="G44" i="12"/>
  <c r="N44" i="12" s="1"/>
  <c r="R50" i="8"/>
  <c r="N50" i="8"/>
  <c r="M52" i="140"/>
  <c r="N37" i="10"/>
  <c r="F18" i="12"/>
  <c r="T18" i="260" s="1"/>
  <c r="V18" i="260" s="1"/>
  <c r="I18" i="12"/>
  <c r="M74" i="13"/>
  <c r="F74" i="9"/>
  <c r="L74" i="9" s="1"/>
  <c r="Q39" i="140"/>
  <c r="I17" i="12"/>
  <c r="I21" i="12"/>
  <c r="B42" i="13"/>
  <c r="L42" i="13" s="1"/>
  <c r="J50" i="9"/>
  <c r="G30" i="12"/>
  <c r="N30" i="12" s="1"/>
  <c r="C30" i="12"/>
  <c r="J41" i="10"/>
  <c r="F41" i="10"/>
  <c r="K41" i="10" s="1"/>
  <c r="C41" i="19"/>
  <c r="B41" i="19" s="1"/>
  <c r="C14" i="273" s="1"/>
  <c r="P41" i="13"/>
  <c r="J70" i="9"/>
  <c r="I53" i="8"/>
  <c r="L53" i="8" s="1"/>
  <c r="J76" i="9"/>
  <c r="J65" i="9"/>
  <c r="Q20" i="140"/>
  <c r="J81" i="9"/>
  <c r="J68" i="9"/>
  <c r="M46" i="8"/>
  <c r="M48" i="140" s="1"/>
  <c r="J67" i="9"/>
  <c r="D53" i="9"/>
  <c r="I53" i="9" s="1"/>
  <c r="J53" i="9" s="1"/>
  <c r="J82" i="9"/>
  <c r="E26" i="17"/>
  <c r="O26" i="17" s="1"/>
  <c r="J85" i="9"/>
  <c r="C23" i="36"/>
  <c r="Q89" i="8"/>
  <c r="M89" i="8"/>
  <c r="U38" i="13"/>
  <c r="N24" i="10"/>
  <c r="B37" i="17"/>
  <c r="K37" i="19"/>
  <c r="L37" i="19"/>
  <c r="B23" i="12"/>
  <c r="P23" i="9"/>
  <c r="P46" i="13"/>
  <c r="O46" i="13" s="1"/>
  <c r="J46" i="13" s="1"/>
  <c r="B44" i="17"/>
  <c r="L44" i="19"/>
  <c r="J80" i="9"/>
  <c r="J57" i="9"/>
  <c r="E44" i="12"/>
  <c r="B31" i="17"/>
  <c r="L31" i="19"/>
  <c r="K31" i="19"/>
  <c r="B48" i="17"/>
  <c r="L48" i="19"/>
  <c r="Q81" i="140"/>
  <c r="N40" i="10"/>
  <c r="G89" i="8"/>
  <c r="F53" i="8"/>
  <c r="E27" i="8"/>
  <c r="Q28" i="8"/>
  <c r="N34" i="10"/>
  <c r="B14" i="17"/>
  <c r="L14" i="19"/>
  <c r="K11" i="13"/>
  <c r="L11" i="13" s="1"/>
  <c r="F11" i="19"/>
  <c r="E11" i="19" s="1"/>
  <c r="B11" i="17"/>
  <c r="L11" i="19"/>
  <c r="P23" i="8"/>
  <c r="J13" i="10"/>
  <c r="P13" i="13"/>
  <c r="O13" i="13" s="1"/>
  <c r="J13" i="13" s="1"/>
  <c r="C13" i="19"/>
  <c r="B13" i="19" s="1"/>
  <c r="F13" i="10"/>
  <c r="B39" i="17"/>
  <c r="L39" i="19"/>
  <c r="R48" i="8"/>
  <c r="N48" i="8"/>
  <c r="K12" i="17"/>
  <c r="J9" i="19"/>
  <c r="K10" i="13"/>
  <c r="B10" i="13" s="1"/>
  <c r="F10" i="19"/>
  <c r="B10" i="17"/>
  <c r="L10" i="19"/>
  <c r="N46" i="10"/>
  <c r="I35" i="12"/>
  <c r="C52" i="19"/>
  <c r="B52" i="19" s="1"/>
  <c r="F52" i="10"/>
  <c r="K52" i="10" s="1"/>
  <c r="J52" i="10"/>
  <c r="J87" i="9"/>
  <c r="M14" i="8"/>
  <c r="N14" i="8" s="1"/>
  <c r="B34" i="17"/>
  <c r="L34" i="19"/>
  <c r="K34" i="19"/>
  <c r="Q29" i="140"/>
  <c r="N19" i="10"/>
  <c r="J79" i="9"/>
  <c r="J75" i="9"/>
  <c r="J61" i="9"/>
  <c r="J63" i="9"/>
  <c r="P14" i="8"/>
  <c r="U32" i="13"/>
  <c r="K53" i="8"/>
  <c r="K38" i="19"/>
  <c r="C38" i="17"/>
  <c r="N14" i="10"/>
  <c r="K14" i="13"/>
  <c r="B14" i="13" s="1"/>
  <c r="F14" i="19"/>
  <c r="N11" i="10"/>
  <c r="C37" i="17"/>
  <c r="M37" i="17" s="1"/>
  <c r="Q23" i="8"/>
  <c r="P48" i="13"/>
  <c r="O48" i="13" s="1"/>
  <c r="J48" i="13" s="1"/>
  <c r="B89" i="10"/>
  <c r="L89" i="9"/>
  <c r="C28" i="17"/>
  <c r="B49" i="17"/>
  <c r="L49" i="19"/>
  <c r="N10" i="10"/>
  <c r="B46" i="17"/>
  <c r="L46" i="19"/>
  <c r="N44" i="10"/>
  <c r="E79" i="12"/>
  <c r="U79" i="13"/>
  <c r="L14" i="8"/>
  <c r="M56" i="59"/>
  <c r="D56" i="19" s="1"/>
  <c r="M74" i="59"/>
  <c r="D74" i="19" s="1"/>
  <c r="M78" i="59"/>
  <c r="D78" i="19" s="1"/>
  <c r="M61" i="59"/>
  <c r="D61" i="19" s="1"/>
  <c r="M69" i="59"/>
  <c r="D69" i="19" s="1"/>
  <c r="M85" i="59"/>
  <c r="D85" i="19" s="1"/>
  <c r="M62" i="59"/>
  <c r="D62" i="19" s="1"/>
  <c r="M72" i="59"/>
  <c r="D72" i="19" s="1"/>
  <c r="M59" i="59"/>
  <c r="D59" i="19" s="1"/>
  <c r="M83" i="59"/>
  <c r="D83" i="19" s="1"/>
  <c r="G68" i="13"/>
  <c r="F68" i="13" s="1"/>
  <c r="C68" i="14"/>
  <c r="D68" i="14" s="1"/>
  <c r="C68" i="24"/>
  <c r="I68" i="24" s="1"/>
  <c r="E70" i="140"/>
  <c r="H70" i="60"/>
  <c r="S68" i="21"/>
  <c r="G59" i="13"/>
  <c r="F59" i="13" s="1"/>
  <c r="C59" i="24"/>
  <c r="C59" i="14"/>
  <c r="D59" i="14" s="1"/>
  <c r="E61" i="140"/>
  <c r="H61" i="60"/>
  <c r="Q61" i="60" s="1"/>
  <c r="S59" i="21"/>
  <c r="G67" i="13"/>
  <c r="F67" i="13" s="1"/>
  <c r="C67" i="24"/>
  <c r="I67" i="24" s="1"/>
  <c r="C67" i="14"/>
  <c r="D67" i="14" s="1"/>
  <c r="E69" i="140"/>
  <c r="H69" i="60"/>
  <c r="Q69" i="60" s="1"/>
  <c r="S67" i="21"/>
  <c r="L46" i="8"/>
  <c r="I45" i="8"/>
  <c r="L45" i="8" s="1"/>
  <c r="G73" i="13"/>
  <c r="C73" i="24"/>
  <c r="C73" i="14"/>
  <c r="D73" i="14" s="1"/>
  <c r="E75" i="140"/>
  <c r="H75" i="60"/>
  <c r="I86" i="13"/>
  <c r="M86" i="14"/>
  <c r="E66" i="140"/>
  <c r="H64" i="13"/>
  <c r="H66" i="60"/>
  <c r="F64" i="24"/>
  <c r="C64" i="15"/>
  <c r="T64" i="21"/>
  <c r="Q91" i="60"/>
  <c r="I70" i="13"/>
  <c r="M70" i="14"/>
  <c r="B76" i="10"/>
  <c r="L76" i="9"/>
  <c r="P36" i="140"/>
  <c r="N36" i="140"/>
  <c r="O36" i="140"/>
  <c r="E58" i="60"/>
  <c r="J19" i="13"/>
  <c r="B70" i="10"/>
  <c r="L70" i="9"/>
  <c r="I62" i="13"/>
  <c r="M62" i="14"/>
  <c r="G83" i="13"/>
  <c r="C83" i="14"/>
  <c r="D83" i="14" s="1"/>
  <c r="C83" i="24"/>
  <c r="E62" i="60"/>
  <c r="E87" i="140"/>
  <c r="H85" i="13"/>
  <c r="F85" i="24"/>
  <c r="H87" i="60"/>
  <c r="Q87" i="60" s="1"/>
  <c r="C85" i="15"/>
  <c r="T85" i="21"/>
  <c r="B36" i="17"/>
  <c r="L36" i="19"/>
  <c r="I42" i="36"/>
  <c r="O42" i="36"/>
  <c r="F42" i="36"/>
  <c r="L42" i="36" s="1"/>
  <c r="K42" i="36"/>
  <c r="P45" i="140"/>
  <c r="N45" i="140"/>
  <c r="O45" i="140"/>
  <c r="V63" i="21"/>
  <c r="E65" i="140"/>
  <c r="G63" i="13"/>
  <c r="C63" i="14"/>
  <c r="D63" i="14" s="1"/>
  <c r="H65" i="60"/>
  <c r="I80" i="13"/>
  <c r="M80" i="14"/>
  <c r="I84" i="13"/>
  <c r="M84" i="14"/>
  <c r="C47" i="19"/>
  <c r="B47" i="19" s="1"/>
  <c r="F47" i="10"/>
  <c r="G101" i="10"/>
  <c r="D101" i="10"/>
  <c r="E101" i="10"/>
  <c r="J47" i="10"/>
  <c r="C101" i="10"/>
  <c r="O46" i="257"/>
  <c r="O48" i="60"/>
  <c r="I62" i="12"/>
  <c r="F62" i="12"/>
  <c r="T62" i="260" s="1"/>
  <c r="B18" i="17"/>
  <c r="L18" i="19"/>
  <c r="B85" i="10"/>
  <c r="E89" i="140"/>
  <c r="G87" i="13"/>
  <c r="F87" i="13" s="1"/>
  <c r="H89" i="60"/>
  <c r="C87" i="24"/>
  <c r="I87" i="24" s="1"/>
  <c r="C87" i="14"/>
  <c r="D87" i="14" s="1"/>
  <c r="S87" i="21"/>
  <c r="I69" i="13"/>
  <c r="M69" i="14"/>
  <c r="I72" i="13"/>
  <c r="M72" i="14"/>
  <c r="AI24" i="99"/>
  <c r="C84" i="60"/>
  <c r="P84" i="60"/>
  <c r="B19" i="17"/>
  <c r="L19" i="19"/>
  <c r="I76" i="13"/>
  <c r="M76" i="14"/>
  <c r="G78" i="13"/>
  <c r="F78" i="13" s="1"/>
  <c r="E80" i="140"/>
  <c r="H80" i="60"/>
  <c r="C78" i="14"/>
  <c r="D78" i="14" s="1"/>
  <c r="C78" i="24"/>
  <c r="I78" i="24" s="1"/>
  <c r="I61" i="13"/>
  <c r="M61" i="14"/>
  <c r="M41" i="17"/>
  <c r="B67" i="10"/>
  <c r="L67" i="9"/>
  <c r="AI47" i="99"/>
  <c r="P12" i="140"/>
  <c r="O12" i="140"/>
  <c r="N12" i="140"/>
  <c r="B20" i="17"/>
  <c r="L20" i="19"/>
  <c r="K20" i="19"/>
  <c r="B82" i="10"/>
  <c r="L82" i="9"/>
  <c r="B87" i="10"/>
  <c r="L87" i="9"/>
  <c r="I59" i="13"/>
  <c r="M59" i="14"/>
  <c r="B61" i="10"/>
  <c r="L61" i="9"/>
  <c r="C72" i="19"/>
  <c r="F72" i="10"/>
  <c r="C72" i="10" s="1"/>
  <c r="N72" i="10" s="1"/>
  <c r="J72" i="10"/>
  <c r="P72" i="13" s="1"/>
  <c r="O72" i="13" s="1"/>
  <c r="B30" i="19"/>
  <c r="C6" i="273" s="1"/>
  <c r="G80" i="13"/>
  <c r="F80" i="13" s="1"/>
  <c r="C80" i="24"/>
  <c r="I80" i="24" s="1"/>
  <c r="C80" i="14"/>
  <c r="D80" i="14" s="1"/>
  <c r="H82" i="60"/>
  <c r="Q82" i="60" s="1"/>
  <c r="E82" i="140"/>
  <c r="I41" i="12"/>
  <c r="F41" i="12"/>
  <c r="T41" i="260" s="1"/>
  <c r="G35" i="19"/>
  <c r="F35" i="23"/>
  <c r="S35" i="23" s="1"/>
  <c r="G84" i="13"/>
  <c r="F84" i="13" s="1"/>
  <c r="C84" i="14"/>
  <c r="D84" i="14" s="1"/>
  <c r="C84" i="24"/>
  <c r="I84" i="24" s="1"/>
  <c r="E86" i="140"/>
  <c r="H86" i="60"/>
  <c r="Q86" i="60" s="1"/>
  <c r="P44" i="140"/>
  <c r="N44" i="140"/>
  <c r="O44" i="140"/>
  <c r="I73" i="13"/>
  <c r="M73" i="14"/>
  <c r="P59" i="60"/>
  <c r="C59" i="60"/>
  <c r="H83" i="13"/>
  <c r="F83" i="24"/>
  <c r="H85" i="60"/>
  <c r="E85" i="140"/>
  <c r="C83" i="15"/>
  <c r="T83" i="21"/>
  <c r="M33" i="8"/>
  <c r="Q33" i="8"/>
  <c r="B16" i="17"/>
  <c r="L16" i="19"/>
  <c r="J17" i="13"/>
  <c r="D70" i="21"/>
  <c r="J21" i="13"/>
  <c r="B21" i="17"/>
  <c r="L21" i="19"/>
  <c r="O20" i="60"/>
  <c r="O18" i="257"/>
  <c r="B65" i="10"/>
  <c r="L65" i="9"/>
  <c r="O36" i="60"/>
  <c r="O34" i="257"/>
  <c r="I33" i="36"/>
  <c r="O33" i="36"/>
  <c r="Q36" i="140"/>
  <c r="G71" i="13"/>
  <c r="F71" i="13" s="1"/>
  <c r="C71" i="24"/>
  <c r="C71" i="14"/>
  <c r="D71" i="14" s="1"/>
  <c r="E74" i="60"/>
  <c r="G56" i="13"/>
  <c r="F56" i="13" s="1"/>
  <c r="E58" i="140"/>
  <c r="C56" i="14"/>
  <c r="D56" i="14" s="1"/>
  <c r="H58" i="60"/>
  <c r="C56" i="24"/>
  <c r="I56" i="24" s="1"/>
  <c r="H73" i="60"/>
  <c r="E73" i="140"/>
  <c r="AI89" i="99"/>
  <c r="M66" i="14"/>
  <c r="F29" i="12"/>
  <c r="T29" i="260" s="1"/>
  <c r="V29" i="260" s="1"/>
  <c r="I29" i="12"/>
  <c r="Q41" i="60"/>
  <c r="K33" i="12"/>
  <c r="H33" i="12"/>
  <c r="O33" i="12" s="1"/>
  <c r="D62" i="21"/>
  <c r="B68" i="10"/>
  <c r="L68" i="9"/>
  <c r="G85" i="13"/>
  <c r="C85" i="14"/>
  <c r="D85" i="14" s="1"/>
  <c r="C85" i="24"/>
  <c r="S83" i="21"/>
  <c r="E63" i="60"/>
  <c r="E62" i="140"/>
  <c r="G60" i="13"/>
  <c r="C60" i="14"/>
  <c r="D60" i="14" s="1"/>
  <c r="H62" i="60"/>
  <c r="C60" i="24"/>
  <c r="B46" i="36"/>
  <c r="F45" i="8"/>
  <c r="C57" i="60"/>
  <c r="P57" i="60"/>
  <c r="AI48" i="99"/>
  <c r="Q12" i="140"/>
  <c r="J36" i="13"/>
  <c r="F88" i="13"/>
  <c r="F54" i="21"/>
  <c r="B54" i="14"/>
  <c r="U54" i="21" s="1"/>
  <c r="B54" i="24"/>
  <c r="H54" i="24" s="1"/>
  <c r="G56" i="60"/>
  <c r="C91" i="21"/>
  <c r="S73" i="21"/>
  <c r="P54" i="140"/>
  <c r="N54" i="140"/>
  <c r="O54" i="140"/>
  <c r="H11" i="60"/>
  <c r="N81" i="140"/>
  <c r="P81" i="140"/>
  <c r="O81" i="140"/>
  <c r="AI47" i="98"/>
  <c r="E68" i="60"/>
  <c r="N16" i="10"/>
  <c r="J16" i="13"/>
  <c r="N21" i="10"/>
  <c r="N29" i="140"/>
  <c r="P29" i="140"/>
  <c r="O29" i="140"/>
  <c r="I71" i="13"/>
  <c r="M71" i="14"/>
  <c r="E71" i="60"/>
  <c r="I56" i="13"/>
  <c r="M56" i="14"/>
  <c r="AG90" i="99"/>
  <c r="AG90" i="98"/>
  <c r="AH47" i="98" s="1"/>
  <c r="AI48" i="98"/>
  <c r="D66" i="21"/>
  <c r="H68" i="60" s="1"/>
  <c r="Q68" i="60" s="1"/>
  <c r="E87" i="60"/>
  <c r="P28" i="8"/>
  <c r="P20" i="140"/>
  <c r="O20" i="140"/>
  <c r="N20" i="140"/>
  <c r="Q51" i="60"/>
  <c r="O30" i="60"/>
  <c r="O28" i="257"/>
  <c r="S85" i="21"/>
  <c r="I85" i="13"/>
  <c r="M85" i="14"/>
  <c r="S78" i="21"/>
  <c r="V60" i="21"/>
  <c r="I60" i="13"/>
  <c r="M60" i="14"/>
  <c r="E67" i="140"/>
  <c r="H65" i="13"/>
  <c r="F65" i="13" s="1"/>
  <c r="H67" i="60"/>
  <c r="F65" i="24"/>
  <c r="I65" i="24" s="1"/>
  <c r="C65" i="15"/>
  <c r="T65" i="21"/>
  <c r="H66" i="13"/>
  <c r="F66" i="24"/>
  <c r="C66" i="15"/>
  <c r="T66" i="21"/>
  <c r="D91" i="140"/>
  <c r="C91" i="140" s="1"/>
  <c r="B91" i="140" s="1"/>
  <c r="H82" i="13"/>
  <c r="F82" i="13" s="1"/>
  <c r="E84" i="140"/>
  <c r="F82" i="24"/>
  <c r="I82" i="24" s="1"/>
  <c r="H84" i="60"/>
  <c r="C82" i="15"/>
  <c r="T82" i="21"/>
  <c r="Q90" i="60"/>
  <c r="Q50" i="60"/>
  <c r="H23" i="17"/>
  <c r="F11" i="12"/>
  <c r="T11" i="260" s="1"/>
  <c r="V11" i="260" s="1"/>
  <c r="I11" i="12"/>
  <c r="C79" i="60"/>
  <c r="P79" i="60"/>
  <c r="N36" i="10"/>
  <c r="B15" i="19"/>
  <c r="O46" i="140"/>
  <c r="P46" i="140"/>
  <c r="N46" i="140"/>
  <c r="O12" i="60"/>
  <c r="O10" i="257"/>
  <c r="C11" i="60"/>
  <c r="I9" i="257"/>
  <c r="V68" i="21"/>
  <c r="I63" i="13"/>
  <c r="M63" i="14"/>
  <c r="E82" i="60"/>
  <c r="F39" i="23"/>
  <c r="S39" i="23" s="1"/>
  <c r="G39" i="19"/>
  <c r="C32" i="17"/>
  <c r="Q44" i="140"/>
  <c r="D49" i="140"/>
  <c r="C49" i="140" s="1"/>
  <c r="B49" i="140" s="1"/>
  <c r="H49" i="60"/>
  <c r="O44" i="257"/>
  <c r="O46" i="60"/>
  <c r="F58" i="21"/>
  <c r="D58" i="21" s="1"/>
  <c r="B58" i="24"/>
  <c r="H58" i="24" s="1"/>
  <c r="G60" i="60"/>
  <c r="B58" i="14"/>
  <c r="U58" i="21" s="1"/>
  <c r="L17" i="19"/>
  <c r="C77" i="15"/>
  <c r="F77" i="24"/>
  <c r="T77" i="21"/>
  <c r="O91" i="257"/>
  <c r="Q91" i="257" s="1"/>
  <c r="D91" i="8"/>
  <c r="B96" i="8"/>
  <c r="G64" i="13"/>
  <c r="C64" i="14"/>
  <c r="D64" i="14" s="1"/>
  <c r="C64" i="24"/>
  <c r="E69" i="60"/>
  <c r="O17" i="257"/>
  <c r="O19" i="60"/>
  <c r="AI24" i="98"/>
  <c r="E88" i="60"/>
  <c r="D86" i="21"/>
  <c r="AI89" i="98"/>
  <c r="E61" i="60"/>
  <c r="P83" i="60"/>
  <c r="C83" i="60"/>
  <c r="F51" i="126"/>
  <c r="H38" i="126"/>
  <c r="H24" i="126"/>
  <c r="F38" i="126"/>
  <c r="H45" i="126"/>
  <c r="G12" i="126"/>
  <c r="G19" i="126"/>
  <c r="G29" i="126"/>
  <c r="H20" i="126"/>
  <c r="F53" i="126"/>
  <c r="G17" i="126"/>
  <c r="G28" i="126"/>
  <c r="F29" i="126"/>
  <c r="H53" i="126"/>
  <c r="G92" i="126"/>
  <c r="H54" i="126"/>
  <c r="G25" i="126"/>
  <c r="F46" i="126"/>
  <c r="G31" i="126"/>
  <c r="H12" i="126"/>
  <c r="H15" i="126"/>
  <c r="H39" i="126"/>
  <c r="H41" i="126"/>
  <c r="F33" i="126"/>
  <c r="H13" i="126"/>
  <c r="F18" i="126"/>
  <c r="H40" i="126"/>
  <c r="G30" i="126"/>
  <c r="F16" i="126"/>
  <c r="F27" i="126"/>
  <c r="G22" i="126"/>
  <c r="H52" i="126"/>
  <c r="F12" i="126"/>
  <c r="F21" i="126"/>
  <c r="G15" i="126"/>
  <c r="F28" i="126"/>
  <c r="G48" i="126"/>
  <c r="F19" i="126"/>
  <c r="F31" i="126"/>
  <c r="G45" i="126"/>
  <c r="F22" i="126"/>
  <c r="F52" i="126"/>
  <c r="G27" i="126"/>
  <c r="G37" i="126"/>
  <c r="F41" i="126"/>
  <c r="F42" i="126"/>
  <c r="G16" i="126"/>
  <c r="H46" i="126"/>
  <c r="G94" i="126"/>
  <c r="H49" i="126"/>
  <c r="G54" i="126"/>
  <c r="G18" i="126"/>
  <c r="F15" i="126"/>
  <c r="F36" i="126"/>
  <c r="G21" i="126"/>
  <c r="G33" i="126"/>
  <c r="G35" i="126"/>
  <c r="F24" i="126"/>
  <c r="H48" i="126"/>
  <c r="H35" i="126"/>
  <c r="F25" i="126"/>
  <c r="H29" i="126"/>
  <c r="F39" i="126"/>
  <c r="F54" i="126"/>
  <c r="H30" i="126"/>
  <c r="H16" i="126"/>
  <c r="G50" i="126"/>
  <c r="F17" i="126"/>
  <c r="H18" i="126"/>
  <c r="F48" i="126"/>
  <c r="H23" i="126"/>
  <c r="H44" i="126"/>
  <c r="G46" i="126"/>
  <c r="G38" i="126"/>
  <c r="G52" i="126"/>
  <c r="F23" i="126"/>
  <c r="F13" i="126"/>
  <c r="G39" i="126"/>
  <c r="G20" i="126"/>
  <c r="H36" i="126"/>
  <c r="H25" i="126"/>
  <c r="G13" i="126"/>
  <c r="H21" i="126"/>
  <c r="G51" i="126"/>
  <c r="F44" i="126"/>
  <c r="H92" i="126"/>
  <c r="G49" i="126"/>
  <c r="H50" i="126"/>
  <c r="G42" i="126"/>
  <c r="F49" i="126"/>
  <c r="H19" i="126"/>
  <c r="H27" i="126"/>
  <c r="F35" i="126"/>
  <c r="H28" i="126"/>
  <c r="G40" i="126"/>
  <c r="F40" i="126"/>
  <c r="G53" i="126"/>
  <c r="H31" i="126"/>
  <c r="F94" i="126"/>
  <c r="H33" i="126"/>
  <c r="F30" i="126"/>
  <c r="G47" i="126"/>
  <c r="H51" i="126"/>
  <c r="G24" i="126"/>
  <c r="H17" i="126"/>
  <c r="H42" i="126"/>
  <c r="F37" i="126"/>
  <c r="F45" i="126"/>
  <c r="G23" i="126"/>
  <c r="G41" i="126"/>
  <c r="H37" i="126"/>
  <c r="H22" i="126"/>
  <c r="G44" i="126"/>
  <c r="F20" i="126"/>
  <c r="G36" i="126"/>
  <c r="F50" i="126"/>
  <c r="F47" i="126"/>
  <c r="F92" i="126"/>
  <c r="H47" i="126"/>
  <c r="J39" i="13"/>
  <c r="F39" i="19" s="1"/>
  <c r="J46" i="8"/>
  <c r="H45" i="8"/>
  <c r="J45" i="8" s="1"/>
  <c r="I64" i="13"/>
  <c r="M64" i="14"/>
  <c r="D59" i="140"/>
  <c r="C59" i="140" s="1"/>
  <c r="B59" i="140" s="1"/>
  <c r="D69" i="21"/>
  <c r="D72" i="21"/>
  <c r="H74" i="60" s="1"/>
  <c r="D77" i="140"/>
  <c r="C77" i="140" s="1"/>
  <c r="B77" i="140" s="1"/>
  <c r="E78" i="60"/>
  <c r="AB90" i="99"/>
  <c r="AD9" i="99"/>
  <c r="AD9" i="98"/>
  <c r="AB90" i="98"/>
  <c r="AC9" i="98" s="1"/>
  <c r="L49" i="257"/>
  <c r="M51" i="140"/>
  <c r="L39" i="257"/>
  <c r="M41" i="140"/>
  <c r="D76" i="21"/>
  <c r="B75" i="10"/>
  <c r="L75" i="9"/>
  <c r="I83" i="13"/>
  <c r="M83" i="14"/>
  <c r="I78" i="13"/>
  <c r="M78" i="14"/>
  <c r="D61" i="21"/>
  <c r="H72" i="13"/>
  <c r="C72" i="15"/>
  <c r="F72" i="24"/>
  <c r="T72" i="21"/>
  <c r="G46" i="8"/>
  <c r="K45" i="8"/>
  <c r="K90" i="8" s="1"/>
  <c r="D90" i="140"/>
  <c r="C90" i="140" s="1"/>
  <c r="B90" i="140" s="1"/>
  <c r="L48" i="257"/>
  <c r="M50" i="140"/>
  <c r="H53" i="17"/>
  <c r="B57" i="10"/>
  <c r="L57" i="9"/>
  <c r="N15" i="10"/>
  <c r="J15" i="13"/>
  <c r="N15" i="140"/>
  <c r="P15" i="140"/>
  <c r="O15" i="140"/>
  <c r="J14" i="8"/>
  <c r="H9" i="8"/>
  <c r="J9" i="8" s="1"/>
  <c r="I68" i="13"/>
  <c r="M68" i="14"/>
  <c r="Q45" i="140"/>
  <c r="S63" i="21"/>
  <c r="V72" i="21"/>
  <c r="F51" i="9"/>
  <c r="K51" i="9"/>
  <c r="O42" i="257"/>
  <c r="O44" i="60"/>
  <c r="F36" i="23"/>
  <c r="S36" i="23" s="1"/>
  <c r="G36" i="19"/>
  <c r="F12" i="23"/>
  <c r="S12" i="23" s="1"/>
  <c r="G12" i="19"/>
  <c r="E86" i="60"/>
  <c r="F33" i="12"/>
  <c r="T33" i="260" s="1"/>
  <c r="N39" i="140"/>
  <c r="O39" i="140"/>
  <c r="P39" i="140"/>
  <c r="M29" i="17"/>
  <c r="I67" i="13"/>
  <c r="M67" i="14"/>
  <c r="B63" i="10"/>
  <c r="L63" i="9"/>
  <c r="N22" i="10"/>
  <c r="G59" i="25"/>
  <c r="F59" i="9"/>
  <c r="I59" i="9"/>
  <c r="K59" i="9"/>
  <c r="M59" i="13"/>
  <c r="H59" i="9"/>
  <c r="N59" i="12"/>
  <c r="J59" i="12"/>
  <c r="V76" i="21"/>
  <c r="P64" i="60"/>
  <c r="C64" i="60"/>
  <c r="N18" i="10" l="1"/>
  <c r="I71" i="24"/>
  <c r="M75" i="59"/>
  <c r="D75" i="19" s="1"/>
  <c r="M76" i="59"/>
  <c r="D76" i="19" s="1"/>
  <c r="I76" i="17" s="1"/>
  <c r="I59" i="24"/>
  <c r="L79" i="9"/>
  <c r="M68" i="59"/>
  <c r="D68" i="19" s="1"/>
  <c r="I68" i="268" s="1"/>
  <c r="M63" i="59"/>
  <c r="D63" i="19" s="1"/>
  <c r="G5" i="273"/>
  <c r="L43" i="19"/>
  <c r="K29" i="19"/>
  <c r="I60" i="24"/>
  <c r="M67" i="59"/>
  <c r="D67" i="19" s="1"/>
  <c r="I67" i="261" s="1"/>
  <c r="M82" i="59"/>
  <c r="D82" i="19" s="1"/>
  <c r="K23" i="17"/>
  <c r="F63" i="13"/>
  <c r="J23" i="17"/>
  <c r="M79" i="59"/>
  <c r="D79" i="19" s="1"/>
  <c r="I79" i="268" s="1"/>
  <c r="M58" i="59"/>
  <c r="D58" i="19" s="1"/>
  <c r="I58" i="268" s="1"/>
  <c r="B43" i="261"/>
  <c r="H79" i="60"/>
  <c r="Q79" i="60" s="1"/>
  <c r="E79" i="140"/>
  <c r="H36" i="13"/>
  <c r="F9" i="13"/>
  <c r="E40" i="19"/>
  <c r="M57" i="59"/>
  <c r="D57" i="19" s="1"/>
  <c r="I57" i="17" s="1"/>
  <c r="M54" i="59"/>
  <c r="M70" i="59"/>
  <c r="D70" i="19" s="1"/>
  <c r="I70" i="268" s="1"/>
  <c r="D23" i="9"/>
  <c r="O23" i="9" s="1"/>
  <c r="M86" i="59"/>
  <c r="D86" i="19" s="1"/>
  <c r="M81" i="59"/>
  <c r="D81" i="19" s="1"/>
  <c r="I81" i="261" s="1"/>
  <c r="M60" i="59"/>
  <c r="D60" i="19" s="1"/>
  <c r="I60" i="261" s="1"/>
  <c r="J12" i="13"/>
  <c r="K12" i="13" s="1"/>
  <c r="U12" i="13" s="1"/>
  <c r="M73" i="59"/>
  <c r="D73" i="19" s="1"/>
  <c r="I73" i="261" s="1"/>
  <c r="M77" i="59"/>
  <c r="D77" i="19" s="1"/>
  <c r="I77" i="261" s="1"/>
  <c r="M88" i="59"/>
  <c r="D88" i="19" s="1"/>
  <c r="I88" i="261" s="1"/>
  <c r="H12" i="19"/>
  <c r="D12" i="19" s="1"/>
  <c r="N32" i="10"/>
  <c r="B29" i="261"/>
  <c r="E29" i="261" s="1"/>
  <c r="O29" i="261" s="1"/>
  <c r="L10" i="36"/>
  <c r="K30" i="13"/>
  <c r="C30" i="13" s="1"/>
  <c r="K14" i="36"/>
  <c r="N29" i="10"/>
  <c r="I31" i="12"/>
  <c r="S31" i="260"/>
  <c r="N20" i="10"/>
  <c r="I30" i="12"/>
  <c r="S30" i="260"/>
  <c r="U30" i="260" s="1"/>
  <c r="L29" i="19"/>
  <c r="U29" i="13"/>
  <c r="B29" i="17"/>
  <c r="N27" i="140"/>
  <c r="Q27" i="140"/>
  <c r="O27" i="140"/>
  <c r="P27" i="140"/>
  <c r="C10" i="25"/>
  <c r="D10" i="25" s="1"/>
  <c r="I10" i="36"/>
  <c r="J10" i="36" s="1"/>
  <c r="B40" i="261"/>
  <c r="K43" i="13"/>
  <c r="L43" i="13" s="1"/>
  <c r="F28" i="17"/>
  <c r="K40" i="13"/>
  <c r="L40" i="13" s="1"/>
  <c r="J12" i="268"/>
  <c r="I12" i="268" s="1"/>
  <c r="B22" i="17"/>
  <c r="B17" i="17"/>
  <c r="B43" i="17"/>
  <c r="B40" i="17"/>
  <c r="M80" i="59"/>
  <c r="D80" i="19" s="1"/>
  <c r="I80" i="261" s="1"/>
  <c r="M55" i="59"/>
  <c r="D55" i="19" s="1"/>
  <c r="I55" i="261" s="1"/>
  <c r="M71" i="59"/>
  <c r="D71" i="19" s="1"/>
  <c r="I71" i="268" s="1"/>
  <c r="P49" i="13"/>
  <c r="O49" i="13" s="1"/>
  <c r="J49" i="13" s="1"/>
  <c r="F49" i="19" s="1"/>
  <c r="E49" i="19" s="1"/>
  <c r="Q39" i="12"/>
  <c r="J74" i="9"/>
  <c r="Q40" i="12"/>
  <c r="L88" i="9"/>
  <c r="G88" i="17" s="1"/>
  <c r="F31" i="261"/>
  <c r="B17" i="261"/>
  <c r="Q26" i="12"/>
  <c r="Q20" i="12"/>
  <c r="Q37" i="12"/>
  <c r="Q38" i="12"/>
  <c r="K50" i="9"/>
  <c r="Q43" i="12"/>
  <c r="H12" i="13"/>
  <c r="Q16" i="12"/>
  <c r="H40" i="13"/>
  <c r="B24" i="268"/>
  <c r="B80" i="10"/>
  <c r="C80" i="19" s="1"/>
  <c r="G88" i="10"/>
  <c r="L22" i="19"/>
  <c r="G64" i="10"/>
  <c r="F64" i="10" s="1"/>
  <c r="C64" i="10" s="1"/>
  <c r="N64" i="10" s="1"/>
  <c r="E23" i="116"/>
  <c r="D23" i="12"/>
  <c r="G23" i="12" s="1"/>
  <c r="L40" i="19"/>
  <c r="B23" i="25"/>
  <c r="I9" i="19"/>
  <c r="F20" i="261"/>
  <c r="G77" i="13"/>
  <c r="H77" i="13" s="1"/>
  <c r="F77" i="13" s="1"/>
  <c r="J77" i="13" s="1"/>
  <c r="F77" i="19" s="1"/>
  <c r="E37" i="261"/>
  <c r="O37" i="261" s="1"/>
  <c r="V37" i="261" s="1"/>
  <c r="K23" i="261"/>
  <c r="K23" i="268"/>
  <c r="C40" i="261"/>
  <c r="M40" i="261" s="1"/>
  <c r="H23" i="261"/>
  <c r="J23" i="268"/>
  <c r="B22" i="261"/>
  <c r="F28" i="261"/>
  <c r="J23" i="261"/>
  <c r="E74" i="140"/>
  <c r="J12" i="261"/>
  <c r="I12" i="261" s="1"/>
  <c r="L12" i="261" s="1"/>
  <c r="AH12" i="261" s="1"/>
  <c r="N49" i="10"/>
  <c r="E24" i="261"/>
  <c r="O24" i="261" s="1"/>
  <c r="V24" i="261" s="1"/>
  <c r="E68" i="140"/>
  <c r="F60" i="13"/>
  <c r="C24" i="268"/>
  <c r="I59" i="261"/>
  <c r="I59" i="268"/>
  <c r="I69" i="261"/>
  <c r="I69" i="268"/>
  <c r="I63" i="261"/>
  <c r="I63" i="268"/>
  <c r="C77" i="14"/>
  <c r="D77" i="14" s="1"/>
  <c r="I56" i="261"/>
  <c r="I56" i="268"/>
  <c r="I72" i="261"/>
  <c r="I72" i="268"/>
  <c r="I61" i="261"/>
  <c r="I61" i="268"/>
  <c r="I58" i="261"/>
  <c r="I65" i="261"/>
  <c r="I65" i="268"/>
  <c r="E28" i="261"/>
  <c r="AI28" i="261" s="1"/>
  <c r="F34" i="261"/>
  <c r="I62" i="261"/>
  <c r="I62" i="268"/>
  <c r="I83" i="261"/>
  <c r="I83" i="268"/>
  <c r="I82" i="261"/>
  <c r="I82" i="268"/>
  <c r="H91" i="21"/>
  <c r="I75" i="261"/>
  <c r="I75" i="268"/>
  <c r="I57" i="261"/>
  <c r="I85" i="261"/>
  <c r="I85" i="268"/>
  <c r="I78" i="261"/>
  <c r="I78" i="268"/>
  <c r="C77" i="24"/>
  <c r="I77" i="24" s="1"/>
  <c r="I68" i="261"/>
  <c r="I86" i="261"/>
  <c r="I86" i="268"/>
  <c r="I77" i="268"/>
  <c r="I74" i="261"/>
  <c r="I74" i="268"/>
  <c r="F37" i="261"/>
  <c r="O14" i="36"/>
  <c r="H14" i="36"/>
  <c r="F24" i="17"/>
  <c r="F14" i="36"/>
  <c r="P14" i="36" s="1"/>
  <c r="E24" i="268"/>
  <c r="O53" i="9"/>
  <c r="E42" i="19"/>
  <c r="B13" i="261"/>
  <c r="B52" i="261"/>
  <c r="H13" i="268"/>
  <c r="J13" i="268"/>
  <c r="K13" i="268"/>
  <c r="E38" i="261"/>
  <c r="O38" i="261" s="1"/>
  <c r="T38" i="261" s="1"/>
  <c r="X38" i="261" s="1"/>
  <c r="F38" i="261"/>
  <c r="B32" i="261"/>
  <c r="F32" i="261" s="1"/>
  <c r="D24" i="268"/>
  <c r="B15" i="261"/>
  <c r="B30" i="261"/>
  <c r="B47" i="261"/>
  <c r="C11" i="261"/>
  <c r="E11" i="261" s="1"/>
  <c r="O11" i="261" s="1"/>
  <c r="B41" i="261"/>
  <c r="E41" i="261" s="1"/>
  <c r="O41" i="261" s="1"/>
  <c r="I10" i="268"/>
  <c r="F81" i="19"/>
  <c r="D81" i="12" s="1"/>
  <c r="J81" i="12" s="1"/>
  <c r="I83" i="24"/>
  <c r="B81" i="10"/>
  <c r="G81" i="10" s="1"/>
  <c r="U26" i="17"/>
  <c r="R46" i="8"/>
  <c r="C43" i="261"/>
  <c r="M43" i="261" s="1"/>
  <c r="F100" i="10"/>
  <c r="L41" i="17"/>
  <c r="T41" i="17" s="1"/>
  <c r="F35" i="19"/>
  <c r="E35" i="19" s="1"/>
  <c r="C30" i="261"/>
  <c r="Q19" i="12"/>
  <c r="C55" i="14"/>
  <c r="D55" i="14" s="1"/>
  <c r="C55" i="24"/>
  <c r="I55" i="24" s="1"/>
  <c r="S55" i="21"/>
  <c r="G55" i="13"/>
  <c r="F55" i="13" s="1"/>
  <c r="J55" i="13" s="1"/>
  <c r="F55" i="19" s="1"/>
  <c r="E57" i="140"/>
  <c r="D57" i="140" s="1"/>
  <c r="C57" i="140" s="1"/>
  <c r="B57" i="140" s="1"/>
  <c r="M57" i="140" s="1"/>
  <c r="H57" i="60"/>
  <c r="Q57" i="60" s="1"/>
  <c r="F64" i="13"/>
  <c r="J64" i="13" s="1"/>
  <c r="F64" i="19" s="1"/>
  <c r="F83" i="13"/>
  <c r="I73" i="24"/>
  <c r="G64" i="17"/>
  <c r="B72" i="19"/>
  <c r="C13" i="273" s="1"/>
  <c r="U37" i="13"/>
  <c r="K11" i="19"/>
  <c r="U35" i="13"/>
  <c r="N53" i="140"/>
  <c r="O53" i="140"/>
  <c r="Q53" i="140"/>
  <c r="P53" i="140"/>
  <c r="AH48" i="98"/>
  <c r="F73" i="13"/>
  <c r="J73" i="13" s="1"/>
  <c r="S74" i="21"/>
  <c r="C74" i="14"/>
  <c r="D74" i="14" s="1"/>
  <c r="E76" i="140"/>
  <c r="D76" i="140" s="1"/>
  <c r="C76" i="140" s="1"/>
  <c r="B76" i="140" s="1"/>
  <c r="M76" i="140" s="1"/>
  <c r="H76" i="60"/>
  <c r="Q76" i="60" s="1"/>
  <c r="G74" i="13"/>
  <c r="F74" i="13" s="1"/>
  <c r="J74" i="13" s="1"/>
  <c r="F74" i="19" s="1"/>
  <c r="C74" i="24"/>
  <c r="I74" i="24" s="1"/>
  <c r="O74" i="257"/>
  <c r="Q74" i="257" s="1"/>
  <c r="O76" i="60"/>
  <c r="E90" i="8"/>
  <c r="F90" i="8" s="1"/>
  <c r="E39" i="19"/>
  <c r="K32" i="19"/>
  <c r="D8" i="273" s="1"/>
  <c r="B74" i="10"/>
  <c r="C74" i="19" s="1"/>
  <c r="B74" i="19" s="1"/>
  <c r="B74" i="261" s="1"/>
  <c r="L32" i="19"/>
  <c r="F31" i="12"/>
  <c r="T31" i="260" s="1"/>
  <c r="B32" i="17"/>
  <c r="E32" i="17" s="1"/>
  <c r="O32" i="17" s="1"/>
  <c r="AI26" i="261"/>
  <c r="V20" i="261"/>
  <c r="T20" i="261"/>
  <c r="X20" i="261" s="1"/>
  <c r="U20" i="261"/>
  <c r="Y20" i="261" s="1"/>
  <c r="S20" i="261"/>
  <c r="W20" i="261" s="1"/>
  <c r="V31" i="261"/>
  <c r="V34" i="261"/>
  <c r="S34" i="261"/>
  <c r="W34" i="261" s="1"/>
  <c r="T34" i="261"/>
  <c r="X34" i="261" s="1"/>
  <c r="U34" i="261"/>
  <c r="Y34" i="261" s="1"/>
  <c r="V26" i="261"/>
  <c r="S26" i="261"/>
  <c r="W26" i="261" s="1"/>
  <c r="T26" i="261"/>
  <c r="X26" i="261" s="1"/>
  <c r="U26" i="261"/>
  <c r="Y26" i="261" s="1"/>
  <c r="I10" i="261"/>
  <c r="AI31" i="261"/>
  <c r="AI20" i="261"/>
  <c r="G61" i="17"/>
  <c r="G61" i="261"/>
  <c r="G82" i="17"/>
  <c r="G82" i="261"/>
  <c r="G76" i="17"/>
  <c r="G76" i="261"/>
  <c r="G74" i="17"/>
  <c r="G74" i="261"/>
  <c r="N46" i="8"/>
  <c r="G65" i="17"/>
  <c r="G65" i="261"/>
  <c r="B84" i="10"/>
  <c r="L84" i="9"/>
  <c r="J83" i="10"/>
  <c r="P83" i="13" s="1"/>
  <c r="O83" i="13" s="1"/>
  <c r="F83" i="10"/>
  <c r="C83" i="10" s="1"/>
  <c r="N83" i="10" s="1"/>
  <c r="C83" i="19"/>
  <c r="B83" i="19" s="1"/>
  <c r="C11" i="273" s="1"/>
  <c r="G57" i="17"/>
  <c r="G57" i="261"/>
  <c r="G75" i="17"/>
  <c r="G75" i="261"/>
  <c r="M45" i="8"/>
  <c r="R45" i="8" s="1"/>
  <c r="G87" i="17"/>
  <c r="G87" i="261"/>
  <c r="G79" i="17"/>
  <c r="G79" i="261"/>
  <c r="G80" i="17"/>
  <c r="G80" i="261"/>
  <c r="B69" i="10"/>
  <c r="L69" i="9"/>
  <c r="K27" i="13"/>
  <c r="B27" i="13" s="1"/>
  <c r="F27" i="19"/>
  <c r="E27" i="19" s="1"/>
  <c r="B54" i="10"/>
  <c r="L54" i="9"/>
  <c r="L78" i="9"/>
  <c r="B78" i="10"/>
  <c r="L86" i="9"/>
  <c r="B86" i="10"/>
  <c r="G70" i="17"/>
  <c r="G70" i="261"/>
  <c r="H13" i="261"/>
  <c r="J13" i="261"/>
  <c r="K13" i="261"/>
  <c r="L56" i="9"/>
  <c r="B56" i="10"/>
  <c r="G83" i="17"/>
  <c r="G83" i="261"/>
  <c r="B62" i="10"/>
  <c r="L62" i="9"/>
  <c r="G68" i="17"/>
  <c r="G68" i="261"/>
  <c r="G67" i="17"/>
  <c r="G67" i="261"/>
  <c r="G85" i="17"/>
  <c r="G85" i="261"/>
  <c r="N27" i="10"/>
  <c r="L27" i="19"/>
  <c r="B27" i="261"/>
  <c r="B27" i="17"/>
  <c r="G63" i="17"/>
  <c r="G63" i="261"/>
  <c r="G81" i="17"/>
  <c r="G81" i="261"/>
  <c r="R14" i="8"/>
  <c r="G89" i="17"/>
  <c r="G89" i="261"/>
  <c r="G10" i="17"/>
  <c r="G10" i="261"/>
  <c r="L58" i="9"/>
  <c r="B58" i="10"/>
  <c r="L66" i="9"/>
  <c r="B66" i="10"/>
  <c r="B60" i="10"/>
  <c r="L60" i="9"/>
  <c r="B73" i="10"/>
  <c r="L73" i="9"/>
  <c r="L71" i="9"/>
  <c r="B71" i="10"/>
  <c r="AI34" i="261"/>
  <c r="B55" i="10"/>
  <c r="L55" i="9"/>
  <c r="D96" i="8"/>
  <c r="Q15" i="12"/>
  <c r="Q41" i="140"/>
  <c r="H53" i="9"/>
  <c r="K53" i="9"/>
  <c r="Q52" i="140"/>
  <c r="N52" i="140"/>
  <c r="P52" i="140"/>
  <c r="O52" i="140"/>
  <c r="F50" i="9"/>
  <c r="M16" i="140"/>
  <c r="P42" i="36"/>
  <c r="N41" i="10"/>
  <c r="Q21" i="12"/>
  <c r="Q18" i="12"/>
  <c r="I13" i="9"/>
  <c r="E13" i="116"/>
  <c r="B13" i="25"/>
  <c r="J13" i="17"/>
  <c r="L13" i="9"/>
  <c r="H13" i="17"/>
  <c r="K13" i="17"/>
  <c r="J42" i="12"/>
  <c r="G42" i="12"/>
  <c r="N42" i="12" s="1"/>
  <c r="B41" i="17"/>
  <c r="L41" i="19"/>
  <c r="K41" i="19"/>
  <c r="D14" i="273" s="1"/>
  <c r="E42" i="12"/>
  <c r="C42" i="12" s="1"/>
  <c r="S42" i="260" s="1"/>
  <c r="U42" i="13"/>
  <c r="Q17" i="12"/>
  <c r="I13" i="36"/>
  <c r="C13" i="25"/>
  <c r="L13" i="36"/>
  <c r="I10" i="17"/>
  <c r="F30" i="12"/>
  <c r="T30" i="260" s="1"/>
  <c r="V30" i="260" s="1"/>
  <c r="U24" i="17"/>
  <c r="J10" i="9"/>
  <c r="O13" i="9"/>
  <c r="L13" i="19"/>
  <c r="B13" i="17"/>
  <c r="B44" i="13"/>
  <c r="C44" i="12"/>
  <c r="S44" i="260" s="1"/>
  <c r="H44" i="12"/>
  <c r="O44" i="12" s="1"/>
  <c r="J59" i="9"/>
  <c r="Q14" i="8"/>
  <c r="Q46" i="8"/>
  <c r="J33" i="36"/>
  <c r="Q41" i="12"/>
  <c r="P24" i="17"/>
  <c r="K48" i="13"/>
  <c r="B48" i="13" s="1"/>
  <c r="E48" i="12" s="1"/>
  <c r="F48" i="19"/>
  <c r="L14" i="13"/>
  <c r="M38" i="17"/>
  <c r="E38" i="17"/>
  <c r="F38" i="17"/>
  <c r="E28" i="17"/>
  <c r="U28" i="17" s="1"/>
  <c r="E34" i="17"/>
  <c r="O34" i="17" s="1"/>
  <c r="P34" i="17" s="1"/>
  <c r="F36" i="154" s="1"/>
  <c r="K36" i="154" s="1"/>
  <c r="F34" i="17"/>
  <c r="N52" i="10"/>
  <c r="E10" i="19"/>
  <c r="D10" i="12"/>
  <c r="F13" i="19"/>
  <c r="K13" i="13"/>
  <c r="U11" i="13"/>
  <c r="F27" i="8"/>
  <c r="E9" i="8"/>
  <c r="K9" i="8" s="1"/>
  <c r="B27" i="9"/>
  <c r="G27" i="8"/>
  <c r="G9" i="8" s="1"/>
  <c r="K27" i="8"/>
  <c r="I27" i="8"/>
  <c r="I12" i="17"/>
  <c r="L12" i="17" s="1"/>
  <c r="T12" i="17" s="1"/>
  <c r="D14" i="12"/>
  <c r="E14" i="19"/>
  <c r="L30" i="13"/>
  <c r="Q51" i="140"/>
  <c r="Q11" i="12"/>
  <c r="Q29" i="12"/>
  <c r="J14" i="36"/>
  <c r="P47" i="13"/>
  <c r="O47" i="13" s="1"/>
  <c r="J47" i="13" s="1"/>
  <c r="F47" i="19" s="1"/>
  <c r="B52" i="17"/>
  <c r="L52" i="19"/>
  <c r="C11" i="17"/>
  <c r="E11" i="17" s="1"/>
  <c r="O11" i="17" s="1"/>
  <c r="P11" i="17" s="1"/>
  <c r="F13" i="154" s="1"/>
  <c r="K13" i="154" s="1"/>
  <c r="E31" i="17"/>
  <c r="F31" i="17"/>
  <c r="F46" i="19"/>
  <c r="K46" i="13"/>
  <c r="R89" i="8"/>
  <c r="N89" i="8"/>
  <c r="M53" i="8"/>
  <c r="C23" i="25"/>
  <c r="D23" i="36"/>
  <c r="P26" i="17"/>
  <c r="F28" i="154" s="1"/>
  <c r="K28" i="154" s="1"/>
  <c r="C30" i="17"/>
  <c r="L10" i="13"/>
  <c r="E10" i="12"/>
  <c r="U10" i="13"/>
  <c r="Q50" i="140"/>
  <c r="J42" i="36"/>
  <c r="C89" i="19"/>
  <c r="B89" i="19" s="1"/>
  <c r="C12" i="273" s="1"/>
  <c r="F89" i="10"/>
  <c r="C89" i="10" s="1"/>
  <c r="N89" i="10" s="1"/>
  <c r="J89" i="10"/>
  <c r="P89" i="13" s="1"/>
  <c r="O89" i="13" s="1"/>
  <c r="J89" i="13" s="1"/>
  <c r="E14" i="12"/>
  <c r="U14" i="13"/>
  <c r="P52" i="13"/>
  <c r="O52" i="13" s="1"/>
  <c r="J52" i="13" s="1"/>
  <c r="Q35" i="12"/>
  <c r="E28" i="12"/>
  <c r="U28" i="13"/>
  <c r="K13" i="10"/>
  <c r="N13" i="10"/>
  <c r="G53" i="8"/>
  <c r="P53" i="8" s="1"/>
  <c r="P89" i="8"/>
  <c r="F37" i="17"/>
  <c r="E37" i="17"/>
  <c r="Q53" i="8"/>
  <c r="J65" i="13"/>
  <c r="K65" i="13" s="1"/>
  <c r="G58" i="13"/>
  <c r="F58" i="13" s="1"/>
  <c r="E60" i="140"/>
  <c r="H60" i="60"/>
  <c r="Q60" i="60" s="1"/>
  <c r="C58" i="14"/>
  <c r="D58" i="14" s="1"/>
  <c r="C58" i="24"/>
  <c r="I58" i="24" s="1"/>
  <c r="S58" i="21"/>
  <c r="B81" i="13"/>
  <c r="L81" i="13" s="1"/>
  <c r="O64" i="60"/>
  <c r="O62" i="257"/>
  <c r="Q62" i="257" s="1"/>
  <c r="P86" i="60"/>
  <c r="C86" i="60"/>
  <c r="AJ81" i="99"/>
  <c r="AJ33" i="99"/>
  <c r="AC34" i="99"/>
  <c r="AC25" i="99"/>
  <c r="AC85" i="99"/>
  <c r="AJ65" i="99"/>
  <c r="AC87" i="99"/>
  <c r="AJ80" i="99"/>
  <c r="AJ14" i="99"/>
  <c r="AJ10" i="99"/>
  <c r="AC40" i="99"/>
  <c r="AC81" i="99"/>
  <c r="AC52" i="99"/>
  <c r="AC68" i="99"/>
  <c r="AJ36" i="99"/>
  <c r="AC20" i="99"/>
  <c r="AC39" i="99"/>
  <c r="AC18" i="99"/>
  <c r="AC44" i="99"/>
  <c r="AJ57" i="99"/>
  <c r="AC21" i="99"/>
  <c r="AC84" i="99"/>
  <c r="AC71" i="99"/>
  <c r="AJ39" i="99"/>
  <c r="AC79" i="99"/>
  <c r="AC35" i="99"/>
  <c r="AC11" i="99"/>
  <c r="AJ61" i="99"/>
  <c r="AJ25" i="99"/>
  <c r="AC64" i="99"/>
  <c r="AJ85" i="99"/>
  <c r="AC74" i="99"/>
  <c r="AJ12" i="99"/>
  <c r="AC19" i="99"/>
  <c r="AJ60" i="99"/>
  <c r="AC76" i="99"/>
  <c r="AJ66" i="99"/>
  <c r="AJ73" i="99"/>
  <c r="AJ35" i="99"/>
  <c r="AJ67" i="99"/>
  <c r="AC38" i="99"/>
  <c r="AJ37" i="99"/>
  <c r="AC56" i="99"/>
  <c r="AJ15" i="99"/>
  <c r="AJ64" i="99"/>
  <c r="AJ9" i="99"/>
  <c r="AJ59" i="99"/>
  <c r="AJ20" i="99"/>
  <c r="AJ23" i="99"/>
  <c r="AJ40" i="99"/>
  <c r="AJ29" i="99"/>
  <c r="AC86" i="99"/>
  <c r="AJ54" i="99"/>
  <c r="AC90" i="99"/>
  <c r="AC58" i="99"/>
  <c r="AJ18" i="99"/>
  <c r="AC61" i="99"/>
  <c r="AJ75" i="99"/>
  <c r="AJ74" i="99"/>
  <c r="AJ83" i="99"/>
  <c r="AJ21" i="99"/>
  <c r="AJ78" i="99"/>
  <c r="AJ30" i="99"/>
  <c r="AC60" i="99"/>
  <c r="AJ82" i="99"/>
  <c r="AC17" i="99"/>
  <c r="AJ53" i="99"/>
  <c r="AJ42" i="99"/>
  <c r="AC66" i="99"/>
  <c r="AC70" i="99"/>
  <c r="AC14" i="99"/>
  <c r="AJ11" i="99"/>
  <c r="AJ88" i="99"/>
  <c r="AC75" i="99"/>
  <c r="AC88" i="99"/>
  <c r="AC55" i="99"/>
  <c r="AC29" i="99"/>
  <c r="AJ17" i="99"/>
  <c r="AC54" i="99"/>
  <c r="AJ26" i="99"/>
  <c r="AJ55" i="99"/>
  <c r="AJ43" i="99"/>
  <c r="AJ69" i="99"/>
  <c r="AC83" i="99"/>
  <c r="AJ31" i="99"/>
  <c r="AJ28" i="99"/>
  <c r="AC37" i="99"/>
  <c r="AJ38" i="99"/>
  <c r="AC15" i="99"/>
  <c r="AJ70" i="99"/>
  <c r="AJ68" i="99"/>
  <c r="AJ79" i="99"/>
  <c r="AJ34" i="99"/>
  <c r="AJ84" i="99"/>
  <c r="AC36" i="99"/>
  <c r="AC63" i="99"/>
  <c r="AJ62" i="99"/>
  <c r="AC16" i="99"/>
  <c r="AC28" i="99"/>
  <c r="AJ13" i="99"/>
  <c r="AC77" i="99"/>
  <c r="AC72" i="99"/>
  <c r="AC42" i="99"/>
  <c r="AJ71" i="99"/>
  <c r="AC80" i="99"/>
  <c r="AC59" i="99"/>
  <c r="AJ41" i="99"/>
  <c r="AJ32" i="99"/>
  <c r="AJ77" i="99"/>
  <c r="AC67" i="99"/>
  <c r="AC53" i="99"/>
  <c r="AC65" i="99"/>
  <c r="AC10" i="99"/>
  <c r="AJ87" i="99"/>
  <c r="AC57" i="99"/>
  <c r="AJ63" i="99"/>
  <c r="AJ72" i="99"/>
  <c r="AJ44" i="99"/>
  <c r="AJ19" i="99"/>
  <c r="AJ27" i="99"/>
  <c r="AC69" i="99"/>
  <c r="AC82" i="99"/>
  <c r="AJ52" i="99"/>
  <c r="AJ16" i="99"/>
  <c r="AC73" i="99"/>
  <c r="AJ56" i="99"/>
  <c r="AC62" i="99"/>
  <c r="AJ58" i="99"/>
  <c r="AC78" i="99"/>
  <c r="AC23" i="99"/>
  <c r="AJ86" i="99"/>
  <c r="AJ76" i="99"/>
  <c r="AC22" i="99"/>
  <c r="AC46" i="99"/>
  <c r="AC48" i="99"/>
  <c r="AC13" i="99"/>
  <c r="AC24" i="99"/>
  <c r="AC41" i="99"/>
  <c r="AC30" i="99"/>
  <c r="AC33" i="99"/>
  <c r="AC51" i="99"/>
  <c r="AC26" i="99"/>
  <c r="AC89" i="99"/>
  <c r="AC45" i="99"/>
  <c r="AC47" i="99"/>
  <c r="AC50" i="99"/>
  <c r="AC49" i="99"/>
  <c r="AC12" i="99"/>
  <c r="AC32" i="99"/>
  <c r="AC43" i="99"/>
  <c r="AC27" i="99"/>
  <c r="O83" i="60"/>
  <c r="O81" i="257"/>
  <c r="Q81" i="257" s="1"/>
  <c r="K22" i="13"/>
  <c r="L22" i="13" s="1"/>
  <c r="F22" i="19"/>
  <c r="E22" i="19" s="1"/>
  <c r="Q84" i="60"/>
  <c r="AH31" i="99"/>
  <c r="AH73" i="99"/>
  <c r="AH46" i="99"/>
  <c r="AI46" i="99" s="1"/>
  <c r="AJ46" i="99" s="1"/>
  <c r="AH62" i="99"/>
  <c r="AH90" i="99"/>
  <c r="AH10" i="99"/>
  <c r="AH11" i="99"/>
  <c r="AH56" i="99"/>
  <c r="AH60" i="99"/>
  <c r="AH9" i="99"/>
  <c r="AH51" i="99"/>
  <c r="AI51" i="99" s="1"/>
  <c r="AJ51" i="99" s="1"/>
  <c r="AH63" i="99"/>
  <c r="AH71" i="99"/>
  <c r="AH75" i="99"/>
  <c r="AH57" i="99"/>
  <c r="AH52" i="99"/>
  <c r="AH82" i="99"/>
  <c r="AH17" i="99"/>
  <c r="AH78" i="99"/>
  <c r="AH35" i="99"/>
  <c r="AH15" i="99"/>
  <c r="AH45" i="99"/>
  <c r="AI45" i="99" s="1"/>
  <c r="AJ45" i="99" s="1"/>
  <c r="AH12" i="99"/>
  <c r="AH44" i="99"/>
  <c r="AH28" i="99"/>
  <c r="AH41" i="99"/>
  <c r="AH61" i="99"/>
  <c r="AH76" i="99"/>
  <c r="AH37" i="99"/>
  <c r="AH58" i="99"/>
  <c r="AH14" i="99"/>
  <c r="AH32" i="99"/>
  <c r="AH64" i="99"/>
  <c r="AH50" i="99"/>
  <c r="AI50" i="99" s="1"/>
  <c r="AJ50" i="99" s="1"/>
  <c r="AH86" i="99"/>
  <c r="AH70" i="99"/>
  <c r="AH26" i="99"/>
  <c r="AH30" i="99"/>
  <c r="AH74" i="99"/>
  <c r="AH42" i="99"/>
  <c r="AH66" i="99"/>
  <c r="AH53" i="99"/>
  <c r="AH49" i="99"/>
  <c r="AI49" i="99" s="1"/>
  <c r="AJ49" i="99" s="1"/>
  <c r="AH88" i="99"/>
  <c r="AH68" i="99"/>
  <c r="AH83" i="99"/>
  <c r="AH54" i="99"/>
  <c r="AH69" i="99"/>
  <c r="AH59" i="99"/>
  <c r="AH87" i="99"/>
  <c r="AH55" i="99"/>
  <c r="AH29" i="99"/>
  <c r="AH21" i="99"/>
  <c r="AH39" i="99"/>
  <c r="AH27" i="99"/>
  <c r="AH84" i="99"/>
  <c r="AH40" i="99"/>
  <c r="AH65" i="99"/>
  <c r="AH23" i="99"/>
  <c r="AH19" i="99"/>
  <c r="AH67" i="99"/>
  <c r="AH25" i="99"/>
  <c r="AH20" i="99"/>
  <c r="AH22" i="99"/>
  <c r="AH43" i="99"/>
  <c r="AH72" i="99"/>
  <c r="AH33" i="99"/>
  <c r="AH16" i="99"/>
  <c r="AH18" i="99"/>
  <c r="AH36" i="99"/>
  <c r="AH85" i="99"/>
  <c r="AH80" i="99"/>
  <c r="AH38" i="99"/>
  <c r="AH13" i="99"/>
  <c r="AH77" i="99"/>
  <c r="AH79" i="99"/>
  <c r="AH81" i="99"/>
  <c r="AH34" i="99"/>
  <c r="E56" i="60"/>
  <c r="G92" i="60"/>
  <c r="I54" i="13"/>
  <c r="M54" i="14"/>
  <c r="F91" i="21"/>
  <c r="D62" i="140"/>
  <c r="C62" i="140" s="1"/>
  <c r="B62" i="140" s="1"/>
  <c r="J56" i="13"/>
  <c r="F56" i="19" s="1"/>
  <c r="C65" i="19"/>
  <c r="B65" i="19" s="1"/>
  <c r="B65" i="261" s="1"/>
  <c r="G65" i="10"/>
  <c r="F65" i="10" s="1"/>
  <c r="C65" i="10" s="1"/>
  <c r="N65" i="10" s="1"/>
  <c r="K21" i="13"/>
  <c r="L21" i="13" s="1"/>
  <c r="F21" i="19"/>
  <c r="E21" i="19" s="1"/>
  <c r="K17" i="13"/>
  <c r="L17" i="13" s="1"/>
  <c r="F17" i="19"/>
  <c r="E17" i="19" s="1"/>
  <c r="M35" i="140"/>
  <c r="R33" i="8"/>
  <c r="N33" i="8"/>
  <c r="O85" i="140"/>
  <c r="D85" i="140"/>
  <c r="G85" i="140" s="1"/>
  <c r="J85" i="60" s="1"/>
  <c r="B30" i="17"/>
  <c r="L30" i="19"/>
  <c r="K30" i="19"/>
  <c r="D6" i="273" s="1"/>
  <c r="C61" i="19"/>
  <c r="B61" i="19" s="1"/>
  <c r="B61" i="261" s="1"/>
  <c r="G61" i="10"/>
  <c r="F61" i="10" s="1"/>
  <c r="C61" i="10" s="1"/>
  <c r="N61" i="10" s="1"/>
  <c r="C87" i="19"/>
  <c r="B87" i="19" s="1"/>
  <c r="B87" i="261" s="1"/>
  <c r="G87" i="10"/>
  <c r="F87" i="10" s="1"/>
  <c r="C87" i="10" s="1"/>
  <c r="N87" i="10" s="1"/>
  <c r="K18" i="13"/>
  <c r="L18" i="13" s="1"/>
  <c r="F18" i="19"/>
  <c r="E18" i="19" s="1"/>
  <c r="I75" i="17"/>
  <c r="I73" i="17"/>
  <c r="I79" i="17"/>
  <c r="I85" i="17"/>
  <c r="D54" i="19"/>
  <c r="I63" i="17"/>
  <c r="I78" i="17"/>
  <c r="I60" i="17"/>
  <c r="C57" i="19"/>
  <c r="B57" i="19" s="1"/>
  <c r="B57" i="261" s="1"/>
  <c r="G57" i="10"/>
  <c r="F57" i="10" s="1"/>
  <c r="C57" i="10" s="1"/>
  <c r="N57" i="10" s="1"/>
  <c r="G45" i="8"/>
  <c r="P45" i="8" s="1"/>
  <c r="P46" i="8"/>
  <c r="C75" i="19"/>
  <c r="B75" i="19" s="1"/>
  <c r="B75" i="261" s="1"/>
  <c r="G75" i="10"/>
  <c r="AH89" i="99"/>
  <c r="C78" i="60"/>
  <c r="P78" i="60"/>
  <c r="M59" i="140"/>
  <c r="J90" i="8"/>
  <c r="Q45" i="8"/>
  <c r="D79" i="140"/>
  <c r="C79" i="140" s="1"/>
  <c r="B79" i="140" s="1"/>
  <c r="J75" i="13"/>
  <c r="K75" i="13" s="1"/>
  <c r="L12" i="13"/>
  <c r="Q49" i="60"/>
  <c r="I23" i="17"/>
  <c r="M91" i="140"/>
  <c r="AH47" i="99"/>
  <c r="D67" i="140"/>
  <c r="C67" i="140" s="1"/>
  <c r="B67" i="140" s="1"/>
  <c r="N48" i="140"/>
  <c r="O48" i="140"/>
  <c r="P48" i="140"/>
  <c r="Q48" i="140"/>
  <c r="P87" i="60"/>
  <c r="C87" i="60"/>
  <c r="AH24" i="99"/>
  <c r="K16" i="13"/>
  <c r="L16" i="13" s="1"/>
  <c r="F16" i="19"/>
  <c r="E16" i="19" s="1"/>
  <c r="J88" i="13"/>
  <c r="F88" i="19" s="1"/>
  <c r="D88" i="12" s="1"/>
  <c r="O55" i="257"/>
  <c r="Q55" i="257" s="1"/>
  <c r="O57" i="60"/>
  <c r="C68" i="19"/>
  <c r="B68" i="19" s="1"/>
  <c r="B68" i="261" s="1"/>
  <c r="G68" i="10"/>
  <c r="F68" i="10" s="1"/>
  <c r="C68" i="10" s="1"/>
  <c r="N68" i="10" s="1"/>
  <c r="C74" i="60"/>
  <c r="P74" i="60"/>
  <c r="G70" i="13"/>
  <c r="F70" i="13" s="1"/>
  <c r="C70" i="24"/>
  <c r="I70" i="24" s="1"/>
  <c r="C70" i="14"/>
  <c r="D70" i="14" s="1"/>
  <c r="E72" i="140"/>
  <c r="H72" i="60"/>
  <c r="S70" i="21"/>
  <c r="Q85" i="60"/>
  <c r="D82" i="140"/>
  <c r="C82" i="140" s="1"/>
  <c r="B82" i="140" s="1"/>
  <c r="J80" i="13"/>
  <c r="K80" i="13" s="1"/>
  <c r="B80" i="13" s="1"/>
  <c r="D80" i="140"/>
  <c r="C80" i="140" s="1"/>
  <c r="B80" i="140" s="1"/>
  <c r="O82" i="257"/>
  <c r="Q82" i="257" s="1"/>
  <c r="O84" i="60"/>
  <c r="D89" i="140"/>
  <c r="C89" i="140" s="1"/>
  <c r="B89" i="140" s="1"/>
  <c r="K47" i="10"/>
  <c r="F101" i="10"/>
  <c r="D65" i="140"/>
  <c r="C65" i="140" s="1"/>
  <c r="B65" i="140" s="1"/>
  <c r="D87" i="140"/>
  <c r="C87" i="140" s="1"/>
  <c r="B87" i="140" s="1"/>
  <c r="Q62" i="60"/>
  <c r="C76" i="19"/>
  <c r="B76" i="19" s="1"/>
  <c r="B76" i="261" s="1"/>
  <c r="G76" i="10"/>
  <c r="J68" i="13"/>
  <c r="K68" i="13" s="1"/>
  <c r="B68" i="13" s="1"/>
  <c r="I68" i="17"/>
  <c r="I72" i="17"/>
  <c r="I77" i="17"/>
  <c r="B77" i="19"/>
  <c r="C7" i="273" s="1"/>
  <c r="I58" i="17"/>
  <c r="I74" i="17"/>
  <c r="I56" i="17"/>
  <c r="B59" i="10"/>
  <c r="L59" i="9"/>
  <c r="P50" i="140"/>
  <c r="N50" i="140"/>
  <c r="O50" i="140"/>
  <c r="M77" i="140"/>
  <c r="E88" i="140"/>
  <c r="G86" i="13"/>
  <c r="F86" i="13" s="1"/>
  <c r="C86" i="24"/>
  <c r="I86" i="24" s="1"/>
  <c r="H88" i="60"/>
  <c r="C86" i="14"/>
  <c r="D86" i="14" s="1"/>
  <c r="S86" i="21"/>
  <c r="J57" i="13"/>
  <c r="F57" i="19" s="1"/>
  <c r="P82" i="60"/>
  <c r="C82" i="60"/>
  <c r="P68" i="60"/>
  <c r="C68" i="60"/>
  <c r="J87" i="13"/>
  <c r="J63" i="13"/>
  <c r="K63" i="13" s="1"/>
  <c r="B63" i="13" s="1"/>
  <c r="P62" i="60"/>
  <c r="C62" i="60"/>
  <c r="K19" i="13"/>
  <c r="L19" i="13" s="1"/>
  <c r="F19" i="19"/>
  <c r="E19" i="19" s="1"/>
  <c r="G63" i="10"/>
  <c r="C63" i="19"/>
  <c r="B63" i="19" s="1"/>
  <c r="B63" i="261" s="1"/>
  <c r="G9" i="19"/>
  <c r="G91" i="19" s="1"/>
  <c r="G98" i="19" s="1"/>
  <c r="B51" i="10"/>
  <c r="C54" i="127"/>
  <c r="L51" i="9"/>
  <c r="G61" i="13"/>
  <c r="F61" i="13" s="1"/>
  <c r="C61" i="24"/>
  <c r="I61" i="24" s="1"/>
  <c r="C61" i="14"/>
  <c r="D61" i="14" s="1"/>
  <c r="S61" i="21"/>
  <c r="E63" i="140"/>
  <c r="H63" i="60"/>
  <c r="G76" i="13"/>
  <c r="F76" i="13" s="1"/>
  <c r="C76" i="14"/>
  <c r="D76" i="14" s="1"/>
  <c r="C76" i="24"/>
  <c r="I76" i="24" s="1"/>
  <c r="H78" i="60"/>
  <c r="S76" i="21"/>
  <c r="E78" i="140"/>
  <c r="N51" i="140"/>
  <c r="P51" i="140"/>
  <c r="O51" i="140"/>
  <c r="AJ44" i="98"/>
  <c r="AJ78" i="98"/>
  <c r="AC15" i="98"/>
  <c r="AJ43" i="98"/>
  <c r="AC56" i="98"/>
  <c r="AJ86" i="98"/>
  <c r="AJ29" i="98"/>
  <c r="AC38" i="98"/>
  <c r="AJ54" i="98"/>
  <c r="AC86" i="98"/>
  <c r="AJ11" i="98"/>
  <c r="AJ20" i="98"/>
  <c r="AJ76" i="98"/>
  <c r="AJ16" i="98"/>
  <c r="AC85" i="98"/>
  <c r="AC65" i="98"/>
  <c r="AJ55" i="98"/>
  <c r="AC82" i="98"/>
  <c r="AJ28" i="98"/>
  <c r="AC23" i="98"/>
  <c r="AC62" i="98"/>
  <c r="AC53" i="98"/>
  <c r="AC54" i="98"/>
  <c r="AC55" i="98"/>
  <c r="AJ74" i="98"/>
  <c r="AJ41" i="98"/>
  <c r="AC11" i="98"/>
  <c r="AC10" i="98"/>
  <c r="AC69" i="98"/>
  <c r="AC20" i="98"/>
  <c r="AC58" i="98"/>
  <c r="AJ17" i="98"/>
  <c r="AC57" i="98"/>
  <c r="AJ69" i="98"/>
  <c r="AJ77" i="98"/>
  <c r="AC73" i="98"/>
  <c r="AJ68" i="98"/>
  <c r="AC90" i="98"/>
  <c r="AJ75" i="98"/>
  <c r="AJ38" i="98"/>
  <c r="AJ10" i="98"/>
  <c r="AJ59" i="98"/>
  <c r="AC19" i="98"/>
  <c r="AJ15" i="98"/>
  <c r="AJ12" i="98"/>
  <c r="AC77" i="98"/>
  <c r="AJ14" i="98"/>
  <c r="AJ61" i="98"/>
  <c r="AC52" i="98"/>
  <c r="AJ27" i="98"/>
  <c r="AJ21" i="98"/>
  <c r="AC61" i="98"/>
  <c r="AC72" i="98"/>
  <c r="AJ70" i="98"/>
  <c r="AJ64" i="98"/>
  <c r="AC14" i="98"/>
  <c r="AJ42" i="98"/>
  <c r="AC17" i="98"/>
  <c r="AC81" i="98"/>
  <c r="AJ30" i="98"/>
  <c r="AJ85" i="98"/>
  <c r="AJ58" i="98"/>
  <c r="AC18" i="98"/>
  <c r="AC79" i="98"/>
  <c r="AJ26" i="98"/>
  <c r="AC28" i="98"/>
  <c r="AJ63" i="98"/>
  <c r="AJ79" i="98"/>
  <c r="AJ83" i="98"/>
  <c r="AC66" i="98"/>
  <c r="AC36" i="98"/>
  <c r="AJ67" i="98"/>
  <c r="AJ9" i="98"/>
  <c r="AJ52" i="98"/>
  <c r="AJ73" i="98"/>
  <c r="AC44" i="98"/>
  <c r="AJ23" i="98"/>
  <c r="AC39" i="98"/>
  <c r="AJ88" i="98"/>
  <c r="AC74" i="98"/>
  <c r="AC21" i="98"/>
  <c r="AC75" i="98"/>
  <c r="AC78" i="98"/>
  <c r="AC34" i="98"/>
  <c r="AJ62" i="98"/>
  <c r="AJ53" i="98"/>
  <c r="AJ82" i="98"/>
  <c r="AC16" i="98"/>
  <c r="AJ33" i="98"/>
  <c r="AJ65" i="98"/>
  <c r="AJ71" i="98"/>
  <c r="AC87" i="98"/>
  <c r="AC70" i="98"/>
  <c r="AC40" i="98"/>
  <c r="AC35" i="98"/>
  <c r="AC25" i="98"/>
  <c r="AC84" i="98"/>
  <c r="AJ36" i="98"/>
  <c r="AJ56" i="98"/>
  <c r="AJ80" i="98"/>
  <c r="AJ81" i="98"/>
  <c r="AC80" i="98"/>
  <c r="AC88" i="98"/>
  <c r="AJ18" i="98"/>
  <c r="AJ19" i="98"/>
  <c r="AJ72" i="98"/>
  <c r="AJ87" i="98"/>
  <c r="AJ31" i="98"/>
  <c r="AC63" i="98"/>
  <c r="AC29" i="98"/>
  <c r="AJ37" i="98"/>
  <c r="AC67" i="98"/>
  <c r="AC83" i="98"/>
  <c r="AC71" i="98"/>
  <c r="AJ84" i="98"/>
  <c r="AJ13" i="98"/>
  <c r="AJ25" i="98"/>
  <c r="AJ40" i="98"/>
  <c r="AC59" i="98"/>
  <c r="AC60" i="98"/>
  <c r="AJ66" i="98"/>
  <c r="AC68" i="98"/>
  <c r="AJ39" i="98"/>
  <c r="AJ34" i="98"/>
  <c r="AC37" i="98"/>
  <c r="AJ57" i="98"/>
  <c r="AC42" i="98"/>
  <c r="AJ35" i="98"/>
  <c r="AJ32" i="98"/>
  <c r="AJ60" i="98"/>
  <c r="AC64" i="98"/>
  <c r="AC76" i="98"/>
  <c r="AC12" i="98"/>
  <c r="AC46" i="98"/>
  <c r="AC50" i="98"/>
  <c r="AC43" i="98"/>
  <c r="AC48" i="98"/>
  <c r="AC47" i="98"/>
  <c r="AC89" i="98"/>
  <c r="AC41" i="98"/>
  <c r="AC32" i="98"/>
  <c r="AC13" i="98"/>
  <c r="AC27" i="98"/>
  <c r="AC22" i="98"/>
  <c r="AC51" i="98"/>
  <c r="AC30" i="98"/>
  <c r="AC24" i="98"/>
  <c r="AC45" i="98"/>
  <c r="AC33" i="98"/>
  <c r="AC49" i="98"/>
  <c r="AC26" i="98"/>
  <c r="AD90" i="99"/>
  <c r="AE9" i="99" s="1"/>
  <c r="G72" i="13"/>
  <c r="F72" i="13" s="1"/>
  <c r="J72" i="13" s="1"/>
  <c r="C72" i="14"/>
  <c r="D72" i="14" s="1"/>
  <c r="C72" i="24"/>
  <c r="I72" i="24" s="1"/>
  <c r="S72" i="21"/>
  <c r="G11" i="126"/>
  <c r="C88" i="60"/>
  <c r="P88" i="60"/>
  <c r="C69" i="60"/>
  <c r="P69" i="60"/>
  <c r="B15" i="17"/>
  <c r="L15" i="19"/>
  <c r="O79" i="60"/>
  <c r="O77" i="257"/>
  <c r="Q77" i="257" s="1"/>
  <c r="D97" i="9"/>
  <c r="D84" i="140"/>
  <c r="C84" i="140" s="1"/>
  <c r="B84" i="140" s="1"/>
  <c r="AH48" i="99"/>
  <c r="G66" i="13"/>
  <c r="F66" i="13" s="1"/>
  <c r="C66" i="14"/>
  <c r="D66" i="14" s="1"/>
  <c r="C66" i="24"/>
  <c r="I66" i="24" s="1"/>
  <c r="S66" i="21"/>
  <c r="AH24" i="98"/>
  <c r="P63" i="60"/>
  <c r="C63" i="60"/>
  <c r="F85" i="13"/>
  <c r="G62" i="13"/>
  <c r="F62" i="13" s="1"/>
  <c r="C62" i="14"/>
  <c r="D62" i="14" s="1"/>
  <c r="C62" i="24"/>
  <c r="I62" i="24" s="1"/>
  <c r="H64" i="60"/>
  <c r="S62" i="21"/>
  <c r="E64" i="140"/>
  <c r="D73" i="140"/>
  <c r="C73" i="140" s="1"/>
  <c r="B73" i="140" s="1"/>
  <c r="Q74" i="60"/>
  <c r="J71" i="13"/>
  <c r="J84" i="13"/>
  <c r="F84" i="19" s="1"/>
  <c r="M9" i="8"/>
  <c r="E20" i="17"/>
  <c r="O20" i="17" s="1"/>
  <c r="F20" i="17"/>
  <c r="C67" i="19"/>
  <c r="J67" i="10"/>
  <c r="P67" i="13" s="1"/>
  <c r="O67" i="13" s="1"/>
  <c r="J67" i="13" s="1"/>
  <c r="F67" i="19" s="1"/>
  <c r="F67" i="10"/>
  <c r="C67" i="10" s="1"/>
  <c r="N67" i="10" s="1"/>
  <c r="J78" i="13"/>
  <c r="M83" i="140"/>
  <c r="B64" i="17"/>
  <c r="K39" i="13"/>
  <c r="L39" i="13" s="1"/>
  <c r="F88" i="10"/>
  <c r="C88" i="10" s="1"/>
  <c r="N88" i="10" s="1"/>
  <c r="C70" i="19"/>
  <c r="B70" i="19" s="1"/>
  <c r="B70" i="261" s="1"/>
  <c r="G70" i="10"/>
  <c r="F70" i="10" s="1"/>
  <c r="C70" i="10" s="1"/>
  <c r="N70" i="10" s="1"/>
  <c r="C58" i="60"/>
  <c r="P58" i="60"/>
  <c r="D66" i="140"/>
  <c r="C66" i="140" s="1"/>
  <c r="B66" i="140" s="1"/>
  <c r="J59" i="13"/>
  <c r="F59" i="19" s="1"/>
  <c r="D70" i="140"/>
  <c r="C70" i="140" s="1"/>
  <c r="B70" i="140" s="1"/>
  <c r="I59" i="17"/>
  <c r="I62" i="17"/>
  <c r="I69" i="17"/>
  <c r="M90" i="140"/>
  <c r="H11" i="126"/>
  <c r="I58" i="13"/>
  <c r="M58" i="14"/>
  <c r="K15" i="13"/>
  <c r="L15" i="13" s="1"/>
  <c r="F15" i="19"/>
  <c r="E15" i="19" s="1"/>
  <c r="D74" i="140"/>
  <c r="C74" i="140" s="1"/>
  <c r="B74" i="140" s="1"/>
  <c r="P41" i="140"/>
  <c r="N41" i="140"/>
  <c r="O41" i="140"/>
  <c r="AD90" i="98"/>
  <c r="AE9" i="98" s="1"/>
  <c r="AC9" i="99"/>
  <c r="G69" i="13"/>
  <c r="F69" i="13" s="1"/>
  <c r="C69" i="14"/>
  <c r="D69" i="14" s="1"/>
  <c r="C69" i="24"/>
  <c r="I69" i="24" s="1"/>
  <c r="E71" i="140"/>
  <c r="H71" i="60"/>
  <c r="S69" i="21"/>
  <c r="F11" i="126"/>
  <c r="C61" i="60"/>
  <c r="P61" i="60"/>
  <c r="E60" i="60"/>
  <c r="V58" i="21"/>
  <c r="M49" i="140"/>
  <c r="L47" i="257"/>
  <c r="M32" i="17"/>
  <c r="J82" i="13"/>
  <c r="K82" i="13" s="1"/>
  <c r="D68" i="140"/>
  <c r="C68" i="140" s="1"/>
  <c r="B68" i="140" s="1"/>
  <c r="AH11" i="98"/>
  <c r="AH50" i="98"/>
  <c r="AI50" i="98" s="1"/>
  <c r="AJ50" i="98" s="1"/>
  <c r="AH33" i="98"/>
  <c r="AH68" i="98"/>
  <c r="AH21" i="98"/>
  <c r="AH88" i="98"/>
  <c r="AH40" i="98"/>
  <c r="AH74" i="98"/>
  <c r="AH52" i="98"/>
  <c r="AH49" i="98"/>
  <c r="AI49" i="98" s="1"/>
  <c r="AJ49" i="98" s="1"/>
  <c r="AH20" i="98"/>
  <c r="AH45" i="98"/>
  <c r="AI45" i="98" s="1"/>
  <c r="AJ45" i="98" s="1"/>
  <c r="AH25" i="98"/>
  <c r="AH38" i="98"/>
  <c r="AH23" i="98"/>
  <c r="AH79" i="98"/>
  <c r="AH55" i="98"/>
  <c r="AH17" i="98"/>
  <c r="AH19" i="98"/>
  <c r="AH73" i="98"/>
  <c r="AH44" i="98"/>
  <c r="AH77" i="98"/>
  <c r="AH43" i="98"/>
  <c r="AH31" i="98"/>
  <c r="AH37" i="98"/>
  <c r="AH10" i="98"/>
  <c r="AH83" i="98"/>
  <c r="AH32" i="98"/>
  <c r="AH66" i="98"/>
  <c r="AH51" i="98"/>
  <c r="AI51" i="98" s="1"/>
  <c r="AJ51" i="98" s="1"/>
  <c r="AH57" i="98"/>
  <c r="AH82" i="98"/>
  <c r="AH26" i="98"/>
  <c r="AH70" i="98"/>
  <c r="AH56" i="98"/>
  <c r="AH84" i="98"/>
  <c r="AH22" i="98"/>
  <c r="AH14" i="98"/>
  <c r="AH72" i="98"/>
  <c r="AH81" i="98"/>
  <c r="AH9" i="98"/>
  <c r="AH27" i="98"/>
  <c r="AH85" i="98"/>
  <c r="AH18" i="98"/>
  <c r="AH86" i="98"/>
  <c r="AH60" i="98"/>
  <c r="AH29" i="98"/>
  <c r="AH42" i="98"/>
  <c r="AH59" i="98"/>
  <c r="AH35" i="98"/>
  <c r="AH28" i="98"/>
  <c r="AH75" i="98"/>
  <c r="AH65" i="98"/>
  <c r="AH54" i="98"/>
  <c r="AH80" i="98"/>
  <c r="AH90" i="98"/>
  <c r="AH34" i="98"/>
  <c r="AH41" i="98"/>
  <c r="AH71" i="98"/>
  <c r="AH12" i="98"/>
  <c r="AH76" i="98"/>
  <c r="AH46" i="98"/>
  <c r="AI46" i="98" s="1"/>
  <c r="AJ46" i="98" s="1"/>
  <c r="AH87" i="98"/>
  <c r="AH62" i="98"/>
  <c r="AH67" i="98"/>
  <c r="AH53" i="98"/>
  <c r="AH16" i="98"/>
  <c r="AH13" i="98"/>
  <c r="AH64" i="98"/>
  <c r="AH39" i="98"/>
  <c r="AH69" i="98"/>
  <c r="AH61" i="98"/>
  <c r="AH63" i="98"/>
  <c r="AH58" i="98"/>
  <c r="AH36" i="98"/>
  <c r="AH78" i="98"/>
  <c r="AH15" i="98"/>
  <c r="AH30" i="98"/>
  <c r="P71" i="60"/>
  <c r="C71" i="60"/>
  <c r="V54" i="21"/>
  <c r="D54" i="21"/>
  <c r="K36" i="13"/>
  <c r="L36" i="13" s="1"/>
  <c r="F36" i="19"/>
  <c r="E36" i="19" s="1"/>
  <c r="D46" i="36"/>
  <c r="B45" i="36"/>
  <c r="E62" i="36"/>
  <c r="J60" i="13"/>
  <c r="K60" i="13" s="1"/>
  <c r="D58" i="140"/>
  <c r="C58" i="140" s="1"/>
  <c r="B58" i="140" s="1"/>
  <c r="AH89" i="98"/>
  <c r="O59" i="60"/>
  <c r="O57" i="257"/>
  <c r="Q57" i="257" s="1"/>
  <c r="D86" i="140"/>
  <c r="C86" i="140" s="1"/>
  <c r="B86" i="140" s="1"/>
  <c r="C43" i="17"/>
  <c r="K43" i="19"/>
  <c r="C82" i="19"/>
  <c r="B82" i="19" s="1"/>
  <c r="B82" i="261" s="1"/>
  <c r="G82" i="10"/>
  <c r="F82" i="10" s="1"/>
  <c r="C82" i="10" s="1"/>
  <c r="N82" i="10" s="1"/>
  <c r="C85" i="19"/>
  <c r="B85" i="19" s="1"/>
  <c r="B85" i="261" s="1"/>
  <c r="G85" i="10"/>
  <c r="F85" i="10" s="1"/>
  <c r="C85" i="10" s="1"/>
  <c r="N85" i="10" s="1"/>
  <c r="N47" i="10"/>
  <c r="B47" i="17"/>
  <c r="L47" i="19"/>
  <c r="I85" i="24"/>
  <c r="C79" i="19"/>
  <c r="B79" i="19" s="1"/>
  <c r="B79" i="261" s="1"/>
  <c r="G79" i="10"/>
  <c r="Q58" i="60"/>
  <c r="I64" i="24"/>
  <c r="D75" i="140"/>
  <c r="C75" i="140" s="1"/>
  <c r="B75" i="140" s="1"/>
  <c r="D69" i="140"/>
  <c r="C69" i="140" s="1"/>
  <c r="B69" i="140" s="1"/>
  <c r="D61" i="140"/>
  <c r="C61" i="140" s="1"/>
  <c r="B61" i="140" s="1"/>
  <c r="F53" i="9"/>
  <c r="L53" i="9" s="1"/>
  <c r="I83" i="17"/>
  <c r="I80" i="17"/>
  <c r="I86" i="17"/>
  <c r="I61" i="17"/>
  <c r="I82" i="17"/>
  <c r="I65" i="17"/>
  <c r="U43" i="13"/>
  <c r="K79" i="12"/>
  <c r="H79" i="12"/>
  <c r="O79" i="12" s="1"/>
  <c r="C79" i="12"/>
  <c r="S79" i="260" s="1"/>
  <c r="G23" i="25" l="1"/>
  <c r="I67" i="17"/>
  <c r="H9" i="19"/>
  <c r="I70" i="261"/>
  <c r="U40" i="13"/>
  <c r="B88" i="19"/>
  <c r="B88" i="261" s="1"/>
  <c r="I67" i="268"/>
  <c r="I88" i="268"/>
  <c r="B67" i="19"/>
  <c r="B67" i="261" s="1"/>
  <c r="Q23" i="9"/>
  <c r="I76" i="268"/>
  <c r="D9" i="9"/>
  <c r="Q9" i="9" s="1"/>
  <c r="I55" i="17"/>
  <c r="I76" i="261"/>
  <c r="H23" i="9"/>
  <c r="I70" i="17"/>
  <c r="I88" i="17"/>
  <c r="M23" i="13"/>
  <c r="I23" i="9"/>
  <c r="K40" i="19"/>
  <c r="G14" i="273"/>
  <c r="F5" i="273"/>
  <c r="I5" i="273" s="1"/>
  <c r="G6" i="273"/>
  <c r="G8" i="273"/>
  <c r="C40" i="17"/>
  <c r="F40" i="17" s="1"/>
  <c r="I79" i="261"/>
  <c r="F12" i="19"/>
  <c r="E12" i="19" s="1"/>
  <c r="E4" i="273" s="1"/>
  <c r="I57" i="268"/>
  <c r="J83" i="13"/>
  <c r="F83" i="19" s="1"/>
  <c r="I81" i="17"/>
  <c r="M40" i="17"/>
  <c r="I73" i="268"/>
  <c r="I81" i="268"/>
  <c r="F32" i="17"/>
  <c r="I60" i="268"/>
  <c r="I80" i="268"/>
  <c r="F29" i="261"/>
  <c r="K77" i="13"/>
  <c r="B77" i="13" s="1"/>
  <c r="U77" i="13" s="1"/>
  <c r="K56" i="13"/>
  <c r="B56" i="13" s="1"/>
  <c r="U56" i="13" s="1"/>
  <c r="I55" i="268"/>
  <c r="K74" i="13"/>
  <c r="B74" i="13" s="1"/>
  <c r="K49" i="13"/>
  <c r="B49" i="13" s="1"/>
  <c r="L49" i="13" s="1"/>
  <c r="D23" i="25"/>
  <c r="F40" i="261"/>
  <c r="D49" i="12"/>
  <c r="G49" i="12" s="1"/>
  <c r="N49" i="12" s="1"/>
  <c r="AI24" i="261"/>
  <c r="F29" i="17"/>
  <c r="E29" i="17"/>
  <c r="B80" i="19"/>
  <c r="B80" i="261" s="1"/>
  <c r="AI38" i="261"/>
  <c r="G88" i="261"/>
  <c r="B83" i="261"/>
  <c r="I23" i="261"/>
  <c r="B88" i="17"/>
  <c r="C49" i="261"/>
  <c r="E49" i="261" s="1"/>
  <c r="AI49" i="261" s="1"/>
  <c r="C42" i="17"/>
  <c r="F42" i="17" s="1"/>
  <c r="B72" i="17"/>
  <c r="I71" i="17"/>
  <c r="M53" i="59"/>
  <c r="M220" i="59" s="1"/>
  <c r="M226" i="59" s="1"/>
  <c r="K49" i="19"/>
  <c r="L50" i="9"/>
  <c r="G50" i="17" s="1"/>
  <c r="L50" i="17" s="1"/>
  <c r="T50" i="17" s="1"/>
  <c r="E40" i="261"/>
  <c r="O40" i="261" s="1"/>
  <c r="T40" i="261" s="1"/>
  <c r="X40" i="261" s="1"/>
  <c r="AI90" i="99"/>
  <c r="AJ22" i="99" s="1"/>
  <c r="C49" i="17"/>
  <c r="F49" i="17" s="1"/>
  <c r="L64" i="19"/>
  <c r="H53" i="13"/>
  <c r="G80" i="10"/>
  <c r="F80" i="10" s="1"/>
  <c r="C80" i="10" s="1"/>
  <c r="N80" i="10" s="1"/>
  <c r="I71" i="261"/>
  <c r="I23" i="268"/>
  <c r="U40" i="261"/>
  <c r="Y40" i="261" s="1"/>
  <c r="K42" i="19"/>
  <c r="L72" i="19"/>
  <c r="G74" i="10"/>
  <c r="F74" i="10" s="1"/>
  <c r="C74" i="10" s="1"/>
  <c r="N74" i="10" s="1"/>
  <c r="M11" i="261"/>
  <c r="N23" i="12"/>
  <c r="F11" i="261"/>
  <c r="AI37" i="261"/>
  <c r="J23" i="12"/>
  <c r="D32" i="268"/>
  <c r="S24" i="261"/>
  <c r="W24" i="261" s="1"/>
  <c r="F24" i="268" s="1"/>
  <c r="T24" i="261"/>
  <c r="X24" i="261" s="1"/>
  <c r="AA24" i="261" s="1"/>
  <c r="U24" i="261"/>
  <c r="Y24" i="261" s="1"/>
  <c r="G24" i="268" s="1"/>
  <c r="C42" i="261"/>
  <c r="F42" i="261" s="1"/>
  <c r="U38" i="261"/>
  <c r="Y38" i="261" s="1"/>
  <c r="S38" i="261"/>
  <c r="W38" i="261" s="1"/>
  <c r="F30" i="261"/>
  <c r="K57" i="13"/>
  <c r="B57" i="13" s="1"/>
  <c r="L57" i="13" s="1"/>
  <c r="B90" i="9"/>
  <c r="E90" i="9" s="1"/>
  <c r="E30" i="261"/>
  <c r="O30" i="261" s="1"/>
  <c r="V30" i="261" s="1"/>
  <c r="L14" i="36"/>
  <c r="G81" i="12"/>
  <c r="N81" i="12" s="1"/>
  <c r="K83" i="13"/>
  <c r="B83" i="13" s="1"/>
  <c r="U83" i="13" s="1"/>
  <c r="F44" i="98"/>
  <c r="H44" i="98"/>
  <c r="V38" i="261"/>
  <c r="F60" i="19"/>
  <c r="K55" i="13"/>
  <c r="B55" i="13" s="1"/>
  <c r="E55" i="12" s="1"/>
  <c r="K55" i="12" s="1"/>
  <c r="I54" i="261"/>
  <c r="I54" i="268"/>
  <c r="K47" i="13"/>
  <c r="B47" i="13" s="1"/>
  <c r="U47" i="13" s="1"/>
  <c r="M30" i="261"/>
  <c r="F41" i="261"/>
  <c r="B77" i="261"/>
  <c r="C18" i="261"/>
  <c r="F18" i="261" s="1"/>
  <c r="C21" i="261"/>
  <c r="E21" i="261" s="1"/>
  <c r="O21" i="261" s="1"/>
  <c r="C14" i="261"/>
  <c r="M14" i="261" s="1"/>
  <c r="E32" i="268"/>
  <c r="S29" i="261"/>
  <c r="W29" i="261" s="1"/>
  <c r="T29" i="261"/>
  <c r="X29" i="261" s="1"/>
  <c r="U29" i="261"/>
  <c r="Y29" i="261" s="1"/>
  <c r="V29" i="261"/>
  <c r="C15" i="261"/>
  <c r="F15" i="261" s="1"/>
  <c r="C22" i="261"/>
  <c r="E22" i="261" s="1"/>
  <c r="O22" i="261" s="1"/>
  <c r="B32" i="268"/>
  <c r="I13" i="268"/>
  <c r="C36" i="261"/>
  <c r="E36" i="261" s="1"/>
  <c r="O36" i="261" s="1"/>
  <c r="C16" i="261"/>
  <c r="F16" i="261" s="1"/>
  <c r="C17" i="261"/>
  <c r="M17" i="261" s="1"/>
  <c r="L88" i="19"/>
  <c r="B72" i="261"/>
  <c r="E32" i="261"/>
  <c r="O32" i="261" s="1"/>
  <c r="C32" i="268"/>
  <c r="M90" i="8"/>
  <c r="M91" i="8" s="1"/>
  <c r="B89" i="261"/>
  <c r="AI29" i="261"/>
  <c r="M30" i="17"/>
  <c r="K39" i="19"/>
  <c r="C35" i="261"/>
  <c r="F35" i="261" s="1"/>
  <c r="C35" i="17"/>
  <c r="F35" i="17" s="1"/>
  <c r="K35" i="19"/>
  <c r="C19" i="261"/>
  <c r="F19" i="261" s="1"/>
  <c r="C81" i="19"/>
  <c r="B81" i="19" s="1"/>
  <c r="B81" i="261" s="1"/>
  <c r="C10" i="261"/>
  <c r="M10" i="261" s="1"/>
  <c r="P16" i="140"/>
  <c r="F43" i="261"/>
  <c r="F45" i="9"/>
  <c r="L45" i="9" s="1"/>
  <c r="G45" i="17" s="1"/>
  <c r="L45" i="17" s="1"/>
  <c r="T45" i="17" s="1"/>
  <c r="E43" i="261"/>
  <c r="O43" i="261" s="1"/>
  <c r="U43" i="261" s="1"/>
  <c r="Y43" i="261" s="1"/>
  <c r="C39" i="261"/>
  <c r="F39" i="261" s="1"/>
  <c r="K27" i="19"/>
  <c r="F65" i="19"/>
  <c r="C53" i="127"/>
  <c r="C48" i="127" s="1"/>
  <c r="I44" i="98"/>
  <c r="J44" i="98"/>
  <c r="L10" i="17"/>
  <c r="T10" i="17" s="1"/>
  <c r="F80" i="19"/>
  <c r="C39" i="17"/>
  <c r="F39" i="17" s="1"/>
  <c r="F82" i="19"/>
  <c r="D82" i="12" s="1"/>
  <c r="G82" i="12" s="1"/>
  <c r="N82" i="12" s="1"/>
  <c r="K84" i="13"/>
  <c r="B84" i="13" s="1"/>
  <c r="U84" i="13" s="1"/>
  <c r="F63" i="19"/>
  <c r="F75" i="19"/>
  <c r="AA34" i="261"/>
  <c r="AB34" i="261"/>
  <c r="Z34" i="261"/>
  <c r="AB20" i="261"/>
  <c r="Z20" i="261"/>
  <c r="AA20" i="261"/>
  <c r="AA26" i="261"/>
  <c r="AB26" i="261"/>
  <c r="Z26" i="261"/>
  <c r="L10" i="261"/>
  <c r="AH10" i="261" s="1"/>
  <c r="V41" i="261"/>
  <c r="V11" i="261"/>
  <c r="U11" i="261"/>
  <c r="Y11" i="261" s="1"/>
  <c r="S11" i="261"/>
  <c r="W11" i="261" s="1"/>
  <c r="T11" i="261"/>
  <c r="X11" i="261" s="1"/>
  <c r="AI41" i="261"/>
  <c r="C60" i="19"/>
  <c r="B60" i="19" s="1"/>
  <c r="G60" i="10"/>
  <c r="G56" i="17"/>
  <c r="G56" i="261"/>
  <c r="G78" i="10"/>
  <c r="F78" i="10" s="1"/>
  <c r="C78" i="10" s="1"/>
  <c r="N78" i="10" s="1"/>
  <c r="C78" i="19"/>
  <c r="B78" i="19" s="1"/>
  <c r="B78" i="261" s="1"/>
  <c r="G53" i="17"/>
  <c r="G53" i="261"/>
  <c r="G51" i="17"/>
  <c r="L51" i="17" s="1"/>
  <c r="T51" i="17" s="1"/>
  <c r="G51" i="261"/>
  <c r="L51" i="261" s="1"/>
  <c r="AH51" i="261" s="1"/>
  <c r="O16" i="140"/>
  <c r="N45" i="8"/>
  <c r="G13" i="17"/>
  <c r="G13" i="261"/>
  <c r="G73" i="17"/>
  <c r="G73" i="261"/>
  <c r="G66" i="17"/>
  <c r="G66" i="261"/>
  <c r="L27" i="13"/>
  <c r="U27" i="13"/>
  <c r="E27" i="12"/>
  <c r="AI11" i="261"/>
  <c r="B50" i="10"/>
  <c r="J50" i="10" s="1"/>
  <c r="G55" i="17"/>
  <c r="G55" i="261"/>
  <c r="C73" i="19"/>
  <c r="B73" i="19" s="1"/>
  <c r="B73" i="261" s="1"/>
  <c r="G73" i="10"/>
  <c r="F73" i="10" s="1"/>
  <c r="C73" i="10" s="1"/>
  <c r="N73" i="10" s="1"/>
  <c r="C58" i="19"/>
  <c r="B58" i="19" s="1"/>
  <c r="G58" i="10"/>
  <c r="G62" i="17"/>
  <c r="G62" i="261"/>
  <c r="C86" i="19"/>
  <c r="B86" i="19" s="1"/>
  <c r="G86" i="10"/>
  <c r="G54" i="17"/>
  <c r="G54" i="261"/>
  <c r="G71" i="17"/>
  <c r="G71" i="261"/>
  <c r="C66" i="19"/>
  <c r="B66" i="19" s="1"/>
  <c r="G66" i="10"/>
  <c r="F66" i="10" s="1"/>
  <c r="C66" i="10" s="1"/>
  <c r="N66" i="10" s="1"/>
  <c r="C27" i="261"/>
  <c r="C27" i="17"/>
  <c r="C69" i="19"/>
  <c r="B69" i="19" s="1"/>
  <c r="G69" i="10"/>
  <c r="G84" i="10"/>
  <c r="C84" i="19"/>
  <c r="B84" i="19" s="1"/>
  <c r="G78" i="17"/>
  <c r="G78" i="261"/>
  <c r="L79" i="19"/>
  <c r="G59" i="17"/>
  <c r="G59" i="261"/>
  <c r="C55" i="19"/>
  <c r="B55" i="19" s="1"/>
  <c r="G55" i="10"/>
  <c r="C71" i="19"/>
  <c r="B71" i="19" s="1"/>
  <c r="G71" i="10"/>
  <c r="G60" i="17"/>
  <c r="G60" i="261"/>
  <c r="G58" i="17"/>
  <c r="G58" i="261"/>
  <c r="G62" i="10"/>
  <c r="C62" i="19"/>
  <c r="B62" i="19" s="1"/>
  <c r="C10" i="273" s="1"/>
  <c r="C56" i="19"/>
  <c r="B56" i="19" s="1"/>
  <c r="G56" i="10"/>
  <c r="I13" i="261"/>
  <c r="G86" i="17"/>
  <c r="G86" i="261"/>
  <c r="C54" i="19"/>
  <c r="B54" i="19" s="1"/>
  <c r="G54" i="10"/>
  <c r="F54" i="10" s="1"/>
  <c r="C54" i="10" s="1"/>
  <c r="N54" i="10" s="1"/>
  <c r="G69" i="17"/>
  <c r="G69" i="261"/>
  <c r="G84" i="17"/>
  <c r="G84" i="261"/>
  <c r="L76" i="19"/>
  <c r="Q57" i="140"/>
  <c r="U48" i="13"/>
  <c r="I13" i="17"/>
  <c r="Q16" i="140"/>
  <c r="J13" i="36"/>
  <c r="D13" i="25"/>
  <c r="J13" i="9"/>
  <c r="I42" i="12"/>
  <c r="F42" i="12"/>
  <c r="T42" i="260" s="1"/>
  <c r="Q49" i="140"/>
  <c r="Q90" i="140"/>
  <c r="U19" i="13"/>
  <c r="N16" i="140"/>
  <c r="K42" i="12"/>
  <c r="H42" i="12"/>
  <c r="O42" i="12" s="1"/>
  <c r="E41" i="17"/>
  <c r="O41" i="17" s="1"/>
  <c r="F41" i="17"/>
  <c r="Q91" i="140"/>
  <c r="L27" i="8"/>
  <c r="I9" i="8"/>
  <c r="L9" i="8" s="1"/>
  <c r="P32" i="17"/>
  <c r="Q83" i="140"/>
  <c r="K67" i="13"/>
  <c r="B67" i="13" s="1"/>
  <c r="U21" i="13"/>
  <c r="E91" i="8"/>
  <c r="K91" i="8" s="1"/>
  <c r="K28" i="12"/>
  <c r="H28" i="12"/>
  <c r="O28" i="12" s="1"/>
  <c r="K52" i="13"/>
  <c r="B52" i="13" s="1"/>
  <c r="F52" i="19"/>
  <c r="H14" i="12"/>
  <c r="O14" i="12" s="1"/>
  <c r="B46" i="13"/>
  <c r="L46" i="13" s="1"/>
  <c r="F11" i="17"/>
  <c r="M11" i="17"/>
  <c r="U11" i="17"/>
  <c r="P27" i="8"/>
  <c r="B27" i="36"/>
  <c r="F9" i="8"/>
  <c r="F91" i="8" s="1"/>
  <c r="F96" i="8" s="1"/>
  <c r="U34" i="17"/>
  <c r="O37" i="17"/>
  <c r="P37" i="17" s="1"/>
  <c r="F39" i="154" s="1"/>
  <c r="K39" i="154" s="1"/>
  <c r="U37" i="17"/>
  <c r="L48" i="13"/>
  <c r="J23" i="9"/>
  <c r="L89" i="19"/>
  <c r="B89" i="17"/>
  <c r="H10" i="12"/>
  <c r="N53" i="8"/>
  <c r="R53" i="8"/>
  <c r="D46" i="12"/>
  <c r="E46" i="19"/>
  <c r="C9" i="13"/>
  <c r="U30" i="13"/>
  <c r="B13" i="13"/>
  <c r="L13" i="13" s="1"/>
  <c r="G10" i="12"/>
  <c r="J10" i="12" s="1"/>
  <c r="C10" i="12"/>
  <c r="S10" i="260" s="1"/>
  <c r="B12" i="19"/>
  <c r="C4" i="273" s="1"/>
  <c r="D9" i="19"/>
  <c r="I44" i="12"/>
  <c r="F44" i="12"/>
  <c r="T44" i="260" s="1"/>
  <c r="I23" i="36"/>
  <c r="O23" i="36"/>
  <c r="H23" i="36"/>
  <c r="D9" i="36"/>
  <c r="G14" i="12"/>
  <c r="J14" i="12" s="1"/>
  <c r="C14" i="12"/>
  <c r="S14" i="260" s="1"/>
  <c r="N24" i="116"/>
  <c r="C15" i="17"/>
  <c r="E15" i="17" s="1"/>
  <c r="O15" i="17" s="1"/>
  <c r="P15" i="17" s="1"/>
  <c r="F17" i="154" s="1"/>
  <c r="P20" i="17"/>
  <c r="F22" i="154" s="1"/>
  <c r="K22" i="154" s="1"/>
  <c r="L63" i="19"/>
  <c r="Q77" i="140"/>
  <c r="U16" i="13"/>
  <c r="Q59" i="140"/>
  <c r="L75" i="19"/>
  <c r="U18" i="13"/>
  <c r="L87" i="19"/>
  <c r="F89" i="19"/>
  <c r="D89" i="12" s="1"/>
  <c r="K89" i="13"/>
  <c r="B89" i="13" s="1"/>
  <c r="U89" i="13" s="1"/>
  <c r="O31" i="17"/>
  <c r="P31" i="17" s="1"/>
  <c r="F33" i="154" s="1"/>
  <c r="K33" i="154" s="1"/>
  <c r="U31" i="17"/>
  <c r="C14" i="17"/>
  <c r="K14" i="19"/>
  <c r="E101" i="9"/>
  <c r="C27" i="9"/>
  <c r="B97" i="9"/>
  <c r="H97" i="9" s="1"/>
  <c r="D101" i="9"/>
  <c r="D61" i="36" s="1"/>
  <c r="B27" i="12"/>
  <c r="B9" i="12" s="1"/>
  <c r="H27" i="9"/>
  <c r="B9" i="9"/>
  <c r="P27" i="9"/>
  <c r="E13" i="19"/>
  <c r="D13" i="12"/>
  <c r="C10" i="17"/>
  <c r="K10" i="19"/>
  <c r="O38" i="17"/>
  <c r="P38" i="17" s="1"/>
  <c r="F40" i="154" s="1"/>
  <c r="K40" i="154" s="1"/>
  <c r="U38" i="17"/>
  <c r="E48" i="19"/>
  <c r="D48" i="12"/>
  <c r="C48" i="12" s="1"/>
  <c r="S48" i="260" s="1"/>
  <c r="K44" i="13"/>
  <c r="I44" i="13" s="1"/>
  <c r="U44" i="13" s="1"/>
  <c r="J88" i="12"/>
  <c r="G88" i="12"/>
  <c r="N88" i="12" s="1"/>
  <c r="E56" i="12"/>
  <c r="E63" i="12"/>
  <c r="U63" i="13"/>
  <c r="M86" i="140"/>
  <c r="O61" i="60"/>
  <c r="O59" i="257"/>
  <c r="Q59" i="257" s="1"/>
  <c r="M66" i="140"/>
  <c r="Q64" i="60"/>
  <c r="J86" i="13"/>
  <c r="F86" i="19" s="1"/>
  <c r="U68" i="13"/>
  <c r="E68" i="12"/>
  <c r="O74" i="60"/>
  <c r="O72" i="257"/>
  <c r="Q72" i="257" s="1"/>
  <c r="H90" i="8"/>
  <c r="B57" i="17"/>
  <c r="C17" i="17"/>
  <c r="K17" i="19"/>
  <c r="B83" i="17"/>
  <c r="L83" i="19"/>
  <c r="G11" i="273" s="1"/>
  <c r="M75" i="140"/>
  <c r="F79" i="10"/>
  <c r="C79" i="10" s="1"/>
  <c r="N79" i="10" s="1"/>
  <c r="B85" i="17"/>
  <c r="F43" i="17"/>
  <c r="M43" i="17"/>
  <c r="E43" i="17"/>
  <c r="O43" i="17" s="1"/>
  <c r="M58" i="140"/>
  <c r="C36" i="17"/>
  <c r="K36" i="19"/>
  <c r="K64" i="13"/>
  <c r="B64" i="13" s="1"/>
  <c r="AE44" i="98"/>
  <c r="AE59" i="98"/>
  <c r="AE40" i="98"/>
  <c r="AE84" i="98"/>
  <c r="AE86" i="98"/>
  <c r="AE23" i="98"/>
  <c r="AE67" i="98"/>
  <c r="AE73" i="98"/>
  <c r="AE39" i="98"/>
  <c r="AE53" i="98"/>
  <c r="AE63" i="98"/>
  <c r="AE76" i="98"/>
  <c r="AE83" i="98"/>
  <c r="AE37" i="98"/>
  <c r="AE61" i="98"/>
  <c r="AE18" i="98"/>
  <c r="AE72" i="98"/>
  <c r="AE57" i="98"/>
  <c r="AE11" i="98"/>
  <c r="AE75" i="98"/>
  <c r="AE15" i="98"/>
  <c r="AE10" i="98"/>
  <c r="AE19" i="98"/>
  <c r="AE25" i="98"/>
  <c r="AE36" i="98"/>
  <c r="AE42" i="98"/>
  <c r="AE58" i="98"/>
  <c r="AE66" i="98"/>
  <c r="AE79" i="98"/>
  <c r="AE87" i="98"/>
  <c r="AE35" i="98"/>
  <c r="AE70" i="98"/>
  <c r="AE54" i="98"/>
  <c r="AE68" i="98"/>
  <c r="AE34" i="98"/>
  <c r="AE55" i="98"/>
  <c r="AE77" i="98"/>
  <c r="AE74" i="98"/>
  <c r="AE56" i="98"/>
  <c r="AE14" i="98"/>
  <c r="AE29" i="98"/>
  <c r="AE17" i="98"/>
  <c r="AE28" i="98"/>
  <c r="AE64" i="98"/>
  <c r="AE85" i="98"/>
  <c r="AE21" i="98"/>
  <c r="AE82" i="98"/>
  <c r="AE80" i="98"/>
  <c r="AE78" i="98"/>
  <c r="AE71" i="98"/>
  <c r="AE52" i="98"/>
  <c r="AE88" i="98"/>
  <c r="AE65" i="98"/>
  <c r="AE60" i="98"/>
  <c r="AE38" i="98"/>
  <c r="AE62" i="98"/>
  <c r="AE81" i="98"/>
  <c r="AE16" i="98"/>
  <c r="AE20" i="98"/>
  <c r="AE43" i="98"/>
  <c r="AE69" i="98"/>
  <c r="AE46" i="98"/>
  <c r="AE41" i="98"/>
  <c r="AE24" i="98"/>
  <c r="AE49" i="98"/>
  <c r="AE30" i="98"/>
  <c r="AE22" i="98"/>
  <c r="AE27" i="98"/>
  <c r="AE47" i="98"/>
  <c r="AE33" i="98"/>
  <c r="AE48" i="98"/>
  <c r="AE12" i="98"/>
  <c r="AE26" i="98"/>
  <c r="AE13" i="98"/>
  <c r="AE50" i="98"/>
  <c r="AE45" i="98"/>
  <c r="AE89" i="98"/>
  <c r="AE51" i="98"/>
  <c r="AE32" i="98"/>
  <c r="F73" i="19"/>
  <c r="N83" i="140"/>
  <c r="P83" i="140"/>
  <c r="O83" i="140"/>
  <c r="F78" i="19"/>
  <c r="U20" i="17"/>
  <c r="F71" i="19"/>
  <c r="D64" i="140"/>
  <c r="C64" i="140" s="1"/>
  <c r="B64" i="140" s="1"/>
  <c r="M84" i="140"/>
  <c r="E74" i="12"/>
  <c r="U74" i="13"/>
  <c r="L74" i="13"/>
  <c r="F72" i="19"/>
  <c r="D72" i="12" s="1"/>
  <c r="Q63" i="60"/>
  <c r="C51" i="19"/>
  <c r="B51" i="19" s="1"/>
  <c r="F51" i="10"/>
  <c r="K51" i="10" s="1"/>
  <c r="J51" i="10"/>
  <c r="F87" i="19"/>
  <c r="AI90" i="98"/>
  <c r="Q88" i="60"/>
  <c r="P77" i="140"/>
  <c r="N77" i="140"/>
  <c r="O77" i="140"/>
  <c r="B77" i="17"/>
  <c r="L77" i="19"/>
  <c r="C12" i="17"/>
  <c r="J70" i="13"/>
  <c r="F70" i="19" s="1"/>
  <c r="F81" i="10"/>
  <c r="C81" i="10" s="1"/>
  <c r="N81" i="10" s="1"/>
  <c r="L68" i="19"/>
  <c r="K88" i="13"/>
  <c r="B88" i="13" s="1"/>
  <c r="O87" i="60"/>
  <c r="O85" i="257"/>
  <c r="Q85" i="257" s="1"/>
  <c r="B75" i="13"/>
  <c r="M79" i="140"/>
  <c r="B74" i="17"/>
  <c r="F75" i="10"/>
  <c r="C75" i="10" s="1"/>
  <c r="N75" i="10" s="1"/>
  <c r="B75" i="17"/>
  <c r="B87" i="17"/>
  <c r="L61" i="19"/>
  <c r="E30" i="17"/>
  <c r="O30" i="17" s="1"/>
  <c r="F30" i="17"/>
  <c r="U17" i="13"/>
  <c r="B65" i="17"/>
  <c r="I53" i="13"/>
  <c r="U22" i="13"/>
  <c r="G90" i="8"/>
  <c r="P90" i="8" s="1"/>
  <c r="O84" i="257"/>
  <c r="Q84" i="257" s="1"/>
  <c r="O86" i="60"/>
  <c r="U39" i="13"/>
  <c r="J58" i="13"/>
  <c r="F58" i="19" s="1"/>
  <c r="K44" i="98"/>
  <c r="M61" i="140"/>
  <c r="D45" i="36"/>
  <c r="O45" i="36" s="1"/>
  <c r="K46" i="36"/>
  <c r="I46" i="36"/>
  <c r="F46" i="36"/>
  <c r="P46" i="36" s="1"/>
  <c r="H46" i="36"/>
  <c r="J69" i="13"/>
  <c r="K69" i="13" s="1"/>
  <c r="N9" i="8"/>
  <c r="R9" i="8"/>
  <c r="J85" i="13"/>
  <c r="F85" i="19" s="1"/>
  <c r="J76" i="13"/>
  <c r="K76" i="13" s="1"/>
  <c r="M87" i="140"/>
  <c r="U80" i="13"/>
  <c r="E80" i="12"/>
  <c r="N76" i="140"/>
  <c r="P76" i="140"/>
  <c r="O76" i="140"/>
  <c r="L9" i="98"/>
  <c r="N57" i="140"/>
  <c r="P57" i="140"/>
  <c r="O57" i="140"/>
  <c r="L82" i="19"/>
  <c r="B60" i="13"/>
  <c r="O46" i="36"/>
  <c r="U36" i="13"/>
  <c r="M68" i="140"/>
  <c r="B82" i="13"/>
  <c r="U32" i="17"/>
  <c r="M70" i="140"/>
  <c r="O58" i="60"/>
  <c r="O56" i="257"/>
  <c r="Q56" i="257" s="1"/>
  <c r="L70" i="19"/>
  <c r="L67" i="19"/>
  <c r="B67" i="17"/>
  <c r="K73" i="13"/>
  <c r="B73" i="13" s="1"/>
  <c r="J62" i="13"/>
  <c r="K62" i="13" s="1"/>
  <c r="H8" i="98"/>
  <c r="I8" i="98"/>
  <c r="G8" i="98"/>
  <c r="K8" i="98"/>
  <c r="J8" i="98"/>
  <c r="J66" i="13"/>
  <c r="K66" i="13" s="1"/>
  <c r="B66" i="13" s="1"/>
  <c r="K15" i="19"/>
  <c r="AE16" i="99"/>
  <c r="AE77" i="99"/>
  <c r="AE54" i="99"/>
  <c r="AE34" i="99"/>
  <c r="AE52" i="99"/>
  <c r="AE72" i="99"/>
  <c r="AE80" i="99"/>
  <c r="AE29" i="99"/>
  <c r="AE83" i="99"/>
  <c r="AE73" i="99"/>
  <c r="AE17" i="99"/>
  <c r="AE25" i="99"/>
  <c r="AE44" i="99"/>
  <c r="AE64" i="99"/>
  <c r="AE75" i="99"/>
  <c r="AE81" i="99"/>
  <c r="AE42" i="99"/>
  <c r="AE20" i="99"/>
  <c r="AE68" i="99"/>
  <c r="AE86" i="99"/>
  <c r="AE19" i="99"/>
  <c r="AE58" i="99"/>
  <c r="AE87" i="99"/>
  <c r="AE84" i="99"/>
  <c r="AE60" i="99"/>
  <c r="AE14" i="99"/>
  <c r="AE37" i="99"/>
  <c r="AE61" i="99"/>
  <c r="AE67" i="99"/>
  <c r="AE79" i="99"/>
  <c r="AE65" i="99"/>
  <c r="AE11" i="99"/>
  <c r="AE57" i="99"/>
  <c r="AE53" i="99"/>
  <c r="AE10" i="99"/>
  <c r="AE35" i="99"/>
  <c r="AE66" i="99"/>
  <c r="AE62" i="99"/>
  <c r="AE40" i="99"/>
  <c r="AE70" i="99"/>
  <c r="AE36" i="99"/>
  <c r="AE39" i="99"/>
  <c r="AE18" i="99"/>
  <c r="AE55" i="99"/>
  <c r="AE76" i="99"/>
  <c r="AE85" i="99"/>
  <c r="AE56" i="99"/>
  <c r="AE71" i="99"/>
  <c r="AE38" i="99"/>
  <c r="AE74" i="99"/>
  <c r="AE21" i="99"/>
  <c r="AE28" i="99"/>
  <c r="AE63" i="99"/>
  <c r="AE43" i="99"/>
  <c r="AE59" i="99"/>
  <c r="AE15" i="99"/>
  <c r="AE69" i="99"/>
  <c r="AE82" i="99"/>
  <c r="AE78" i="99"/>
  <c r="AE23" i="99"/>
  <c r="AE88" i="99"/>
  <c r="AE41" i="99"/>
  <c r="AE24" i="99"/>
  <c r="AE47" i="99"/>
  <c r="AE48" i="99"/>
  <c r="AE13" i="99"/>
  <c r="AE32" i="99"/>
  <c r="AE51" i="99"/>
  <c r="AE46" i="99"/>
  <c r="AE27" i="99"/>
  <c r="AE12" i="99"/>
  <c r="AE49" i="99"/>
  <c r="AE50" i="99"/>
  <c r="AE22" i="99"/>
  <c r="AE45" i="99"/>
  <c r="AE33" i="99"/>
  <c r="AE30" i="99"/>
  <c r="AE26" i="99"/>
  <c r="AE89" i="99"/>
  <c r="D78" i="140"/>
  <c r="C78" i="140" s="1"/>
  <c r="B78" i="140" s="1"/>
  <c r="D63" i="140"/>
  <c r="C63" i="140" s="1"/>
  <c r="B63" i="140" s="1"/>
  <c r="J61" i="13"/>
  <c r="K61" i="13" s="1"/>
  <c r="B63" i="17"/>
  <c r="C19" i="17"/>
  <c r="K19" i="19"/>
  <c r="O62" i="60"/>
  <c r="O60" i="257"/>
  <c r="Q60" i="257" s="1"/>
  <c r="D47" i="12"/>
  <c r="E47" i="19"/>
  <c r="O68" i="60"/>
  <c r="O66" i="257"/>
  <c r="Q66" i="257" s="1"/>
  <c r="C59" i="19"/>
  <c r="B59" i="19" s="1"/>
  <c r="B59" i="261" s="1"/>
  <c r="G59" i="10"/>
  <c r="F59" i="10" s="1"/>
  <c r="C59" i="10" s="1"/>
  <c r="N59" i="10" s="1"/>
  <c r="B53" i="10"/>
  <c r="F76" i="10"/>
  <c r="C76" i="10" s="1"/>
  <c r="N76" i="10" s="1"/>
  <c r="M82" i="140"/>
  <c r="D72" i="140"/>
  <c r="C72" i="140" s="1"/>
  <c r="B72" i="140" s="1"/>
  <c r="B68" i="17"/>
  <c r="K48" i="12"/>
  <c r="H48" i="12"/>
  <c r="O48" i="12" s="1"/>
  <c r="K71" i="13"/>
  <c r="B71" i="13" s="1"/>
  <c r="M67" i="140"/>
  <c r="P91" i="140"/>
  <c r="N91" i="140"/>
  <c r="O91" i="140"/>
  <c r="L57" i="19"/>
  <c r="K59" i="13"/>
  <c r="B59" i="13" s="1"/>
  <c r="B80" i="17"/>
  <c r="C18" i="17"/>
  <c r="K18" i="19"/>
  <c r="B61" i="17"/>
  <c r="H83" i="257"/>
  <c r="H53" i="257" s="1"/>
  <c r="J92" i="60"/>
  <c r="H90" i="257" s="1"/>
  <c r="E85" i="60"/>
  <c r="E92" i="60" s="1"/>
  <c r="P35" i="140"/>
  <c r="N35" i="140"/>
  <c r="O35" i="140"/>
  <c r="Q35" i="140"/>
  <c r="C21" i="17"/>
  <c r="K21" i="19"/>
  <c r="M62" i="140"/>
  <c r="U81" i="13"/>
  <c r="E81" i="12"/>
  <c r="B65" i="13"/>
  <c r="B82" i="17"/>
  <c r="O71" i="60"/>
  <c r="O69" i="257"/>
  <c r="Q69" i="257" s="1"/>
  <c r="J82" i="12"/>
  <c r="Q71" i="60"/>
  <c r="B70" i="17"/>
  <c r="AJ47" i="99"/>
  <c r="M73" i="140"/>
  <c r="O86" i="257"/>
  <c r="Q86" i="257" s="1"/>
  <c r="O88" i="60"/>
  <c r="K78" i="13"/>
  <c r="B78" i="13" s="1"/>
  <c r="M89" i="140"/>
  <c r="C16" i="17"/>
  <c r="K16" i="19"/>
  <c r="O78" i="60"/>
  <c r="O76" i="257"/>
  <c r="Q76" i="257" s="1"/>
  <c r="I79" i="12"/>
  <c r="F79" i="12"/>
  <c r="T79" i="260" s="1"/>
  <c r="M69" i="140"/>
  <c r="B79" i="17"/>
  <c r="L85" i="19"/>
  <c r="E50" i="36"/>
  <c r="E51" i="36"/>
  <c r="G54" i="13"/>
  <c r="C54" i="14"/>
  <c r="D54" i="14" s="1"/>
  <c r="C54" i="24"/>
  <c r="I54" i="24" s="1"/>
  <c r="E56" i="140"/>
  <c r="H56" i="60"/>
  <c r="D91" i="21"/>
  <c r="S54" i="21"/>
  <c r="N49" i="140"/>
  <c r="P49" i="140"/>
  <c r="O49" i="140"/>
  <c r="P60" i="60"/>
  <c r="C60" i="60"/>
  <c r="D71" i="140"/>
  <c r="C71" i="140" s="1"/>
  <c r="B71" i="140" s="1"/>
  <c r="M74" i="140"/>
  <c r="U15" i="13"/>
  <c r="P90" i="140"/>
  <c r="N90" i="140"/>
  <c r="O90" i="140"/>
  <c r="K87" i="13"/>
  <c r="B87" i="13" s="1"/>
  <c r="O61" i="257"/>
  <c r="Q61" i="257" s="1"/>
  <c r="O63" i="60"/>
  <c r="O69" i="60"/>
  <c r="O67" i="257"/>
  <c r="Q67" i="257" s="1"/>
  <c r="Q78" i="60"/>
  <c r="F63" i="10"/>
  <c r="C63" i="10" s="1"/>
  <c r="N63" i="10" s="1"/>
  <c r="O80" i="257"/>
  <c r="Q80" i="257" s="1"/>
  <c r="O82" i="60"/>
  <c r="D88" i="140"/>
  <c r="C88" i="140" s="1"/>
  <c r="B88" i="140" s="1"/>
  <c r="F68" i="19"/>
  <c r="B76" i="17"/>
  <c r="M65" i="140"/>
  <c r="L80" i="13"/>
  <c r="K72" i="13"/>
  <c r="M80" i="140"/>
  <c r="I8" i="99"/>
  <c r="J8" i="99"/>
  <c r="H8" i="99"/>
  <c r="T8" i="99"/>
  <c r="G8" i="99"/>
  <c r="R8" i="99"/>
  <c r="V8" i="99"/>
  <c r="K8" i="99"/>
  <c r="S8" i="99"/>
  <c r="U8" i="99"/>
  <c r="P59" i="140"/>
  <c r="N59" i="140"/>
  <c r="O59" i="140"/>
  <c r="D53" i="19"/>
  <c r="I54" i="17"/>
  <c r="U49" i="13"/>
  <c r="L65" i="19"/>
  <c r="C56" i="60"/>
  <c r="P56" i="60"/>
  <c r="C22" i="17"/>
  <c r="K22" i="19"/>
  <c r="M39" i="17"/>
  <c r="E39" i="17"/>
  <c r="O39" i="17" s="1"/>
  <c r="Q76" i="140"/>
  <c r="D60" i="140"/>
  <c r="C60" i="140" s="1"/>
  <c r="B60" i="140" s="1"/>
  <c r="E47" i="98"/>
  <c r="M9" i="13" l="1"/>
  <c r="E49" i="12"/>
  <c r="H9" i="9"/>
  <c r="E42" i="17"/>
  <c r="O42" i="17" s="1"/>
  <c r="P42" i="17" s="1"/>
  <c r="F44" i="154" s="1"/>
  <c r="K44" i="154" s="1"/>
  <c r="F8" i="273"/>
  <c r="I8" i="273" s="1"/>
  <c r="G7" i="273"/>
  <c r="G12" i="273"/>
  <c r="E40" i="17"/>
  <c r="G13" i="273"/>
  <c r="C12" i="261"/>
  <c r="M12" i="261" s="1"/>
  <c r="AJ24" i="99"/>
  <c r="AJ89" i="99"/>
  <c r="AJ48" i="99"/>
  <c r="E77" i="12"/>
  <c r="E83" i="12"/>
  <c r="E49" i="17"/>
  <c r="O49" i="17" s="1"/>
  <c r="P49" i="17" s="1"/>
  <c r="F51" i="154" s="1"/>
  <c r="K51" i="154" s="1"/>
  <c r="E35" i="17"/>
  <c r="O35" i="17" s="1"/>
  <c r="P35" i="17" s="1"/>
  <c r="F37" i="154" s="1"/>
  <c r="K37" i="154" s="1"/>
  <c r="M35" i="17"/>
  <c r="M42" i="17"/>
  <c r="E96" i="8"/>
  <c r="B78" i="17"/>
  <c r="M49" i="261"/>
  <c r="F49" i="261"/>
  <c r="L80" i="19"/>
  <c r="J49" i="12"/>
  <c r="O49" i="261"/>
  <c r="V49" i="261" s="1"/>
  <c r="O29" i="17"/>
  <c r="P29" i="17" s="1"/>
  <c r="F31" i="154" s="1"/>
  <c r="K31" i="154" s="1"/>
  <c r="U29" i="17"/>
  <c r="L74" i="19"/>
  <c r="E18" i="261"/>
  <c r="O18" i="261" s="1"/>
  <c r="T18" i="261" s="1"/>
  <c r="X18" i="261" s="1"/>
  <c r="M18" i="261"/>
  <c r="E15" i="261"/>
  <c r="O15" i="261" s="1"/>
  <c r="V15" i="261" s="1"/>
  <c r="AB24" i="261"/>
  <c r="M49" i="17"/>
  <c r="AI40" i="261"/>
  <c r="G90" i="9"/>
  <c r="R90" i="8" s="1"/>
  <c r="G50" i="261"/>
  <c r="L50" i="261" s="1"/>
  <c r="AH50" i="261" s="1"/>
  <c r="S40" i="261"/>
  <c r="W40" i="261" s="1"/>
  <c r="N90" i="8"/>
  <c r="V40" i="261"/>
  <c r="AB40" i="261" s="1"/>
  <c r="K86" i="13"/>
  <c r="B86" i="13" s="1"/>
  <c r="U86" i="13" s="1"/>
  <c r="B81" i="17"/>
  <c r="F22" i="261"/>
  <c r="K85" i="13"/>
  <c r="B85" i="13" s="1"/>
  <c r="U85" i="13" s="1"/>
  <c r="Z24" i="261"/>
  <c r="C55" i="12"/>
  <c r="H55" i="12"/>
  <c r="O55" i="12" s="1"/>
  <c r="E17" i="261"/>
  <c r="O17" i="261" s="1"/>
  <c r="V17" i="261" s="1"/>
  <c r="U55" i="13"/>
  <c r="E30" i="268"/>
  <c r="E89" i="12"/>
  <c r="C89" i="12" s="1"/>
  <c r="S89" i="260" s="1"/>
  <c r="F36" i="261"/>
  <c r="B90" i="12"/>
  <c r="T30" i="261"/>
  <c r="X30" i="261" s="1"/>
  <c r="AA30" i="261" s="1"/>
  <c r="C90" i="9"/>
  <c r="I90" i="268" s="1"/>
  <c r="F50" i="10"/>
  <c r="C50" i="10" s="1"/>
  <c r="N50" i="10" s="1"/>
  <c r="F10" i="261"/>
  <c r="M22" i="261"/>
  <c r="S30" i="261"/>
  <c r="W30" i="261" s="1"/>
  <c r="F30" i="268" s="1"/>
  <c r="E42" i="261"/>
  <c r="AI42" i="261" s="1"/>
  <c r="Z38" i="261"/>
  <c r="M42" i="261"/>
  <c r="M16" i="261"/>
  <c r="E16" i="261"/>
  <c r="O16" i="261" s="1"/>
  <c r="T16" i="261" s="1"/>
  <c r="X16" i="261" s="1"/>
  <c r="F21" i="261"/>
  <c r="M15" i="261"/>
  <c r="AI30" i="261"/>
  <c r="U30" i="261"/>
  <c r="Y30" i="261" s="1"/>
  <c r="G30" i="268" s="1"/>
  <c r="AB38" i="261"/>
  <c r="M21" i="261"/>
  <c r="AA38" i="261"/>
  <c r="G45" i="261"/>
  <c r="L45" i="261" s="1"/>
  <c r="AH45" i="261" s="1"/>
  <c r="L47" i="13"/>
  <c r="E14" i="261"/>
  <c r="AI14" i="261" s="1"/>
  <c r="F90" i="98"/>
  <c r="F14" i="261"/>
  <c r="V43" i="261"/>
  <c r="AB43" i="261" s="1"/>
  <c r="E47" i="12"/>
  <c r="K47" i="12" s="1"/>
  <c r="AI43" i="261"/>
  <c r="L46" i="98"/>
  <c r="D46" i="98" s="1"/>
  <c r="L51" i="99"/>
  <c r="D51" i="99" s="1"/>
  <c r="P92" i="60"/>
  <c r="I53" i="261"/>
  <c r="I53" i="268"/>
  <c r="L41" i="98"/>
  <c r="D41" i="98" s="1"/>
  <c r="F17" i="261"/>
  <c r="M36" i="261"/>
  <c r="M39" i="261"/>
  <c r="B30" i="268"/>
  <c r="E10" i="261"/>
  <c r="AI10" i="261" s="1"/>
  <c r="T43" i="261"/>
  <c r="X43" i="261" s="1"/>
  <c r="C47" i="261"/>
  <c r="F47" i="261" s="1"/>
  <c r="C48" i="261"/>
  <c r="M48" i="261" s="1"/>
  <c r="C30" i="268"/>
  <c r="J27" i="268"/>
  <c r="K27" i="268"/>
  <c r="H27" i="268"/>
  <c r="B12" i="261"/>
  <c r="F12" i="261" s="1"/>
  <c r="D41" i="268"/>
  <c r="E41" i="268"/>
  <c r="B41" i="268"/>
  <c r="C41" i="268"/>
  <c r="D30" i="268"/>
  <c r="H90" i="268"/>
  <c r="C13" i="261"/>
  <c r="M13" i="261" s="1"/>
  <c r="T32" i="261"/>
  <c r="X32" i="261" s="1"/>
  <c r="U32" i="261"/>
  <c r="Y32" i="261" s="1"/>
  <c r="G32" i="268" s="1"/>
  <c r="V32" i="261"/>
  <c r="S32" i="261"/>
  <c r="W32" i="261" s="1"/>
  <c r="F32" i="268" s="1"/>
  <c r="B51" i="261"/>
  <c r="C46" i="261"/>
  <c r="F46" i="261" s="1"/>
  <c r="Z29" i="261"/>
  <c r="AA29" i="261"/>
  <c r="AB29" i="261"/>
  <c r="AI32" i="261"/>
  <c r="K70" i="13"/>
  <c r="B70" i="13" s="1"/>
  <c r="U70" i="13" s="1"/>
  <c r="L81" i="19"/>
  <c r="S43" i="261"/>
  <c r="W43" i="261" s="1"/>
  <c r="E39" i="261"/>
  <c r="O39" i="261" s="1"/>
  <c r="V39" i="261" s="1"/>
  <c r="E84" i="12"/>
  <c r="H84" i="12" s="1"/>
  <c r="O84" i="12" s="1"/>
  <c r="Q27" i="8"/>
  <c r="E19" i="261"/>
  <c r="O19" i="261" s="1"/>
  <c r="U19" i="261" s="1"/>
  <c r="Y19" i="261" s="1"/>
  <c r="U30" i="17"/>
  <c r="M19" i="261"/>
  <c r="Q73" i="140"/>
  <c r="E35" i="261"/>
  <c r="M35" i="261"/>
  <c r="F69" i="19"/>
  <c r="L13" i="17"/>
  <c r="T13" i="17" s="1"/>
  <c r="F61" i="19"/>
  <c r="L13" i="98"/>
  <c r="D13" i="98" s="1"/>
  <c r="E48" i="98"/>
  <c r="E44" i="98" s="1"/>
  <c r="G44" i="98"/>
  <c r="G90" i="98" s="1"/>
  <c r="N44" i="99"/>
  <c r="N90" i="99" s="1"/>
  <c r="L26" i="98"/>
  <c r="D26" i="98" s="1"/>
  <c r="H90" i="98"/>
  <c r="L78" i="19"/>
  <c r="B45" i="10"/>
  <c r="J45" i="10" s="1"/>
  <c r="K58" i="13"/>
  <c r="B58" i="13" s="1"/>
  <c r="U58" i="13" s="1"/>
  <c r="C50" i="19"/>
  <c r="B50" i="19" s="1"/>
  <c r="L48" i="98"/>
  <c r="L49" i="99"/>
  <c r="D49" i="99" s="1"/>
  <c r="L73" i="19"/>
  <c r="L12" i="99"/>
  <c r="D12" i="99" s="1"/>
  <c r="L46" i="99"/>
  <c r="D46" i="99" s="1"/>
  <c r="N8" i="98"/>
  <c r="L32" i="98"/>
  <c r="D32" i="98" s="1"/>
  <c r="K90" i="98"/>
  <c r="L48" i="99"/>
  <c r="L27" i="99"/>
  <c r="D27" i="99" s="1"/>
  <c r="L24" i="99"/>
  <c r="L41" i="99"/>
  <c r="D41" i="99" s="1"/>
  <c r="AE90" i="99"/>
  <c r="K14" i="12"/>
  <c r="AE90" i="98"/>
  <c r="L33" i="99"/>
  <c r="D33" i="99" s="1"/>
  <c r="L24" i="98"/>
  <c r="L22" i="98"/>
  <c r="D22" i="98" s="1"/>
  <c r="L32" i="99"/>
  <c r="D32" i="99" s="1"/>
  <c r="B54" i="261"/>
  <c r="B54" i="17"/>
  <c r="Z11" i="261"/>
  <c r="AA11" i="261"/>
  <c r="AB11" i="261"/>
  <c r="L69" i="19"/>
  <c r="L66" i="19"/>
  <c r="S15" i="261"/>
  <c r="W15" i="261" s="1"/>
  <c r="Z15" i="261" s="1"/>
  <c r="AI15" i="261"/>
  <c r="E27" i="261"/>
  <c r="AI27" i="261" s="1"/>
  <c r="AI21" i="261"/>
  <c r="AI36" i="261"/>
  <c r="V18" i="261"/>
  <c r="V36" i="261"/>
  <c r="U36" i="261"/>
  <c r="Y36" i="261" s="1"/>
  <c r="T36" i="261"/>
  <c r="X36" i="261" s="1"/>
  <c r="S36" i="261"/>
  <c r="W36" i="261" s="1"/>
  <c r="V21" i="261"/>
  <c r="S21" i="261"/>
  <c r="W21" i="261" s="1"/>
  <c r="U21" i="261"/>
  <c r="Y21" i="261" s="1"/>
  <c r="T21" i="261"/>
  <c r="X21" i="261" s="1"/>
  <c r="V22" i="261"/>
  <c r="S22" i="261"/>
  <c r="W22" i="261" s="1"/>
  <c r="U22" i="261"/>
  <c r="Y22" i="261" s="1"/>
  <c r="T22" i="261"/>
  <c r="X22" i="261" s="1"/>
  <c r="L13" i="261"/>
  <c r="AH13" i="261" s="1"/>
  <c r="B73" i="17"/>
  <c r="B56" i="261"/>
  <c r="B56" i="17"/>
  <c r="B55" i="261"/>
  <c r="B55" i="17"/>
  <c r="F27" i="261"/>
  <c r="B86" i="261"/>
  <c r="B86" i="17"/>
  <c r="L58" i="19"/>
  <c r="F58" i="10"/>
  <c r="C58" i="10" s="1"/>
  <c r="N58" i="10" s="1"/>
  <c r="N14" i="12"/>
  <c r="U41" i="17"/>
  <c r="B62" i="261"/>
  <c r="B62" i="17"/>
  <c r="L71" i="19"/>
  <c r="F71" i="10"/>
  <c r="C71" i="10" s="1"/>
  <c r="N71" i="10" s="1"/>
  <c r="B69" i="261"/>
  <c r="B69" i="17"/>
  <c r="B58" i="261"/>
  <c r="B58" i="17"/>
  <c r="L54" i="19"/>
  <c r="O27" i="9"/>
  <c r="J27" i="261"/>
  <c r="H27" i="261"/>
  <c r="K27" i="261"/>
  <c r="L62" i="19"/>
  <c r="G10" i="273" s="1"/>
  <c r="F62" i="10"/>
  <c r="C62" i="10" s="1"/>
  <c r="N62" i="10" s="1"/>
  <c r="B71" i="261"/>
  <c r="B71" i="17"/>
  <c r="B84" i="261"/>
  <c r="B84" i="17"/>
  <c r="F69" i="10"/>
  <c r="C69" i="10" s="1"/>
  <c r="N69" i="10" s="1"/>
  <c r="B66" i="261"/>
  <c r="B66" i="17"/>
  <c r="F60" i="10"/>
  <c r="C60" i="10" s="1"/>
  <c r="N60" i="10" s="1"/>
  <c r="L60" i="19"/>
  <c r="AI22" i="261"/>
  <c r="F56" i="10"/>
  <c r="C56" i="10" s="1"/>
  <c r="N56" i="10" s="1"/>
  <c r="L56" i="19"/>
  <c r="F55" i="10"/>
  <c r="C55" i="10" s="1"/>
  <c r="N55" i="10" s="1"/>
  <c r="L55" i="19"/>
  <c r="F84" i="10"/>
  <c r="C84" i="10" s="1"/>
  <c r="N84" i="10" s="1"/>
  <c r="L84" i="19"/>
  <c r="F27" i="17"/>
  <c r="F86" i="10"/>
  <c r="C86" i="10" s="1"/>
  <c r="N86" i="10" s="1"/>
  <c r="L86" i="19"/>
  <c r="E27" i="17"/>
  <c r="U27" i="17" s="1"/>
  <c r="H27" i="12"/>
  <c r="O27" i="12" s="1"/>
  <c r="K27" i="12"/>
  <c r="B60" i="261"/>
  <c r="B60" i="17"/>
  <c r="B69" i="13"/>
  <c r="U69" i="13" s="1"/>
  <c r="Q74" i="140"/>
  <c r="M15" i="17"/>
  <c r="F15" i="17"/>
  <c r="Q70" i="140"/>
  <c r="N10" i="12"/>
  <c r="G91" i="8"/>
  <c r="G96" i="8" s="1"/>
  <c r="Q89" i="140"/>
  <c r="Q87" i="140"/>
  <c r="B91" i="9"/>
  <c r="B91" i="12" s="1"/>
  <c r="L89" i="13"/>
  <c r="P41" i="17"/>
  <c r="Q42" i="12"/>
  <c r="E67" i="12"/>
  <c r="H67" i="12" s="1"/>
  <c r="O67" i="12" s="1"/>
  <c r="U67" i="13"/>
  <c r="L67" i="13"/>
  <c r="Q84" i="140"/>
  <c r="F24" i="257"/>
  <c r="H24" i="116"/>
  <c r="I14" i="12"/>
  <c r="F14" i="12"/>
  <c r="T14" i="260" s="1"/>
  <c r="B12" i="17"/>
  <c r="E12" i="17" s="1"/>
  <c r="L12" i="19"/>
  <c r="K12" i="19"/>
  <c r="D4" i="273" s="1"/>
  <c r="C46" i="17"/>
  <c r="K46" i="19"/>
  <c r="U52" i="13"/>
  <c r="E52" i="12"/>
  <c r="Q69" i="140"/>
  <c r="Q62" i="140"/>
  <c r="Q82" i="140"/>
  <c r="P50" i="13"/>
  <c r="O50" i="13" s="1"/>
  <c r="J50" i="13" s="1"/>
  <c r="K91" i="98"/>
  <c r="P51" i="13"/>
  <c r="O51" i="13" s="1"/>
  <c r="J51" i="13" s="1"/>
  <c r="I9" i="13"/>
  <c r="F44" i="19"/>
  <c r="E44" i="19" s="1"/>
  <c r="J48" i="12"/>
  <c r="G48" i="12"/>
  <c r="N48" i="12" s="1"/>
  <c r="G13" i="12"/>
  <c r="J13" i="12" s="1"/>
  <c r="P9" i="9"/>
  <c r="J23" i="36"/>
  <c r="G46" i="12"/>
  <c r="N46" i="12" s="1"/>
  <c r="J46" i="12"/>
  <c r="K10" i="12"/>
  <c r="O10" i="12"/>
  <c r="E46" i="12"/>
  <c r="U46" i="13"/>
  <c r="E52" i="19"/>
  <c r="D52" i="12"/>
  <c r="J46" i="36"/>
  <c r="Q80" i="140"/>
  <c r="Q65" i="140"/>
  <c r="Q61" i="140"/>
  <c r="P30" i="17"/>
  <c r="K48" i="19"/>
  <c r="C48" i="17"/>
  <c r="M10" i="17"/>
  <c r="E10" i="17"/>
  <c r="F10" i="17"/>
  <c r="C13" i="17"/>
  <c r="K13" i="19"/>
  <c r="K27" i="17"/>
  <c r="I27" i="9"/>
  <c r="H27" i="17"/>
  <c r="C9" i="9"/>
  <c r="D27" i="12"/>
  <c r="B27" i="25"/>
  <c r="E27" i="116"/>
  <c r="J27" i="17"/>
  <c r="C97" i="9"/>
  <c r="I97" i="9" s="1"/>
  <c r="J97" i="9" s="1"/>
  <c r="L27" i="9"/>
  <c r="Q44" i="12"/>
  <c r="I10" i="12"/>
  <c r="F10" i="12"/>
  <c r="T10" i="260" s="1"/>
  <c r="E13" i="12"/>
  <c r="C13" i="12" s="1"/>
  <c r="S13" i="260" s="1"/>
  <c r="U13" i="13"/>
  <c r="H27" i="36"/>
  <c r="C27" i="36"/>
  <c r="O27" i="36" s="1"/>
  <c r="E61" i="36"/>
  <c r="B9" i="36"/>
  <c r="H9" i="36" s="1"/>
  <c r="L52" i="13"/>
  <c r="P39" i="17"/>
  <c r="F41" i="154" s="1"/>
  <c r="K41" i="154" s="1"/>
  <c r="U15" i="17"/>
  <c r="P43" i="17"/>
  <c r="F45" i="154" s="1"/>
  <c r="K45" i="154" s="1"/>
  <c r="E33" i="9"/>
  <c r="E25" i="9"/>
  <c r="E23" i="9"/>
  <c r="F14" i="17"/>
  <c r="M14" i="17"/>
  <c r="E14" i="17"/>
  <c r="O14" i="17" s="1"/>
  <c r="P14" i="17" s="1"/>
  <c r="F16" i="154" s="1"/>
  <c r="K16" i="154" s="1"/>
  <c r="G89" i="12"/>
  <c r="N89" i="12" s="1"/>
  <c r="J89" i="12"/>
  <c r="N32" i="116"/>
  <c r="E71" i="12"/>
  <c r="U71" i="13"/>
  <c r="K17" i="154"/>
  <c r="B61" i="13"/>
  <c r="B62" i="13"/>
  <c r="U62" i="13" s="1"/>
  <c r="E78" i="12"/>
  <c r="U78" i="13"/>
  <c r="E73" i="12"/>
  <c r="U73" i="13"/>
  <c r="O58" i="257"/>
  <c r="Q58" i="257" s="1"/>
  <c r="O60" i="60"/>
  <c r="H92" i="60"/>
  <c r="Q56" i="60"/>
  <c r="D48" i="162"/>
  <c r="N91" i="8"/>
  <c r="P47" i="99"/>
  <c r="Q44" i="99"/>
  <c r="Q90" i="99" s="1"/>
  <c r="I44" i="99"/>
  <c r="I90" i="99" s="1"/>
  <c r="M12" i="17"/>
  <c r="J72" i="12"/>
  <c r="G72" i="12"/>
  <c r="N72" i="12" s="1"/>
  <c r="P75" i="140"/>
  <c r="N75" i="140"/>
  <c r="O75" i="140"/>
  <c r="H83" i="12"/>
  <c r="O83" i="12" s="1"/>
  <c r="C83" i="12"/>
  <c r="S83" i="260" s="1"/>
  <c r="K83" i="12"/>
  <c r="W9" i="99"/>
  <c r="U87" i="13"/>
  <c r="E87" i="12"/>
  <c r="E59" i="12"/>
  <c r="U59" i="13"/>
  <c r="K56" i="12"/>
  <c r="H56" i="12"/>
  <c r="O56" i="12" s="1"/>
  <c r="C56" i="12"/>
  <c r="S56" i="260" s="1"/>
  <c r="I55" i="12"/>
  <c r="L13" i="99"/>
  <c r="L45" i="99"/>
  <c r="M44" i="99"/>
  <c r="M90" i="99" s="1"/>
  <c r="U39" i="17"/>
  <c r="O56" i="60"/>
  <c r="O54" i="257"/>
  <c r="Q54" i="257" s="1"/>
  <c r="K49" i="12"/>
  <c r="H49" i="12"/>
  <c r="O49" i="12" s="1"/>
  <c r="C49" i="12"/>
  <c r="S49" i="260" s="1"/>
  <c r="E89" i="99"/>
  <c r="E24" i="99"/>
  <c r="F8" i="99"/>
  <c r="M88" i="140"/>
  <c r="L50" i="98"/>
  <c r="D50" i="98" s="1"/>
  <c r="L27" i="98"/>
  <c r="D27" i="98" s="1"/>
  <c r="L9" i="99"/>
  <c r="M8" i="99"/>
  <c r="D56" i="140"/>
  <c r="C56" i="140" s="1"/>
  <c r="B56" i="140" s="1"/>
  <c r="K51" i="36"/>
  <c r="F51" i="36"/>
  <c r="L51" i="36" s="1"/>
  <c r="G44" i="99"/>
  <c r="G90" i="99" s="1"/>
  <c r="U44" i="99"/>
  <c r="U90" i="99" s="1"/>
  <c r="S44" i="99"/>
  <c r="S90" i="99" s="1"/>
  <c r="N89" i="140"/>
  <c r="P89" i="140"/>
  <c r="O89" i="140"/>
  <c r="K81" i="12"/>
  <c r="H81" i="12"/>
  <c r="O81" i="12" s="1"/>
  <c r="C81" i="12"/>
  <c r="S81" i="260" s="1"/>
  <c r="L50" i="99"/>
  <c r="P62" i="140"/>
  <c r="N62" i="140"/>
  <c r="O62" i="140"/>
  <c r="F21" i="17"/>
  <c r="M21" i="17"/>
  <c r="E21" i="17"/>
  <c r="O21" i="17" s="1"/>
  <c r="P21" i="17" s="1"/>
  <c r="F23" i="154" s="1"/>
  <c r="N82" i="140"/>
  <c r="P82" i="140"/>
  <c r="O82" i="140"/>
  <c r="L59" i="19"/>
  <c r="G53" i="10"/>
  <c r="M78" i="140"/>
  <c r="L51" i="98"/>
  <c r="D51" i="98" s="1"/>
  <c r="F66" i="19"/>
  <c r="N70" i="140"/>
  <c r="P70" i="140"/>
  <c r="O70" i="140"/>
  <c r="E82" i="12"/>
  <c r="U82" i="13"/>
  <c r="E60" i="12"/>
  <c r="U60" i="13"/>
  <c r="I90" i="98"/>
  <c r="L47" i="99"/>
  <c r="P87" i="140"/>
  <c r="N87" i="140"/>
  <c r="O87" i="140"/>
  <c r="B76" i="13"/>
  <c r="L45" i="98"/>
  <c r="M44" i="98"/>
  <c r="M90" i="98" s="1"/>
  <c r="L46" i="36"/>
  <c r="I45" i="36"/>
  <c r="H45" i="36"/>
  <c r="I91" i="98"/>
  <c r="P61" i="140"/>
  <c r="N61" i="140"/>
  <c r="O61" i="140"/>
  <c r="L89" i="99"/>
  <c r="L88" i="13"/>
  <c r="K77" i="12"/>
  <c r="H77" i="12"/>
  <c r="O77" i="12" s="1"/>
  <c r="C77" i="12"/>
  <c r="S77" i="260" s="1"/>
  <c r="B51" i="17"/>
  <c r="L51" i="19"/>
  <c r="L49" i="98"/>
  <c r="D49" i="98" s="1"/>
  <c r="Q75" i="140"/>
  <c r="H91" i="8"/>
  <c r="I90" i="8"/>
  <c r="I48" i="12"/>
  <c r="F48" i="12"/>
  <c r="T48" i="260" s="1"/>
  <c r="F54" i="13"/>
  <c r="G53" i="13"/>
  <c r="H44" i="99"/>
  <c r="H90" i="99" s="1"/>
  <c r="M8" i="98"/>
  <c r="U75" i="13"/>
  <c r="E75" i="12"/>
  <c r="P84" i="140"/>
  <c r="N84" i="140"/>
  <c r="O84" i="140"/>
  <c r="M60" i="140"/>
  <c r="F22" i="17"/>
  <c r="M22" i="17"/>
  <c r="E22" i="17"/>
  <c r="O22" i="17" s="1"/>
  <c r="P22" i="17" s="1"/>
  <c r="F24" i="154" s="1"/>
  <c r="I53" i="17"/>
  <c r="D91" i="19"/>
  <c r="P89" i="99"/>
  <c r="P48" i="99"/>
  <c r="N74" i="140"/>
  <c r="P74" i="140"/>
  <c r="O74" i="140"/>
  <c r="M71" i="140"/>
  <c r="K50" i="36"/>
  <c r="F50" i="36"/>
  <c r="L50" i="36" s="1"/>
  <c r="E45" i="36"/>
  <c r="K45" i="36" s="1"/>
  <c r="T44" i="99"/>
  <c r="T90" i="99" s="1"/>
  <c r="K44" i="99"/>
  <c r="K90" i="99" s="1"/>
  <c r="J44" i="99"/>
  <c r="J90" i="99" s="1"/>
  <c r="P85" i="60"/>
  <c r="C85" i="60"/>
  <c r="E64" i="12"/>
  <c r="U64" i="13"/>
  <c r="P67" i="140"/>
  <c r="N67" i="140"/>
  <c r="O67" i="140"/>
  <c r="B59" i="17"/>
  <c r="E24" i="98"/>
  <c r="F8" i="98"/>
  <c r="F91" i="98" s="1"/>
  <c r="P68" i="140"/>
  <c r="N68" i="140"/>
  <c r="O68" i="140"/>
  <c r="K80" i="12"/>
  <c r="C80" i="12"/>
  <c r="S80" i="260" s="1"/>
  <c r="H80" i="12"/>
  <c r="O80" i="12" s="1"/>
  <c r="F76" i="19"/>
  <c r="D76" i="12" s="1"/>
  <c r="N44" i="98"/>
  <c r="N90" i="98" s="1"/>
  <c r="H91" i="98"/>
  <c r="P79" i="140"/>
  <c r="N79" i="140"/>
  <c r="O79" i="140"/>
  <c r="K89" i="12"/>
  <c r="H89" i="12"/>
  <c r="O89" i="12" s="1"/>
  <c r="L82" i="13"/>
  <c r="P58" i="140"/>
  <c r="N58" i="140"/>
  <c r="O58" i="140"/>
  <c r="U43" i="17"/>
  <c r="K68" i="12"/>
  <c r="C68" i="12"/>
  <c r="S68" i="260" s="1"/>
  <c r="H68" i="12"/>
  <c r="O68" i="12" s="1"/>
  <c r="N66" i="140"/>
  <c r="P66" i="140"/>
  <c r="O66" i="140"/>
  <c r="N86" i="140"/>
  <c r="P86" i="140"/>
  <c r="O86" i="140"/>
  <c r="K63" i="12"/>
  <c r="C63" i="12"/>
  <c r="S63" i="260" s="1"/>
  <c r="H63" i="12"/>
  <c r="O63" i="12" s="1"/>
  <c r="N8" i="99"/>
  <c r="N69" i="140"/>
  <c r="P69" i="140"/>
  <c r="O69" i="140"/>
  <c r="F18" i="17"/>
  <c r="M18" i="17"/>
  <c r="E18" i="17"/>
  <c r="O18" i="17" s="1"/>
  <c r="P18" i="17" s="1"/>
  <c r="F20" i="154" s="1"/>
  <c r="G47" i="12"/>
  <c r="J47" i="12"/>
  <c r="F19" i="17"/>
  <c r="M19" i="17"/>
  <c r="E19" i="17"/>
  <c r="O19" i="17" s="1"/>
  <c r="U66" i="13"/>
  <c r="E66" i="12"/>
  <c r="P24" i="99"/>
  <c r="Q8" i="99"/>
  <c r="P80" i="140"/>
  <c r="N80" i="140"/>
  <c r="O80" i="140"/>
  <c r="N65" i="140"/>
  <c r="P65" i="140"/>
  <c r="O65" i="140"/>
  <c r="L89" i="98"/>
  <c r="E48" i="99"/>
  <c r="V44" i="99"/>
  <c r="V90" i="99" s="1"/>
  <c r="R44" i="99"/>
  <c r="R90" i="99" s="1"/>
  <c r="E47" i="99"/>
  <c r="F44" i="99"/>
  <c r="F90" i="99" s="1"/>
  <c r="F16" i="17"/>
  <c r="M16" i="17"/>
  <c r="E16" i="17"/>
  <c r="O16" i="17" s="1"/>
  <c r="P16" i="17" s="1"/>
  <c r="F18" i="154" s="1"/>
  <c r="P73" i="140"/>
  <c r="N73" i="140"/>
  <c r="O73" i="140"/>
  <c r="U65" i="13"/>
  <c r="E65" i="12"/>
  <c r="L26" i="99"/>
  <c r="L43" i="99"/>
  <c r="H91" i="257"/>
  <c r="Q67" i="140"/>
  <c r="E88" i="12"/>
  <c r="U88" i="13"/>
  <c r="M72" i="140"/>
  <c r="U57" i="13"/>
  <c r="E57" i="12"/>
  <c r="C47" i="17"/>
  <c r="K47" i="19"/>
  <c r="M63" i="140"/>
  <c r="L12" i="98"/>
  <c r="D12" i="98" s="1"/>
  <c r="L33" i="98"/>
  <c r="D33" i="98" s="1"/>
  <c r="L66" i="13"/>
  <c r="F62" i="19"/>
  <c r="W9" i="98"/>
  <c r="Q68" i="140"/>
  <c r="D9" i="98"/>
  <c r="L43" i="98"/>
  <c r="D43" i="98" s="1"/>
  <c r="E89" i="98"/>
  <c r="J91" i="98"/>
  <c r="L65" i="13"/>
  <c r="C53" i="19"/>
  <c r="B53" i="19" s="1"/>
  <c r="L30" i="99"/>
  <c r="Q79" i="140"/>
  <c r="AJ22" i="98"/>
  <c r="AJ89" i="98"/>
  <c r="AJ48" i="98"/>
  <c r="AJ24" i="98"/>
  <c r="AJ47" i="98"/>
  <c r="C51" i="10"/>
  <c r="N51" i="10" s="1"/>
  <c r="L47" i="98"/>
  <c r="D47" i="98" s="1"/>
  <c r="L30" i="98"/>
  <c r="D30" i="98" s="1"/>
  <c r="B72" i="13"/>
  <c r="K74" i="12"/>
  <c r="H74" i="12"/>
  <c r="O74" i="12" s="1"/>
  <c r="C74" i="12"/>
  <c r="S74" i="260" s="1"/>
  <c r="M64" i="140"/>
  <c r="F36" i="17"/>
  <c r="M36" i="17"/>
  <c r="E36" i="17"/>
  <c r="O36" i="17" s="1"/>
  <c r="P36" i="17" s="1"/>
  <c r="F38" i="154" s="1"/>
  <c r="Q58" i="140"/>
  <c r="J90" i="98"/>
  <c r="F17" i="17"/>
  <c r="M17" i="17"/>
  <c r="E17" i="17"/>
  <c r="O17" i="17" s="1"/>
  <c r="P17" i="17" s="1"/>
  <c r="F19" i="154" s="1"/>
  <c r="Q66" i="140"/>
  <c r="Q86" i="140"/>
  <c r="K90" i="17" l="1"/>
  <c r="H90" i="17"/>
  <c r="C47" i="12"/>
  <c r="S47" i="260" s="1"/>
  <c r="U49" i="17"/>
  <c r="J90" i="17"/>
  <c r="I90" i="116"/>
  <c r="G91" i="9"/>
  <c r="I91" i="116" s="1"/>
  <c r="U42" i="17"/>
  <c r="F14" i="273"/>
  <c r="I14" i="273" s="1"/>
  <c r="D90" i="9"/>
  <c r="O90" i="9" s="1"/>
  <c r="G4" i="273"/>
  <c r="F6" i="273"/>
  <c r="I6" i="273" s="1"/>
  <c r="O40" i="17"/>
  <c r="P40" i="17" s="1"/>
  <c r="F42" i="154" s="1"/>
  <c r="K42" i="154" s="1"/>
  <c r="U40" i="17"/>
  <c r="AJ90" i="99"/>
  <c r="F45" i="10"/>
  <c r="K45" i="10" s="1"/>
  <c r="K90" i="10" s="1"/>
  <c r="U35" i="17"/>
  <c r="C84" i="12"/>
  <c r="S84" i="260" s="1"/>
  <c r="T15" i="261"/>
  <c r="X15" i="261" s="1"/>
  <c r="AA15" i="261" s="1"/>
  <c r="U18" i="261"/>
  <c r="Y18" i="261" s="1"/>
  <c r="AB18" i="261" s="1"/>
  <c r="T17" i="261"/>
  <c r="X17" i="261" s="1"/>
  <c r="AA17" i="261" s="1"/>
  <c r="AI18" i="261"/>
  <c r="S18" i="261"/>
  <c r="W18" i="261" s="1"/>
  <c r="Z18" i="261" s="1"/>
  <c r="U15" i="261"/>
  <c r="Y15" i="261" s="1"/>
  <c r="AB15" i="261" s="1"/>
  <c r="F55" i="12"/>
  <c r="T55" i="260" s="1"/>
  <c r="S55" i="260"/>
  <c r="V19" i="261"/>
  <c r="AB19" i="261" s="1"/>
  <c r="E47" i="261"/>
  <c r="AI47" i="261" s="1"/>
  <c r="M47" i="261"/>
  <c r="M46" i="261"/>
  <c r="AA40" i="261"/>
  <c r="Z40" i="261"/>
  <c r="E85" i="12"/>
  <c r="C85" i="12" s="1"/>
  <c r="S85" i="260" s="1"/>
  <c r="Z30" i="261"/>
  <c r="O42" i="261"/>
  <c r="V42" i="261" s="1"/>
  <c r="AB30" i="261"/>
  <c r="E48" i="261"/>
  <c r="AI48" i="261" s="1"/>
  <c r="C67" i="12"/>
  <c r="S67" i="260" s="1"/>
  <c r="H90" i="9"/>
  <c r="K67" i="12"/>
  <c r="S16" i="261"/>
  <c r="W16" i="261" s="1"/>
  <c r="E90" i="116"/>
  <c r="H47" i="12"/>
  <c r="O47" i="12" s="1"/>
  <c r="S17" i="261"/>
  <c r="W17" i="261" s="1"/>
  <c r="Z17" i="261" s="1"/>
  <c r="AI17" i="261"/>
  <c r="K90" i="261"/>
  <c r="F48" i="261"/>
  <c r="U17" i="261"/>
  <c r="Y17" i="261" s="1"/>
  <c r="AB17" i="261" s="1"/>
  <c r="I91" i="99"/>
  <c r="E13" i="261"/>
  <c r="AI13" i="261" s="1"/>
  <c r="J90" i="261"/>
  <c r="T19" i="261"/>
  <c r="X19" i="261" s="1"/>
  <c r="K90" i="268"/>
  <c r="AA43" i="261"/>
  <c r="C45" i="19"/>
  <c r="B45" i="19" s="1"/>
  <c r="L45" i="19" s="1"/>
  <c r="K84" i="12"/>
  <c r="H90" i="261"/>
  <c r="S19" i="261"/>
  <c r="W19" i="261" s="1"/>
  <c r="Z19" i="261" s="1"/>
  <c r="J90" i="268"/>
  <c r="I90" i="17"/>
  <c r="K50" i="10"/>
  <c r="I90" i="261"/>
  <c r="AI19" i="261"/>
  <c r="Z43" i="261"/>
  <c r="V16" i="261"/>
  <c r="AA16" i="261" s="1"/>
  <c r="L50" i="19"/>
  <c r="G91" i="98"/>
  <c r="U16" i="261"/>
  <c r="Y16" i="261" s="1"/>
  <c r="F12" i="17"/>
  <c r="AI16" i="261"/>
  <c r="E58" i="12"/>
  <c r="C58" i="12" s="1"/>
  <c r="S58" i="260" s="1"/>
  <c r="E12" i="261"/>
  <c r="O12" i="261" s="1"/>
  <c r="V12" i="261" s="1"/>
  <c r="E46" i="261"/>
  <c r="O46" i="261" s="1"/>
  <c r="O14" i="261"/>
  <c r="V14" i="261" s="1"/>
  <c r="O10" i="261"/>
  <c r="V10" i="261" s="1"/>
  <c r="W26" i="98"/>
  <c r="O26" i="98" s="1"/>
  <c r="D48" i="98"/>
  <c r="E69" i="12"/>
  <c r="K69" i="12" s="1"/>
  <c r="B50" i="261"/>
  <c r="B45" i="261" s="1"/>
  <c r="I27" i="268"/>
  <c r="D91" i="9"/>
  <c r="H9" i="268"/>
  <c r="K9" i="268"/>
  <c r="J9" i="268"/>
  <c r="F13" i="261"/>
  <c r="AB32" i="261"/>
  <c r="Z32" i="261"/>
  <c r="AA32" i="261"/>
  <c r="K90" i="9"/>
  <c r="C52" i="261"/>
  <c r="M52" i="261" s="1"/>
  <c r="AI39" i="261"/>
  <c r="M91" i="99"/>
  <c r="W26" i="99"/>
  <c r="O26" i="99" s="1"/>
  <c r="W12" i="98"/>
  <c r="O12" i="98" s="1"/>
  <c r="M99" i="99"/>
  <c r="B50" i="17"/>
  <c r="B45" i="17" s="1"/>
  <c r="C44" i="261"/>
  <c r="F44" i="261" s="1"/>
  <c r="O35" i="261"/>
  <c r="AI35" i="261"/>
  <c r="M27" i="261"/>
  <c r="W51" i="98"/>
  <c r="O51" i="98" s="1"/>
  <c r="W22" i="98"/>
  <c r="O22" i="98" s="1"/>
  <c r="M100" i="98"/>
  <c r="W46" i="99"/>
  <c r="O46" i="99" s="1"/>
  <c r="W30" i="99"/>
  <c r="O30" i="99" s="1"/>
  <c r="W51" i="99"/>
  <c r="O51" i="99" s="1"/>
  <c r="N91" i="99"/>
  <c r="B53" i="17"/>
  <c r="M91" i="98"/>
  <c r="W48" i="99"/>
  <c r="W50" i="99"/>
  <c r="O50" i="99" s="1"/>
  <c r="W41" i="98"/>
  <c r="O41" i="98" s="1"/>
  <c r="W48" i="98"/>
  <c r="Y8" i="99"/>
  <c r="Y8" i="98"/>
  <c r="W49" i="98"/>
  <c r="O49" i="98" s="1"/>
  <c r="W27" i="99"/>
  <c r="O27" i="99" s="1"/>
  <c r="N91" i="98"/>
  <c r="Z22" i="261"/>
  <c r="AB22" i="261"/>
  <c r="AA22" i="261"/>
  <c r="AA21" i="261"/>
  <c r="AB21" i="261"/>
  <c r="Z21" i="261"/>
  <c r="Z36" i="261"/>
  <c r="AA36" i="261"/>
  <c r="AB36" i="261"/>
  <c r="AA18" i="261"/>
  <c r="I27" i="261"/>
  <c r="G27" i="17"/>
  <c r="G27" i="261"/>
  <c r="P91" i="8"/>
  <c r="M90" i="13"/>
  <c r="F90" i="9"/>
  <c r="L90" i="9" s="1"/>
  <c r="B53" i="261"/>
  <c r="C91" i="9"/>
  <c r="H9" i="261"/>
  <c r="K9" i="261"/>
  <c r="J9" i="261"/>
  <c r="Q91" i="99"/>
  <c r="U36" i="17"/>
  <c r="Q88" i="140"/>
  <c r="N41" i="116"/>
  <c r="U91" i="99"/>
  <c r="E86" i="12"/>
  <c r="C86" i="12" s="1"/>
  <c r="S86" i="260" s="1"/>
  <c r="E70" i="12"/>
  <c r="K70" i="12" s="1"/>
  <c r="T91" i="99"/>
  <c r="S91" i="99"/>
  <c r="U22" i="17"/>
  <c r="F13" i="12"/>
  <c r="T13" i="260" s="1"/>
  <c r="I13" i="12"/>
  <c r="U18" i="17"/>
  <c r="P51" i="36"/>
  <c r="E97" i="9"/>
  <c r="K97" i="9" s="1"/>
  <c r="F23" i="9"/>
  <c r="K23" i="9"/>
  <c r="E9" i="9"/>
  <c r="E23" i="36"/>
  <c r="E25" i="36"/>
  <c r="E33" i="36"/>
  <c r="J27" i="9"/>
  <c r="F13" i="17"/>
  <c r="E13" i="17"/>
  <c r="M13" i="17"/>
  <c r="C52" i="17"/>
  <c r="K52" i="19"/>
  <c r="F46" i="17"/>
  <c r="M46" i="17"/>
  <c r="E46" i="17"/>
  <c r="O46" i="17" s="1"/>
  <c r="P46" i="17" s="1"/>
  <c r="F48" i="154" s="1"/>
  <c r="K48" i="154" s="1"/>
  <c r="Q64" i="140"/>
  <c r="V91" i="99"/>
  <c r="Q48" i="12"/>
  <c r="C45" i="10"/>
  <c r="H32" i="116"/>
  <c r="F32" i="257"/>
  <c r="U14" i="17"/>
  <c r="K25" i="9"/>
  <c r="F25" i="9"/>
  <c r="C9" i="36"/>
  <c r="I9" i="36" s="1"/>
  <c r="J9" i="36" s="1"/>
  <c r="C27" i="25"/>
  <c r="D27" i="25" s="1"/>
  <c r="I27" i="36"/>
  <c r="L27" i="36"/>
  <c r="Q10" i="12"/>
  <c r="M27" i="17"/>
  <c r="J27" i="12"/>
  <c r="C27" i="12"/>
  <c r="S27" i="260" s="1"/>
  <c r="F48" i="17"/>
  <c r="M48" i="17"/>
  <c r="E48" i="17"/>
  <c r="N30" i="116"/>
  <c r="H52" i="12"/>
  <c r="O52" i="12" s="1"/>
  <c r="K52" i="12"/>
  <c r="Q63" i="140"/>
  <c r="P19" i="17"/>
  <c r="F21" i="154" s="1"/>
  <c r="K21" i="154" s="1"/>
  <c r="J45" i="36"/>
  <c r="J91" i="99"/>
  <c r="K33" i="9"/>
  <c r="F33" i="9"/>
  <c r="H13" i="12"/>
  <c r="O13" i="12" s="1"/>
  <c r="I27" i="17"/>
  <c r="J9" i="17"/>
  <c r="H9" i="17"/>
  <c r="K9" i="17"/>
  <c r="I9" i="9"/>
  <c r="J9" i="9" s="1"/>
  <c r="G27" i="12"/>
  <c r="K46" i="12"/>
  <c r="C46" i="12"/>
  <c r="S46" i="260" s="1"/>
  <c r="H46" i="12"/>
  <c r="O46" i="12" s="1"/>
  <c r="O9" i="9"/>
  <c r="N13" i="12"/>
  <c r="C44" i="17"/>
  <c r="K44" i="19"/>
  <c r="E97" i="116"/>
  <c r="E9" i="116"/>
  <c r="O10" i="17"/>
  <c r="U10" i="17"/>
  <c r="G52" i="12"/>
  <c r="N52" i="12" s="1"/>
  <c r="J52" i="12"/>
  <c r="C52" i="12"/>
  <c r="S52" i="260" s="1"/>
  <c r="Q14" i="12"/>
  <c r="K19" i="154"/>
  <c r="K20" i="154"/>
  <c r="K18" i="154"/>
  <c r="K23" i="154"/>
  <c r="K38" i="154"/>
  <c r="D43" i="99"/>
  <c r="K65" i="12"/>
  <c r="H65" i="12"/>
  <c r="O65" i="12" s="1"/>
  <c r="C65" i="12"/>
  <c r="S65" i="260" s="1"/>
  <c r="P8" i="99"/>
  <c r="F68" i="12"/>
  <c r="T68" i="260" s="1"/>
  <c r="I68" i="12"/>
  <c r="I89" i="12"/>
  <c r="F89" i="12"/>
  <c r="T89" i="260" s="1"/>
  <c r="F80" i="12"/>
  <c r="T80" i="260" s="1"/>
  <c r="I80" i="12"/>
  <c r="O12" i="17"/>
  <c r="N71" i="140"/>
  <c r="P71" i="140"/>
  <c r="O71" i="140"/>
  <c r="D98" i="19"/>
  <c r="E90" i="98"/>
  <c r="F53" i="13"/>
  <c r="J54" i="13"/>
  <c r="J53" i="13" s="1"/>
  <c r="J91" i="8"/>
  <c r="H96" i="8"/>
  <c r="D45" i="98"/>
  <c r="L44" i="98"/>
  <c r="L90" i="98" s="1"/>
  <c r="K60" i="12"/>
  <c r="H60" i="12"/>
  <c r="O60" i="12" s="1"/>
  <c r="C60" i="12"/>
  <c r="S60" i="260" s="1"/>
  <c r="W89" i="99"/>
  <c r="F81" i="12"/>
  <c r="T81" i="260" s="1"/>
  <c r="I81" i="12"/>
  <c r="L8" i="99"/>
  <c r="D9" i="99"/>
  <c r="F91" i="99"/>
  <c r="I49" i="12"/>
  <c r="F49" i="12"/>
  <c r="T49" i="260" s="1"/>
  <c r="L44" i="99"/>
  <c r="D45" i="99"/>
  <c r="F56" i="12"/>
  <c r="T56" i="260" s="1"/>
  <c r="I56" i="12"/>
  <c r="X8" i="99"/>
  <c r="P44" i="99"/>
  <c r="Q92" i="60"/>
  <c r="K78" i="12"/>
  <c r="H78" i="12"/>
  <c r="O78" i="12" s="1"/>
  <c r="C78" i="12"/>
  <c r="S78" i="260" s="1"/>
  <c r="W30" i="98"/>
  <c r="O30" i="98" s="1"/>
  <c r="W13" i="98"/>
  <c r="O13" i="98" s="1"/>
  <c r="N64" i="140"/>
  <c r="P64" i="140"/>
  <c r="O64" i="140"/>
  <c r="O9" i="98"/>
  <c r="P63" i="140"/>
  <c r="N63" i="140"/>
  <c r="O63" i="140"/>
  <c r="F47" i="17"/>
  <c r="M47" i="17"/>
  <c r="E47" i="17"/>
  <c r="K88" i="12"/>
  <c r="H88" i="12"/>
  <c r="O88" i="12" s="1"/>
  <c r="C88" i="12"/>
  <c r="S88" i="260" s="1"/>
  <c r="D26" i="99"/>
  <c r="D47" i="99"/>
  <c r="E44" i="99"/>
  <c r="D48" i="99"/>
  <c r="U19" i="17"/>
  <c r="I47" i="12"/>
  <c r="F47" i="12"/>
  <c r="T47" i="260" s="1"/>
  <c r="W50" i="98"/>
  <c r="O50" i="98" s="1"/>
  <c r="W41" i="99"/>
  <c r="K64" i="12"/>
  <c r="H64" i="12"/>
  <c r="O64" i="12" s="1"/>
  <c r="C64" i="12"/>
  <c r="S64" i="260" s="1"/>
  <c r="Q71" i="140"/>
  <c r="O48" i="99"/>
  <c r="H91" i="99"/>
  <c r="W89" i="98"/>
  <c r="W24" i="98"/>
  <c r="K51" i="13"/>
  <c r="F51" i="19"/>
  <c r="E76" i="12"/>
  <c r="C76" i="12" s="1"/>
  <c r="S76" i="260" s="1"/>
  <c r="U76" i="13"/>
  <c r="W32" i="99"/>
  <c r="Y44" i="99"/>
  <c r="Y90" i="99" s="1"/>
  <c r="L53" i="19"/>
  <c r="G15" i="273" s="1"/>
  <c r="J53" i="10"/>
  <c r="M56" i="140"/>
  <c r="D89" i="99"/>
  <c r="D13" i="99"/>
  <c r="K59" i="12"/>
  <c r="H59" i="12"/>
  <c r="O59" i="12" s="1"/>
  <c r="C59" i="12"/>
  <c r="S59" i="260" s="1"/>
  <c r="O9" i="99"/>
  <c r="W49" i="99"/>
  <c r="L76" i="13"/>
  <c r="K71" i="12"/>
  <c r="H71" i="12"/>
  <c r="O71" i="12" s="1"/>
  <c r="C71" i="12"/>
  <c r="S71" i="260" s="1"/>
  <c r="E72" i="12"/>
  <c r="U72" i="13"/>
  <c r="AJ90" i="98"/>
  <c r="L8" i="98"/>
  <c r="X8" i="98"/>
  <c r="K57" i="12"/>
  <c r="C57" i="12"/>
  <c r="S57" i="260" s="1"/>
  <c r="H57" i="12"/>
  <c r="O57" i="12" s="1"/>
  <c r="P72" i="140"/>
  <c r="N72" i="140"/>
  <c r="O72" i="140"/>
  <c r="F84" i="12"/>
  <c r="T84" i="260" s="1"/>
  <c r="I84" i="12"/>
  <c r="I63" i="12"/>
  <c r="F63" i="12"/>
  <c r="T63" i="260" s="1"/>
  <c r="J76" i="12"/>
  <c r="G76" i="12"/>
  <c r="N76" i="12" s="1"/>
  <c r="O83" i="257"/>
  <c r="Q83" i="257" s="1"/>
  <c r="O85" i="60"/>
  <c r="K24" i="154"/>
  <c r="N60" i="140"/>
  <c r="P60" i="140"/>
  <c r="O60" i="140"/>
  <c r="K75" i="12"/>
  <c r="C75" i="12"/>
  <c r="S75" i="260" s="1"/>
  <c r="H75" i="12"/>
  <c r="O75" i="12" s="1"/>
  <c r="Y44" i="98"/>
  <c r="Y90" i="98" s="1"/>
  <c r="F77" i="12"/>
  <c r="T77" i="260" s="1"/>
  <c r="I77" i="12"/>
  <c r="F45" i="36"/>
  <c r="L45" i="36" s="1"/>
  <c r="U12" i="17"/>
  <c r="W45" i="99"/>
  <c r="X44" i="99"/>
  <c r="X90" i="99" s="1"/>
  <c r="P78" i="140"/>
  <c r="N78" i="140"/>
  <c r="O78" i="140"/>
  <c r="R91" i="99"/>
  <c r="K87" i="12"/>
  <c r="C87" i="12"/>
  <c r="S87" i="260" s="1"/>
  <c r="H87" i="12"/>
  <c r="O87" i="12" s="1"/>
  <c r="D53" i="12"/>
  <c r="K73" i="12"/>
  <c r="H73" i="12"/>
  <c r="O73" i="12" s="1"/>
  <c r="C73" i="12"/>
  <c r="S73" i="260" s="1"/>
  <c r="E61" i="12"/>
  <c r="U61" i="13"/>
  <c r="U17" i="17"/>
  <c r="W46" i="98"/>
  <c r="O46" i="98" s="1"/>
  <c r="W33" i="98"/>
  <c r="O33" i="98" s="1"/>
  <c r="I74" i="12"/>
  <c r="F74" i="12"/>
  <c r="T74" i="260" s="1"/>
  <c r="T8" i="98"/>
  <c r="R8" i="98"/>
  <c r="U8" i="98"/>
  <c r="V8" i="98"/>
  <c r="S8" i="98"/>
  <c r="D30" i="99"/>
  <c r="D89" i="98"/>
  <c r="J90" i="10"/>
  <c r="P45" i="13"/>
  <c r="O45" i="13" s="1"/>
  <c r="Q72" i="140"/>
  <c r="U16" i="17"/>
  <c r="K91" i="99"/>
  <c r="K66" i="12"/>
  <c r="H66" i="12"/>
  <c r="O66" i="12" s="1"/>
  <c r="C66" i="12"/>
  <c r="S66" i="260" s="1"/>
  <c r="W33" i="99"/>
  <c r="N47" i="12"/>
  <c r="L72" i="13"/>
  <c r="W32" i="98"/>
  <c r="O32" i="98" s="1"/>
  <c r="D24" i="98"/>
  <c r="E8" i="98"/>
  <c r="W13" i="99"/>
  <c r="O13" i="99" s="1"/>
  <c r="P50" i="36"/>
  <c r="Q60" i="140"/>
  <c r="W47" i="98"/>
  <c r="I91" i="8"/>
  <c r="L90" i="8"/>
  <c r="Q90" i="8" s="1"/>
  <c r="W27" i="98"/>
  <c r="O27" i="98" s="1"/>
  <c r="X44" i="98"/>
  <c r="X90" i="98" s="1"/>
  <c r="W45" i="98"/>
  <c r="M101" i="98"/>
  <c r="K82" i="12"/>
  <c r="H82" i="12"/>
  <c r="O82" i="12" s="1"/>
  <c r="C82" i="12"/>
  <c r="S82" i="260" s="1"/>
  <c r="W24" i="99"/>
  <c r="W12" i="99"/>
  <c r="Q78" i="140"/>
  <c r="F53" i="10"/>
  <c r="C53" i="10" s="1"/>
  <c r="N53" i="10" s="1"/>
  <c r="U21" i="17"/>
  <c r="D50" i="99"/>
  <c r="P88" i="140"/>
  <c r="N88" i="140"/>
  <c r="O88" i="140"/>
  <c r="D24" i="99"/>
  <c r="E8" i="99"/>
  <c r="G91" i="99"/>
  <c r="C92" i="60"/>
  <c r="M100" i="99"/>
  <c r="I83" i="12"/>
  <c r="F83" i="12"/>
  <c r="T83" i="260" s="1"/>
  <c r="W47" i="99"/>
  <c r="O47" i="99" s="1"/>
  <c r="F50" i="19"/>
  <c r="K50" i="13"/>
  <c r="B50" i="13" s="1"/>
  <c r="J45" i="13"/>
  <c r="L62" i="13"/>
  <c r="L61" i="13"/>
  <c r="R91" i="8" l="1"/>
  <c r="N45" i="10"/>
  <c r="M91" i="13"/>
  <c r="I90" i="9"/>
  <c r="J90" i="9" s="1"/>
  <c r="O47" i="261"/>
  <c r="V47" i="261" s="1"/>
  <c r="O13" i="261"/>
  <c r="V13" i="261" s="1"/>
  <c r="H85" i="12"/>
  <c r="O85" i="12" s="1"/>
  <c r="K85" i="12"/>
  <c r="AA19" i="261"/>
  <c r="H58" i="12"/>
  <c r="O58" i="12" s="1"/>
  <c r="F67" i="12"/>
  <c r="T67" i="260" s="1"/>
  <c r="I67" i="12"/>
  <c r="S12" i="261"/>
  <c r="W12" i="261" s="1"/>
  <c r="F12" i="268" s="1"/>
  <c r="O48" i="261"/>
  <c r="V48" i="261" s="1"/>
  <c r="U12" i="261"/>
  <c r="Y12" i="261" s="1"/>
  <c r="G12" i="268" s="1"/>
  <c r="K58" i="12"/>
  <c r="I95" i="99"/>
  <c r="Z16" i="261"/>
  <c r="B12" i="268"/>
  <c r="AB16" i="261"/>
  <c r="S44" i="98"/>
  <c r="S90" i="98" s="1"/>
  <c r="E52" i="261"/>
  <c r="AI52" i="261" s="1"/>
  <c r="C69" i="12"/>
  <c r="F69" i="12" s="1"/>
  <c r="T69" i="260" s="1"/>
  <c r="H69" i="12"/>
  <c r="O69" i="12" s="1"/>
  <c r="E91" i="116"/>
  <c r="H91" i="9"/>
  <c r="T12" i="261"/>
  <c r="X12" i="261" s="1"/>
  <c r="AA12" i="261" s="1"/>
  <c r="M44" i="261"/>
  <c r="T44" i="98"/>
  <c r="T91" i="98" s="1"/>
  <c r="AI46" i="261"/>
  <c r="AI12" i="261"/>
  <c r="F52" i="261"/>
  <c r="V44" i="98"/>
  <c r="V91" i="98" s="1"/>
  <c r="Y91" i="99"/>
  <c r="N95" i="99" s="1"/>
  <c r="I9" i="268"/>
  <c r="D12" i="268"/>
  <c r="H86" i="12"/>
  <c r="O86" i="12" s="1"/>
  <c r="I91" i="261"/>
  <c r="H91" i="268"/>
  <c r="I91" i="268"/>
  <c r="E12" i="268"/>
  <c r="E44" i="261"/>
  <c r="O44" i="261" s="1"/>
  <c r="V44" i="261" s="1"/>
  <c r="O91" i="9"/>
  <c r="S35" i="261"/>
  <c r="W35" i="261" s="1"/>
  <c r="T35" i="261"/>
  <c r="X35" i="261" s="1"/>
  <c r="V35" i="261"/>
  <c r="U35" i="261"/>
  <c r="Y35" i="261" s="1"/>
  <c r="D8" i="99"/>
  <c r="F95" i="99"/>
  <c r="J95" i="99"/>
  <c r="U44" i="98"/>
  <c r="U91" i="98" s="1"/>
  <c r="O9" i="36"/>
  <c r="C93" i="127"/>
  <c r="B90" i="10"/>
  <c r="G90" i="10" s="1"/>
  <c r="L91" i="99"/>
  <c r="C70" i="12"/>
  <c r="D8" i="98"/>
  <c r="F54" i="19"/>
  <c r="F53" i="19" s="1"/>
  <c r="L27" i="17"/>
  <c r="T27" i="17" s="1"/>
  <c r="I91" i="9"/>
  <c r="J91" i="9" s="1"/>
  <c r="K54" i="13"/>
  <c r="K53" i="13" s="1"/>
  <c r="V9" i="261"/>
  <c r="V46" i="261"/>
  <c r="L27" i="261"/>
  <c r="AH27" i="261" s="1"/>
  <c r="O27" i="17"/>
  <c r="O27" i="261"/>
  <c r="H70" i="12"/>
  <c r="O70" i="12" s="1"/>
  <c r="H91" i="17"/>
  <c r="H91" i="261"/>
  <c r="G90" i="17"/>
  <c r="G90" i="261"/>
  <c r="P91" i="99"/>
  <c r="I91" i="17"/>
  <c r="I9" i="261"/>
  <c r="E91" i="99"/>
  <c r="K86" i="12"/>
  <c r="N27" i="12"/>
  <c r="K95" i="99"/>
  <c r="O32" i="116" s="1"/>
  <c r="H95" i="99"/>
  <c r="O24" i="116" s="1"/>
  <c r="G24" i="116" s="1"/>
  <c r="G53" i="12"/>
  <c r="N53" i="12" s="1"/>
  <c r="F41" i="257"/>
  <c r="H41" i="116"/>
  <c r="G95" i="99"/>
  <c r="K13" i="12"/>
  <c r="I52" i="12"/>
  <c r="F52" i="12"/>
  <c r="T52" i="260" s="1"/>
  <c r="O13" i="17"/>
  <c r="U13" i="17"/>
  <c r="K25" i="36"/>
  <c r="F25" i="36"/>
  <c r="L25" i="36" s="1"/>
  <c r="C26" i="127"/>
  <c r="L23" i="9"/>
  <c r="B23" i="10"/>
  <c r="F97" i="9"/>
  <c r="L97" i="9" s="1"/>
  <c r="F9" i="9"/>
  <c r="Q49" i="12"/>
  <c r="P10" i="17"/>
  <c r="F12" i="154" s="1"/>
  <c r="K12" i="154" s="1"/>
  <c r="I46" i="12"/>
  <c r="F46" i="12"/>
  <c r="T46" i="260" s="1"/>
  <c r="C36" i="127"/>
  <c r="L33" i="9"/>
  <c r="B33" i="10"/>
  <c r="H30" i="116"/>
  <c r="O30" i="116"/>
  <c r="F30" i="257"/>
  <c r="I27" i="12"/>
  <c r="F27" i="12"/>
  <c r="T27" i="260" s="1"/>
  <c r="J27" i="36"/>
  <c r="E9" i="36"/>
  <c r="K23" i="36"/>
  <c r="F23" i="36"/>
  <c r="P23" i="36" s="1"/>
  <c r="P45" i="36"/>
  <c r="Q47" i="12"/>
  <c r="P12" i="17"/>
  <c r="O48" i="17"/>
  <c r="P48" i="17" s="1"/>
  <c r="F50" i="154" s="1"/>
  <c r="K50" i="154" s="1"/>
  <c r="U48" i="17"/>
  <c r="L25" i="9"/>
  <c r="C28" i="127"/>
  <c r="B25" i="10"/>
  <c r="M52" i="17"/>
  <c r="E52" i="17"/>
  <c r="O52" i="17" s="1"/>
  <c r="P52" i="17" s="1"/>
  <c r="F54" i="154" s="1"/>
  <c r="K54" i="154" s="1"/>
  <c r="F52" i="17"/>
  <c r="K9" i="9"/>
  <c r="E91" i="9"/>
  <c r="K91" i="9" s="1"/>
  <c r="Q13" i="12"/>
  <c r="F44" i="17"/>
  <c r="M44" i="17"/>
  <c r="E44" i="17"/>
  <c r="O44" i="17" s="1"/>
  <c r="I9" i="17"/>
  <c r="U46" i="17"/>
  <c r="F33" i="36"/>
  <c r="L33" i="36" s="1"/>
  <c r="K33" i="36"/>
  <c r="L50" i="13"/>
  <c r="K45" i="13"/>
  <c r="W44" i="98"/>
  <c r="W90" i="98" s="1"/>
  <c r="O45" i="98"/>
  <c r="I96" i="8"/>
  <c r="L91" i="8"/>
  <c r="Q91" i="8" s="1"/>
  <c r="I66" i="12"/>
  <c r="F66" i="12"/>
  <c r="T66" i="260" s="1"/>
  <c r="P90" i="13"/>
  <c r="Q8" i="98"/>
  <c r="P24" i="98"/>
  <c r="W44" i="99"/>
  <c r="W90" i="99" s="1"/>
  <c r="O45" i="99"/>
  <c r="I76" i="12"/>
  <c r="F76" i="12"/>
  <c r="T76" i="260" s="1"/>
  <c r="F57" i="12"/>
  <c r="T57" i="260" s="1"/>
  <c r="I57" i="12"/>
  <c r="I64" i="12"/>
  <c r="F64" i="12"/>
  <c r="T64" i="260" s="1"/>
  <c r="O41" i="99"/>
  <c r="F88" i="12"/>
  <c r="T88" i="260" s="1"/>
  <c r="I88" i="12"/>
  <c r="D50" i="12"/>
  <c r="E50" i="19"/>
  <c r="F45" i="19"/>
  <c r="O90" i="257"/>
  <c r="Q90" i="257" s="1"/>
  <c r="K92" i="60"/>
  <c r="O92" i="60" s="1"/>
  <c r="I82" i="12"/>
  <c r="F82" i="12"/>
  <c r="T82" i="260" s="1"/>
  <c r="O89" i="99"/>
  <c r="L91" i="98"/>
  <c r="K61" i="12"/>
  <c r="C61" i="12"/>
  <c r="S61" i="260" s="1"/>
  <c r="H61" i="12"/>
  <c r="O61" i="12" s="1"/>
  <c r="F87" i="12"/>
  <c r="T87" i="260" s="1"/>
  <c r="I87" i="12"/>
  <c r="K72" i="12"/>
  <c r="H72" i="12"/>
  <c r="O72" i="12" s="1"/>
  <c r="C72" i="12"/>
  <c r="S72" i="260" s="1"/>
  <c r="O49" i="99"/>
  <c r="W8" i="99"/>
  <c r="O8" i="99" s="1"/>
  <c r="D51" i="12"/>
  <c r="E51" i="19"/>
  <c r="F85" i="12"/>
  <c r="T85" i="260" s="1"/>
  <c r="I85" i="12"/>
  <c r="O47" i="17"/>
  <c r="P47" i="17" s="1"/>
  <c r="F49" i="154" s="1"/>
  <c r="I60" i="12"/>
  <c r="F60" i="12"/>
  <c r="T60" i="260" s="1"/>
  <c r="D44" i="98"/>
  <c r="D90" i="98" s="1"/>
  <c r="I58" i="12"/>
  <c r="F58" i="12"/>
  <c r="T58" i="260" s="1"/>
  <c r="E50" i="12"/>
  <c r="U50" i="13"/>
  <c r="E91" i="98"/>
  <c r="I73" i="12"/>
  <c r="F73" i="12"/>
  <c r="T73" i="260" s="1"/>
  <c r="Q44" i="98"/>
  <c r="Q90" i="98" s="1"/>
  <c r="P47" i="98"/>
  <c r="F71" i="12"/>
  <c r="T71" i="260" s="1"/>
  <c r="I71" i="12"/>
  <c r="I86" i="12"/>
  <c r="F86" i="12"/>
  <c r="T86" i="260" s="1"/>
  <c r="F59" i="12"/>
  <c r="T59" i="260" s="1"/>
  <c r="I59" i="12"/>
  <c r="N56" i="140"/>
  <c r="P56" i="140"/>
  <c r="O56" i="140"/>
  <c r="K76" i="12"/>
  <c r="H76" i="12"/>
  <c r="O76" i="12" s="1"/>
  <c r="W8" i="98"/>
  <c r="F78" i="12"/>
  <c r="T78" i="260" s="1"/>
  <c r="I78" i="12"/>
  <c r="L90" i="99"/>
  <c r="O24" i="99"/>
  <c r="O12" i="99"/>
  <c r="O33" i="99"/>
  <c r="F75" i="12"/>
  <c r="T75" i="260" s="1"/>
  <c r="I75" i="12"/>
  <c r="R44" i="98"/>
  <c r="R90" i="98" s="1"/>
  <c r="Q56" i="140"/>
  <c r="O32" i="99"/>
  <c r="B51" i="13"/>
  <c r="N45" i="13" s="1"/>
  <c r="X91" i="98"/>
  <c r="D44" i="99"/>
  <c r="E90" i="99"/>
  <c r="U47" i="17"/>
  <c r="P89" i="98"/>
  <c r="P90" i="99"/>
  <c r="X91" i="99"/>
  <c r="Y91" i="98"/>
  <c r="F65" i="12"/>
  <c r="T65" i="260" s="1"/>
  <c r="I65" i="12"/>
  <c r="P48" i="98"/>
  <c r="O48" i="98" s="1"/>
  <c r="F4" i="273" l="1"/>
  <c r="I4" i="273" s="1"/>
  <c r="S91" i="98"/>
  <c r="O52" i="261"/>
  <c r="T90" i="98"/>
  <c r="F70" i="12"/>
  <c r="T70" i="260" s="1"/>
  <c r="S70" i="260"/>
  <c r="I69" i="12"/>
  <c r="S69" i="260"/>
  <c r="Z12" i="261"/>
  <c r="AB12" i="261"/>
  <c r="B9" i="268"/>
  <c r="W91" i="98"/>
  <c r="V90" i="98"/>
  <c r="D91" i="99"/>
  <c r="E9" i="268"/>
  <c r="C9" i="268"/>
  <c r="D9" i="268"/>
  <c r="C50" i="261"/>
  <c r="F50" i="261" s="1"/>
  <c r="C51" i="261"/>
  <c r="F51" i="261" s="1"/>
  <c r="AI44" i="261"/>
  <c r="C90" i="19"/>
  <c r="B90" i="19" s="1"/>
  <c r="N12" i="116"/>
  <c r="B54" i="13"/>
  <c r="M95" i="99"/>
  <c r="O41" i="116" s="1"/>
  <c r="U90" i="98"/>
  <c r="P27" i="17"/>
  <c r="F29" i="154" s="1"/>
  <c r="K29" i="154" s="1"/>
  <c r="Z35" i="261"/>
  <c r="AB35" i="261"/>
  <c r="AA35" i="261"/>
  <c r="J53" i="12"/>
  <c r="I70" i="12"/>
  <c r="E95" i="99"/>
  <c r="V27" i="261"/>
  <c r="V52" i="261"/>
  <c r="G33" i="17"/>
  <c r="L33" i="17" s="1"/>
  <c r="T33" i="17" s="1"/>
  <c r="G33" i="261"/>
  <c r="L33" i="261" s="1"/>
  <c r="AH33" i="261" s="1"/>
  <c r="G23" i="17"/>
  <c r="L23" i="17" s="1"/>
  <c r="T23" i="17" s="1"/>
  <c r="G23" i="261"/>
  <c r="L23" i="261" s="1"/>
  <c r="AH23" i="261" s="1"/>
  <c r="G25" i="17"/>
  <c r="L25" i="17" s="1"/>
  <c r="T25" i="17" s="1"/>
  <c r="G25" i="261"/>
  <c r="L25" i="261" s="1"/>
  <c r="AH25" i="261" s="1"/>
  <c r="P9" i="17"/>
  <c r="P25" i="36"/>
  <c r="R91" i="98"/>
  <c r="U44" i="17"/>
  <c r="Q91" i="98"/>
  <c r="D91" i="98"/>
  <c r="U52" i="17"/>
  <c r="J25" i="10"/>
  <c r="P25" i="13"/>
  <c r="O25" i="13" s="1"/>
  <c r="J25" i="13" s="1"/>
  <c r="C25" i="19"/>
  <c r="B25" i="19" s="1"/>
  <c r="F25" i="10"/>
  <c r="K25" i="10" s="1"/>
  <c r="K9" i="36"/>
  <c r="L9" i="9"/>
  <c r="F91" i="9"/>
  <c r="C12" i="127"/>
  <c r="C95" i="127" s="1"/>
  <c r="F9" i="36"/>
  <c r="L9" i="36" s="1"/>
  <c r="L23" i="36"/>
  <c r="Q27" i="12"/>
  <c r="P33" i="13"/>
  <c r="C33" i="19"/>
  <c r="B33" i="19" s="1"/>
  <c r="J33" i="10"/>
  <c r="F33" i="10"/>
  <c r="K33" i="10" s="1"/>
  <c r="Q52" i="12"/>
  <c r="Q46" i="12"/>
  <c r="P23" i="13"/>
  <c r="O23" i="13" s="1"/>
  <c r="J23" i="13" s="1"/>
  <c r="F23" i="10"/>
  <c r="C23" i="10" s="1"/>
  <c r="J23" i="10"/>
  <c r="C23" i="19"/>
  <c r="B9" i="10"/>
  <c r="P33" i="36"/>
  <c r="P44" i="17"/>
  <c r="F46" i="154" s="1"/>
  <c r="K46" i="154" s="1"/>
  <c r="P30" i="116"/>
  <c r="C30" i="257" s="1"/>
  <c r="G30" i="257"/>
  <c r="E30" i="257" s="1"/>
  <c r="D30" i="257" s="1"/>
  <c r="G30" i="116"/>
  <c r="F30" i="116" s="1"/>
  <c r="D30" i="116" s="1"/>
  <c r="B30" i="116" s="1"/>
  <c r="C30" i="116" s="1"/>
  <c r="P13" i="17"/>
  <c r="F15" i="154" s="1"/>
  <c r="K15" i="154" s="1"/>
  <c r="D90" i="99"/>
  <c r="C91" i="128"/>
  <c r="G91" i="10"/>
  <c r="C92" i="154"/>
  <c r="C93" i="154" s="1"/>
  <c r="O44" i="99"/>
  <c r="O90" i="99" s="1"/>
  <c r="O89" i="98"/>
  <c r="L51" i="13"/>
  <c r="B45" i="13"/>
  <c r="U45" i="13" s="1"/>
  <c r="C51" i="17"/>
  <c r="K51" i="19"/>
  <c r="I61" i="12"/>
  <c r="F61" i="12"/>
  <c r="T61" i="260" s="1"/>
  <c r="F90" i="10"/>
  <c r="O24" i="98"/>
  <c r="P8" i="98"/>
  <c r="O8" i="98" s="1"/>
  <c r="G32" i="257"/>
  <c r="E32" i="257" s="1"/>
  <c r="D32" i="257" s="1"/>
  <c r="P32" i="116"/>
  <c r="C32" i="257" s="1"/>
  <c r="F24" i="116"/>
  <c r="P44" i="98"/>
  <c r="O47" i="98"/>
  <c r="G51" i="12"/>
  <c r="N51" i="12" s="1"/>
  <c r="J51" i="12"/>
  <c r="C50" i="17"/>
  <c r="E45" i="19"/>
  <c r="K45" i="19" s="1"/>
  <c r="K50" i="19"/>
  <c r="W91" i="99"/>
  <c r="G32" i="116"/>
  <c r="F32" i="116" s="1"/>
  <c r="E51" i="12"/>
  <c r="C51" i="12" s="1"/>
  <c r="S51" i="260" s="1"/>
  <c r="U51" i="13"/>
  <c r="I72" i="12"/>
  <c r="F72" i="12"/>
  <c r="T72" i="260" s="1"/>
  <c r="K50" i="12"/>
  <c r="H50" i="12"/>
  <c r="K49" i="154"/>
  <c r="G24" i="257"/>
  <c r="E24" i="257" s="1"/>
  <c r="D24" i="257" s="1"/>
  <c r="P24" i="116"/>
  <c r="C24" i="257" s="1"/>
  <c r="G50" i="12"/>
  <c r="J50" i="12"/>
  <c r="C50" i="12"/>
  <c r="S50" i="260" s="1"/>
  <c r="D45" i="12"/>
  <c r="M51" i="261" l="1"/>
  <c r="F12" i="257"/>
  <c r="O12" i="116"/>
  <c r="P12" i="116" s="1"/>
  <c r="C12" i="257" s="1"/>
  <c r="C45" i="261"/>
  <c r="M45" i="261" s="1"/>
  <c r="B90" i="261"/>
  <c r="M50" i="261"/>
  <c r="E50" i="261"/>
  <c r="AI50" i="261" s="1"/>
  <c r="E51" i="261"/>
  <c r="O51" i="261" s="1"/>
  <c r="H12" i="116"/>
  <c r="B33" i="261"/>
  <c r="E33" i="261" s="1"/>
  <c r="O33" i="261" s="1"/>
  <c r="B25" i="261"/>
  <c r="U54" i="13"/>
  <c r="E54" i="12"/>
  <c r="B53" i="13"/>
  <c r="U53" i="13" s="1"/>
  <c r="B30" i="257"/>
  <c r="G9" i="17"/>
  <c r="L9" i="17" s="1"/>
  <c r="T9" i="17" s="1"/>
  <c r="G9" i="261"/>
  <c r="L9" i="261" s="1"/>
  <c r="AH9" i="261" s="1"/>
  <c r="M30" i="257"/>
  <c r="G45" i="12"/>
  <c r="J45" i="12" s="1"/>
  <c r="J30" i="116"/>
  <c r="K30" i="116"/>
  <c r="J30" i="257"/>
  <c r="L45" i="13"/>
  <c r="E45" i="12"/>
  <c r="P91" i="98"/>
  <c r="O91" i="98" s="1"/>
  <c r="N23" i="10"/>
  <c r="F9" i="10"/>
  <c r="K9" i="10" s="1"/>
  <c r="K23" i="10"/>
  <c r="L33" i="19"/>
  <c r="K33" i="19"/>
  <c r="B33" i="17"/>
  <c r="F25" i="19"/>
  <c r="K25" i="13"/>
  <c r="B25" i="13" s="1"/>
  <c r="E25" i="12" s="1"/>
  <c r="P9" i="13"/>
  <c r="O9" i="13" s="1"/>
  <c r="J9" i="10"/>
  <c r="J9" i="13"/>
  <c r="F23" i="19"/>
  <c r="K23" i="13"/>
  <c r="C33" i="10"/>
  <c r="N33" i="10" s="1"/>
  <c r="L91" i="9"/>
  <c r="B91" i="10"/>
  <c r="J91" i="10" s="1"/>
  <c r="P91" i="13" s="1"/>
  <c r="C93" i="128"/>
  <c r="B23" i="19"/>
  <c r="C9" i="19"/>
  <c r="B25" i="17"/>
  <c r="L25" i="19"/>
  <c r="P9" i="36"/>
  <c r="C25" i="10"/>
  <c r="N25" i="10" s="1"/>
  <c r="D32" i="116"/>
  <c r="B32" i="116" s="1"/>
  <c r="C32" i="116" s="1"/>
  <c r="B32" i="257" s="1"/>
  <c r="F51" i="17"/>
  <c r="M51" i="17"/>
  <c r="E51" i="17"/>
  <c r="O51" i="17" s="1"/>
  <c r="P51" i="17" s="1"/>
  <c r="F53" i="154" s="1"/>
  <c r="G41" i="257"/>
  <c r="E41" i="257" s="1"/>
  <c r="D41" i="257" s="1"/>
  <c r="P41" i="116"/>
  <c r="C41" i="257" s="1"/>
  <c r="K51" i="12"/>
  <c r="H51" i="12"/>
  <c r="O51" i="12" s="1"/>
  <c r="B90" i="17"/>
  <c r="F50" i="17"/>
  <c r="M50" i="17"/>
  <c r="C45" i="17"/>
  <c r="E50" i="17"/>
  <c r="U50" i="17" s="1"/>
  <c r="C90" i="10"/>
  <c r="L90" i="19"/>
  <c r="N50" i="12"/>
  <c r="I50" i="12"/>
  <c r="F50" i="12"/>
  <c r="T50" i="260" s="1"/>
  <c r="C45" i="12"/>
  <c r="I45" i="12" s="1"/>
  <c r="G41" i="116"/>
  <c r="F41" i="116" s="1"/>
  <c r="O91" i="99"/>
  <c r="E94" i="126" s="1"/>
  <c r="L95" i="99"/>
  <c r="D24" i="116"/>
  <c r="J24" i="116" s="1"/>
  <c r="O50" i="12"/>
  <c r="I51" i="12"/>
  <c r="F51" i="12"/>
  <c r="T51" i="260" s="1"/>
  <c r="P90" i="98"/>
  <c r="O44" i="98"/>
  <c r="O90" i="98" s="1"/>
  <c r="M30" i="116" l="1"/>
  <c r="G12" i="116"/>
  <c r="F12" i="116" s="1"/>
  <c r="G12" i="257"/>
  <c r="E12" i="257" s="1"/>
  <c r="D12" i="257" s="1"/>
  <c r="AI51" i="261"/>
  <c r="F45" i="261"/>
  <c r="E45" i="261"/>
  <c r="AI45" i="261" s="1"/>
  <c r="O50" i="261"/>
  <c r="V50" i="261" s="1"/>
  <c r="F33" i="261"/>
  <c r="B23" i="261"/>
  <c r="B9" i="261" s="1"/>
  <c r="B91" i="261" s="1"/>
  <c r="N45" i="12"/>
  <c r="N30" i="257"/>
  <c r="H54" i="12"/>
  <c r="K54" i="12"/>
  <c r="E53" i="12"/>
  <c r="C54" i="12"/>
  <c r="S54" i="260" s="1"/>
  <c r="L25" i="13"/>
  <c r="J32" i="257"/>
  <c r="L30" i="116"/>
  <c r="P30" i="257"/>
  <c r="Q30" i="257" s="1"/>
  <c r="V33" i="261"/>
  <c r="V51" i="261"/>
  <c r="AI33" i="261"/>
  <c r="U25" i="13"/>
  <c r="G91" i="17"/>
  <c r="G91" i="261"/>
  <c r="K30" i="257"/>
  <c r="H45" i="12"/>
  <c r="O45" i="12" s="1"/>
  <c r="F91" i="10"/>
  <c r="K91" i="10" s="1"/>
  <c r="M32" i="257"/>
  <c r="B9" i="19"/>
  <c r="L9" i="19" s="1"/>
  <c r="C91" i="19"/>
  <c r="K24" i="116"/>
  <c r="B23" i="17"/>
  <c r="B9" i="17" s="1"/>
  <c r="B91" i="17" s="1"/>
  <c r="L23" i="19"/>
  <c r="Q51" i="12"/>
  <c r="Q50" i="12"/>
  <c r="B23" i="13"/>
  <c r="L23" i="13" s="1"/>
  <c r="K9" i="13"/>
  <c r="C9" i="10"/>
  <c r="N9" i="10" s="1"/>
  <c r="J90" i="12"/>
  <c r="D90" i="12" s="1"/>
  <c r="G90" i="12" s="1"/>
  <c r="N90" i="12" s="1"/>
  <c r="E23" i="19"/>
  <c r="F9" i="19"/>
  <c r="E25" i="19"/>
  <c r="D25" i="12"/>
  <c r="E33" i="17"/>
  <c r="O33" i="17" s="1"/>
  <c r="P33" i="17" s="1"/>
  <c r="F35" i="154" s="1"/>
  <c r="K35" i="154" s="1"/>
  <c r="F33" i="17"/>
  <c r="K53" i="154"/>
  <c r="K25" i="12"/>
  <c r="H25" i="12"/>
  <c r="O25" i="12" s="1"/>
  <c r="N90" i="10"/>
  <c r="O50" i="17"/>
  <c r="P50" i="17" s="1"/>
  <c r="F52" i="154" s="1"/>
  <c r="E45" i="17"/>
  <c r="O45" i="17" s="1"/>
  <c r="B24" i="116"/>
  <c r="D41" i="116"/>
  <c r="B41" i="116" s="1"/>
  <c r="C41" i="116" s="1"/>
  <c r="B41" i="257" s="1"/>
  <c r="F45" i="12"/>
  <c r="F45" i="17"/>
  <c r="M45" i="17"/>
  <c r="J32" i="116"/>
  <c r="E48" i="126"/>
  <c r="C53" i="126"/>
  <c r="C51" i="126"/>
  <c r="C12" i="126"/>
  <c r="C33" i="126"/>
  <c r="C16" i="126"/>
  <c r="C50" i="126"/>
  <c r="C46" i="126"/>
  <c r="E52" i="126"/>
  <c r="C29" i="126"/>
  <c r="E15" i="126"/>
  <c r="E35" i="126"/>
  <c r="E92" i="126"/>
  <c r="D47" i="126"/>
  <c r="E36" i="126"/>
  <c r="C92" i="126"/>
  <c r="E47" i="126"/>
  <c r="D41" i="126"/>
  <c r="E22" i="126"/>
  <c r="E28" i="126"/>
  <c r="E13" i="126"/>
  <c r="E25" i="126"/>
  <c r="E24" i="126"/>
  <c r="D16" i="126"/>
  <c r="D24" i="126"/>
  <c r="D22" i="126"/>
  <c r="D46" i="126"/>
  <c r="D36" i="126"/>
  <c r="D28" i="126"/>
  <c r="D40" i="126"/>
  <c r="D29" i="126"/>
  <c r="D35" i="126"/>
  <c r="C31" i="126"/>
  <c r="C39" i="126"/>
  <c r="C23" i="126"/>
  <c r="C24" i="126"/>
  <c r="E29" i="126"/>
  <c r="E51" i="126"/>
  <c r="E12" i="126"/>
  <c r="E33" i="126"/>
  <c r="E27" i="126"/>
  <c r="C44" i="126"/>
  <c r="C15" i="126"/>
  <c r="C48" i="126"/>
  <c r="C27" i="126"/>
  <c r="D37" i="126"/>
  <c r="E38" i="126"/>
  <c r="E42" i="126"/>
  <c r="E21" i="126"/>
  <c r="E17" i="126"/>
  <c r="E40" i="126"/>
  <c r="D48" i="126"/>
  <c r="D21" i="126"/>
  <c r="D39" i="126"/>
  <c r="D31" i="126"/>
  <c r="D42" i="126"/>
  <c r="C41" i="126"/>
  <c r="D44" i="126"/>
  <c r="D12" i="126"/>
  <c r="E39" i="126"/>
  <c r="C22" i="126"/>
  <c r="C19" i="126"/>
  <c r="C13" i="126"/>
  <c r="E30" i="126"/>
  <c r="D92" i="126"/>
  <c r="D51" i="126"/>
  <c r="D50" i="126"/>
  <c r="C54" i="126"/>
  <c r="E44" i="126"/>
  <c r="C28" i="126"/>
  <c r="C37" i="126"/>
  <c r="C45" i="126"/>
  <c r="C20" i="126"/>
  <c r="C17" i="126"/>
  <c r="C30" i="126"/>
  <c r="C49" i="126"/>
  <c r="D18" i="126"/>
  <c r="E41" i="126"/>
  <c r="E31" i="126"/>
  <c r="E37" i="126"/>
  <c r="E23" i="126"/>
  <c r="C94" i="126"/>
  <c r="D20" i="126"/>
  <c r="D23" i="126"/>
  <c r="D49" i="126"/>
  <c r="D17" i="126"/>
  <c r="D53" i="126"/>
  <c r="D15" i="126"/>
  <c r="D38" i="126"/>
  <c r="D25" i="126"/>
  <c r="C21" i="126"/>
  <c r="C40" i="126"/>
  <c r="C42" i="126"/>
  <c r="C25" i="126"/>
  <c r="E54" i="126"/>
  <c r="E16" i="126"/>
  <c r="E49" i="126"/>
  <c r="E50" i="126"/>
  <c r="D27" i="126"/>
  <c r="C52" i="126"/>
  <c r="D94" i="126"/>
  <c r="C36" i="126"/>
  <c r="D45" i="126"/>
  <c r="D95" i="99"/>
  <c r="E20" i="126"/>
  <c r="D33" i="126"/>
  <c r="E45" i="126"/>
  <c r="E19" i="126"/>
  <c r="D52" i="126"/>
  <c r="D13" i="126"/>
  <c r="D30" i="126"/>
  <c r="E18" i="126"/>
  <c r="D19" i="126"/>
  <c r="D54" i="126"/>
  <c r="C38" i="126"/>
  <c r="C18" i="126"/>
  <c r="E46" i="126"/>
  <c r="E53" i="126"/>
  <c r="C35" i="126"/>
  <c r="C47" i="126"/>
  <c r="U51" i="17"/>
  <c r="K32" i="116"/>
  <c r="L24" i="116" l="1"/>
  <c r="O45" i="261"/>
  <c r="C23" i="261"/>
  <c r="C25" i="261"/>
  <c r="E25" i="261" s="1"/>
  <c r="AI25" i="261" s="1"/>
  <c r="O54" i="12"/>
  <c r="H53" i="12"/>
  <c r="O53" i="12" s="1"/>
  <c r="F54" i="12"/>
  <c r="I54" i="12"/>
  <c r="C53" i="12"/>
  <c r="I53" i="12" s="1"/>
  <c r="P32" i="257"/>
  <c r="Q32" i="257" s="1"/>
  <c r="K32" i="257"/>
  <c r="U33" i="17"/>
  <c r="K45" i="12"/>
  <c r="K90" i="12" s="1"/>
  <c r="E90" i="12" s="1"/>
  <c r="C90" i="12" s="1"/>
  <c r="F90" i="12" s="1"/>
  <c r="M24" i="116"/>
  <c r="J41" i="116"/>
  <c r="N32" i="257"/>
  <c r="C91" i="10"/>
  <c r="N91" i="10" s="1"/>
  <c r="K25" i="19"/>
  <c r="C25" i="17"/>
  <c r="G25" i="12"/>
  <c r="B98" i="12" s="1"/>
  <c r="D28" i="12" s="1"/>
  <c r="M28" i="261" s="1"/>
  <c r="J25" i="12"/>
  <c r="C25" i="12"/>
  <c r="S25" i="260" s="1"/>
  <c r="U45" i="17"/>
  <c r="E23" i="12"/>
  <c r="U23" i="13"/>
  <c r="N9" i="13"/>
  <c r="B9" i="13"/>
  <c r="U9" i="13" s="1"/>
  <c r="B91" i="19"/>
  <c r="C98" i="19"/>
  <c r="C23" i="17"/>
  <c r="E9" i="19"/>
  <c r="K9" i="19" s="1"/>
  <c r="K23" i="19"/>
  <c r="M32" i="116"/>
  <c r="L32" i="116"/>
  <c r="C24" i="116"/>
  <c r="M24" i="257"/>
  <c r="J24" i="257"/>
  <c r="D12" i="116"/>
  <c r="M41" i="257"/>
  <c r="K41" i="116"/>
  <c r="D11" i="126"/>
  <c r="E11" i="126"/>
  <c r="J41" i="257"/>
  <c r="K52" i="154"/>
  <c r="K47" i="154" s="1"/>
  <c r="F47" i="154"/>
  <c r="F53" i="12" l="1"/>
  <c r="T54" i="260"/>
  <c r="F25" i="261"/>
  <c r="M25" i="261"/>
  <c r="C9" i="261"/>
  <c r="F9" i="261" s="1"/>
  <c r="F23" i="261"/>
  <c r="M23" i="261"/>
  <c r="E23" i="261"/>
  <c r="AI23" i="261" s="1"/>
  <c r="I90" i="12"/>
  <c r="K53" i="12"/>
  <c r="H90" i="12"/>
  <c r="O90" i="12" s="1"/>
  <c r="B90" i="13"/>
  <c r="C90" i="13" s="1"/>
  <c r="C91" i="13" s="1"/>
  <c r="O25" i="261"/>
  <c r="G28" i="12"/>
  <c r="J28" i="12"/>
  <c r="M28" i="17"/>
  <c r="C28" i="12"/>
  <c r="S28" i="260" s="1"/>
  <c r="U28" i="260" s="1"/>
  <c r="N41" i="257"/>
  <c r="F25" i="12"/>
  <c r="T25" i="260" s="1"/>
  <c r="I25" i="12"/>
  <c r="C9" i="17"/>
  <c r="E23" i="17"/>
  <c r="F23" i="17"/>
  <c r="M23" i="17"/>
  <c r="K23" i="12"/>
  <c r="H23" i="12"/>
  <c r="C23" i="12"/>
  <c r="S23" i="260" s="1"/>
  <c r="E9" i="12"/>
  <c r="D9" i="12"/>
  <c r="M9" i="261" s="1"/>
  <c r="L9" i="13"/>
  <c r="B98" i="19"/>
  <c r="L91" i="19"/>
  <c r="K12" i="116"/>
  <c r="N24" i="257"/>
  <c r="M25" i="17"/>
  <c r="F25" i="17"/>
  <c r="E25" i="17"/>
  <c r="O25" i="17" s="1"/>
  <c r="P25" i="17" s="1"/>
  <c r="F27" i="154" s="1"/>
  <c r="K27" i="154" s="1"/>
  <c r="N25" i="12"/>
  <c r="P24" i="257"/>
  <c r="Q24" i="257" s="1"/>
  <c r="K24" i="257"/>
  <c r="B12" i="116"/>
  <c r="K41" i="257"/>
  <c r="P41" i="257"/>
  <c r="Q41" i="257" s="1"/>
  <c r="M41" i="116"/>
  <c r="L41" i="116"/>
  <c r="J12" i="116"/>
  <c r="B24" i="257"/>
  <c r="M12" i="116" l="1"/>
  <c r="E9" i="261"/>
  <c r="AI9" i="261" s="1"/>
  <c r="O23" i="261"/>
  <c r="U23" i="261" s="1"/>
  <c r="Y23" i="261" s="1"/>
  <c r="I90" i="13"/>
  <c r="I91" i="13" s="1"/>
  <c r="F90" i="13"/>
  <c r="F91" i="13" s="1"/>
  <c r="K90" i="13"/>
  <c r="L90" i="13" s="1"/>
  <c r="G9" i="12"/>
  <c r="L12" i="116"/>
  <c r="N28" i="12"/>
  <c r="J90" i="13"/>
  <c r="V23" i="261"/>
  <c r="V25" i="261"/>
  <c r="O28" i="17"/>
  <c r="P28" i="17" s="1"/>
  <c r="F30" i="154" s="1"/>
  <c r="K30" i="154" s="1"/>
  <c r="O28" i="261"/>
  <c r="U25" i="17"/>
  <c r="O23" i="17"/>
  <c r="P23" i="17" s="1"/>
  <c r="F25" i="154" s="1"/>
  <c r="E9" i="17"/>
  <c r="F28" i="12"/>
  <c r="T28" i="260" s="1"/>
  <c r="I28" i="12"/>
  <c r="C9" i="12"/>
  <c r="F23" i="12"/>
  <c r="T23" i="260" s="1"/>
  <c r="I23" i="12"/>
  <c r="M9" i="17"/>
  <c r="F9" i="17"/>
  <c r="O23" i="12"/>
  <c r="H9" i="12"/>
  <c r="K9" i="12" s="1"/>
  <c r="E91" i="12"/>
  <c r="B91" i="13" s="1"/>
  <c r="T8" i="13"/>
  <c r="D91" i="12"/>
  <c r="U23" i="17"/>
  <c r="C12" i="116"/>
  <c r="J12" i="257"/>
  <c r="M12" i="257"/>
  <c r="O53" i="261" l="1"/>
  <c r="O77" i="261" s="1"/>
  <c r="O90" i="13"/>
  <c r="H90" i="19" s="1"/>
  <c r="T23" i="261"/>
  <c r="X23" i="261" s="1"/>
  <c r="AA23" i="261" s="1"/>
  <c r="S23" i="261"/>
  <c r="W23" i="261" s="1"/>
  <c r="Z23" i="261" s="1"/>
  <c r="K91" i="13"/>
  <c r="L91" i="13" s="1"/>
  <c r="J9" i="12"/>
  <c r="J91" i="13"/>
  <c r="G91" i="12"/>
  <c r="N91" i="12" s="1"/>
  <c r="N9" i="12"/>
  <c r="O9" i="261"/>
  <c r="F90" i="19"/>
  <c r="F91" i="19" s="1"/>
  <c r="U90" i="13"/>
  <c r="F9" i="12"/>
  <c r="F91" i="12" s="1"/>
  <c r="AB23" i="261"/>
  <c r="U53" i="261"/>
  <c r="V28" i="261"/>
  <c r="S28" i="261"/>
  <c r="W28" i="261" s="1"/>
  <c r="T28" i="261"/>
  <c r="X28" i="261" s="1"/>
  <c r="U28" i="261"/>
  <c r="Y28" i="261" s="1"/>
  <c r="O85" i="261"/>
  <c r="O89" i="261"/>
  <c r="O80" i="261"/>
  <c r="O75" i="261"/>
  <c r="O84" i="261"/>
  <c r="O71" i="261"/>
  <c r="O70" i="261"/>
  <c r="O58" i="261"/>
  <c r="N12" i="257"/>
  <c r="Q28" i="12"/>
  <c r="U9" i="17"/>
  <c r="O9" i="17"/>
  <c r="O53" i="17"/>
  <c r="O95" i="17" s="1"/>
  <c r="I9" i="12"/>
  <c r="C91" i="12"/>
  <c r="I91" i="12" s="1"/>
  <c r="O9" i="12"/>
  <c r="H91" i="12"/>
  <c r="Q23" i="12"/>
  <c r="K25" i="154"/>
  <c r="K11" i="154" s="1"/>
  <c r="F11" i="154"/>
  <c r="B12" i="257"/>
  <c r="K12" i="257"/>
  <c r="P12" i="257"/>
  <c r="Q12" i="257" s="1"/>
  <c r="O88" i="261" l="1"/>
  <c r="O83" i="261"/>
  <c r="O65" i="261"/>
  <c r="O61" i="261"/>
  <c r="U61" i="261" s="1"/>
  <c r="O66" i="261"/>
  <c r="O63" i="261"/>
  <c r="O78" i="261"/>
  <c r="O81" i="261"/>
  <c r="O74" i="261"/>
  <c r="O62" i="261"/>
  <c r="T62" i="261" s="1"/>
  <c r="T53" i="261"/>
  <c r="O79" i="261"/>
  <c r="O59" i="261"/>
  <c r="S59" i="261" s="1"/>
  <c r="O82" i="261"/>
  <c r="S53" i="261"/>
  <c r="O60" i="261"/>
  <c r="T60" i="261" s="1"/>
  <c r="O57" i="261"/>
  <c r="O87" i="261"/>
  <c r="O56" i="261"/>
  <c r="O90" i="261"/>
  <c r="S90" i="261" s="1"/>
  <c r="O64" i="261"/>
  <c r="O55" i="261"/>
  <c r="O68" i="261"/>
  <c r="O69" i="261"/>
  <c r="O86" i="261"/>
  <c r="O72" i="261"/>
  <c r="O73" i="261"/>
  <c r="O67" i="261"/>
  <c r="O76" i="261"/>
  <c r="O54" i="261"/>
  <c r="E90" i="19"/>
  <c r="U91" i="13"/>
  <c r="O91" i="13"/>
  <c r="J91" i="12"/>
  <c r="Z28" i="261"/>
  <c r="AA28" i="261"/>
  <c r="AB28" i="261"/>
  <c r="T58" i="261"/>
  <c r="S58" i="261"/>
  <c r="U58" i="261"/>
  <c r="O91" i="12"/>
  <c r="K91" i="12"/>
  <c r="O57" i="17"/>
  <c r="K57" i="19" s="1"/>
  <c r="E57" i="261" s="1"/>
  <c r="O70" i="17"/>
  <c r="K70" i="19" s="1"/>
  <c r="E70" i="261" s="1"/>
  <c r="O54" i="17"/>
  <c r="K54" i="19" s="1"/>
  <c r="E54" i="261" s="1"/>
  <c r="O77" i="17"/>
  <c r="K77" i="19" s="1"/>
  <c r="D7" i="273" s="1"/>
  <c r="O66" i="17"/>
  <c r="K66" i="19" s="1"/>
  <c r="E66" i="261" s="1"/>
  <c r="O74" i="17"/>
  <c r="K74" i="19" s="1"/>
  <c r="E74" i="261" s="1"/>
  <c r="O63" i="17"/>
  <c r="K63" i="19" s="1"/>
  <c r="E63" i="261" s="1"/>
  <c r="O87" i="17"/>
  <c r="K87" i="19" s="1"/>
  <c r="E87" i="261" s="1"/>
  <c r="O80" i="17"/>
  <c r="K80" i="19" s="1"/>
  <c r="E80" i="261" s="1"/>
  <c r="O60" i="17"/>
  <c r="K60" i="19" s="1"/>
  <c r="E60" i="261" s="1"/>
  <c r="O58" i="17"/>
  <c r="K58" i="19" s="1"/>
  <c r="E58" i="261" s="1"/>
  <c r="O86" i="17"/>
  <c r="K86" i="19" s="1"/>
  <c r="E86" i="261" s="1"/>
  <c r="O78" i="17"/>
  <c r="K78" i="19" s="1"/>
  <c r="E78" i="261" s="1"/>
  <c r="O62" i="17"/>
  <c r="K62" i="19" s="1"/>
  <c r="D10" i="273" s="1"/>
  <c r="O75" i="17"/>
  <c r="K75" i="19" s="1"/>
  <c r="E75" i="261" s="1"/>
  <c r="O56" i="17"/>
  <c r="K56" i="19" s="1"/>
  <c r="E56" i="261" s="1"/>
  <c r="O85" i="17"/>
  <c r="K85" i="19" s="1"/>
  <c r="E85" i="261" s="1"/>
  <c r="O67" i="17"/>
  <c r="K67" i="19" s="1"/>
  <c r="E67" i="261" s="1"/>
  <c r="O81" i="17"/>
  <c r="K81" i="19" s="1"/>
  <c r="E81" i="261" s="1"/>
  <c r="O64" i="17"/>
  <c r="K64" i="19" s="1"/>
  <c r="E64" i="261" s="1"/>
  <c r="O72" i="17"/>
  <c r="O69" i="17"/>
  <c r="K69" i="19" s="1"/>
  <c r="E69" i="261" s="1"/>
  <c r="O79" i="17"/>
  <c r="K79" i="19" s="1"/>
  <c r="E79" i="261" s="1"/>
  <c r="O71" i="17"/>
  <c r="K71" i="19" s="1"/>
  <c r="E71" i="261" s="1"/>
  <c r="O84" i="17"/>
  <c r="K84" i="19" s="1"/>
  <c r="E84" i="261" s="1"/>
  <c r="O55" i="17"/>
  <c r="K55" i="19" s="1"/>
  <c r="E55" i="261" s="1"/>
  <c r="O65" i="17"/>
  <c r="K65" i="19" s="1"/>
  <c r="E65" i="261" s="1"/>
  <c r="O82" i="17"/>
  <c r="K82" i="19" s="1"/>
  <c r="E82" i="261" s="1"/>
  <c r="O76" i="17"/>
  <c r="K76" i="19" s="1"/>
  <c r="E76" i="261" s="1"/>
  <c r="O61" i="17"/>
  <c r="K61" i="19" s="1"/>
  <c r="E61" i="261" s="1"/>
  <c r="O73" i="17"/>
  <c r="K73" i="19" s="1"/>
  <c r="E73" i="261" s="1"/>
  <c r="O89" i="17"/>
  <c r="O88" i="17"/>
  <c r="K88" i="19" s="1"/>
  <c r="E88" i="261" s="1"/>
  <c r="O59" i="17"/>
  <c r="K59" i="19" s="1"/>
  <c r="E59" i="261" s="1"/>
  <c r="O90" i="17"/>
  <c r="O68" i="17"/>
  <c r="K68" i="19" s="1"/>
  <c r="E68" i="261" s="1"/>
  <c r="O83" i="17"/>
  <c r="C90" i="17"/>
  <c r="F98" i="19"/>
  <c r="U62" i="261" l="1"/>
  <c r="S62" i="261"/>
  <c r="T61" i="261"/>
  <c r="U90" i="261"/>
  <c r="S61" i="261"/>
  <c r="T90" i="261"/>
  <c r="T59" i="261"/>
  <c r="U60" i="261"/>
  <c r="U59" i="261"/>
  <c r="S60" i="261"/>
  <c r="K90" i="19"/>
  <c r="C90" i="261"/>
  <c r="M90" i="261" s="1"/>
  <c r="E77" i="261"/>
  <c r="E62" i="261"/>
  <c r="E55" i="17"/>
  <c r="E55" i="19"/>
  <c r="E60" i="17"/>
  <c r="E60" i="19"/>
  <c r="C60" i="261" s="1"/>
  <c r="K83" i="19"/>
  <c r="D11" i="273" s="1"/>
  <c r="E88" i="17"/>
  <c r="E88" i="19"/>
  <c r="C88" i="261" s="1"/>
  <c r="E76" i="17"/>
  <c r="E76" i="19"/>
  <c r="C76" i="261" s="1"/>
  <c r="E84" i="17"/>
  <c r="E84" i="19"/>
  <c r="C84" i="261" s="1"/>
  <c r="K72" i="19"/>
  <c r="D13" i="273" s="1"/>
  <c r="E85" i="17"/>
  <c r="E85" i="19"/>
  <c r="C85" i="261" s="1"/>
  <c r="E78" i="17"/>
  <c r="E78" i="19"/>
  <c r="C78" i="261" s="1"/>
  <c r="E80" i="19"/>
  <c r="C80" i="261" s="1"/>
  <c r="E80" i="17"/>
  <c r="E66" i="17"/>
  <c r="E66" i="19"/>
  <c r="C66" i="261" s="1"/>
  <c r="E57" i="19"/>
  <c r="C57" i="261" s="1"/>
  <c r="E57" i="17"/>
  <c r="E61" i="17"/>
  <c r="E61" i="19"/>
  <c r="C61" i="261" s="1"/>
  <c r="E67" i="17"/>
  <c r="E67" i="19"/>
  <c r="C67" i="261" s="1"/>
  <c r="E62" i="17"/>
  <c r="E62" i="19"/>
  <c r="E10" i="273" s="1"/>
  <c r="E70" i="17"/>
  <c r="E70" i="19"/>
  <c r="C70" i="261" s="1"/>
  <c r="E68" i="17"/>
  <c r="E68" i="19"/>
  <c r="C68" i="261" s="1"/>
  <c r="K89" i="19"/>
  <c r="D12" i="273" s="1"/>
  <c r="E82" i="17"/>
  <c r="E82" i="19"/>
  <c r="C82" i="261" s="1"/>
  <c r="E71" i="17"/>
  <c r="E71" i="19"/>
  <c r="C71" i="261" s="1"/>
  <c r="E64" i="17"/>
  <c r="E64" i="19"/>
  <c r="C64" i="261" s="1"/>
  <c r="E56" i="17"/>
  <c r="E56" i="19"/>
  <c r="C56" i="261" s="1"/>
  <c r="E86" i="19"/>
  <c r="C86" i="261" s="1"/>
  <c r="E86" i="17"/>
  <c r="E87" i="17"/>
  <c r="E87" i="19"/>
  <c r="C87" i="261" s="1"/>
  <c r="E77" i="17"/>
  <c r="E77" i="19"/>
  <c r="E7" i="273" s="1"/>
  <c r="E59" i="17"/>
  <c r="E59" i="19"/>
  <c r="C59" i="261" s="1"/>
  <c r="E69" i="17"/>
  <c r="E69" i="19"/>
  <c r="C69" i="261" s="1"/>
  <c r="E74" i="19"/>
  <c r="C74" i="261" s="1"/>
  <c r="E74" i="17"/>
  <c r="E73" i="17"/>
  <c r="E73" i="19"/>
  <c r="C73" i="261" s="1"/>
  <c r="E65" i="17"/>
  <c r="E65" i="19"/>
  <c r="C65" i="261" s="1"/>
  <c r="E79" i="19"/>
  <c r="C79" i="261" s="1"/>
  <c r="E79" i="17"/>
  <c r="E81" i="17"/>
  <c r="E81" i="19"/>
  <c r="C81" i="261" s="1"/>
  <c r="E75" i="17"/>
  <c r="E75" i="19"/>
  <c r="C75" i="261" s="1"/>
  <c r="E58" i="19"/>
  <c r="C58" i="261" s="1"/>
  <c r="E58" i="17"/>
  <c r="E63" i="17"/>
  <c r="E63" i="19"/>
  <c r="C63" i="261" s="1"/>
  <c r="E54" i="17"/>
  <c r="E54" i="19"/>
  <c r="C54" i="261" s="1"/>
  <c r="P90" i="17"/>
  <c r="F92" i="154" s="1"/>
  <c r="F90" i="17"/>
  <c r="M90" i="17"/>
  <c r="E90" i="17"/>
  <c r="E90" i="261" l="1"/>
  <c r="L90" i="261" s="1"/>
  <c r="AH90" i="261" s="1"/>
  <c r="Y90" i="261"/>
  <c r="F90" i="261"/>
  <c r="V90" i="261"/>
  <c r="E9" i="273"/>
  <c r="C9" i="273"/>
  <c r="W90" i="261"/>
  <c r="X90" i="261"/>
  <c r="AI90" i="261"/>
  <c r="E72" i="261"/>
  <c r="C62" i="261"/>
  <c r="W62" i="261" s="1"/>
  <c r="C77" i="261"/>
  <c r="M77" i="261" s="1"/>
  <c r="C55" i="261"/>
  <c r="AI55" i="261" s="1"/>
  <c r="E89" i="261"/>
  <c r="E83" i="261"/>
  <c r="Y59" i="261"/>
  <c r="W59" i="261"/>
  <c r="X59" i="261"/>
  <c r="Y58" i="261"/>
  <c r="W58" i="261"/>
  <c r="X58" i="261"/>
  <c r="Y61" i="261"/>
  <c r="W61" i="261"/>
  <c r="X61" i="261"/>
  <c r="Y60" i="261"/>
  <c r="W60" i="261"/>
  <c r="X60" i="261"/>
  <c r="L54" i="261"/>
  <c r="AH54" i="261" s="1"/>
  <c r="F54" i="261"/>
  <c r="M54" i="261"/>
  <c r="AI54" i="261"/>
  <c r="V54" i="261"/>
  <c r="M81" i="261"/>
  <c r="L81" i="261"/>
  <c r="AH81" i="261" s="1"/>
  <c r="F81" i="261"/>
  <c r="AI81" i="261"/>
  <c r="V81" i="261"/>
  <c r="L65" i="261"/>
  <c r="AH65" i="261" s="1"/>
  <c r="F65" i="261"/>
  <c r="M65" i="261"/>
  <c r="AI65" i="261"/>
  <c r="V65" i="261"/>
  <c r="M59" i="261"/>
  <c r="L59" i="261"/>
  <c r="AH59" i="261" s="1"/>
  <c r="F59" i="261"/>
  <c r="AI59" i="261"/>
  <c r="V59" i="261"/>
  <c r="L87" i="261"/>
  <c r="AH87" i="261" s="1"/>
  <c r="F87" i="261"/>
  <c r="M87" i="261"/>
  <c r="AI87" i="261"/>
  <c r="V87" i="261"/>
  <c r="M56" i="261"/>
  <c r="F56" i="261"/>
  <c r="L56" i="261"/>
  <c r="AH56" i="261" s="1"/>
  <c r="AI56" i="261"/>
  <c r="V56" i="261"/>
  <c r="M71" i="261"/>
  <c r="F71" i="261"/>
  <c r="L71" i="261"/>
  <c r="AH71" i="261" s="1"/>
  <c r="AI71" i="261"/>
  <c r="V71" i="261"/>
  <c r="M57" i="261"/>
  <c r="F57" i="261"/>
  <c r="L57" i="261"/>
  <c r="AH57" i="261" s="1"/>
  <c r="AI57" i="261"/>
  <c r="V57" i="261"/>
  <c r="M80" i="261"/>
  <c r="F80" i="261"/>
  <c r="L80" i="261"/>
  <c r="AH80" i="261" s="1"/>
  <c r="AI80" i="261"/>
  <c r="V80" i="261"/>
  <c r="F76" i="261"/>
  <c r="M76" i="261"/>
  <c r="L76" i="261"/>
  <c r="AH76" i="261" s="1"/>
  <c r="AI76" i="261"/>
  <c r="V76" i="261"/>
  <c r="M58" i="261"/>
  <c r="L58" i="261"/>
  <c r="AH58" i="261" s="1"/>
  <c r="F58" i="261"/>
  <c r="AI58" i="261"/>
  <c r="V58" i="261"/>
  <c r="L74" i="261"/>
  <c r="AH74" i="261" s="1"/>
  <c r="F74" i="261"/>
  <c r="M74" i="261"/>
  <c r="AI74" i="261"/>
  <c r="V74" i="261"/>
  <c r="F68" i="261"/>
  <c r="L68" i="261"/>
  <c r="AH68" i="261" s="1"/>
  <c r="M68" i="261"/>
  <c r="AI68" i="261"/>
  <c r="V68" i="261"/>
  <c r="M61" i="261"/>
  <c r="F61" i="261"/>
  <c r="L61" i="261"/>
  <c r="AH61" i="261" s="1"/>
  <c r="V61" i="261"/>
  <c r="F66" i="261"/>
  <c r="M66" i="261"/>
  <c r="L66" i="261"/>
  <c r="AH66" i="261" s="1"/>
  <c r="AI66" i="261"/>
  <c r="V66" i="261"/>
  <c r="F78" i="261"/>
  <c r="L78" i="261"/>
  <c r="AH78" i="261" s="1"/>
  <c r="M78" i="261"/>
  <c r="AI78" i="261"/>
  <c r="V78" i="261"/>
  <c r="L60" i="261"/>
  <c r="AH60" i="261" s="1"/>
  <c r="F60" i="261"/>
  <c r="M60" i="261"/>
  <c r="AI60" i="261"/>
  <c r="V60" i="261"/>
  <c r="F63" i="261"/>
  <c r="M63" i="261"/>
  <c r="L63" i="261"/>
  <c r="AH63" i="261" s="1"/>
  <c r="AI63" i="261"/>
  <c r="V63" i="261"/>
  <c r="M75" i="261"/>
  <c r="L75" i="261"/>
  <c r="AH75" i="261" s="1"/>
  <c r="F75" i="261"/>
  <c r="AI75" i="261"/>
  <c r="V75" i="261"/>
  <c r="F73" i="261"/>
  <c r="L73" i="261"/>
  <c r="AH73" i="261" s="1"/>
  <c r="M73" i="261"/>
  <c r="AI73" i="261"/>
  <c r="V73" i="261"/>
  <c r="L69" i="261"/>
  <c r="AH69" i="261" s="1"/>
  <c r="M69" i="261"/>
  <c r="F69" i="261"/>
  <c r="AI69" i="261"/>
  <c r="V69" i="261"/>
  <c r="F77" i="261"/>
  <c r="L64" i="261"/>
  <c r="AH64" i="261" s="1"/>
  <c r="F64" i="261"/>
  <c r="M64" i="261"/>
  <c r="AI64" i="261"/>
  <c r="V64" i="261"/>
  <c r="F82" i="261"/>
  <c r="M82" i="261"/>
  <c r="L82" i="261"/>
  <c r="AH82" i="261" s="1"/>
  <c r="AI82" i="261"/>
  <c r="V82" i="261"/>
  <c r="M84" i="261"/>
  <c r="F84" i="261"/>
  <c r="L84" i="261"/>
  <c r="AH84" i="261" s="1"/>
  <c r="AI84" i="261"/>
  <c r="V84" i="261"/>
  <c r="F88" i="261"/>
  <c r="L88" i="261"/>
  <c r="AH88" i="261" s="1"/>
  <c r="M88" i="261"/>
  <c r="AI88" i="261"/>
  <c r="V88" i="261"/>
  <c r="M79" i="261"/>
  <c r="L79" i="261"/>
  <c r="AH79" i="261" s="1"/>
  <c r="F79" i="261"/>
  <c r="AI79" i="261"/>
  <c r="V79" i="261"/>
  <c r="M86" i="261"/>
  <c r="F86" i="261"/>
  <c r="L86" i="261"/>
  <c r="AH86" i="261" s="1"/>
  <c r="AI86" i="261"/>
  <c r="V86" i="261"/>
  <c r="L70" i="261"/>
  <c r="AH70" i="261" s="1"/>
  <c r="M70" i="261"/>
  <c r="F70" i="261"/>
  <c r="AI70" i="261"/>
  <c r="V70" i="261"/>
  <c r="F67" i="261"/>
  <c r="M67" i="261"/>
  <c r="L67" i="261"/>
  <c r="AH67" i="261" s="1"/>
  <c r="AI67" i="261"/>
  <c r="V67" i="261"/>
  <c r="M85" i="261"/>
  <c r="L85" i="261"/>
  <c r="AH85" i="261" s="1"/>
  <c r="F85" i="261"/>
  <c r="AI85" i="261"/>
  <c r="V85" i="261"/>
  <c r="AI61" i="261"/>
  <c r="H63" i="19"/>
  <c r="I63" i="19" s="1"/>
  <c r="C63" i="17"/>
  <c r="C75" i="17"/>
  <c r="H75" i="19"/>
  <c r="C73" i="17"/>
  <c r="H73" i="19"/>
  <c r="H69" i="19"/>
  <c r="C69" i="17"/>
  <c r="C77" i="17"/>
  <c r="H77" i="19"/>
  <c r="E89" i="17"/>
  <c r="E89" i="19"/>
  <c r="E12" i="273" s="1"/>
  <c r="C67" i="17"/>
  <c r="H67" i="19"/>
  <c r="I67" i="19" s="1"/>
  <c r="H85" i="19"/>
  <c r="C85" i="17"/>
  <c r="C84" i="17"/>
  <c r="H84" i="19"/>
  <c r="H88" i="19"/>
  <c r="I88" i="19" s="1"/>
  <c r="C88" i="17"/>
  <c r="U90" i="17"/>
  <c r="H54" i="19"/>
  <c r="C54" i="17"/>
  <c r="C79" i="17"/>
  <c r="H79" i="19"/>
  <c r="C64" i="17"/>
  <c r="H64" i="19"/>
  <c r="H82" i="19"/>
  <c r="C82" i="17"/>
  <c r="C68" i="17"/>
  <c r="H68" i="19"/>
  <c r="H62" i="19"/>
  <c r="I62" i="19" s="1"/>
  <c r="C62" i="17"/>
  <c r="C57" i="17"/>
  <c r="H57" i="19"/>
  <c r="H80" i="19"/>
  <c r="I80" i="19" s="1"/>
  <c r="C80" i="17"/>
  <c r="H60" i="19"/>
  <c r="I60" i="19" s="1"/>
  <c r="C60" i="17"/>
  <c r="K53" i="19"/>
  <c r="C81" i="17"/>
  <c r="H81" i="19"/>
  <c r="C65" i="17"/>
  <c r="H65" i="19"/>
  <c r="C59" i="17"/>
  <c r="H59" i="19"/>
  <c r="H86" i="19"/>
  <c r="C86" i="17"/>
  <c r="C61" i="17"/>
  <c r="H61" i="19"/>
  <c r="C66" i="17"/>
  <c r="H66" i="19"/>
  <c r="I66" i="19" s="1"/>
  <c r="H78" i="19"/>
  <c r="I78" i="19" s="1"/>
  <c r="C78" i="17"/>
  <c r="H76" i="19"/>
  <c r="I76" i="19" s="1"/>
  <c r="C76" i="17"/>
  <c r="L90" i="17"/>
  <c r="T90" i="17" s="1"/>
  <c r="H58" i="19"/>
  <c r="I58" i="19" s="1"/>
  <c r="C58" i="17"/>
  <c r="H74" i="19"/>
  <c r="C74" i="17"/>
  <c r="C87" i="17"/>
  <c r="H87" i="19"/>
  <c r="H56" i="19"/>
  <c r="C56" i="17"/>
  <c r="H71" i="19"/>
  <c r="C71" i="17"/>
  <c r="C70" i="17"/>
  <c r="H70" i="19"/>
  <c r="E72" i="17"/>
  <c r="E72" i="19"/>
  <c r="E13" i="273" s="1"/>
  <c r="E83" i="19"/>
  <c r="E11" i="273" s="1"/>
  <c r="E83" i="17"/>
  <c r="C55" i="17"/>
  <c r="H55" i="19"/>
  <c r="F93" i="154"/>
  <c r="K92" i="154"/>
  <c r="K93" i="154" s="1"/>
  <c r="L55" i="261" l="1"/>
  <c r="AH55" i="261" s="1"/>
  <c r="AB90" i="261"/>
  <c r="V77" i="261"/>
  <c r="AA90" i="261"/>
  <c r="Z90" i="261"/>
  <c r="D9" i="273"/>
  <c r="C15" i="273"/>
  <c r="C16" i="273" s="1"/>
  <c r="AI77" i="261"/>
  <c r="L77" i="261"/>
  <c r="AH77" i="261" s="1"/>
  <c r="V62" i="261"/>
  <c r="Z62" i="261" s="1"/>
  <c r="F55" i="261"/>
  <c r="M55" i="261"/>
  <c r="V55" i="261"/>
  <c r="M62" i="261"/>
  <c r="F62" i="261"/>
  <c r="J66" i="268"/>
  <c r="J63" i="268"/>
  <c r="J80" i="19"/>
  <c r="K80" i="17" s="1"/>
  <c r="J58" i="268"/>
  <c r="J60" i="268"/>
  <c r="J62" i="268"/>
  <c r="J67" i="268"/>
  <c r="J88" i="268"/>
  <c r="J80" i="268"/>
  <c r="J76" i="268"/>
  <c r="J78" i="268"/>
  <c r="Y62" i="261"/>
  <c r="E53" i="261"/>
  <c r="E91" i="261" s="1"/>
  <c r="O91" i="261" s="1"/>
  <c r="S91" i="261" s="1"/>
  <c r="AI62" i="261"/>
  <c r="X62" i="261"/>
  <c r="L62" i="261"/>
  <c r="AH62" i="261" s="1"/>
  <c r="Z59" i="261"/>
  <c r="AB60" i="261"/>
  <c r="J78" i="19"/>
  <c r="C72" i="261"/>
  <c r="AI72" i="261" s="1"/>
  <c r="J58" i="19"/>
  <c r="K58" i="261" s="1"/>
  <c r="C83" i="261"/>
  <c r="AI83" i="261" s="1"/>
  <c r="C89" i="261"/>
  <c r="L89" i="261" s="1"/>
  <c r="AH89" i="261" s="1"/>
  <c r="AB58" i="261"/>
  <c r="J66" i="19"/>
  <c r="J60" i="19"/>
  <c r="AB61" i="261"/>
  <c r="J62" i="19"/>
  <c r="K62" i="261" s="1"/>
  <c r="AA60" i="261"/>
  <c r="AB59" i="261"/>
  <c r="J76" i="19"/>
  <c r="Z61" i="261"/>
  <c r="Z60" i="261"/>
  <c r="AA61" i="261"/>
  <c r="AA58" i="261"/>
  <c r="Z58" i="261"/>
  <c r="AA59" i="261"/>
  <c r="J76" i="17"/>
  <c r="J76" i="261"/>
  <c r="J88" i="17"/>
  <c r="J88" i="261"/>
  <c r="J58" i="17"/>
  <c r="J58" i="261"/>
  <c r="J60" i="17"/>
  <c r="J60" i="261"/>
  <c r="J67" i="17"/>
  <c r="J67" i="261"/>
  <c r="J78" i="17"/>
  <c r="J78" i="261"/>
  <c r="J63" i="17"/>
  <c r="J63" i="261"/>
  <c r="J88" i="19"/>
  <c r="J67" i="19"/>
  <c r="J63" i="19"/>
  <c r="J66" i="17"/>
  <c r="J66" i="261"/>
  <c r="J80" i="17"/>
  <c r="J80" i="261"/>
  <c r="J62" i="17"/>
  <c r="J62" i="261"/>
  <c r="E53" i="17"/>
  <c r="E91" i="17" s="1"/>
  <c r="O91" i="17" s="1"/>
  <c r="M76" i="17"/>
  <c r="C76" i="268" s="1"/>
  <c r="L76" i="17"/>
  <c r="T76" i="17" s="1"/>
  <c r="P76" i="17"/>
  <c r="N76" i="116" s="1"/>
  <c r="U76" i="17"/>
  <c r="F76" i="17"/>
  <c r="P66" i="17"/>
  <c r="N66" i="116" s="1"/>
  <c r="U66" i="17"/>
  <c r="F66" i="17"/>
  <c r="L66" i="17"/>
  <c r="T66" i="17" s="1"/>
  <c r="M66" i="17"/>
  <c r="E66" i="268" s="1"/>
  <c r="L60" i="17"/>
  <c r="T60" i="17" s="1"/>
  <c r="M60" i="17"/>
  <c r="E60" i="268" s="1"/>
  <c r="P60" i="17"/>
  <c r="N60" i="116" s="1"/>
  <c r="U60" i="17"/>
  <c r="F60" i="17"/>
  <c r="M77" i="17"/>
  <c r="E77" i="268" s="1"/>
  <c r="F77" i="17"/>
  <c r="L77" i="17"/>
  <c r="T77" i="17" s="1"/>
  <c r="P77" i="17"/>
  <c r="U77" i="17"/>
  <c r="M55" i="17"/>
  <c r="E55" i="268" s="1"/>
  <c r="L55" i="17"/>
  <c r="T55" i="17" s="1"/>
  <c r="F55" i="17"/>
  <c r="P55" i="17"/>
  <c r="U55" i="17"/>
  <c r="C83" i="17"/>
  <c r="H83" i="19"/>
  <c r="M56" i="17"/>
  <c r="C56" i="268" s="1"/>
  <c r="P56" i="17"/>
  <c r="N56" i="116" s="1"/>
  <c r="F56" i="257" s="1"/>
  <c r="U56" i="17"/>
  <c r="F56" i="17"/>
  <c r="L56" i="17"/>
  <c r="T56" i="17" s="1"/>
  <c r="P74" i="17"/>
  <c r="N74" i="116" s="1"/>
  <c r="F74" i="257" s="1"/>
  <c r="U74" i="17"/>
  <c r="F74" i="17"/>
  <c r="L74" i="17"/>
  <c r="T74" i="17" s="1"/>
  <c r="M74" i="17"/>
  <c r="C74" i="268" s="1"/>
  <c r="F86" i="17"/>
  <c r="P86" i="17"/>
  <c r="N86" i="116" s="1"/>
  <c r="L86" i="17"/>
  <c r="T86" i="17" s="1"/>
  <c r="M86" i="17"/>
  <c r="C86" i="268" s="1"/>
  <c r="U86" i="17"/>
  <c r="I65" i="19"/>
  <c r="E53" i="19"/>
  <c r="E15" i="273" s="1"/>
  <c r="E16" i="273" s="1"/>
  <c r="K91" i="19"/>
  <c r="K98" i="19" s="1"/>
  <c r="M82" i="17"/>
  <c r="C82" i="268" s="1"/>
  <c r="L82" i="17"/>
  <c r="T82" i="17" s="1"/>
  <c r="P82" i="17"/>
  <c r="N82" i="116" s="1"/>
  <c r="U82" i="17"/>
  <c r="F82" i="17"/>
  <c r="P84" i="17"/>
  <c r="N84" i="116" s="1"/>
  <c r="F84" i="257" s="1"/>
  <c r="U84" i="17"/>
  <c r="F84" i="17"/>
  <c r="L84" i="17"/>
  <c r="T84" i="17" s="1"/>
  <c r="M84" i="17"/>
  <c r="C84" i="268" s="1"/>
  <c r="M67" i="17"/>
  <c r="E67" i="268" s="1"/>
  <c r="P67" i="17"/>
  <c r="U67" i="17"/>
  <c r="L67" i="17"/>
  <c r="T67" i="17" s="1"/>
  <c r="F67" i="17"/>
  <c r="I77" i="19"/>
  <c r="I69" i="19"/>
  <c r="P75" i="17"/>
  <c r="N75" i="116" s="1"/>
  <c r="U75" i="17"/>
  <c r="F75" i="17"/>
  <c r="M75" i="17"/>
  <c r="E75" i="268" s="1"/>
  <c r="L75" i="17"/>
  <c r="T75" i="17" s="1"/>
  <c r="I70" i="19"/>
  <c r="I56" i="19"/>
  <c r="I74" i="19"/>
  <c r="I86" i="19"/>
  <c r="F65" i="17"/>
  <c r="L65" i="17"/>
  <c r="T65" i="17" s="1"/>
  <c r="U65" i="17"/>
  <c r="M65" i="17"/>
  <c r="E65" i="268" s="1"/>
  <c r="P65" i="17"/>
  <c r="N65" i="116" s="1"/>
  <c r="F65" i="257" s="1"/>
  <c r="I57" i="19"/>
  <c r="I82" i="19"/>
  <c r="M88" i="17"/>
  <c r="C88" i="268" s="1"/>
  <c r="L88" i="17"/>
  <c r="T88" i="17" s="1"/>
  <c r="P88" i="17"/>
  <c r="N88" i="116" s="1"/>
  <c r="U88" i="17"/>
  <c r="F88" i="17"/>
  <c r="P85" i="17"/>
  <c r="N85" i="116" s="1"/>
  <c r="F85" i="257" s="1"/>
  <c r="U85" i="17"/>
  <c r="F85" i="17"/>
  <c r="M85" i="17"/>
  <c r="C85" i="268" s="1"/>
  <c r="L85" i="17"/>
  <c r="T85" i="17" s="1"/>
  <c r="I73" i="19"/>
  <c r="H72" i="19"/>
  <c r="C72" i="17"/>
  <c r="L70" i="17"/>
  <c r="T70" i="17" s="1"/>
  <c r="P70" i="17"/>
  <c r="N70" i="116" s="1"/>
  <c r="F70" i="257" s="1"/>
  <c r="U70" i="17"/>
  <c r="M70" i="17"/>
  <c r="C70" i="268" s="1"/>
  <c r="F70" i="17"/>
  <c r="P71" i="17"/>
  <c r="N71" i="116" s="1"/>
  <c r="F71" i="257" s="1"/>
  <c r="U71" i="17"/>
  <c r="F71" i="17"/>
  <c r="L71" i="17"/>
  <c r="T71" i="17" s="1"/>
  <c r="M71" i="17"/>
  <c r="E71" i="268" s="1"/>
  <c r="L58" i="17"/>
  <c r="T58" i="17" s="1"/>
  <c r="M58" i="17"/>
  <c r="E58" i="268" s="1"/>
  <c r="F58" i="17"/>
  <c r="P58" i="17"/>
  <c r="U58" i="17"/>
  <c r="F78" i="17"/>
  <c r="L78" i="17"/>
  <c r="T78" i="17" s="1"/>
  <c r="U78" i="17"/>
  <c r="M78" i="17"/>
  <c r="C78" i="268" s="1"/>
  <c r="P78" i="17"/>
  <c r="N78" i="116" s="1"/>
  <c r="I61" i="19"/>
  <c r="I59" i="19"/>
  <c r="I81" i="19"/>
  <c r="F57" i="17"/>
  <c r="M57" i="17"/>
  <c r="C57" i="268" s="1"/>
  <c r="P57" i="17"/>
  <c r="N57" i="116" s="1"/>
  <c r="L57" i="17"/>
  <c r="T57" i="17" s="1"/>
  <c r="U57" i="17"/>
  <c r="I68" i="19"/>
  <c r="I64" i="19"/>
  <c r="M54" i="17"/>
  <c r="E54" i="268" s="1"/>
  <c r="P54" i="17"/>
  <c r="L54" i="17"/>
  <c r="T54" i="17" s="1"/>
  <c r="F54" i="17"/>
  <c r="U54" i="17"/>
  <c r="I85" i="19"/>
  <c r="L73" i="17"/>
  <c r="T73" i="17" s="1"/>
  <c r="M73" i="17"/>
  <c r="C73" i="268" s="1"/>
  <c r="F73" i="17"/>
  <c r="P73" i="17"/>
  <c r="N73" i="116" s="1"/>
  <c r="F73" i="257" s="1"/>
  <c r="U73" i="17"/>
  <c r="P79" i="17"/>
  <c r="N79" i="116" s="1"/>
  <c r="U79" i="17"/>
  <c r="L79" i="17"/>
  <c r="T79" i="17" s="1"/>
  <c r="F79" i="17"/>
  <c r="M79" i="17"/>
  <c r="C79" i="268" s="1"/>
  <c r="C89" i="17"/>
  <c r="H89" i="19"/>
  <c r="M63" i="17"/>
  <c r="C63" i="268" s="1"/>
  <c r="L63" i="17"/>
  <c r="T63" i="17" s="1"/>
  <c r="F63" i="17"/>
  <c r="P63" i="17"/>
  <c r="N63" i="116" s="1"/>
  <c r="U63" i="17"/>
  <c r="I55" i="19"/>
  <c r="I71" i="19"/>
  <c r="F87" i="17"/>
  <c r="L87" i="17"/>
  <c r="T87" i="17" s="1"/>
  <c r="M87" i="17"/>
  <c r="C87" i="268" s="1"/>
  <c r="P87" i="17"/>
  <c r="N87" i="116" s="1"/>
  <c r="U87" i="17"/>
  <c r="M61" i="17"/>
  <c r="C61" i="268" s="1"/>
  <c r="P61" i="17"/>
  <c r="N61" i="116" s="1"/>
  <c r="U61" i="17"/>
  <c r="F61" i="17"/>
  <c r="L61" i="17"/>
  <c r="T61" i="17" s="1"/>
  <c r="P59" i="17"/>
  <c r="N59" i="116" s="1"/>
  <c r="U59" i="17"/>
  <c r="F59" i="17"/>
  <c r="L59" i="17"/>
  <c r="T59" i="17" s="1"/>
  <c r="M59" i="17"/>
  <c r="E59" i="268" s="1"/>
  <c r="F81" i="17"/>
  <c r="L81" i="17"/>
  <c r="T81" i="17" s="1"/>
  <c r="U81" i="17"/>
  <c r="M81" i="17"/>
  <c r="C81" i="268" s="1"/>
  <c r="P81" i="17"/>
  <c r="N81" i="116" s="1"/>
  <c r="F80" i="17"/>
  <c r="L80" i="17"/>
  <c r="T80" i="17" s="1"/>
  <c r="P80" i="17"/>
  <c r="N80" i="116" s="1"/>
  <c r="M80" i="17"/>
  <c r="E80" i="268" s="1"/>
  <c r="U80" i="17"/>
  <c r="L62" i="17"/>
  <c r="T62" i="17" s="1"/>
  <c r="M62" i="17"/>
  <c r="C62" i="268" s="1"/>
  <c r="F62" i="17"/>
  <c r="P62" i="17"/>
  <c r="F10" i="273" s="1"/>
  <c r="I10" i="273" s="1"/>
  <c r="U62" i="17"/>
  <c r="L68" i="17"/>
  <c r="T68" i="17" s="1"/>
  <c r="P68" i="17"/>
  <c r="N68" i="116" s="1"/>
  <c r="U68" i="17"/>
  <c r="M68" i="17"/>
  <c r="C68" i="268" s="1"/>
  <c r="F68" i="17"/>
  <c r="L64" i="17"/>
  <c r="T64" i="17" s="1"/>
  <c r="M64" i="17"/>
  <c r="E64" i="268" s="1"/>
  <c r="F64" i="17"/>
  <c r="P64" i="17"/>
  <c r="N64" i="116" s="1"/>
  <c r="U64" i="17"/>
  <c r="I54" i="19"/>
  <c r="I84" i="19"/>
  <c r="P69" i="17"/>
  <c r="N69" i="116" s="1"/>
  <c r="F69" i="257" s="1"/>
  <c r="U69" i="17"/>
  <c r="M69" i="17"/>
  <c r="C69" i="268" s="1"/>
  <c r="F69" i="17"/>
  <c r="L69" i="17"/>
  <c r="T69" i="17" s="1"/>
  <c r="I75" i="19"/>
  <c r="F7" i="273" l="1"/>
  <c r="I7" i="273" s="1"/>
  <c r="D15" i="273"/>
  <c r="D16" i="273" s="1"/>
  <c r="F9" i="273"/>
  <c r="I9" i="273" s="1"/>
  <c r="AB62" i="261"/>
  <c r="AA62" i="261"/>
  <c r="K80" i="261"/>
  <c r="K62" i="17"/>
  <c r="U91" i="261"/>
  <c r="T91" i="261"/>
  <c r="K66" i="261"/>
  <c r="J71" i="268"/>
  <c r="J77" i="268"/>
  <c r="J65" i="268"/>
  <c r="K80" i="268"/>
  <c r="J68" i="268"/>
  <c r="J82" i="268"/>
  <c r="J73" i="268"/>
  <c r="J57" i="268"/>
  <c r="K63" i="268"/>
  <c r="J74" i="268"/>
  <c r="K67" i="268"/>
  <c r="K62" i="268"/>
  <c r="K88" i="268"/>
  <c r="K58" i="268"/>
  <c r="K58" i="17"/>
  <c r="J55" i="261"/>
  <c r="J55" i="268"/>
  <c r="J64" i="261"/>
  <c r="J64" i="268"/>
  <c r="J59" i="261"/>
  <c r="J59" i="268"/>
  <c r="J56" i="261"/>
  <c r="J56" i="268"/>
  <c r="K76" i="17"/>
  <c r="K76" i="268"/>
  <c r="B75" i="268"/>
  <c r="B54" i="268"/>
  <c r="B60" i="268"/>
  <c r="B65" i="268"/>
  <c r="B66" i="268"/>
  <c r="B58" i="268"/>
  <c r="B71" i="268"/>
  <c r="B77" i="268"/>
  <c r="B67" i="268"/>
  <c r="B80" i="268"/>
  <c r="B59" i="268"/>
  <c r="B64" i="268"/>
  <c r="B55" i="268"/>
  <c r="D69" i="268"/>
  <c r="D85" i="268"/>
  <c r="D88" i="268"/>
  <c r="D79" i="268"/>
  <c r="D86" i="268"/>
  <c r="D76" i="268"/>
  <c r="D70" i="268"/>
  <c r="D62" i="268"/>
  <c r="D81" i="268"/>
  <c r="D57" i="268"/>
  <c r="D78" i="268"/>
  <c r="D87" i="268"/>
  <c r="D73" i="268"/>
  <c r="D84" i="268"/>
  <c r="D82" i="268"/>
  <c r="D61" i="268"/>
  <c r="D74" i="268"/>
  <c r="D56" i="268"/>
  <c r="D63" i="268"/>
  <c r="D68" i="268"/>
  <c r="J84" i="261"/>
  <c r="J84" i="268"/>
  <c r="J61" i="261"/>
  <c r="J61" i="268"/>
  <c r="J70" i="261"/>
  <c r="J70" i="268"/>
  <c r="K78" i="17"/>
  <c r="K78" i="268"/>
  <c r="C75" i="268"/>
  <c r="C54" i="268"/>
  <c r="C60" i="268"/>
  <c r="C65" i="268"/>
  <c r="C66" i="268"/>
  <c r="C58" i="268"/>
  <c r="C71" i="268"/>
  <c r="C77" i="268"/>
  <c r="C67" i="268"/>
  <c r="C80" i="268"/>
  <c r="C59" i="268"/>
  <c r="C64" i="268"/>
  <c r="C55" i="268"/>
  <c r="E69" i="268"/>
  <c r="E85" i="268"/>
  <c r="E88" i="268"/>
  <c r="E79" i="268"/>
  <c r="E86" i="268"/>
  <c r="E76" i="268"/>
  <c r="E70" i="268"/>
  <c r="E62" i="268"/>
  <c r="E81" i="268"/>
  <c r="E57" i="268"/>
  <c r="E78" i="268"/>
  <c r="E87" i="268"/>
  <c r="E73" i="268"/>
  <c r="E84" i="268"/>
  <c r="E82" i="268"/>
  <c r="E61" i="268"/>
  <c r="E74" i="268"/>
  <c r="E56" i="268"/>
  <c r="E63" i="268"/>
  <c r="E68" i="268"/>
  <c r="J54" i="261"/>
  <c r="J54" i="268"/>
  <c r="J85" i="261"/>
  <c r="J85" i="268"/>
  <c r="J86" i="261"/>
  <c r="J86" i="268"/>
  <c r="K60" i="17"/>
  <c r="K60" i="268"/>
  <c r="D75" i="268"/>
  <c r="D54" i="268"/>
  <c r="D60" i="268"/>
  <c r="D65" i="268"/>
  <c r="D66" i="268"/>
  <c r="D58" i="268"/>
  <c r="D71" i="268"/>
  <c r="D77" i="268"/>
  <c r="D67" i="268"/>
  <c r="D80" i="268"/>
  <c r="D59" i="268"/>
  <c r="D64" i="268"/>
  <c r="D55" i="268"/>
  <c r="B69" i="268"/>
  <c r="B85" i="268"/>
  <c r="B88" i="268"/>
  <c r="B79" i="268"/>
  <c r="B86" i="268"/>
  <c r="B76" i="268"/>
  <c r="B70" i="268"/>
  <c r="B62" i="268"/>
  <c r="B81" i="268"/>
  <c r="B57" i="268"/>
  <c r="B78" i="268"/>
  <c r="B87" i="268"/>
  <c r="B73" i="268"/>
  <c r="B84" i="268"/>
  <c r="B82" i="268"/>
  <c r="B61" i="268"/>
  <c r="B74" i="268"/>
  <c r="B56" i="268"/>
  <c r="B63" i="268"/>
  <c r="B68" i="268"/>
  <c r="J75" i="261"/>
  <c r="J75" i="268"/>
  <c r="J81" i="261"/>
  <c r="J81" i="268"/>
  <c r="J69" i="261"/>
  <c r="J69" i="268"/>
  <c r="K60" i="261"/>
  <c r="K66" i="17"/>
  <c r="K66" i="268"/>
  <c r="K78" i="261"/>
  <c r="L72" i="261"/>
  <c r="AH72" i="261" s="1"/>
  <c r="F83" i="261"/>
  <c r="M83" i="261"/>
  <c r="F72" i="261"/>
  <c r="V72" i="261"/>
  <c r="M72" i="261"/>
  <c r="K76" i="261"/>
  <c r="V83" i="261"/>
  <c r="L83" i="261"/>
  <c r="AH83" i="261" s="1"/>
  <c r="F89" i="261"/>
  <c r="V89" i="261"/>
  <c r="M89" i="261"/>
  <c r="C53" i="261"/>
  <c r="W53" i="261" s="1"/>
  <c r="AI89" i="261"/>
  <c r="N53" i="261"/>
  <c r="J77" i="17"/>
  <c r="J77" i="261"/>
  <c r="K63" i="17"/>
  <c r="K63" i="261"/>
  <c r="J82" i="17"/>
  <c r="J82" i="261"/>
  <c r="J74" i="17"/>
  <c r="J74" i="261"/>
  <c r="K67" i="17"/>
  <c r="K67" i="261"/>
  <c r="J71" i="17"/>
  <c r="J71" i="261"/>
  <c r="J68" i="17"/>
  <c r="J68" i="261"/>
  <c r="J73" i="17"/>
  <c r="J73" i="261"/>
  <c r="J57" i="17"/>
  <c r="J57" i="261"/>
  <c r="J74" i="19"/>
  <c r="J65" i="17"/>
  <c r="J65" i="261"/>
  <c r="K88" i="17"/>
  <c r="K88" i="261"/>
  <c r="J68" i="19"/>
  <c r="H53" i="19"/>
  <c r="H91" i="19" s="1"/>
  <c r="E91" i="19" s="1"/>
  <c r="C53" i="17"/>
  <c r="M53" i="17" s="1"/>
  <c r="M95" i="17" s="1"/>
  <c r="J73" i="19"/>
  <c r="J82" i="19"/>
  <c r="J65" i="19"/>
  <c r="J71" i="19"/>
  <c r="J57" i="19"/>
  <c r="J77" i="19"/>
  <c r="H68" i="116"/>
  <c r="O68" i="116"/>
  <c r="F68" i="257"/>
  <c r="J84" i="17"/>
  <c r="J84" i="19"/>
  <c r="N54" i="116"/>
  <c r="H75" i="116"/>
  <c r="O75" i="116"/>
  <c r="P75" i="116" s="1"/>
  <c r="C75" i="257" s="1"/>
  <c r="F75" i="257"/>
  <c r="O81" i="116"/>
  <c r="H81" i="116"/>
  <c r="F81" i="257"/>
  <c r="J75" i="17"/>
  <c r="J75" i="19"/>
  <c r="J55" i="17"/>
  <c r="J55" i="19"/>
  <c r="F78" i="257"/>
  <c r="H78" i="116"/>
  <c r="O78" i="116"/>
  <c r="P78" i="116" s="1"/>
  <c r="C78" i="257" s="1"/>
  <c r="O66" i="116"/>
  <c r="F66" i="257"/>
  <c r="H66" i="116"/>
  <c r="H87" i="116"/>
  <c r="O87" i="116"/>
  <c r="F87" i="257"/>
  <c r="J59" i="17"/>
  <c r="J59" i="19"/>
  <c r="N67" i="116"/>
  <c r="J64" i="17"/>
  <c r="J64" i="19"/>
  <c r="J86" i="17"/>
  <c r="J86" i="19"/>
  <c r="J56" i="17"/>
  <c r="J56" i="19"/>
  <c r="O64" i="116"/>
  <c r="H64" i="116"/>
  <c r="H80" i="116"/>
  <c r="F80" i="257"/>
  <c r="O80" i="116"/>
  <c r="F59" i="257"/>
  <c r="O59" i="116"/>
  <c r="H59" i="116"/>
  <c r="H61" i="116"/>
  <c r="O61" i="116"/>
  <c r="P61" i="116" s="1"/>
  <c r="C61" i="257" s="1"/>
  <c r="H63" i="116"/>
  <c r="O63" i="116"/>
  <c r="P63" i="116" s="1"/>
  <c r="C63" i="257" s="1"/>
  <c r="F63" i="257"/>
  <c r="O79" i="116"/>
  <c r="H79" i="116"/>
  <c r="F64" i="257"/>
  <c r="M72" i="17"/>
  <c r="U72" i="17"/>
  <c r="F72" i="17"/>
  <c r="L72" i="17"/>
  <c r="T72" i="17" s="1"/>
  <c r="P72" i="17"/>
  <c r="O86" i="116"/>
  <c r="H86" i="116"/>
  <c r="I83" i="19"/>
  <c r="O60" i="116"/>
  <c r="P60" i="116" s="1"/>
  <c r="C60" i="257" s="1"/>
  <c r="F60" i="257"/>
  <c r="H60" i="116"/>
  <c r="O69" i="116"/>
  <c r="H69" i="116"/>
  <c r="J54" i="19"/>
  <c r="J54" i="17"/>
  <c r="F89" i="17"/>
  <c r="U89" i="17"/>
  <c r="M89" i="17"/>
  <c r="P89" i="17"/>
  <c r="N53" i="17"/>
  <c r="L89" i="17"/>
  <c r="T89" i="17" s="1"/>
  <c r="J81" i="17"/>
  <c r="J81" i="19"/>
  <c r="F61" i="257"/>
  <c r="N58" i="116"/>
  <c r="I72" i="19"/>
  <c r="O88" i="116"/>
  <c r="H88" i="116"/>
  <c r="F88" i="257"/>
  <c r="H65" i="116"/>
  <c r="O65" i="116"/>
  <c r="P65" i="116" s="1"/>
  <c r="C65" i="257" s="1"/>
  <c r="J69" i="17"/>
  <c r="J69" i="19"/>
  <c r="O84" i="116"/>
  <c r="P84" i="116" s="1"/>
  <c r="C84" i="257" s="1"/>
  <c r="H84" i="116"/>
  <c r="O82" i="116"/>
  <c r="P82" i="116" s="1"/>
  <c r="C82" i="257" s="1"/>
  <c r="H82" i="116"/>
  <c r="M83" i="17"/>
  <c r="L83" i="17"/>
  <c r="T83" i="17" s="1"/>
  <c r="F83" i="17"/>
  <c r="P83" i="17"/>
  <c r="U83" i="17"/>
  <c r="N55" i="116"/>
  <c r="F82" i="257"/>
  <c r="N62" i="116"/>
  <c r="O73" i="116"/>
  <c r="H73" i="116"/>
  <c r="J85" i="17"/>
  <c r="J85" i="19"/>
  <c r="H57" i="116"/>
  <c r="O57" i="116"/>
  <c r="J61" i="17"/>
  <c r="J61" i="19"/>
  <c r="H71" i="116"/>
  <c r="O71" i="116"/>
  <c r="P71" i="116" s="1"/>
  <c r="C71" i="257" s="1"/>
  <c r="H70" i="116"/>
  <c r="O70" i="116"/>
  <c r="H85" i="116"/>
  <c r="O85" i="116"/>
  <c r="F57" i="257"/>
  <c r="J70" i="17"/>
  <c r="J70" i="19"/>
  <c r="F79" i="257"/>
  <c r="H74" i="116"/>
  <c r="O74" i="116"/>
  <c r="P74" i="116" s="1"/>
  <c r="C74" i="257" s="1"/>
  <c r="H56" i="116"/>
  <c r="O56" i="116"/>
  <c r="N77" i="116"/>
  <c r="F76" i="257"/>
  <c r="H76" i="116"/>
  <c r="O76" i="116"/>
  <c r="P76" i="116" s="1"/>
  <c r="C76" i="257" s="1"/>
  <c r="F86" i="257"/>
  <c r="U10" i="260"/>
  <c r="I55" i="260"/>
  <c r="Q55" i="261" s="1"/>
  <c r="I56" i="260"/>
  <c r="Q56" i="261" s="1"/>
  <c r="I59" i="260"/>
  <c r="U46" i="260"/>
  <c r="I63" i="260"/>
  <c r="Q63" i="261" s="1"/>
  <c r="I54" i="260"/>
  <c r="Q54" i="261" s="1"/>
  <c r="I57" i="260"/>
  <c r="Q57" i="261" s="1"/>
  <c r="I65" i="260"/>
  <c r="Q65" i="261" s="1"/>
  <c r="I68" i="260"/>
  <c r="Q68" i="261" s="1"/>
  <c r="I71" i="260"/>
  <c r="Q71" i="261" s="1"/>
  <c r="I75" i="260"/>
  <c r="Q75" i="261" s="1"/>
  <c r="I76" i="260"/>
  <c r="Q76" i="261" s="1"/>
  <c r="I79" i="260"/>
  <c r="Q79" i="261" s="1"/>
  <c r="I80" i="260"/>
  <c r="Q80" i="261" s="1"/>
  <c r="I66" i="260"/>
  <c r="Q66" i="261" s="1"/>
  <c r="I69" i="260"/>
  <c r="Q69" i="261" s="1"/>
  <c r="I73" i="260"/>
  <c r="Q73" i="261" s="1"/>
  <c r="I85" i="260"/>
  <c r="Q85" i="261" s="1"/>
  <c r="I61" i="260"/>
  <c r="I64" i="260"/>
  <c r="Q64" i="261" s="1"/>
  <c r="I70" i="260"/>
  <c r="Q70" i="261" s="1"/>
  <c r="I74" i="260"/>
  <c r="Q74" i="261" s="1"/>
  <c r="I78" i="260"/>
  <c r="Q78" i="261" s="1"/>
  <c r="I86" i="260"/>
  <c r="Q86" i="261" s="1"/>
  <c r="I87" i="260"/>
  <c r="Q87" i="261" s="1"/>
  <c r="I84" i="260"/>
  <c r="Q84" i="261" s="1"/>
  <c r="I82" i="260"/>
  <c r="Q82" i="261" s="1"/>
  <c r="F12" i="273" l="1"/>
  <c r="I12" i="273" s="1"/>
  <c r="F11" i="273"/>
  <c r="I11" i="273" s="1"/>
  <c r="D7" i="277"/>
  <c r="D6" i="277" s="1"/>
  <c r="F13" i="273"/>
  <c r="I13" i="273" s="1"/>
  <c r="I60" i="260"/>
  <c r="U60" i="260"/>
  <c r="I31" i="260"/>
  <c r="Q31" i="261" s="1"/>
  <c r="U31" i="260"/>
  <c r="I33" i="260"/>
  <c r="Q33" i="261" s="1"/>
  <c r="U33" i="260"/>
  <c r="I83" i="260"/>
  <c r="U83" i="260"/>
  <c r="I25" i="260"/>
  <c r="Q25" i="261" s="1"/>
  <c r="U25" i="260"/>
  <c r="I51" i="260"/>
  <c r="Q51" i="261" s="1"/>
  <c r="U51" i="260"/>
  <c r="I27" i="260"/>
  <c r="U27" i="260"/>
  <c r="I50" i="260"/>
  <c r="Q50" i="261" s="1"/>
  <c r="U50" i="260"/>
  <c r="I13" i="260"/>
  <c r="Q13" i="261" s="1"/>
  <c r="U13" i="260"/>
  <c r="I48" i="260"/>
  <c r="Q48" i="261" s="1"/>
  <c r="U48" i="260"/>
  <c r="I44" i="260"/>
  <c r="U44" i="260"/>
  <c r="I14" i="260"/>
  <c r="Q14" i="261" s="1"/>
  <c r="U14" i="260"/>
  <c r="I89" i="260"/>
  <c r="U89" i="260"/>
  <c r="I88" i="260"/>
  <c r="Q88" i="261" s="1"/>
  <c r="U88" i="260"/>
  <c r="I52" i="260"/>
  <c r="Q52" i="261" s="1"/>
  <c r="U52" i="260"/>
  <c r="I41" i="260"/>
  <c r="U41" i="260"/>
  <c r="C83" i="268"/>
  <c r="C89" i="268"/>
  <c r="E72" i="268"/>
  <c r="H98" i="19"/>
  <c r="K70" i="268"/>
  <c r="K69" i="268"/>
  <c r="K84" i="268"/>
  <c r="K57" i="268"/>
  <c r="K74" i="268"/>
  <c r="K85" i="268"/>
  <c r="J72" i="268"/>
  <c r="J83" i="268"/>
  <c r="K56" i="268"/>
  <c r="K55" i="268"/>
  <c r="K71" i="268"/>
  <c r="K68" i="268"/>
  <c r="K59" i="268"/>
  <c r="K65" i="268"/>
  <c r="K61" i="268"/>
  <c r="K86" i="268"/>
  <c r="K75" i="268"/>
  <c r="K82" i="268"/>
  <c r="K81" i="268"/>
  <c r="K73" i="268"/>
  <c r="K64" i="268"/>
  <c r="K77" i="268"/>
  <c r="D83" i="268"/>
  <c r="D89" i="268"/>
  <c r="B72" i="268"/>
  <c r="K54" i="261"/>
  <c r="K54" i="268"/>
  <c r="E83" i="268"/>
  <c r="E89" i="268"/>
  <c r="C72" i="268"/>
  <c r="B83" i="268"/>
  <c r="B89" i="268"/>
  <c r="D72" i="268"/>
  <c r="V53" i="261"/>
  <c r="V91" i="261" s="1"/>
  <c r="M53" i="261"/>
  <c r="Y53" i="261"/>
  <c r="AI53" i="261"/>
  <c r="U53" i="17"/>
  <c r="L53" i="261"/>
  <c r="AH53" i="261" s="1"/>
  <c r="X53" i="261"/>
  <c r="C91" i="261"/>
  <c r="X91" i="261" s="1"/>
  <c r="F53" i="261"/>
  <c r="F53" i="17"/>
  <c r="L53" i="17"/>
  <c r="T53" i="17" s="1"/>
  <c r="Q89" i="261"/>
  <c r="F9" i="260"/>
  <c r="K55" i="17"/>
  <c r="K55" i="261"/>
  <c r="J83" i="17"/>
  <c r="J83" i="261"/>
  <c r="K59" i="17"/>
  <c r="K59" i="261"/>
  <c r="K57" i="17"/>
  <c r="K57" i="261"/>
  <c r="K73" i="17"/>
  <c r="K73" i="261"/>
  <c r="K68" i="17"/>
  <c r="K68" i="261"/>
  <c r="K70" i="17"/>
  <c r="K70" i="261"/>
  <c r="K69" i="17"/>
  <c r="K69" i="261"/>
  <c r="K86" i="17"/>
  <c r="K86" i="261"/>
  <c r="K77" i="17"/>
  <c r="K77" i="261"/>
  <c r="K82" i="17"/>
  <c r="K82" i="261"/>
  <c r="K61" i="17"/>
  <c r="K61" i="261"/>
  <c r="K85" i="17"/>
  <c r="K85" i="261"/>
  <c r="K81" i="17"/>
  <c r="K81" i="261"/>
  <c r="K56" i="17"/>
  <c r="K56" i="261"/>
  <c r="K64" i="17"/>
  <c r="K64" i="261"/>
  <c r="K75" i="17"/>
  <c r="K75" i="261"/>
  <c r="K71" i="17"/>
  <c r="K71" i="261"/>
  <c r="K74" i="17"/>
  <c r="K74" i="261"/>
  <c r="I62" i="260"/>
  <c r="P62" i="260"/>
  <c r="J72" i="17"/>
  <c r="J72" i="261"/>
  <c r="C91" i="17"/>
  <c r="B94" i="17" s="1"/>
  <c r="K84" i="17"/>
  <c r="K84" i="261"/>
  <c r="K65" i="17"/>
  <c r="K65" i="261"/>
  <c r="P53" i="17"/>
  <c r="P91" i="17" s="1"/>
  <c r="J72" i="19"/>
  <c r="I53" i="19"/>
  <c r="P85" i="116"/>
  <c r="C85" i="257" s="1"/>
  <c r="G85" i="257"/>
  <c r="E85" i="257" s="1"/>
  <c r="D85" i="257" s="1"/>
  <c r="G85" i="116"/>
  <c r="F85" i="116" s="1"/>
  <c r="H55" i="116"/>
  <c r="O55" i="116"/>
  <c r="F55" i="257"/>
  <c r="G88" i="257"/>
  <c r="E88" i="257" s="1"/>
  <c r="D88" i="257" s="1"/>
  <c r="G88" i="116"/>
  <c r="F88" i="116" s="1"/>
  <c r="P81" i="116"/>
  <c r="C81" i="257" s="1"/>
  <c r="G81" i="257"/>
  <c r="E81" i="257" s="1"/>
  <c r="D81" i="257" s="1"/>
  <c r="G81" i="116"/>
  <c r="F81" i="116" s="1"/>
  <c r="G74" i="257"/>
  <c r="E74" i="257" s="1"/>
  <c r="D74" i="257" s="1"/>
  <c r="G74" i="116"/>
  <c r="F74" i="116" s="1"/>
  <c r="G71" i="116"/>
  <c r="F71" i="116" s="1"/>
  <c r="G71" i="257"/>
  <c r="E71" i="257" s="1"/>
  <c r="D71" i="257" s="1"/>
  <c r="G57" i="116"/>
  <c r="F57" i="116" s="1"/>
  <c r="D57" i="116" s="1"/>
  <c r="B57" i="116" s="1"/>
  <c r="C57" i="116" s="1"/>
  <c r="G57" i="257"/>
  <c r="E57" i="257" s="1"/>
  <c r="D57" i="257" s="1"/>
  <c r="P88" i="116"/>
  <c r="C88" i="257" s="1"/>
  <c r="N89" i="116"/>
  <c r="P69" i="116"/>
  <c r="C69" i="257" s="1"/>
  <c r="G69" i="257"/>
  <c r="E69" i="257" s="1"/>
  <c r="D69" i="257" s="1"/>
  <c r="G69" i="116"/>
  <c r="F69" i="116" s="1"/>
  <c r="G60" i="257"/>
  <c r="E60" i="257" s="1"/>
  <c r="D60" i="257" s="1"/>
  <c r="G60" i="116"/>
  <c r="F60" i="116" s="1"/>
  <c r="G61" i="116"/>
  <c r="F61" i="116" s="1"/>
  <c r="D61" i="116" s="1"/>
  <c r="B61" i="116" s="1"/>
  <c r="J61" i="257" s="1"/>
  <c r="K61" i="257" s="1"/>
  <c r="G61" i="257"/>
  <c r="E61" i="257" s="1"/>
  <c r="D61" i="257" s="1"/>
  <c r="P59" i="116"/>
  <c r="C59" i="257" s="1"/>
  <c r="G59" i="257"/>
  <c r="E59" i="257" s="1"/>
  <c r="D59" i="257" s="1"/>
  <c r="G59" i="116"/>
  <c r="F59" i="116" s="1"/>
  <c r="H67" i="116"/>
  <c r="F67" i="257"/>
  <c r="O67" i="116"/>
  <c r="P67" i="116" s="1"/>
  <c r="C67" i="257" s="1"/>
  <c r="G87" i="257"/>
  <c r="E87" i="257" s="1"/>
  <c r="D87" i="257" s="1"/>
  <c r="G87" i="116"/>
  <c r="F87" i="116" s="1"/>
  <c r="D87" i="116" s="1"/>
  <c r="B87" i="116" s="1"/>
  <c r="C87" i="116" s="1"/>
  <c r="P66" i="116"/>
  <c r="C66" i="257" s="1"/>
  <c r="G66" i="257"/>
  <c r="E66" i="257" s="1"/>
  <c r="D66" i="257" s="1"/>
  <c r="G66" i="116"/>
  <c r="F66" i="116" s="1"/>
  <c r="D66" i="116" s="1"/>
  <c r="B66" i="116" s="1"/>
  <c r="C66" i="116" s="1"/>
  <c r="G68" i="257"/>
  <c r="E68" i="257" s="1"/>
  <c r="D68" i="257" s="1"/>
  <c r="G68" i="116"/>
  <c r="F68" i="116" s="1"/>
  <c r="D68" i="116" s="1"/>
  <c r="B68" i="116" s="1"/>
  <c r="C68" i="116" s="1"/>
  <c r="G76" i="257"/>
  <c r="E76" i="257" s="1"/>
  <c r="D76" i="257" s="1"/>
  <c r="G76" i="116"/>
  <c r="F76" i="116" s="1"/>
  <c r="D76" i="116" s="1"/>
  <c r="B76" i="116" s="1"/>
  <c r="J76" i="257" s="1"/>
  <c r="K76" i="257" s="1"/>
  <c r="F77" i="257"/>
  <c r="H77" i="116"/>
  <c r="O77" i="116"/>
  <c r="P70" i="116"/>
  <c r="C70" i="257" s="1"/>
  <c r="G70" i="116"/>
  <c r="F70" i="116" s="1"/>
  <c r="G70" i="257"/>
  <c r="E70" i="257" s="1"/>
  <c r="D70" i="257" s="1"/>
  <c r="P57" i="116"/>
  <c r="C57" i="257" s="1"/>
  <c r="F62" i="257"/>
  <c r="O62" i="116"/>
  <c r="H62" i="116"/>
  <c r="N83" i="116"/>
  <c r="G65" i="257"/>
  <c r="E65" i="257" s="1"/>
  <c r="D65" i="257" s="1"/>
  <c r="G65" i="116"/>
  <c r="F65" i="116" s="1"/>
  <c r="D65" i="116" s="1"/>
  <c r="B65" i="116" s="1"/>
  <c r="C65" i="116" s="1"/>
  <c r="K54" i="17"/>
  <c r="J83" i="19"/>
  <c r="G86" i="257"/>
  <c r="E86" i="257" s="1"/>
  <c r="D86" i="257" s="1"/>
  <c r="P86" i="116"/>
  <c r="C86" i="257" s="1"/>
  <c r="G86" i="116"/>
  <c r="F86" i="116" s="1"/>
  <c r="G79" i="257"/>
  <c r="E79" i="257" s="1"/>
  <c r="D79" i="257" s="1"/>
  <c r="P79" i="116"/>
  <c r="C79" i="257" s="1"/>
  <c r="G79" i="116"/>
  <c r="F79" i="116" s="1"/>
  <c r="G78" i="257"/>
  <c r="E78" i="257" s="1"/>
  <c r="D78" i="257" s="1"/>
  <c r="G78" i="116"/>
  <c r="F78" i="116" s="1"/>
  <c r="D78" i="116" s="1"/>
  <c r="B78" i="116" s="1"/>
  <c r="C78" i="116" s="1"/>
  <c r="G75" i="257"/>
  <c r="E75" i="257" s="1"/>
  <c r="D75" i="257" s="1"/>
  <c r="G75" i="116"/>
  <c r="F75" i="116" s="1"/>
  <c r="O54" i="116"/>
  <c r="P54" i="116" s="1"/>
  <c r="H54" i="116"/>
  <c r="F54" i="257"/>
  <c r="G56" i="257"/>
  <c r="E56" i="257" s="1"/>
  <c r="D56" i="257" s="1"/>
  <c r="G56" i="116"/>
  <c r="F56" i="116" s="1"/>
  <c r="P56" i="116"/>
  <c r="C56" i="257" s="1"/>
  <c r="P73" i="116"/>
  <c r="C73" i="257" s="1"/>
  <c r="G73" i="116"/>
  <c r="F73" i="116" s="1"/>
  <c r="G73" i="257"/>
  <c r="E73" i="257" s="1"/>
  <c r="D73" i="257" s="1"/>
  <c r="H48" i="162"/>
  <c r="V527" i="274" s="1"/>
  <c r="E98" i="19"/>
  <c r="G82" i="257"/>
  <c r="E82" i="257" s="1"/>
  <c r="D82" i="257" s="1"/>
  <c r="G82" i="116"/>
  <c r="F82" i="116" s="1"/>
  <c r="G84" i="257"/>
  <c r="E84" i="257" s="1"/>
  <c r="D84" i="257" s="1"/>
  <c r="G84" i="116"/>
  <c r="F84" i="116" s="1"/>
  <c r="D84" i="116" s="1"/>
  <c r="B84" i="116" s="1"/>
  <c r="C84" i="116" s="1"/>
  <c r="O58" i="116"/>
  <c r="F58" i="257"/>
  <c r="H58" i="116"/>
  <c r="N72" i="116"/>
  <c r="G63" i="257"/>
  <c r="E63" i="257" s="1"/>
  <c r="D63" i="257" s="1"/>
  <c r="G63" i="116"/>
  <c r="F63" i="116" s="1"/>
  <c r="P80" i="116"/>
  <c r="C80" i="257" s="1"/>
  <c r="G80" i="257"/>
  <c r="E80" i="257" s="1"/>
  <c r="D80" i="257" s="1"/>
  <c r="G80" i="116"/>
  <c r="F80" i="116" s="1"/>
  <c r="D80" i="116" s="1"/>
  <c r="B80" i="116" s="1"/>
  <c r="C80" i="116" s="1"/>
  <c r="G64" i="257"/>
  <c r="E64" i="257" s="1"/>
  <c r="D64" i="257" s="1"/>
  <c r="G64" i="116"/>
  <c r="F64" i="116" s="1"/>
  <c r="P64" i="116"/>
  <c r="C64" i="257" s="1"/>
  <c r="P68" i="116"/>
  <c r="C68" i="257" s="1"/>
  <c r="P87" i="116"/>
  <c r="C87" i="257" s="1"/>
  <c r="I46" i="260"/>
  <c r="Q46" i="261" s="1"/>
  <c r="P88" i="260"/>
  <c r="D88" i="260"/>
  <c r="P88" i="261" s="1"/>
  <c r="P86" i="260"/>
  <c r="N86" i="260" s="1"/>
  <c r="R86" i="261" s="1"/>
  <c r="S86" i="261" s="1"/>
  <c r="W86" i="261" s="1"/>
  <c r="Z86" i="261" s="1"/>
  <c r="D86" i="260"/>
  <c r="P86" i="261" s="1"/>
  <c r="P70" i="260"/>
  <c r="N70" i="260" s="1"/>
  <c r="R70" i="261" s="1"/>
  <c r="T70" i="261" s="1"/>
  <c r="X70" i="261" s="1"/>
  <c r="AA70" i="261" s="1"/>
  <c r="D70" i="260"/>
  <c r="P70" i="261" s="1"/>
  <c r="D69" i="260"/>
  <c r="P69" i="261" s="1"/>
  <c r="P69" i="260"/>
  <c r="N69" i="260" s="1"/>
  <c r="R69" i="261" s="1"/>
  <c r="U69" i="261" s="1"/>
  <c r="Y69" i="261" s="1"/>
  <c r="AB69" i="261" s="1"/>
  <c r="P64" i="260"/>
  <c r="N64" i="260" s="1"/>
  <c r="R64" i="261" s="1"/>
  <c r="U64" i="261" s="1"/>
  <c r="Y64" i="261" s="1"/>
  <c r="AB64" i="261" s="1"/>
  <c r="D64" i="260"/>
  <c r="P64" i="261" s="1"/>
  <c r="D76" i="260"/>
  <c r="P76" i="261" s="1"/>
  <c r="P76" i="260"/>
  <c r="N76" i="260" s="1"/>
  <c r="R76" i="261" s="1"/>
  <c r="U76" i="261" s="1"/>
  <c r="Y76" i="261" s="1"/>
  <c r="AB76" i="261" s="1"/>
  <c r="P61" i="260"/>
  <c r="D61" i="260"/>
  <c r="P50" i="260"/>
  <c r="P23" i="260"/>
  <c r="D23" i="260"/>
  <c r="P23" i="261" s="1"/>
  <c r="P48" i="260"/>
  <c r="D48" i="260"/>
  <c r="P48" i="261" s="1"/>
  <c r="D41" i="260"/>
  <c r="P41" i="261" s="1"/>
  <c r="P41" i="260"/>
  <c r="I10" i="260"/>
  <c r="P60" i="260"/>
  <c r="V60" i="260" s="1"/>
  <c r="D60" i="260"/>
  <c r="D85" i="260"/>
  <c r="P85" i="261" s="1"/>
  <c r="P85" i="260"/>
  <c r="N85" i="260" s="1"/>
  <c r="R85" i="261" s="1"/>
  <c r="S85" i="261" s="1"/>
  <c r="W85" i="261" s="1"/>
  <c r="Z85" i="261" s="1"/>
  <c r="D80" i="260"/>
  <c r="P80" i="261" s="1"/>
  <c r="P80" i="260"/>
  <c r="N80" i="260" s="1"/>
  <c r="R80" i="261" s="1"/>
  <c r="U80" i="261" s="1"/>
  <c r="Y80" i="261" s="1"/>
  <c r="AB80" i="261" s="1"/>
  <c r="P75" i="260"/>
  <c r="N75" i="260" s="1"/>
  <c r="R75" i="261" s="1"/>
  <c r="T75" i="261" s="1"/>
  <c r="X75" i="261" s="1"/>
  <c r="AA75" i="261" s="1"/>
  <c r="D75" i="260"/>
  <c r="P75" i="261" s="1"/>
  <c r="D63" i="260"/>
  <c r="P63" i="261" s="1"/>
  <c r="P63" i="260"/>
  <c r="N63" i="260" s="1"/>
  <c r="R63" i="261" s="1"/>
  <c r="S63" i="261" s="1"/>
  <c r="W63" i="261" s="1"/>
  <c r="Z63" i="261" s="1"/>
  <c r="D62" i="260"/>
  <c r="P55" i="260"/>
  <c r="N55" i="260" s="1"/>
  <c r="R55" i="261" s="1"/>
  <c r="U55" i="261" s="1"/>
  <c r="Y55" i="261" s="1"/>
  <c r="AB55" i="261" s="1"/>
  <c r="D55" i="260"/>
  <c r="P55" i="261" s="1"/>
  <c r="P28" i="260"/>
  <c r="V28" i="260" s="1"/>
  <c r="D28" i="260"/>
  <c r="P28" i="261" s="1"/>
  <c r="P33" i="260"/>
  <c r="D33" i="260"/>
  <c r="P33" i="261" s="1"/>
  <c r="P84" i="260"/>
  <c r="N84" i="260" s="1"/>
  <c r="R84" i="261" s="1"/>
  <c r="T84" i="261" s="1"/>
  <c r="X84" i="261" s="1"/>
  <c r="AA84" i="261" s="1"/>
  <c r="D84" i="260"/>
  <c r="P84" i="261" s="1"/>
  <c r="P78" i="260"/>
  <c r="N78" i="260" s="1"/>
  <c r="R78" i="261" s="1"/>
  <c r="U78" i="261" s="1"/>
  <c r="Y78" i="261" s="1"/>
  <c r="AB78" i="261" s="1"/>
  <c r="D78" i="260"/>
  <c r="P78" i="261" s="1"/>
  <c r="P83" i="260"/>
  <c r="D83" i="260"/>
  <c r="P83" i="261" s="1"/>
  <c r="P66" i="260"/>
  <c r="N66" i="260" s="1"/>
  <c r="R66" i="261" s="1"/>
  <c r="T66" i="261" s="1"/>
  <c r="X66" i="261" s="1"/>
  <c r="AA66" i="261" s="1"/>
  <c r="D66" i="260"/>
  <c r="P66" i="261" s="1"/>
  <c r="P89" i="260"/>
  <c r="D89" i="260"/>
  <c r="P89" i="261" s="1"/>
  <c r="P71" i="260"/>
  <c r="N71" i="260" s="1"/>
  <c r="R71" i="261" s="1"/>
  <c r="S71" i="261" s="1"/>
  <c r="W71" i="261" s="1"/>
  <c r="Z71" i="261" s="1"/>
  <c r="D71" i="260"/>
  <c r="P71" i="261" s="1"/>
  <c r="D57" i="260"/>
  <c r="P57" i="261" s="1"/>
  <c r="P57" i="260"/>
  <c r="N57" i="260" s="1"/>
  <c r="R57" i="261" s="1"/>
  <c r="T57" i="261" s="1"/>
  <c r="X57" i="261" s="1"/>
  <c r="AA57" i="261" s="1"/>
  <c r="F45" i="260"/>
  <c r="P46" i="260"/>
  <c r="V46" i="260" s="1"/>
  <c r="D46" i="260"/>
  <c r="P46" i="261" s="1"/>
  <c r="P59" i="260"/>
  <c r="N59" i="260" s="1"/>
  <c r="D59" i="260"/>
  <c r="P31" i="260"/>
  <c r="D31" i="260"/>
  <c r="P31" i="261" s="1"/>
  <c r="P52" i="260"/>
  <c r="P14" i="260"/>
  <c r="D14" i="260"/>
  <c r="P14" i="261" s="1"/>
  <c r="P27" i="260"/>
  <c r="D27" i="260"/>
  <c r="P27" i="261" s="1"/>
  <c r="P87" i="260"/>
  <c r="N87" i="260" s="1"/>
  <c r="R87" i="261" s="1"/>
  <c r="S87" i="261" s="1"/>
  <c r="W87" i="261" s="1"/>
  <c r="Z87" i="261" s="1"/>
  <c r="D87" i="260"/>
  <c r="P87" i="261" s="1"/>
  <c r="P82" i="260"/>
  <c r="N82" i="260" s="1"/>
  <c r="R82" i="261" s="1"/>
  <c r="U82" i="261" s="1"/>
  <c r="Y82" i="261" s="1"/>
  <c r="AB82" i="261" s="1"/>
  <c r="D82" i="260"/>
  <c r="P82" i="261" s="1"/>
  <c r="P74" i="260"/>
  <c r="N74" i="260" s="1"/>
  <c r="R74" i="261" s="1"/>
  <c r="T74" i="261" s="1"/>
  <c r="X74" i="261" s="1"/>
  <c r="AA74" i="261" s="1"/>
  <c r="D74" i="260"/>
  <c r="P74" i="261" s="1"/>
  <c r="D73" i="260"/>
  <c r="P73" i="261" s="1"/>
  <c r="P73" i="260"/>
  <c r="N73" i="260" s="1"/>
  <c r="R73" i="261" s="1"/>
  <c r="S73" i="261" s="1"/>
  <c r="W73" i="261" s="1"/>
  <c r="Z73" i="261" s="1"/>
  <c r="D65" i="260"/>
  <c r="P65" i="261" s="1"/>
  <c r="P65" i="260"/>
  <c r="N65" i="260" s="1"/>
  <c r="R65" i="261" s="1"/>
  <c r="T65" i="261" s="1"/>
  <c r="X65" i="261" s="1"/>
  <c r="AA65" i="261" s="1"/>
  <c r="D79" i="260"/>
  <c r="P79" i="261" s="1"/>
  <c r="P79" i="260"/>
  <c r="N79" i="260" s="1"/>
  <c r="R79" i="261" s="1"/>
  <c r="S79" i="261" s="1"/>
  <c r="W79" i="261" s="1"/>
  <c r="Z79" i="261" s="1"/>
  <c r="P68" i="260"/>
  <c r="N68" i="260" s="1"/>
  <c r="R68" i="261" s="1"/>
  <c r="T68" i="261" s="1"/>
  <c r="X68" i="261" s="1"/>
  <c r="AA68" i="261" s="1"/>
  <c r="D68" i="260"/>
  <c r="P68" i="261" s="1"/>
  <c r="P54" i="260"/>
  <c r="N54" i="260" s="1"/>
  <c r="R54" i="261" s="1"/>
  <c r="T54" i="261" s="1"/>
  <c r="X54" i="261" s="1"/>
  <c r="AA54" i="261" s="1"/>
  <c r="D54" i="260"/>
  <c r="P54" i="261" s="1"/>
  <c r="D44" i="260"/>
  <c r="P44" i="261" s="1"/>
  <c r="P44" i="260"/>
  <c r="D56" i="260"/>
  <c r="P56" i="261" s="1"/>
  <c r="P56" i="260"/>
  <c r="N56" i="260" s="1"/>
  <c r="R56" i="261" s="1"/>
  <c r="T56" i="261" s="1"/>
  <c r="X56" i="261" s="1"/>
  <c r="AA56" i="261" s="1"/>
  <c r="P25" i="260"/>
  <c r="D25" i="260"/>
  <c r="P25" i="261" s="1"/>
  <c r="P51" i="260"/>
  <c r="D51" i="260"/>
  <c r="P51" i="261" s="1"/>
  <c r="P10" i="260"/>
  <c r="V10" i="260" s="1"/>
  <c r="D10" i="260"/>
  <c r="P10" i="261" s="1"/>
  <c r="P13" i="260"/>
  <c r="D13" i="260"/>
  <c r="P13" i="261" s="1"/>
  <c r="F15" i="273" l="1"/>
  <c r="I15" i="273" s="1"/>
  <c r="Q41" i="261"/>
  <c r="Q83" i="261"/>
  <c r="Q27" i="261"/>
  <c r="Q44" i="261"/>
  <c r="V711" i="274"/>
  <c r="V275" i="274"/>
  <c r="W527" i="274"/>
  <c r="N50" i="260"/>
  <c r="R50" i="261" s="1"/>
  <c r="T50" i="261" s="1"/>
  <c r="X50" i="261" s="1"/>
  <c r="AA50" i="261" s="1"/>
  <c r="V50" i="260"/>
  <c r="N25" i="260"/>
  <c r="R25" i="261" s="1"/>
  <c r="T25" i="261" s="1"/>
  <c r="X25" i="261" s="1"/>
  <c r="AA25" i="261" s="1"/>
  <c r="V25" i="260"/>
  <c r="N14" i="260"/>
  <c r="R14" i="261" s="1"/>
  <c r="U14" i="261" s="1"/>
  <c r="Y14" i="261" s="1"/>
  <c r="AB14" i="261" s="1"/>
  <c r="V14" i="260"/>
  <c r="N33" i="260"/>
  <c r="R33" i="261" s="1"/>
  <c r="S33" i="261" s="1"/>
  <c r="W33" i="261" s="1"/>
  <c r="Z33" i="261" s="1"/>
  <c r="V33" i="260"/>
  <c r="N52" i="260"/>
  <c r="R52" i="261" s="1"/>
  <c r="S52" i="261" s="1"/>
  <c r="W52" i="261" s="1"/>
  <c r="Z52" i="261" s="1"/>
  <c r="V52" i="260"/>
  <c r="N41" i="260"/>
  <c r="V41" i="260"/>
  <c r="N51" i="260"/>
  <c r="R51" i="261" s="1"/>
  <c r="U51" i="261" s="1"/>
  <c r="Y51" i="261" s="1"/>
  <c r="AB51" i="261" s="1"/>
  <c r="V51" i="260"/>
  <c r="N27" i="260"/>
  <c r="V27" i="260"/>
  <c r="N89" i="260"/>
  <c r="V89" i="260"/>
  <c r="N83" i="260"/>
  <c r="V83" i="260"/>
  <c r="N13" i="260"/>
  <c r="R13" i="261" s="1"/>
  <c r="T13" i="261" s="1"/>
  <c r="X13" i="261" s="1"/>
  <c r="AA13" i="261" s="1"/>
  <c r="V13" i="260"/>
  <c r="N44" i="260"/>
  <c r="V44" i="260"/>
  <c r="N31" i="260"/>
  <c r="R31" i="261" s="1"/>
  <c r="S31" i="261" s="1"/>
  <c r="W31" i="261" s="1"/>
  <c r="Z31" i="261" s="1"/>
  <c r="V31" i="260"/>
  <c r="N48" i="260"/>
  <c r="R48" i="261" s="1"/>
  <c r="T48" i="261" s="1"/>
  <c r="X48" i="261" s="1"/>
  <c r="AA48" i="261" s="1"/>
  <c r="V48" i="260"/>
  <c r="N88" i="260"/>
  <c r="R88" i="261" s="1"/>
  <c r="S88" i="261" s="1"/>
  <c r="W88" i="261" s="1"/>
  <c r="F88" i="268" s="1"/>
  <c r="V88" i="260"/>
  <c r="F16" i="273"/>
  <c r="I16" i="273" s="1"/>
  <c r="F91" i="17"/>
  <c r="J61" i="116"/>
  <c r="J57" i="257"/>
  <c r="K57" i="257" s="1"/>
  <c r="Q91" i="101"/>
  <c r="L93" i="271"/>
  <c r="F92" i="271"/>
  <c r="Q91" i="271"/>
  <c r="F91" i="271"/>
  <c r="F90" i="271"/>
  <c r="G89" i="271"/>
  <c r="I88" i="271"/>
  <c r="K87" i="271"/>
  <c r="M86" i="271"/>
  <c r="C86" i="271"/>
  <c r="G85" i="271"/>
  <c r="I84" i="271"/>
  <c r="J83" i="271"/>
  <c r="L82" i="271"/>
  <c r="M81" i="271"/>
  <c r="C81" i="271"/>
  <c r="F80" i="271"/>
  <c r="H79" i="271"/>
  <c r="I78" i="271"/>
  <c r="J77" i="271"/>
  <c r="K76" i="271"/>
  <c r="J93" i="271"/>
  <c r="L92" i="271"/>
  <c r="W91" i="271"/>
  <c r="L91" i="271"/>
  <c r="L90" i="271"/>
  <c r="M89" i="271"/>
  <c r="C89" i="271"/>
  <c r="G88" i="271"/>
  <c r="I87" i="271"/>
  <c r="K86" i="271"/>
  <c r="M85" i="271"/>
  <c r="C85" i="271"/>
  <c r="G84" i="271"/>
  <c r="H83" i="271"/>
  <c r="J82" i="271"/>
  <c r="K81" i="271"/>
  <c r="L80" i="271"/>
  <c r="F79" i="271"/>
  <c r="G78" i="271"/>
  <c r="H77" i="271"/>
  <c r="I76" i="271"/>
  <c r="J75" i="271"/>
  <c r="K74" i="271"/>
  <c r="L73" i="271"/>
  <c r="M72" i="271"/>
  <c r="C72" i="271"/>
  <c r="F71" i="271"/>
  <c r="G70" i="271"/>
  <c r="I69" i="271"/>
  <c r="J68" i="271"/>
  <c r="L67" i="271"/>
  <c r="I93" i="271"/>
  <c r="K92" i="271"/>
  <c r="V91" i="271"/>
  <c r="K91" i="271"/>
  <c r="K90" i="271"/>
  <c r="L89" i="271"/>
  <c r="F88" i="271"/>
  <c r="H87" i="271"/>
  <c r="J86" i="271"/>
  <c r="L85" i="271"/>
  <c r="F84" i="271"/>
  <c r="G83" i="271"/>
  <c r="I82" i="271"/>
  <c r="J81" i="271"/>
  <c r="K80" i="271"/>
  <c r="M79" i="271"/>
  <c r="C79" i="271"/>
  <c r="F78" i="271"/>
  <c r="G77" i="271"/>
  <c r="H76" i="271"/>
  <c r="I75" i="271"/>
  <c r="J74" i="271"/>
  <c r="K73" i="271"/>
  <c r="L72" i="271"/>
  <c r="M71" i="271"/>
  <c r="C71" i="271"/>
  <c r="F70" i="271"/>
  <c r="H69" i="271"/>
  <c r="I68" i="271"/>
  <c r="K67" i="271"/>
  <c r="L66" i="271"/>
  <c r="M65" i="271"/>
  <c r="C65" i="271"/>
  <c r="F64" i="271"/>
  <c r="G63" i="271"/>
  <c r="H62" i="271"/>
  <c r="I61" i="271"/>
  <c r="K60" i="271"/>
  <c r="L59" i="271"/>
  <c r="M58" i="271"/>
  <c r="C58" i="271"/>
  <c r="F57" i="271"/>
  <c r="H56" i="271"/>
  <c r="I55" i="271"/>
  <c r="J54" i="271"/>
  <c r="K53" i="271"/>
  <c r="K52" i="271"/>
  <c r="K51" i="271"/>
  <c r="K50" i="271"/>
  <c r="K49" i="271"/>
  <c r="K48" i="271"/>
  <c r="K47" i="271"/>
  <c r="V46" i="271"/>
  <c r="L46" i="271"/>
  <c r="M45" i="271"/>
  <c r="H93" i="271"/>
  <c r="J92" i="271"/>
  <c r="U91" i="271"/>
  <c r="J91" i="271"/>
  <c r="J90" i="271"/>
  <c r="K89" i="271"/>
  <c r="M88" i="271"/>
  <c r="C88" i="271"/>
  <c r="G87" i="271"/>
  <c r="I86" i="271"/>
  <c r="K85" i="271"/>
  <c r="M84" i="271"/>
  <c r="C84" i="271"/>
  <c r="F83" i="271"/>
  <c r="H82" i="271"/>
  <c r="I81" i="271"/>
  <c r="J80" i="271"/>
  <c r="L79" i="271"/>
  <c r="M78" i="271"/>
  <c r="C78" i="271"/>
  <c r="F77" i="271"/>
  <c r="G76" i="271"/>
  <c r="H75" i="271"/>
  <c r="I74" i="271"/>
  <c r="J73" i="271"/>
  <c r="K72" i="271"/>
  <c r="L71" i="271"/>
  <c r="M70" i="271"/>
  <c r="C70" i="271"/>
  <c r="G69" i="271"/>
  <c r="H68" i="271"/>
  <c r="J67" i="271"/>
  <c r="K66" i="271"/>
  <c r="L65" i="271"/>
  <c r="M64" i="271"/>
  <c r="C64" i="271"/>
  <c r="F63" i="271"/>
  <c r="G62" i="271"/>
  <c r="H61" i="271"/>
  <c r="J60" i="271"/>
  <c r="K59" i="271"/>
  <c r="L58" i="271"/>
  <c r="M57" i="271"/>
  <c r="C57" i="271"/>
  <c r="G56" i="271"/>
  <c r="H55" i="271"/>
  <c r="I54" i="271"/>
  <c r="J53" i="271"/>
  <c r="J52" i="271"/>
  <c r="J51" i="271"/>
  <c r="J50" i="271"/>
  <c r="J49" i="271"/>
  <c r="J48" i="271"/>
  <c r="J47" i="271"/>
  <c r="U46" i="271"/>
  <c r="K46" i="271"/>
  <c r="L45" i="271"/>
  <c r="M44" i="271"/>
  <c r="M43" i="271"/>
  <c r="M41" i="271"/>
  <c r="M40" i="271"/>
  <c r="M39" i="271"/>
  <c r="M38" i="271"/>
  <c r="M37" i="271"/>
  <c r="M36" i="271"/>
  <c r="M35" i="271"/>
  <c r="M34" i="271"/>
  <c r="M32" i="271"/>
  <c r="M30" i="271"/>
  <c r="I92" i="271"/>
  <c r="I91" i="271"/>
  <c r="J89" i="271"/>
  <c r="H88" i="271"/>
  <c r="L86" i="271"/>
  <c r="F85" i="271"/>
  <c r="K83" i="271"/>
  <c r="C82" i="271"/>
  <c r="G80" i="271"/>
  <c r="K78" i="271"/>
  <c r="M76" i="271"/>
  <c r="G75" i="271"/>
  <c r="C74" i="271"/>
  <c r="I72" i="271"/>
  <c r="G71" i="271"/>
  <c r="L69" i="271"/>
  <c r="G68" i="271"/>
  <c r="F67" i="271"/>
  <c r="C66" i="271"/>
  <c r="K64" i="271"/>
  <c r="J63" i="271"/>
  <c r="I62" i="271"/>
  <c r="F61" i="271"/>
  <c r="F60" i="271"/>
  <c r="C59" i="271"/>
  <c r="K57" i="271"/>
  <c r="K56" i="271"/>
  <c r="J55" i="271"/>
  <c r="G54" i="271"/>
  <c r="F53" i="271"/>
  <c r="L51" i="271"/>
  <c r="H50" i="271"/>
  <c r="F49" i="271"/>
  <c r="L47" i="271"/>
  <c r="S46" i="271"/>
  <c r="G46" i="271"/>
  <c r="F45" i="271"/>
  <c r="L43" i="271"/>
  <c r="E43" i="271" s="1"/>
  <c r="K41" i="271"/>
  <c r="J40" i="271"/>
  <c r="I39" i="271"/>
  <c r="H38" i="271"/>
  <c r="G37" i="271"/>
  <c r="F36" i="271"/>
  <c r="L34" i="271"/>
  <c r="K32" i="271"/>
  <c r="J30" i="271"/>
  <c r="J29" i="271"/>
  <c r="J28" i="271"/>
  <c r="J27" i="271"/>
  <c r="J26" i="271"/>
  <c r="J24" i="271"/>
  <c r="J23" i="271"/>
  <c r="J22" i="271"/>
  <c r="J21" i="271"/>
  <c r="J20" i="271"/>
  <c r="J19" i="271"/>
  <c r="J18" i="271"/>
  <c r="J17" i="271"/>
  <c r="J16" i="271"/>
  <c r="J15" i="271"/>
  <c r="K14" i="271"/>
  <c r="L12" i="271"/>
  <c r="L11" i="271"/>
  <c r="I90" i="271"/>
  <c r="M82" i="271"/>
  <c r="L77" i="271"/>
  <c r="G73" i="271"/>
  <c r="M93" i="271"/>
  <c r="H92" i="271"/>
  <c r="H91" i="271"/>
  <c r="I89" i="271"/>
  <c r="H86" i="271"/>
  <c r="I83" i="271"/>
  <c r="L81" i="271"/>
  <c r="C80" i="271"/>
  <c r="J78" i="271"/>
  <c r="L76" i="271"/>
  <c r="F75" i="271"/>
  <c r="M73" i="271"/>
  <c r="H72" i="271"/>
  <c r="L70" i="271"/>
  <c r="K69" i="271"/>
  <c r="F68" i="271"/>
  <c r="C67" i="271"/>
  <c r="K65" i="271"/>
  <c r="J64" i="271"/>
  <c r="I63" i="271"/>
  <c r="F62" i="271"/>
  <c r="C61" i="271"/>
  <c r="C60" i="271"/>
  <c r="K58" i="271"/>
  <c r="J57" i="271"/>
  <c r="J56" i="271"/>
  <c r="G55" i="271"/>
  <c r="F54" i="271"/>
  <c r="M52" i="271"/>
  <c r="I51" i="271"/>
  <c r="G50" i="271"/>
  <c r="M48" i="271"/>
  <c r="I47" i="271"/>
  <c r="R46" i="271"/>
  <c r="F46" i="271"/>
  <c r="L44" i="271"/>
  <c r="K43" i="271"/>
  <c r="J41" i="271"/>
  <c r="I40" i="271"/>
  <c r="H39" i="271"/>
  <c r="G38" i="271"/>
  <c r="F37" i="271"/>
  <c r="L35" i="271"/>
  <c r="K34" i="271"/>
  <c r="J32" i="271"/>
  <c r="I30" i="271"/>
  <c r="I29" i="271"/>
  <c r="I28" i="271"/>
  <c r="I27" i="271"/>
  <c r="I26" i="271"/>
  <c r="I24" i="271"/>
  <c r="I23" i="271"/>
  <c r="I22" i="271"/>
  <c r="I21" i="271"/>
  <c r="I20" i="271"/>
  <c r="I19" i="271"/>
  <c r="I18" i="271"/>
  <c r="I17" i="271"/>
  <c r="I16" i="271"/>
  <c r="I15" i="271"/>
  <c r="J14" i="271"/>
  <c r="K12" i="271"/>
  <c r="K11" i="271"/>
  <c r="T91" i="271"/>
  <c r="J87" i="271"/>
  <c r="F81" i="271"/>
  <c r="C76" i="271"/>
  <c r="I70" i="271"/>
  <c r="K93" i="271"/>
  <c r="G92" i="271"/>
  <c r="G91" i="271"/>
  <c r="H89" i="271"/>
  <c r="M87" i="271"/>
  <c r="G86" i="271"/>
  <c r="L84" i="271"/>
  <c r="C83" i="271"/>
  <c r="H81" i="271"/>
  <c r="H78" i="271"/>
  <c r="J76" i="271"/>
  <c r="C75" i="271"/>
  <c r="I73" i="271"/>
  <c r="G72" i="271"/>
  <c r="K70" i="271"/>
  <c r="J69" i="271"/>
  <c r="C68" i="271"/>
  <c r="M66" i="271"/>
  <c r="J65" i="271"/>
  <c r="I64" i="271"/>
  <c r="H63" i="271"/>
  <c r="C62" i="271"/>
  <c r="M59" i="271"/>
  <c r="J58" i="271"/>
  <c r="I57" i="271"/>
  <c r="I56" i="271"/>
  <c r="F55" i="271"/>
  <c r="C54" i="271"/>
  <c r="L52" i="271"/>
  <c r="H51" i="271"/>
  <c r="F50" i="271"/>
  <c r="L48" i="271"/>
  <c r="H47" i="271"/>
  <c r="Q46" i="271"/>
  <c r="C46" i="271"/>
  <c r="K44" i="271"/>
  <c r="J43" i="271"/>
  <c r="I41" i="271"/>
  <c r="H40" i="271"/>
  <c r="G39" i="271"/>
  <c r="F38" i="271"/>
  <c r="L36" i="271"/>
  <c r="K35" i="271"/>
  <c r="J34" i="271"/>
  <c r="I32" i="271"/>
  <c r="H30" i="271"/>
  <c r="H29" i="271"/>
  <c r="H28" i="271"/>
  <c r="H27" i="271"/>
  <c r="H26" i="271"/>
  <c r="H24" i="271"/>
  <c r="H23" i="271"/>
  <c r="H22" i="271"/>
  <c r="H21" i="271"/>
  <c r="H20" i="271"/>
  <c r="H19" i="271"/>
  <c r="H18" i="271"/>
  <c r="H17" i="271"/>
  <c r="H16" i="271"/>
  <c r="H15" i="271"/>
  <c r="I14" i="271"/>
  <c r="J12" i="271"/>
  <c r="J11" i="271"/>
  <c r="J84" i="271"/>
  <c r="J79" i="271"/>
  <c r="L74" i="271"/>
  <c r="C69" i="271"/>
  <c r="G93" i="271"/>
  <c r="X91" i="271"/>
  <c r="M90" i="271"/>
  <c r="F89" i="271"/>
  <c r="L87" i="271"/>
  <c r="F86" i="271"/>
  <c r="K84" i="271"/>
  <c r="G81" i="271"/>
  <c r="K79" i="271"/>
  <c r="M77" i="271"/>
  <c r="F76" i="271"/>
  <c r="M74" i="271"/>
  <c r="H73" i="271"/>
  <c r="F72" i="271"/>
  <c r="J70" i="271"/>
  <c r="F69" i="271"/>
  <c r="J66" i="271"/>
  <c r="I65" i="271"/>
  <c r="H64" i="271"/>
  <c r="C63" i="271"/>
  <c r="M61" i="271"/>
  <c r="M60" i="271"/>
  <c r="J59" i="271"/>
  <c r="I58" i="271"/>
  <c r="H57" i="271"/>
  <c r="F56" i="271"/>
  <c r="C55" i="271"/>
  <c r="M53" i="271"/>
  <c r="I52" i="271"/>
  <c r="G51" i="271"/>
  <c r="M49" i="271"/>
  <c r="I48" i="271"/>
  <c r="G47" i="271"/>
  <c r="N46" i="271"/>
  <c r="K45" i="271"/>
  <c r="J44" i="271"/>
  <c r="I43" i="271"/>
  <c r="H41" i="271"/>
  <c r="G40" i="271"/>
  <c r="F39" i="271"/>
  <c r="L37" i="271"/>
  <c r="K36" i="271"/>
  <c r="J35" i="271"/>
  <c r="I34" i="271"/>
  <c r="H32" i="271"/>
  <c r="G30" i="271"/>
  <c r="G29" i="271"/>
  <c r="G28" i="271"/>
  <c r="G27" i="271"/>
  <c r="G26" i="271"/>
  <c r="G24" i="271"/>
  <c r="G23" i="271"/>
  <c r="G22" i="271"/>
  <c r="G21" i="271"/>
  <c r="G20" i="271"/>
  <c r="G19" i="271"/>
  <c r="G18" i="271"/>
  <c r="G17" i="271"/>
  <c r="G16" i="271"/>
  <c r="G15" i="271"/>
  <c r="H14" i="271"/>
  <c r="I12" i="271"/>
  <c r="I11" i="271"/>
  <c r="F93" i="271"/>
  <c r="K71" i="271"/>
  <c r="C93" i="271"/>
  <c r="S91" i="271"/>
  <c r="H90" i="271"/>
  <c r="L88" i="271"/>
  <c r="F87" i="271"/>
  <c r="J85" i="271"/>
  <c r="H84" i="271"/>
  <c r="K82" i="271"/>
  <c r="M80" i="271"/>
  <c r="I79" i="271"/>
  <c r="K77" i="271"/>
  <c r="M75" i="271"/>
  <c r="H74" i="271"/>
  <c r="F73" i="271"/>
  <c r="J71" i="271"/>
  <c r="H70" i="271"/>
  <c r="M68" i="271"/>
  <c r="I67" i="271"/>
  <c r="H66" i="271"/>
  <c r="G65" i="271"/>
  <c r="M63" i="271"/>
  <c r="L62" i="271"/>
  <c r="K61" i="271"/>
  <c r="I60" i="271"/>
  <c r="H59" i="271"/>
  <c r="G58" i="271"/>
  <c r="M55" i="271"/>
  <c r="L54" i="271"/>
  <c r="I53" i="271"/>
  <c r="G52" i="271"/>
  <c r="M50" i="271"/>
  <c r="I49" i="271"/>
  <c r="G48" i="271"/>
  <c r="X46" i="271"/>
  <c r="J46" i="271"/>
  <c r="I45" i="271"/>
  <c r="H44" i="271"/>
  <c r="G43" i="271"/>
  <c r="M92" i="271"/>
  <c r="M91" i="271"/>
  <c r="C90" i="271"/>
  <c r="J88" i="271"/>
  <c r="H85" i="271"/>
  <c r="L83" i="271"/>
  <c r="F82" i="271"/>
  <c r="H80" i="271"/>
  <c r="L78" i="271"/>
  <c r="C77" i="271"/>
  <c r="K75" i="271"/>
  <c r="F74" i="271"/>
  <c r="J72" i="271"/>
  <c r="H71" i="271"/>
  <c r="M69" i="271"/>
  <c r="K68" i="271"/>
  <c r="G67" i="271"/>
  <c r="F66" i="271"/>
  <c r="L64" i="271"/>
  <c r="K63" i="271"/>
  <c r="J62" i="271"/>
  <c r="G61" i="271"/>
  <c r="G60" i="271"/>
  <c r="F59" i="271"/>
  <c r="L57" i="271"/>
  <c r="L56" i="271"/>
  <c r="K55" i="271"/>
  <c r="H54" i="271"/>
  <c r="G53" i="271"/>
  <c r="M51" i="271"/>
  <c r="I50" i="271"/>
  <c r="G49" i="271"/>
  <c r="M47" i="271"/>
  <c r="T46" i="271"/>
  <c r="H46" i="271"/>
  <c r="G45" i="271"/>
  <c r="F44" i="271"/>
  <c r="L41" i="271"/>
  <c r="E41" i="271" s="1"/>
  <c r="K40" i="271"/>
  <c r="J39" i="271"/>
  <c r="I38" i="271"/>
  <c r="H37" i="271"/>
  <c r="G36" i="271"/>
  <c r="F35" i="271"/>
  <c r="L32" i="271"/>
  <c r="E32" i="271" s="1"/>
  <c r="K30" i="271"/>
  <c r="K29" i="271"/>
  <c r="K28" i="271"/>
  <c r="K27" i="271"/>
  <c r="K26" i="271"/>
  <c r="K24" i="271"/>
  <c r="K23" i="271"/>
  <c r="K22" i="271"/>
  <c r="K21" i="271"/>
  <c r="K20" i="271"/>
  <c r="K19" i="271"/>
  <c r="K18" i="271"/>
  <c r="K17" i="271"/>
  <c r="K16" i="271"/>
  <c r="K15" i="271"/>
  <c r="L14" i="271"/>
  <c r="M12" i="271"/>
  <c r="M11" i="271"/>
  <c r="C87" i="271"/>
  <c r="I80" i="271"/>
  <c r="F65" i="271"/>
  <c r="L60" i="271"/>
  <c r="M56" i="271"/>
  <c r="F52" i="271"/>
  <c r="W46" i="271"/>
  <c r="F43" i="271"/>
  <c r="K38" i="271"/>
  <c r="I35" i="271"/>
  <c r="L30" i="271"/>
  <c r="M27" i="271"/>
  <c r="F24" i="271"/>
  <c r="L21" i="271"/>
  <c r="M18" i="271"/>
  <c r="F16" i="271"/>
  <c r="G34" i="271"/>
  <c r="H53" i="271"/>
  <c r="L28" i="271"/>
  <c r="G14" i="271"/>
  <c r="L68" i="271"/>
  <c r="G64" i="271"/>
  <c r="H60" i="271"/>
  <c r="C56" i="271"/>
  <c r="F51" i="271"/>
  <c r="M46" i="271"/>
  <c r="G41" i="271"/>
  <c r="J38" i="271"/>
  <c r="H35" i="271"/>
  <c r="F30" i="271"/>
  <c r="L27" i="271"/>
  <c r="M23" i="271"/>
  <c r="F21" i="271"/>
  <c r="L18" i="271"/>
  <c r="M15" i="271"/>
  <c r="H12" i="271"/>
  <c r="F12" i="271"/>
  <c r="G90" i="271"/>
  <c r="H67" i="271"/>
  <c r="K54" i="271"/>
  <c r="F40" i="271"/>
  <c r="F29" i="271"/>
  <c r="F20" i="271"/>
  <c r="H11" i="271"/>
  <c r="G66" i="271"/>
  <c r="I36" i="271"/>
  <c r="F22" i="271"/>
  <c r="G79" i="271"/>
  <c r="L63" i="271"/>
  <c r="I59" i="271"/>
  <c r="L55" i="271"/>
  <c r="L50" i="271"/>
  <c r="I46" i="271"/>
  <c r="F41" i="271"/>
  <c r="K37" i="271"/>
  <c r="G35" i="271"/>
  <c r="M29" i="271"/>
  <c r="F27" i="271"/>
  <c r="L23" i="271"/>
  <c r="M20" i="271"/>
  <c r="F18" i="271"/>
  <c r="L15" i="271"/>
  <c r="G12" i="271"/>
  <c r="F15" i="271"/>
  <c r="H58" i="271"/>
  <c r="H45" i="271"/>
  <c r="L26" i="271"/>
  <c r="L17" i="271"/>
  <c r="K88" i="271"/>
  <c r="G44" i="271"/>
  <c r="L19" i="271"/>
  <c r="R91" i="271"/>
  <c r="I85" i="271"/>
  <c r="I77" i="271"/>
  <c r="M67" i="271"/>
  <c r="M62" i="271"/>
  <c r="G59" i="271"/>
  <c r="M54" i="271"/>
  <c r="L49" i="271"/>
  <c r="J45" i="271"/>
  <c r="L40" i="271"/>
  <c r="J37" i="271"/>
  <c r="H34" i="271"/>
  <c r="L29" i="271"/>
  <c r="M26" i="271"/>
  <c r="F23" i="271"/>
  <c r="L20" i="271"/>
  <c r="M17" i="271"/>
  <c r="L75" i="271"/>
  <c r="K62" i="271"/>
  <c r="H49" i="271"/>
  <c r="I37" i="271"/>
  <c r="M22" i="271"/>
  <c r="J61" i="271"/>
  <c r="G32" i="271"/>
  <c r="M16" i="271"/>
  <c r="M83" i="271"/>
  <c r="G74" i="271"/>
  <c r="I66" i="271"/>
  <c r="L61" i="271"/>
  <c r="F58" i="271"/>
  <c r="L53" i="271"/>
  <c r="E53" i="271" s="1"/>
  <c r="H48" i="271"/>
  <c r="I44" i="271"/>
  <c r="L39" i="271"/>
  <c r="J36" i="271"/>
  <c r="F34" i="271"/>
  <c r="M28" i="271"/>
  <c r="F26" i="271"/>
  <c r="L22" i="271"/>
  <c r="M19" i="271"/>
  <c r="F17" i="271"/>
  <c r="M14" i="271"/>
  <c r="G11" i="271"/>
  <c r="C73" i="271"/>
  <c r="G57" i="271"/>
  <c r="K39" i="271"/>
  <c r="M24" i="271"/>
  <c r="F11" i="271"/>
  <c r="G82" i="271"/>
  <c r="I71" i="271"/>
  <c r="H65" i="271"/>
  <c r="H52" i="271"/>
  <c r="F47" i="271"/>
  <c r="H43" i="271"/>
  <c r="L38" i="271"/>
  <c r="H36" i="271"/>
  <c r="F32" i="271"/>
  <c r="F28" i="271"/>
  <c r="L24" i="271"/>
  <c r="M21" i="271"/>
  <c r="F19" i="271"/>
  <c r="L16" i="271"/>
  <c r="F14" i="271"/>
  <c r="F48" i="271"/>
  <c r="K83" i="268"/>
  <c r="J53" i="17"/>
  <c r="K72" i="268"/>
  <c r="D53" i="268"/>
  <c r="D91" i="268" s="1"/>
  <c r="J78" i="116"/>
  <c r="M16" i="101"/>
  <c r="L19" i="101"/>
  <c r="E26" i="101"/>
  <c r="R63" i="101"/>
  <c r="G66" i="101"/>
  <c r="B53" i="268"/>
  <c r="B91" i="268" s="1"/>
  <c r="C53" i="268"/>
  <c r="C91" i="268" s="1"/>
  <c r="E53" i="268"/>
  <c r="E91" i="268" s="1"/>
  <c r="R55" i="101"/>
  <c r="X64" i="101"/>
  <c r="U71" i="101"/>
  <c r="C16" i="101"/>
  <c r="N15" i="116" s="1"/>
  <c r="Q71" i="101"/>
  <c r="W54" i="101"/>
  <c r="W72" i="101"/>
  <c r="W66" i="101"/>
  <c r="K61" i="116"/>
  <c r="L61" i="116" s="1"/>
  <c r="O86" i="101"/>
  <c r="I86" i="128" s="1"/>
  <c r="T12" i="101"/>
  <c r="J91" i="101"/>
  <c r="O76" i="101"/>
  <c r="H78" i="127" s="1"/>
  <c r="L55" i="101"/>
  <c r="U89" i="101"/>
  <c r="W80" i="101"/>
  <c r="E32" i="101"/>
  <c r="J53" i="261"/>
  <c r="J53" i="268"/>
  <c r="S19" i="101"/>
  <c r="E22" i="101"/>
  <c r="L32" i="101"/>
  <c r="X86" i="101"/>
  <c r="J62" i="101"/>
  <c r="V49" i="101"/>
  <c r="X59" i="101"/>
  <c r="V60" i="101"/>
  <c r="R28" i="101"/>
  <c r="X27" i="101"/>
  <c r="L82" i="101"/>
  <c r="V44" i="101"/>
  <c r="J22" i="101"/>
  <c r="H22" i="101"/>
  <c r="W82" i="101"/>
  <c r="S83" i="101"/>
  <c r="T76" i="101"/>
  <c r="X79" i="101"/>
  <c r="S72" i="101"/>
  <c r="S36" i="101"/>
  <c r="I91" i="101"/>
  <c r="U18" i="101"/>
  <c r="J43" i="101"/>
  <c r="R22" i="101"/>
  <c r="D27" i="101"/>
  <c r="F27" i="128" s="1"/>
  <c r="M29" i="101"/>
  <c r="H15" i="101"/>
  <c r="O59" i="101"/>
  <c r="I59" i="128" s="1"/>
  <c r="F91" i="261"/>
  <c r="W91" i="261"/>
  <c r="S61" i="101"/>
  <c r="U93" i="101"/>
  <c r="P82" i="101"/>
  <c r="U56" i="101"/>
  <c r="W29" i="101"/>
  <c r="E39" i="101"/>
  <c r="J80" i="101"/>
  <c r="P88" i="101"/>
  <c r="N76" i="101"/>
  <c r="H76" i="128" s="1"/>
  <c r="I93" i="101"/>
  <c r="K85" i="101"/>
  <c r="T67" i="101"/>
  <c r="M79" i="101"/>
  <c r="D88" i="101"/>
  <c r="E90" i="127" s="1"/>
  <c r="F62" i="101"/>
  <c r="F38" i="101"/>
  <c r="K29" i="101"/>
  <c r="F58" i="101"/>
  <c r="W88" i="101"/>
  <c r="J36" i="101"/>
  <c r="F88" i="101"/>
  <c r="C93" i="101"/>
  <c r="D95" i="127" s="1"/>
  <c r="L70" i="101"/>
  <c r="K79" i="101"/>
  <c r="U48" i="101"/>
  <c r="V36" i="101"/>
  <c r="V91" i="101"/>
  <c r="P12" i="101"/>
  <c r="U77" i="101"/>
  <c r="W65" i="101"/>
  <c r="Q58" i="101"/>
  <c r="F47" i="101"/>
  <c r="E73" i="101"/>
  <c r="H63" i="101"/>
  <c r="X37" i="101"/>
  <c r="T28" i="101"/>
  <c r="T87" i="101"/>
  <c r="B94" i="261"/>
  <c r="C76" i="101"/>
  <c r="D78" i="127" s="1"/>
  <c r="V58" i="101"/>
  <c r="H58" i="101"/>
  <c r="J63" i="101"/>
  <c r="L73" i="101"/>
  <c r="P21" i="101"/>
  <c r="K48" i="101"/>
  <c r="E14" i="101"/>
  <c r="E66" i="101"/>
  <c r="D59" i="101"/>
  <c r="F59" i="128" s="1"/>
  <c r="C47" i="101"/>
  <c r="H48" i="154" s="1"/>
  <c r="M48" i="154" s="1"/>
  <c r="M28" i="101"/>
  <c r="J35" i="101"/>
  <c r="O87" i="101"/>
  <c r="I87" i="128" s="1"/>
  <c r="X82" i="101"/>
  <c r="Q39" i="101"/>
  <c r="X43" i="101"/>
  <c r="F28" i="101"/>
  <c r="O80" i="101"/>
  <c r="I80" i="128" s="1"/>
  <c r="K77" i="101"/>
  <c r="Q66" i="101"/>
  <c r="Q84" i="101"/>
  <c r="G81" i="101"/>
  <c r="Q15" i="101"/>
  <c r="D54" i="101"/>
  <c r="F54" i="128" s="1"/>
  <c r="L12" i="101"/>
  <c r="G74" i="101"/>
  <c r="P61" i="101"/>
  <c r="G39" i="101"/>
  <c r="O56" i="101"/>
  <c r="I56" i="128" s="1"/>
  <c r="T80" i="101"/>
  <c r="L24" i="101"/>
  <c r="Q37" i="101"/>
  <c r="V67" i="101"/>
  <c r="L52" i="101"/>
  <c r="G22" i="154"/>
  <c r="E22" i="154" s="1"/>
  <c r="J22" i="154" s="1"/>
  <c r="M46" i="101"/>
  <c r="C78" i="101"/>
  <c r="E78" i="128" s="1"/>
  <c r="V20" i="101"/>
  <c r="P43" i="101"/>
  <c r="M43" i="101"/>
  <c r="M66" i="101"/>
  <c r="L66" i="101"/>
  <c r="O88" i="101"/>
  <c r="I88" i="128" s="1"/>
  <c r="G40" i="154"/>
  <c r="L40" i="154" s="1"/>
  <c r="L15" i="101"/>
  <c r="F46" i="101"/>
  <c r="E62" i="101"/>
  <c r="P89" i="101"/>
  <c r="K72" i="101"/>
  <c r="U69" i="101"/>
  <c r="H18" i="101"/>
  <c r="X39" i="101"/>
  <c r="R24" i="101"/>
  <c r="V92" i="101"/>
  <c r="E72" i="101"/>
  <c r="K78" i="116"/>
  <c r="M78" i="116" s="1"/>
  <c r="J78" i="257"/>
  <c r="K78" i="257" s="1"/>
  <c r="K84" i="116"/>
  <c r="L84" i="116" s="1"/>
  <c r="J76" i="116"/>
  <c r="M91" i="17"/>
  <c r="F90" i="101"/>
  <c r="L91" i="261"/>
  <c r="AH91" i="261" s="1"/>
  <c r="Y91" i="261"/>
  <c r="AI91" i="261"/>
  <c r="M91" i="261"/>
  <c r="N82" i="101"/>
  <c r="G84" i="127" s="1"/>
  <c r="U59" i="101"/>
  <c r="P50" i="101"/>
  <c r="I92" i="101"/>
  <c r="X14" i="101"/>
  <c r="H92" i="101"/>
  <c r="L28" i="101"/>
  <c r="P65" i="101"/>
  <c r="N18" i="101"/>
  <c r="H18" i="128" s="1"/>
  <c r="N29" i="101"/>
  <c r="G31" i="127" s="1"/>
  <c r="N79" i="101"/>
  <c r="G81" i="127" s="1"/>
  <c r="X26" i="101"/>
  <c r="V41" i="101"/>
  <c r="F26" i="101"/>
  <c r="O19" i="101"/>
  <c r="I19" i="128" s="1"/>
  <c r="O19" i="128" s="1"/>
  <c r="O70" i="101"/>
  <c r="H72" i="127" s="1"/>
  <c r="W11" i="101"/>
  <c r="D24" i="101"/>
  <c r="F24" i="128" s="1"/>
  <c r="L24" i="128" s="1"/>
  <c r="G37" i="154"/>
  <c r="E37" i="154" s="1"/>
  <c r="J37" i="154" s="1"/>
  <c r="C49" i="101"/>
  <c r="I24" i="101"/>
  <c r="G23" i="101"/>
  <c r="N17" i="101"/>
  <c r="I18" i="154" s="1"/>
  <c r="N18" i="154" s="1"/>
  <c r="U52" i="101"/>
  <c r="W62" i="101"/>
  <c r="L17" i="101"/>
  <c r="R18" i="101"/>
  <c r="S39" i="101"/>
  <c r="Q80" i="101"/>
  <c r="O77" i="101"/>
  <c r="I77" i="128" s="1"/>
  <c r="G60" i="101"/>
  <c r="S28" i="101"/>
  <c r="K53" i="101"/>
  <c r="P83" i="101"/>
  <c r="V79" i="101"/>
  <c r="F19" i="101"/>
  <c r="Q45" i="101"/>
  <c r="U28" i="101"/>
  <c r="P77" i="101"/>
  <c r="X21" i="101"/>
  <c r="L77" i="101"/>
  <c r="D68" i="101"/>
  <c r="F68" i="128" s="1"/>
  <c r="L49" i="101"/>
  <c r="S34" i="101"/>
  <c r="S65" i="101"/>
  <c r="K71" i="101"/>
  <c r="E17" i="101"/>
  <c r="G65" i="101"/>
  <c r="X87" i="101"/>
  <c r="P69" i="101"/>
  <c r="J39" i="101"/>
  <c r="T86" i="101"/>
  <c r="I89" i="101"/>
  <c r="Q53" i="101"/>
  <c r="O81" i="101"/>
  <c r="I81" i="128" s="1"/>
  <c r="C60" i="101"/>
  <c r="E60" i="128" s="1"/>
  <c r="G35" i="101"/>
  <c r="C29" i="101"/>
  <c r="H30" i="154" s="1"/>
  <c r="M30" i="154" s="1"/>
  <c r="D16" i="101"/>
  <c r="E18" i="127" s="1"/>
  <c r="C44" i="101"/>
  <c r="D46" i="127" s="1"/>
  <c r="O29" i="101"/>
  <c r="I29" i="128" s="1"/>
  <c r="O29" i="128" s="1"/>
  <c r="N53" i="101"/>
  <c r="G55" i="127" s="1"/>
  <c r="S15" i="101"/>
  <c r="W28" i="101"/>
  <c r="E50" i="101"/>
  <c r="E38" i="101"/>
  <c r="V59" i="101"/>
  <c r="T50" i="101"/>
  <c r="L48" i="101"/>
  <c r="J54" i="101"/>
  <c r="T57" i="101"/>
  <c r="L80" i="101"/>
  <c r="P67" i="101"/>
  <c r="U27" i="101"/>
  <c r="P27" i="101"/>
  <c r="U43" i="101"/>
  <c r="G33" i="154"/>
  <c r="E33" i="154" s="1"/>
  <c r="J33" i="154" s="1"/>
  <c r="W51" i="101"/>
  <c r="M68" i="101"/>
  <c r="G54" i="101"/>
  <c r="T77" i="101"/>
  <c r="W34" i="101"/>
  <c r="F74" i="101"/>
  <c r="V26" i="101"/>
  <c r="X85" i="101"/>
  <c r="E45" i="101"/>
  <c r="M64" i="101"/>
  <c r="M35" i="101"/>
  <c r="P54" i="101"/>
  <c r="D73" i="101"/>
  <c r="F73" i="128" s="1"/>
  <c r="G30" i="154"/>
  <c r="L30" i="154" s="1"/>
  <c r="W21" i="101"/>
  <c r="Q22" i="101"/>
  <c r="K64" i="101"/>
  <c r="P85" i="101"/>
  <c r="V63" i="101"/>
  <c r="R68" i="101"/>
  <c r="G16" i="154"/>
  <c r="E16" i="154" s="1"/>
  <c r="J16" i="154" s="1"/>
  <c r="I39" i="101"/>
  <c r="S47" i="101"/>
  <c r="M30" i="101"/>
  <c r="N24" i="101"/>
  <c r="H24" i="128" s="1"/>
  <c r="C84" i="101"/>
  <c r="E84" i="128" s="1"/>
  <c r="X24" i="101"/>
  <c r="U78" i="101"/>
  <c r="G35" i="154"/>
  <c r="E35" i="154" s="1"/>
  <c r="J35" i="154" s="1"/>
  <c r="J69" i="101"/>
  <c r="J64" i="101"/>
  <c r="T62" i="101"/>
  <c r="P92" i="101"/>
  <c r="V71" i="101"/>
  <c r="L58" i="101"/>
  <c r="X56" i="101"/>
  <c r="S51" i="101"/>
  <c r="I74" i="101"/>
  <c r="M40" i="101"/>
  <c r="Q90" i="101"/>
  <c r="G39" i="154"/>
  <c r="L39" i="154" s="1"/>
  <c r="G68" i="101"/>
  <c r="U68" i="101"/>
  <c r="H16" i="101"/>
  <c r="V50" i="101"/>
  <c r="J47" i="101"/>
  <c r="V89" i="101"/>
  <c r="G46" i="154"/>
  <c r="E46" i="154" s="1"/>
  <c r="J46" i="154" s="1"/>
  <c r="I78" i="101"/>
  <c r="M18" i="101"/>
  <c r="L62" i="101"/>
  <c r="U79" i="101"/>
  <c r="R60" i="101"/>
  <c r="M19" i="101"/>
  <c r="G25" i="154"/>
  <c r="E25" i="154" s="1"/>
  <c r="J25" i="154" s="1"/>
  <c r="G80" i="101"/>
  <c r="R49" i="101"/>
  <c r="Q44" i="101"/>
  <c r="K69" i="101"/>
  <c r="G48" i="154"/>
  <c r="E48" i="154" s="1"/>
  <c r="J48" i="154" s="1"/>
  <c r="F82" i="101"/>
  <c r="F86" i="101"/>
  <c r="G49" i="154"/>
  <c r="E49" i="154" s="1"/>
  <c r="J49" i="154" s="1"/>
  <c r="V68" i="101"/>
  <c r="D74" i="101"/>
  <c r="E76" i="127" s="1"/>
  <c r="X16" i="101"/>
  <c r="U53" i="101"/>
  <c r="T56" i="101"/>
  <c r="X23" i="101"/>
  <c r="O71" i="101"/>
  <c r="I71" i="128" s="1"/>
  <c r="C50" i="101"/>
  <c r="N52" i="101"/>
  <c r="G54" i="127" s="1"/>
  <c r="J77" i="101"/>
  <c r="H35" i="101"/>
  <c r="R32" i="101"/>
  <c r="X17" i="101"/>
  <c r="L54" i="101"/>
  <c r="V74" i="101"/>
  <c r="U39" i="101"/>
  <c r="V86" i="101"/>
  <c r="M76" i="101"/>
  <c r="H46" i="101"/>
  <c r="U35" i="101"/>
  <c r="R61" i="101"/>
  <c r="T14" i="101"/>
  <c r="V75" i="101"/>
  <c r="L16" i="101"/>
  <c r="S14" i="101"/>
  <c r="R40" i="101"/>
  <c r="H49" i="101"/>
  <c r="X84" i="101"/>
  <c r="F18" i="101"/>
  <c r="N90" i="101"/>
  <c r="H90" i="128" s="1"/>
  <c r="G18" i="154"/>
  <c r="E18" i="154" s="1"/>
  <c r="J18" i="154" s="1"/>
  <c r="Q88" i="101"/>
  <c r="M41" i="101"/>
  <c r="L63" i="101"/>
  <c r="U66" i="101"/>
  <c r="D39" i="101"/>
  <c r="F39" i="128" s="1"/>
  <c r="S64" i="101"/>
  <c r="H11" i="101"/>
  <c r="N68" i="101"/>
  <c r="G70" i="127" s="1"/>
  <c r="N62" i="101"/>
  <c r="H62" i="128" s="1"/>
  <c r="T20" i="101"/>
  <c r="P28" i="101"/>
  <c r="T90" i="101"/>
  <c r="D20" i="101"/>
  <c r="E22" i="127" s="1"/>
  <c r="N38" i="101"/>
  <c r="G40" i="127" s="1"/>
  <c r="G86" i="101"/>
  <c r="Q47" i="101"/>
  <c r="C68" i="101"/>
  <c r="D70" i="127" s="1"/>
  <c r="Q52" i="101"/>
  <c r="D17" i="101"/>
  <c r="E19" i="127" s="1"/>
  <c r="K93" i="101"/>
  <c r="C87" i="101"/>
  <c r="D89" i="127" s="1"/>
  <c r="I67" i="101"/>
  <c r="K84" i="101"/>
  <c r="P87" i="101"/>
  <c r="H78" i="101"/>
  <c r="J85" i="101"/>
  <c r="G51" i="154"/>
  <c r="L51" i="154" s="1"/>
  <c r="F77" i="101"/>
  <c r="F30" i="101"/>
  <c r="W30" i="101"/>
  <c r="K22" i="101"/>
  <c r="G32" i="101"/>
  <c r="U57" i="101"/>
  <c r="T23" i="101"/>
  <c r="P76" i="101"/>
  <c r="I23" i="101"/>
  <c r="T81" i="101"/>
  <c r="V85" i="101"/>
  <c r="L39" i="101"/>
  <c r="T68" i="101"/>
  <c r="G20" i="101"/>
  <c r="O57" i="101"/>
  <c r="H59" i="127" s="1"/>
  <c r="G15" i="154"/>
  <c r="L15" i="154" s="1"/>
  <c r="F52" i="101"/>
  <c r="K20" i="101"/>
  <c r="C27" i="101"/>
  <c r="H28" i="154" s="1"/>
  <c r="M28" i="154" s="1"/>
  <c r="C36" i="101"/>
  <c r="N35" i="116" s="1"/>
  <c r="O35" i="101"/>
  <c r="H37" i="127" s="1"/>
  <c r="N23" i="101"/>
  <c r="I24" i="154" s="1"/>
  <c r="N24" i="154" s="1"/>
  <c r="S54" i="101"/>
  <c r="U80" i="101"/>
  <c r="Q82" i="101"/>
  <c r="F39" i="101"/>
  <c r="L53" i="101"/>
  <c r="W70" i="101"/>
  <c r="N60" i="101"/>
  <c r="H60" i="128" s="1"/>
  <c r="F75" i="101"/>
  <c r="Q40" i="101"/>
  <c r="E64" i="101"/>
  <c r="H53" i="101"/>
  <c r="E71" i="101"/>
  <c r="M59" i="101"/>
  <c r="D79" i="101"/>
  <c r="E81" i="127" s="1"/>
  <c r="H57" i="101"/>
  <c r="D78" i="101"/>
  <c r="E80" i="127" s="1"/>
  <c r="E48" i="101"/>
  <c r="H89" i="101"/>
  <c r="I34" i="101"/>
  <c r="X49" i="101"/>
  <c r="S57" i="101"/>
  <c r="O61" i="101"/>
  <c r="I61" i="128" s="1"/>
  <c r="T24" i="101"/>
  <c r="K92" i="101"/>
  <c r="D75" i="101"/>
  <c r="F75" i="128" s="1"/>
  <c r="X89" i="101"/>
  <c r="Q46" i="101"/>
  <c r="U60" i="101"/>
  <c r="C35" i="101"/>
  <c r="N34" i="116" s="1"/>
  <c r="O39" i="101"/>
  <c r="H41" i="127" s="1"/>
  <c r="S32" i="101"/>
  <c r="S22" i="101"/>
  <c r="V17" i="101"/>
  <c r="S18" i="101"/>
  <c r="X51" i="101"/>
  <c r="V35" i="101"/>
  <c r="X74" i="101"/>
  <c r="L21" i="101"/>
  <c r="P51" i="101"/>
  <c r="U75" i="101"/>
  <c r="U64" i="101"/>
  <c r="T41" i="101"/>
  <c r="I47" i="101"/>
  <c r="L20" i="101"/>
  <c r="X62" i="101"/>
  <c r="C69" i="101"/>
  <c r="D71" i="127" s="1"/>
  <c r="M62" i="101"/>
  <c r="R39" i="101"/>
  <c r="W67" i="101"/>
  <c r="Q62" i="101"/>
  <c r="J75" i="101"/>
  <c r="Q68" i="101"/>
  <c r="S58" i="101"/>
  <c r="H38" i="101"/>
  <c r="X20" i="101"/>
  <c r="O68" i="101"/>
  <c r="H70" i="127" s="1"/>
  <c r="S50" i="101"/>
  <c r="I37" i="101"/>
  <c r="P19" i="101"/>
  <c r="U90" i="101"/>
  <c r="G63" i="101"/>
  <c r="H73" i="101"/>
  <c r="S92" i="101"/>
  <c r="S23" i="101"/>
  <c r="H72" i="101"/>
  <c r="E69" i="101"/>
  <c r="J56" i="101"/>
  <c r="W17" i="101"/>
  <c r="R65" i="101"/>
  <c r="S63" i="101"/>
  <c r="W59" i="101"/>
  <c r="I18" i="101"/>
  <c r="U23" i="101"/>
  <c r="M24" i="101"/>
  <c r="T48" i="101"/>
  <c r="X77" i="101"/>
  <c r="U92" i="101"/>
  <c r="R84" i="101"/>
  <c r="K11" i="101"/>
  <c r="N57" i="101"/>
  <c r="H57" i="128" s="1"/>
  <c r="X38" i="101"/>
  <c r="G71" i="101"/>
  <c r="U47" i="101"/>
  <c r="V64" i="101"/>
  <c r="K14" i="101"/>
  <c r="H37" i="101"/>
  <c r="H43" i="101"/>
  <c r="N71" i="101"/>
  <c r="H71" i="128" s="1"/>
  <c r="G37" i="101"/>
  <c r="J74" i="101"/>
  <c r="D26" i="101"/>
  <c r="E28" i="127" s="1"/>
  <c r="N91" i="101"/>
  <c r="G93" i="127" s="1"/>
  <c r="Q78" i="101"/>
  <c r="L60" i="101"/>
  <c r="E21" i="101"/>
  <c r="J82" i="101"/>
  <c r="H55" i="101"/>
  <c r="D84" i="101"/>
  <c r="E86" i="127" s="1"/>
  <c r="C88" i="101"/>
  <c r="E88" i="128" s="1"/>
  <c r="K32" i="101"/>
  <c r="Q26" i="101"/>
  <c r="R27" i="101"/>
  <c r="E23" i="101"/>
  <c r="F65" i="101"/>
  <c r="W86" i="101"/>
  <c r="X29" i="101"/>
  <c r="G89" i="101"/>
  <c r="H61" i="101"/>
  <c r="R17" i="101"/>
  <c r="S74" i="101"/>
  <c r="Q56" i="101"/>
  <c r="J30" i="101"/>
  <c r="I59" i="101"/>
  <c r="N64" i="101"/>
  <c r="G66" i="127" s="1"/>
  <c r="E54" i="101"/>
  <c r="S43" i="101"/>
  <c r="T29" i="101"/>
  <c r="W19" i="101"/>
  <c r="Q85" i="101"/>
  <c r="Q14" i="101"/>
  <c r="L56" i="101"/>
  <c r="J84" i="101"/>
  <c r="L78" i="101"/>
  <c r="G29" i="101"/>
  <c r="N35" i="101"/>
  <c r="I36" i="154" s="1"/>
  <c r="N36" i="154" s="1"/>
  <c r="I87" i="101"/>
  <c r="P39" i="101"/>
  <c r="E46" i="101"/>
  <c r="V84" i="101"/>
  <c r="H77" i="101"/>
  <c r="I85" i="101"/>
  <c r="J24" i="101"/>
  <c r="I61" i="101"/>
  <c r="F76" i="101"/>
  <c r="F67" i="101"/>
  <c r="V66" i="101"/>
  <c r="G46" i="101"/>
  <c r="D57" i="101"/>
  <c r="E59" i="127" s="1"/>
  <c r="W38" i="101"/>
  <c r="T30" i="101"/>
  <c r="O52" i="101"/>
  <c r="I52" i="128" s="1"/>
  <c r="O52" i="128" s="1"/>
  <c r="D86" i="101"/>
  <c r="E88" i="127" s="1"/>
  <c r="Q93" i="101"/>
  <c r="L93" i="101"/>
  <c r="J89" i="101"/>
  <c r="M70" i="101"/>
  <c r="K90" i="101"/>
  <c r="F60" i="101"/>
  <c r="P84" i="101"/>
  <c r="M39" i="101"/>
  <c r="S11" i="101"/>
  <c r="E70" i="101"/>
  <c r="C55" i="101"/>
  <c r="E55" i="128" s="1"/>
  <c r="I12" i="101"/>
  <c r="S40" i="101"/>
  <c r="S70" i="101"/>
  <c r="T47" i="101"/>
  <c r="P68" i="101"/>
  <c r="G36" i="154"/>
  <c r="L36" i="154" s="1"/>
  <c r="J17" i="101"/>
  <c r="N74" i="101"/>
  <c r="G76" i="127" s="1"/>
  <c r="I54" i="101"/>
  <c r="W50" i="101"/>
  <c r="T35" i="101"/>
  <c r="J78" i="101"/>
  <c r="G93" i="101"/>
  <c r="D28" i="101"/>
  <c r="E30" i="127" s="1"/>
  <c r="C38" i="101"/>
  <c r="E38" i="128" s="1"/>
  <c r="O23" i="101"/>
  <c r="I23" i="128" s="1"/>
  <c r="O23" i="128" s="1"/>
  <c r="O27" i="101"/>
  <c r="I27" i="128" s="1"/>
  <c r="O27" i="128" s="1"/>
  <c r="J34" i="101"/>
  <c r="T93" i="101"/>
  <c r="F41" i="101"/>
  <c r="Q36" i="101"/>
  <c r="H76" i="101"/>
  <c r="G52" i="101"/>
  <c r="T82" i="101"/>
  <c r="R90" i="101"/>
  <c r="S24" i="101"/>
  <c r="K23" i="101"/>
  <c r="G31" i="154"/>
  <c r="E31" i="154" s="1"/>
  <c r="J31" i="154" s="1"/>
  <c r="H47" i="101"/>
  <c r="H67" i="101"/>
  <c r="G78" i="101"/>
  <c r="M21" i="101"/>
  <c r="L72" i="101"/>
  <c r="I22" i="101"/>
  <c r="H23" i="101"/>
  <c r="P18" i="101"/>
  <c r="T74" i="101"/>
  <c r="F64" i="101"/>
  <c r="L81" i="101"/>
  <c r="E82" i="101"/>
  <c r="J81" i="101"/>
  <c r="X50" i="101"/>
  <c r="H74" i="101"/>
  <c r="X55" i="101"/>
  <c r="J41" i="101"/>
  <c r="R83" i="101"/>
  <c r="C23" i="101"/>
  <c r="N22" i="116" s="1"/>
  <c r="H27" i="101"/>
  <c r="G76" i="101"/>
  <c r="O79" i="101"/>
  <c r="H81" i="127" s="1"/>
  <c r="O92" i="101"/>
  <c r="H94" i="127" s="1"/>
  <c r="S84" i="101"/>
  <c r="U72" i="101"/>
  <c r="N84" i="101"/>
  <c r="G86" i="127" s="1"/>
  <c r="O62" i="101"/>
  <c r="H64" i="127" s="1"/>
  <c r="H21" i="101"/>
  <c r="E67" i="101"/>
  <c r="M74" i="101"/>
  <c r="V53" i="101"/>
  <c r="I50" i="101"/>
  <c r="V24" i="101"/>
  <c r="L51" i="101"/>
  <c r="K91" i="101"/>
  <c r="T53" i="101"/>
  <c r="P58" i="101"/>
  <c r="G30" i="101"/>
  <c r="Q51" i="101"/>
  <c r="W44" i="101"/>
  <c r="G50" i="101"/>
  <c r="X83" i="101"/>
  <c r="K51" i="101"/>
  <c r="X65" i="101"/>
  <c r="C83" i="101"/>
  <c r="D85" i="127" s="1"/>
  <c r="L76" i="101"/>
  <c r="J45" i="101"/>
  <c r="J90" i="101"/>
  <c r="I62" i="101"/>
  <c r="E77" i="101"/>
  <c r="G91" i="101"/>
  <c r="E65" i="101"/>
  <c r="J50" i="101"/>
  <c r="N27" i="101"/>
  <c r="I28" i="154" s="1"/>
  <c r="N28" i="154" s="1"/>
  <c r="M87" i="101"/>
  <c r="I49" i="101"/>
  <c r="M12" i="101"/>
  <c r="W49" i="101"/>
  <c r="D64" i="101"/>
  <c r="F64" i="128" s="1"/>
  <c r="I28" i="101"/>
  <c r="K18" i="101"/>
  <c r="O75" i="101"/>
  <c r="H77" i="127" s="1"/>
  <c r="H24" i="101"/>
  <c r="K78" i="101"/>
  <c r="V43" i="101"/>
  <c r="M90" i="101"/>
  <c r="P63" i="101"/>
  <c r="Q43" i="101"/>
  <c r="S16" i="101"/>
  <c r="K27" i="101"/>
  <c r="U55" i="101"/>
  <c r="N80" i="101"/>
  <c r="H80" i="128" s="1"/>
  <c r="K62" i="101"/>
  <c r="M44" i="101"/>
  <c r="W69" i="101"/>
  <c r="J14" i="101"/>
  <c r="L69" i="101"/>
  <c r="P80" i="101"/>
  <c r="M50" i="101"/>
  <c r="L83" i="101"/>
  <c r="N39" i="101"/>
  <c r="G41" i="127" s="1"/>
  <c r="S17" i="101"/>
  <c r="N75" i="101"/>
  <c r="H75" i="128" s="1"/>
  <c r="M49" i="101"/>
  <c r="K56" i="101"/>
  <c r="W20" i="101"/>
  <c r="V14" i="101"/>
  <c r="S44" i="101"/>
  <c r="U91" i="101"/>
  <c r="G28" i="154"/>
  <c r="E28" i="154" s="1"/>
  <c r="J28" i="154" s="1"/>
  <c r="L85" i="101"/>
  <c r="I19" i="101"/>
  <c r="D80" i="101"/>
  <c r="E82" i="127" s="1"/>
  <c r="R11" i="101"/>
  <c r="U51" i="101"/>
  <c r="G77" i="101"/>
  <c r="L84" i="101"/>
  <c r="G40" i="101"/>
  <c r="R72" i="101"/>
  <c r="J37" i="101"/>
  <c r="G44" i="154"/>
  <c r="E44" i="154" s="1"/>
  <c r="J44" i="154" s="1"/>
  <c r="W16" i="101"/>
  <c r="E44" i="101"/>
  <c r="V46" i="101"/>
  <c r="X69" i="101"/>
  <c r="K59" i="101"/>
  <c r="D60" i="101"/>
  <c r="F60" i="128" s="1"/>
  <c r="M85" i="101"/>
  <c r="K66" i="116"/>
  <c r="M66" i="116" s="1"/>
  <c r="C61" i="116"/>
  <c r="B61" i="257" s="1"/>
  <c r="U45" i="101"/>
  <c r="S35" i="101"/>
  <c r="S71" i="101"/>
  <c r="O89" i="101"/>
  <c r="I89" i="128" s="1"/>
  <c r="X68" i="101"/>
  <c r="D58" i="101"/>
  <c r="F58" i="128" s="1"/>
  <c r="M72" i="101"/>
  <c r="G34" i="101"/>
  <c r="G54" i="154"/>
  <c r="E54" i="154" s="1"/>
  <c r="J54" i="154" s="1"/>
  <c r="E30" i="101"/>
  <c r="V77" i="101"/>
  <c r="J48" i="101"/>
  <c r="E55" i="101"/>
  <c r="I20" i="101"/>
  <c r="I27" i="101"/>
  <c r="R59" i="101"/>
  <c r="J59" i="101"/>
  <c r="V83" i="101"/>
  <c r="N16" i="101"/>
  <c r="H16" i="128" s="1"/>
  <c r="H45" i="101"/>
  <c r="W76" i="101"/>
  <c r="G27" i="154"/>
  <c r="E27" i="154" s="1"/>
  <c r="J27" i="154" s="1"/>
  <c r="X66" i="101"/>
  <c r="G57" i="101"/>
  <c r="F17" i="101"/>
  <c r="F49" i="101"/>
  <c r="S86" i="101"/>
  <c r="W81" i="101"/>
  <c r="I17" i="101"/>
  <c r="S77" i="101"/>
  <c r="Q16" i="101"/>
  <c r="G58" i="101"/>
  <c r="H82" i="101"/>
  <c r="U19" i="101"/>
  <c r="C70" i="101"/>
  <c r="D72" i="127" s="1"/>
  <c r="L40" i="101"/>
  <c r="N43" i="101"/>
  <c r="I44" i="154" s="1"/>
  <c r="N44" i="154" s="1"/>
  <c r="X44" i="101"/>
  <c r="Q23" i="101"/>
  <c r="W53" i="101"/>
  <c r="I75" i="101"/>
  <c r="E81" i="101"/>
  <c r="C61" i="101"/>
  <c r="D63" i="127" s="1"/>
  <c r="X47" i="101"/>
  <c r="T89" i="101"/>
  <c r="V78" i="101"/>
  <c r="C90" i="101"/>
  <c r="D92" i="127" s="1"/>
  <c r="K36" i="101"/>
  <c r="G13" i="154"/>
  <c r="L13" i="154" s="1"/>
  <c r="W73" i="101"/>
  <c r="D66" i="101"/>
  <c r="F66" i="128" s="1"/>
  <c r="K65" i="101"/>
  <c r="I88" i="101"/>
  <c r="T27" i="101"/>
  <c r="I44" i="101"/>
  <c r="G64" i="101"/>
  <c r="H28" i="101"/>
  <c r="G21" i="101"/>
  <c r="F81" i="101"/>
  <c r="W71" i="101"/>
  <c r="M47" i="101"/>
  <c r="F34" i="101"/>
  <c r="U88" i="101"/>
  <c r="G14" i="101"/>
  <c r="F83" i="101"/>
  <c r="V32" i="101"/>
  <c r="D62" i="101"/>
  <c r="F62" i="128" s="1"/>
  <c r="N32" i="101"/>
  <c r="H32" i="128" s="1"/>
  <c r="C63" i="101"/>
  <c r="D65" i="127" s="1"/>
  <c r="S26" i="101"/>
  <c r="E59" i="101"/>
  <c r="K19" i="101"/>
  <c r="R47" i="101"/>
  <c r="Q28" i="101"/>
  <c r="O67" i="101"/>
  <c r="H69" i="127" s="1"/>
  <c r="M52" i="101"/>
  <c r="X11" i="101"/>
  <c r="J57" i="101"/>
  <c r="Q35" i="101"/>
  <c r="T44" i="101"/>
  <c r="E90" i="101"/>
  <c r="K58" i="101"/>
  <c r="O34" i="101"/>
  <c r="H36" i="127" s="1"/>
  <c r="D18" i="101"/>
  <c r="F18" i="128" s="1"/>
  <c r="G47" i="101"/>
  <c r="L11" i="101"/>
  <c r="F37" i="101"/>
  <c r="M11" i="101"/>
  <c r="I58" i="101"/>
  <c r="Q12" i="101"/>
  <c r="I77" i="101"/>
  <c r="N93" i="101"/>
  <c r="H26" i="101"/>
  <c r="G62" i="101"/>
  <c r="S21" i="101"/>
  <c r="N87" i="101"/>
  <c r="H87" i="128" s="1"/>
  <c r="L36" i="101"/>
  <c r="C85" i="101"/>
  <c r="E85" i="128" s="1"/>
  <c r="O64" i="101"/>
  <c r="I64" i="128" s="1"/>
  <c r="G17" i="154"/>
  <c r="L17" i="154" s="1"/>
  <c r="J44" i="101"/>
  <c r="E35" i="101"/>
  <c r="C32" i="101"/>
  <c r="D34" i="127" s="1"/>
  <c r="M88" i="101"/>
  <c r="J76" i="101"/>
  <c r="K47" i="101"/>
  <c r="G24" i="154"/>
  <c r="E24" i="154" s="1"/>
  <c r="J24" i="154" s="1"/>
  <c r="K61" i="101"/>
  <c r="V22" i="101"/>
  <c r="W43" i="101"/>
  <c r="H85" i="101"/>
  <c r="K44" i="101"/>
  <c r="I64" i="101"/>
  <c r="W23" i="101"/>
  <c r="K26" i="101"/>
  <c r="L35" i="101"/>
  <c r="W68" i="101"/>
  <c r="N51" i="101"/>
  <c r="H51" i="128" s="1"/>
  <c r="D52" i="101"/>
  <c r="F52" i="128" s="1"/>
  <c r="L52" i="128" s="1"/>
  <c r="V18" i="101"/>
  <c r="H62" i="101"/>
  <c r="F24" i="101"/>
  <c r="W83" i="101"/>
  <c r="W74" i="101"/>
  <c r="F85" i="101"/>
  <c r="D55" i="101"/>
  <c r="F55" i="128" s="1"/>
  <c r="P40" i="101"/>
  <c r="V37" i="101"/>
  <c r="N89" i="101"/>
  <c r="H89" i="128" s="1"/>
  <c r="I57" i="101"/>
  <c r="K38" i="101"/>
  <c r="R80" i="101"/>
  <c r="K76" i="116"/>
  <c r="M76" i="116" s="1"/>
  <c r="K24" i="101"/>
  <c r="Q63" i="101"/>
  <c r="H39" i="101"/>
  <c r="C58" i="101"/>
  <c r="E58" i="128" s="1"/>
  <c r="R70" i="101"/>
  <c r="C74" i="101"/>
  <c r="D76" i="127" s="1"/>
  <c r="F40" i="101"/>
  <c r="T75" i="101"/>
  <c r="M26" i="101"/>
  <c r="N46" i="101"/>
  <c r="G48" i="127" s="1"/>
  <c r="P60" i="101"/>
  <c r="T34" i="101"/>
  <c r="V54" i="101"/>
  <c r="F66" i="101"/>
  <c r="G22" i="101"/>
  <c r="T55" i="101"/>
  <c r="U24" i="101"/>
  <c r="G88" i="101"/>
  <c r="I72" i="101"/>
  <c r="F61" i="101"/>
  <c r="S81" i="101"/>
  <c r="F87" i="101"/>
  <c r="H32" i="101"/>
  <c r="V38" i="101"/>
  <c r="P26" i="101"/>
  <c r="X75" i="101"/>
  <c r="S38" i="101"/>
  <c r="M51" i="101"/>
  <c r="D56" i="101"/>
  <c r="F56" i="128" s="1"/>
  <c r="M71" i="101"/>
  <c r="X18" i="101"/>
  <c r="U84" i="101"/>
  <c r="M15" i="101"/>
  <c r="T71" i="101"/>
  <c r="D82" i="101"/>
  <c r="E84" i="127" s="1"/>
  <c r="Q70" i="101"/>
  <c r="M78" i="101"/>
  <c r="E85" i="101"/>
  <c r="T37" i="101"/>
  <c r="K55" i="101"/>
  <c r="M32" i="101"/>
  <c r="T63" i="101"/>
  <c r="H83" i="101"/>
  <c r="N59" i="101"/>
  <c r="H59" i="128" s="1"/>
  <c r="S27" i="101"/>
  <c r="J51" i="101"/>
  <c r="I40" i="101"/>
  <c r="Q29" i="101"/>
  <c r="X15" i="101"/>
  <c r="E34" i="101"/>
  <c r="N30" i="101"/>
  <c r="I31" i="154" s="1"/>
  <c r="N31" i="154" s="1"/>
  <c r="V28" i="101"/>
  <c r="I15" i="101"/>
  <c r="E40" i="101"/>
  <c r="U54" i="101"/>
  <c r="C66" i="101"/>
  <c r="D68" i="127" s="1"/>
  <c r="V57" i="101"/>
  <c r="F51" i="101"/>
  <c r="H90" i="101"/>
  <c r="C54" i="101"/>
  <c r="E54" i="128" s="1"/>
  <c r="G70" i="101"/>
  <c r="L44" i="101"/>
  <c r="R44" i="101"/>
  <c r="Q59" i="101"/>
  <c r="O66" i="101"/>
  <c r="H68" i="127" s="1"/>
  <c r="S82" i="101"/>
  <c r="D63" i="101"/>
  <c r="E65" i="127" s="1"/>
  <c r="H14" i="101"/>
  <c r="V12" i="101"/>
  <c r="F22" i="101"/>
  <c r="U15" i="101"/>
  <c r="E87" i="101"/>
  <c r="T11" i="101"/>
  <c r="X67" i="101"/>
  <c r="L65" i="101"/>
  <c r="K54" i="101"/>
  <c r="Q30" i="101"/>
  <c r="G53" i="154"/>
  <c r="E53" i="154" s="1"/>
  <c r="J53" i="154" s="1"/>
  <c r="S60" i="101"/>
  <c r="F44" i="101"/>
  <c r="U26" i="101"/>
  <c r="R89" i="101"/>
  <c r="K21" i="101"/>
  <c r="O15" i="101"/>
  <c r="H17" i="127" s="1"/>
  <c r="D53" i="101"/>
  <c r="F53" i="128" s="1"/>
  <c r="L53" i="128" s="1"/>
  <c r="X34" i="101"/>
  <c r="P37" i="101"/>
  <c r="S41" i="101"/>
  <c r="X57" i="101"/>
  <c r="L90" i="101"/>
  <c r="J55" i="101"/>
  <c r="L26" i="101"/>
  <c r="H79" i="101"/>
  <c r="Q86" i="101"/>
  <c r="G92" i="101"/>
  <c r="Q87" i="101"/>
  <c r="T92" i="101"/>
  <c r="Q65" i="101"/>
  <c r="C76" i="116"/>
  <c r="B76" i="257" s="1"/>
  <c r="U17" i="101"/>
  <c r="P47" i="101"/>
  <c r="P74" i="101"/>
  <c r="E18" i="101"/>
  <c r="M89" i="101"/>
  <c r="N49" i="101"/>
  <c r="I50" i="154" s="1"/>
  <c r="N50" i="154" s="1"/>
  <c r="N15" i="101"/>
  <c r="H15" i="128" s="1"/>
  <c r="N14" i="101"/>
  <c r="I15" i="154" s="1"/>
  <c r="N15" i="154" s="1"/>
  <c r="D43" i="101"/>
  <c r="E45" i="127" s="1"/>
  <c r="D11" i="101"/>
  <c r="E13" i="127" s="1"/>
  <c r="D44" i="101"/>
  <c r="E46" i="127" s="1"/>
  <c r="K82" i="101"/>
  <c r="Q38" i="101"/>
  <c r="R62" i="101"/>
  <c r="U70" i="101"/>
  <c r="J38" i="101"/>
  <c r="F80" i="101"/>
  <c r="V82" i="101"/>
  <c r="D77" i="101"/>
  <c r="F77" i="128" s="1"/>
  <c r="P64" i="101"/>
  <c r="O20" i="101"/>
  <c r="I20" i="128" s="1"/>
  <c r="O20" i="128" s="1"/>
  <c r="N19" i="101"/>
  <c r="G21" i="127" s="1"/>
  <c r="N36" i="101"/>
  <c r="G38" i="127" s="1"/>
  <c r="C17" i="101"/>
  <c r="H18" i="154" s="1"/>
  <c r="M18" i="154" s="1"/>
  <c r="C22" i="101"/>
  <c r="N21" i="116" s="1"/>
  <c r="X76" i="101"/>
  <c r="H88" i="101"/>
  <c r="G29" i="154"/>
  <c r="E29" i="154" s="1"/>
  <c r="J29" i="154" s="1"/>
  <c r="K49" i="101"/>
  <c r="K75" i="101"/>
  <c r="K45" i="101"/>
  <c r="T17" i="101"/>
  <c r="N88" i="101"/>
  <c r="H88" i="128" s="1"/>
  <c r="S88" i="101"/>
  <c r="E51" i="101"/>
  <c r="H86" i="101"/>
  <c r="O51" i="101"/>
  <c r="I51" i="128" s="1"/>
  <c r="O51" i="128" s="1"/>
  <c r="N34" i="101"/>
  <c r="H34" i="128" s="1"/>
  <c r="C26" i="101"/>
  <c r="E26" i="128" s="1"/>
  <c r="D29" i="101"/>
  <c r="E31" i="127" s="1"/>
  <c r="C24" i="101"/>
  <c r="N23" i="116" s="1"/>
  <c r="H12" i="101"/>
  <c r="G51" i="101"/>
  <c r="W91" i="101"/>
  <c r="F57" i="101"/>
  <c r="R34" i="101"/>
  <c r="C86" i="101"/>
  <c r="E86" i="128" s="1"/>
  <c r="Q92" i="101"/>
  <c r="Q34" i="101"/>
  <c r="M60" i="101"/>
  <c r="D90" i="101"/>
  <c r="E92" i="127" s="1"/>
  <c r="P56" i="101"/>
  <c r="S68" i="101"/>
  <c r="S67" i="101"/>
  <c r="H41" i="101"/>
  <c r="G90" i="101"/>
  <c r="V15" i="101"/>
  <c r="P11" i="101"/>
  <c r="V16" i="101"/>
  <c r="V29" i="101"/>
  <c r="R20" i="101"/>
  <c r="G11" i="101"/>
  <c r="Q48" i="101"/>
  <c r="S69" i="101"/>
  <c r="M38" i="101"/>
  <c r="L75" i="101"/>
  <c r="G75" i="101"/>
  <c r="Q79" i="101"/>
  <c r="S46" i="101"/>
  <c r="W78" i="101"/>
  <c r="X53" i="101"/>
  <c r="U36" i="101"/>
  <c r="P49" i="101"/>
  <c r="M67" i="101"/>
  <c r="R57" i="101"/>
  <c r="J72" i="101"/>
  <c r="U91" i="17"/>
  <c r="L91" i="17"/>
  <c r="T91" i="17" s="1"/>
  <c r="K68" i="116"/>
  <c r="M68" i="116" s="1"/>
  <c r="B80" i="257"/>
  <c r="B57" i="257"/>
  <c r="J65" i="257"/>
  <c r="K65" i="257" s="1"/>
  <c r="J87" i="257"/>
  <c r="K87" i="257" s="1"/>
  <c r="I69" i="101"/>
  <c r="P78" i="101"/>
  <c r="G83" i="101"/>
  <c r="G44" i="101"/>
  <c r="W63" i="101"/>
  <c r="R41" i="101"/>
  <c r="L61" i="101"/>
  <c r="U76" i="101"/>
  <c r="J65" i="116"/>
  <c r="J84" i="257"/>
  <c r="K84" i="257" s="1"/>
  <c r="J84" i="116"/>
  <c r="L68" i="101"/>
  <c r="H84" i="101"/>
  <c r="J46" i="101"/>
  <c r="P81" i="101"/>
  <c r="E57" i="101"/>
  <c r="R58" i="101"/>
  <c r="H17" i="101"/>
  <c r="E75" i="101"/>
  <c r="L86" i="101"/>
  <c r="G92" i="154"/>
  <c r="E92" i="154" s="1"/>
  <c r="D65" i="101"/>
  <c r="F65" i="128" s="1"/>
  <c r="O40" i="101"/>
  <c r="H42" i="127" s="1"/>
  <c r="V72" i="101"/>
  <c r="C89" i="101"/>
  <c r="D91" i="127" s="1"/>
  <c r="C81" i="101"/>
  <c r="E81" i="128" s="1"/>
  <c r="W58" i="101"/>
  <c r="X61" i="101"/>
  <c r="W40" i="101"/>
  <c r="O65" i="101"/>
  <c r="H67" i="127" s="1"/>
  <c r="I73" i="101"/>
  <c r="V40" i="101"/>
  <c r="Q41" i="101"/>
  <c r="H40" i="101"/>
  <c r="H75" i="101"/>
  <c r="L79" i="101"/>
  <c r="U85" i="101"/>
  <c r="S78" i="101"/>
  <c r="H87" i="101"/>
  <c r="G59" i="101"/>
  <c r="M57" i="101"/>
  <c r="P55" i="101"/>
  <c r="T70" i="101"/>
  <c r="H70" i="101"/>
  <c r="G42" i="154"/>
  <c r="L42" i="154" s="1"/>
  <c r="U11" i="101"/>
  <c r="J87" i="101"/>
  <c r="W85" i="101"/>
  <c r="F27" i="101"/>
  <c r="R77" i="101"/>
  <c r="Q77" i="101"/>
  <c r="X36" i="101"/>
  <c r="D37" i="101"/>
  <c r="E39" i="127" s="1"/>
  <c r="R89" i="261"/>
  <c r="S89" i="261" s="1"/>
  <c r="W89" i="261" s="1"/>
  <c r="F89" i="268" s="1"/>
  <c r="R83" i="261"/>
  <c r="T83" i="261" s="1"/>
  <c r="X83" i="261" s="1"/>
  <c r="AA83" i="261" s="1"/>
  <c r="R41" i="261"/>
  <c r="T41" i="261" s="1"/>
  <c r="X41" i="261" s="1"/>
  <c r="AA41" i="261" s="1"/>
  <c r="AA9" i="261" s="1"/>
  <c r="Q10" i="261"/>
  <c r="S64" i="261"/>
  <c r="W64" i="261" s="1"/>
  <c r="Z64" i="261" s="1"/>
  <c r="S57" i="261"/>
  <c r="W57" i="261" s="1"/>
  <c r="Z57" i="261" s="1"/>
  <c r="U75" i="261"/>
  <c r="Y75" i="261" s="1"/>
  <c r="AB75" i="261" s="1"/>
  <c r="S56" i="261"/>
  <c r="W56" i="261" s="1"/>
  <c r="Z56" i="261" s="1"/>
  <c r="U52" i="261"/>
  <c r="Y52" i="261" s="1"/>
  <c r="AB52" i="261" s="1"/>
  <c r="T76" i="261"/>
  <c r="X76" i="261" s="1"/>
  <c r="AA76" i="261" s="1"/>
  <c r="U54" i="261"/>
  <c r="Y54" i="261" s="1"/>
  <c r="AB54" i="261" s="1"/>
  <c r="S80" i="261"/>
  <c r="W80" i="261" s="1"/>
  <c r="Z80" i="261" s="1"/>
  <c r="U13" i="261"/>
  <c r="Y13" i="261" s="1"/>
  <c r="AB13" i="261" s="1"/>
  <c r="S82" i="261"/>
  <c r="W82" i="261" s="1"/>
  <c r="Z82" i="261" s="1"/>
  <c r="U31" i="261"/>
  <c r="Y31" i="261" s="1"/>
  <c r="AB31" i="261" s="1"/>
  <c r="T79" i="261"/>
  <c r="X79" i="261" s="1"/>
  <c r="AA79" i="261" s="1"/>
  <c r="T73" i="261"/>
  <c r="X73" i="261" s="1"/>
  <c r="AA73" i="261" s="1"/>
  <c r="U50" i="261"/>
  <c r="Y50" i="261" s="1"/>
  <c r="AB50" i="261" s="1"/>
  <c r="U65" i="261"/>
  <c r="Y65" i="261" s="1"/>
  <c r="AB65" i="261" s="1"/>
  <c r="S69" i="261"/>
  <c r="W69" i="261" s="1"/>
  <c r="Z69" i="261" s="1"/>
  <c r="U84" i="261"/>
  <c r="Y84" i="261" s="1"/>
  <c r="AB84" i="261" s="1"/>
  <c r="J57" i="116"/>
  <c r="V23" i="101"/>
  <c r="E61" i="101"/>
  <c r="J15" i="101"/>
  <c r="J11" i="101"/>
  <c r="F15" i="101"/>
  <c r="W90" i="101"/>
  <c r="S48" i="101"/>
  <c r="D85" i="101"/>
  <c r="E87" i="127" s="1"/>
  <c r="P44" i="101"/>
  <c r="V30" i="101"/>
  <c r="Q50" i="101"/>
  <c r="J52" i="101"/>
  <c r="O45" i="101"/>
  <c r="I45" i="128" s="1"/>
  <c r="S13" i="261"/>
  <c r="W13" i="261" s="1"/>
  <c r="Z13" i="261" s="1"/>
  <c r="S50" i="261"/>
  <c r="W50" i="261" s="1"/>
  <c r="Z50" i="261" s="1"/>
  <c r="U63" i="261"/>
  <c r="Y63" i="261" s="1"/>
  <c r="AB63" i="261" s="1"/>
  <c r="T64" i="261"/>
  <c r="X64" i="261" s="1"/>
  <c r="AA64" i="261" s="1"/>
  <c r="T80" i="261"/>
  <c r="X80" i="261" s="1"/>
  <c r="AA80" i="261" s="1"/>
  <c r="S70" i="261"/>
  <c r="W70" i="261" s="1"/>
  <c r="Z70" i="261" s="1"/>
  <c r="S14" i="261"/>
  <c r="W14" i="261" s="1"/>
  <c r="Z14" i="261" s="1"/>
  <c r="T51" i="261"/>
  <c r="X51" i="261" s="1"/>
  <c r="AA51" i="261" s="1"/>
  <c r="U57" i="261"/>
  <c r="Y57" i="261" s="1"/>
  <c r="AB57" i="261" s="1"/>
  <c r="S75" i="261"/>
  <c r="W75" i="261" s="1"/>
  <c r="Z75" i="261" s="1"/>
  <c r="T55" i="261"/>
  <c r="X55" i="261" s="1"/>
  <c r="AA55" i="261" s="1"/>
  <c r="S65" i="261"/>
  <c r="W65" i="261" s="1"/>
  <c r="Z65" i="261" s="1"/>
  <c r="S76" i="261"/>
  <c r="W76" i="261" s="1"/>
  <c r="Z76" i="261" s="1"/>
  <c r="U66" i="261"/>
  <c r="Y66" i="261" s="1"/>
  <c r="AB66" i="261" s="1"/>
  <c r="S74" i="261"/>
  <c r="W74" i="261" s="1"/>
  <c r="Z74" i="261" s="1"/>
  <c r="U56" i="261"/>
  <c r="Y56" i="261" s="1"/>
  <c r="AB56" i="261" s="1"/>
  <c r="T52" i="261"/>
  <c r="X52" i="261" s="1"/>
  <c r="AA52" i="261" s="1"/>
  <c r="S68" i="261"/>
  <c r="W68" i="261" s="1"/>
  <c r="Z68" i="261" s="1"/>
  <c r="T69" i="261"/>
  <c r="X69" i="261" s="1"/>
  <c r="AA69" i="261" s="1"/>
  <c r="S78" i="261"/>
  <c r="W78" i="261" s="1"/>
  <c r="Z78" i="261" s="1"/>
  <c r="U88" i="261"/>
  <c r="Y88" i="261" s="1"/>
  <c r="G88" i="268" s="1"/>
  <c r="U73" i="261"/>
  <c r="Y73" i="261" s="1"/>
  <c r="AB73" i="261" s="1"/>
  <c r="T86" i="261"/>
  <c r="X86" i="261" s="1"/>
  <c r="AA86" i="261" s="1"/>
  <c r="J66" i="257"/>
  <c r="K66" i="257" s="1"/>
  <c r="T63" i="261"/>
  <c r="X63" i="261" s="1"/>
  <c r="AA63" i="261" s="1"/>
  <c r="T71" i="261"/>
  <c r="X71" i="261" s="1"/>
  <c r="AA71" i="261" s="1"/>
  <c r="U70" i="261"/>
  <c r="Y70" i="261" s="1"/>
  <c r="AB70" i="261" s="1"/>
  <c r="T82" i="261"/>
  <c r="X82" i="261" s="1"/>
  <c r="AA82" i="261" s="1"/>
  <c r="S51" i="261"/>
  <c r="W51" i="261" s="1"/>
  <c r="Z51" i="261" s="1"/>
  <c r="S25" i="261"/>
  <c r="W25" i="261" s="1"/>
  <c r="Z25" i="261" s="1"/>
  <c r="T87" i="261"/>
  <c r="X87" i="261" s="1"/>
  <c r="AA87" i="261" s="1"/>
  <c r="T33" i="261"/>
  <c r="X33" i="261" s="1"/>
  <c r="AA33" i="261" s="1"/>
  <c r="T31" i="261"/>
  <c r="X31" i="261" s="1"/>
  <c r="AA31" i="261" s="1"/>
  <c r="S66" i="261"/>
  <c r="W66" i="261" s="1"/>
  <c r="Z66" i="261" s="1"/>
  <c r="T85" i="261"/>
  <c r="X85" i="261" s="1"/>
  <c r="AA85" i="261" s="1"/>
  <c r="U74" i="261"/>
  <c r="Y74" i="261" s="1"/>
  <c r="AB74" i="261" s="1"/>
  <c r="S48" i="261"/>
  <c r="W48" i="261" s="1"/>
  <c r="Z48" i="261" s="1"/>
  <c r="U68" i="261"/>
  <c r="Y68" i="261" s="1"/>
  <c r="AB68" i="261" s="1"/>
  <c r="U79" i="261"/>
  <c r="Y79" i="261" s="1"/>
  <c r="AB79" i="261" s="1"/>
  <c r="T88" i="261"/>
  <c r="X88" i="261" s="1"/>
  <c r="AA88" i="261" s="1"/>
  <c r="S54" i="261"/>
  <c r="W54" i="261" s="1"/>
  <c r="Z54" i="261" s="1"/>
  <c r="U86" i="261"/>
  <c r="Y86" i="261" s="1"/>
  <c r="AB86" i="261" s="1"/>
  <c r="S84" i="261"/>
  <c r="W84" i="261" s="1"/>
  <c r="Z84" i="261" s="1"/>
  <c r="U71" i="261"/>
  <c r="Y71" i="261" s="1"/>
  <c r="AB71" i="261" s="1"/>
  <c r="T14" i="261"/>
  <c r="X14" i="261" s="1"/>
  <c r="AA14" i="261" s="1"/>
  <c r="U25" i="261"/>
  <c r="Y25" i="261" s="1"/>
  <c r="AB25" i="261" s="1"/>
  <c r="U87" i="261"/>
  <c r="Y87" i="261" s="1"/>
  <c r="AB87" i="261" s="1"/>
  <c r="S55" i="261"/>
  <c r="W55" i="261" s="1"/>
  <c r="Z55" i="261" s="1"/>
  <c r="U85" i="261"/>
  <c r="Y85" i="261" s="1"/>
  <c r="AB85" i="261" s="1"/>
  <c r="U48" i="261"/>
  <c r="Y48" i="261" s="1"/>
  <c r="AB48" i="261" s="1"/>
  <c r="T78" i="261"/>
  <c r="X78" i="261" s="1"/>
  <c r="AA78" i="261" s="1"/>
  <c r="B66" i="257"/>
  <c r="B78" i="257"/>
  <c r="K80" i="116"/>
  <c r="M80" i="116" s="1"/>
  <c r="K57" i="116"/>
  <c r="L57" i="116" s="1"/>
  <c r="J80" i="257"/>
  <c r="K80" i="257" s="1"/>
  <c r="B84" i="257"/>
  <c r="B65" i="257"/>
  <c r="H64" i="101"/>
  <c r="T79" i="101"/>
  <c r="W18" i="101"/>
  <c r="I83" i="101"/>
  <c r="Q81" i="101"/>
  <c r="F63" i="101"/>
  <c r="P52" i="101"/>
  <c r="Q74" i="101"/>
  <c r="F56" i="101"/>
  <c r="Q64" i="101"/>
  <c r="W52" i="101"/>
  <c r="X80" i="101"/>
  <c r="R19" i="101"/>
  <c r="J68" i="257"/>
  <c r="K68" i="257" s="1"/>
  <c r="I91" i="19"/>
  <c r="K72" i="17"/>
  <c r="K72" i="261"/>
  <c r="J68" i="116"/>
  <c r="K65" i="116"/>
  <c r="M65" i="116" s="1"/>
  <c r="D38" i="101"/>
  <c r="F38" i="128" s="1"/>
  <c r="C43" i="101"/>
  <c r="H44" i="154" s="1"/>
  <c r="M44" i="154" s="1"/>
  <c r="N48" i="101"/>
  <c r="I49" i="154" s="1"/>
  <c r="N49" i="154" s="1"/>
  <c r="C57" i="101"/>
  <c r="E57" i="128" s="1"/>
  <c r="G41" i="101"/>
  <c r="U62" i="101"/>
  <c r="U20" i="101"/>
  <c r="V27" i="101"/>
  <c r="T45" i="101"/>
  <c r="T43" i="101"/>
  <c r="W64" i="101"/>
  <c r="Q75" i="101"/>
  <c r="M69" i="101"/>
  <c r="R54" i="101"/>
  <c r="X88" i="101"/>
  <c r="J86" i="101"/>
  <c r="G17" i="101"/>
  <c r="V70" i="101"/>
  <c r="N77" i="101"/>
  <c r="H77" i="128" s="1"/>
  <c r="R93" i="101"/>
  <c r="F70" i="101"/>
  <c r="R21" i="101"/>
  <c r="I21" i="101"/>
  <c r="R71" i="101"/>
  <c r="W92" i="101"/>
  <c r="V19" i="101"/>
  <c r="I30" i="101"/>
  <c r="F72" i="101"/>
  <c r="R45" i="101"/>
  <c r="H68" i="101"/>
  <c r="U81" i="101"/>
  <c r="W37" i="101"/>
  <c r="S56" i="101"/>
  <c r="L18" i="101"/>
  <c r="C82" i="101"/>
  <c r="D84" i="127" s="1"/>
  <c r="U32" i="101"/>
  <c r="R56" i="101"/>
  <c r="F84" i="101"/>
  <c r="V73" i="101"/>
  <c r="M86" i="101"/>
  <c r="T52" i="101"/>
  <c r="L59" i="101"/>
  <c r="U46" i="101"/>
  <c r="S93" i="101"/>
  <c r="X81" i="101"/>
  <c r="X72" i="101"/>
  <c r="H30" i="101"/>
  <c r="O74" i="101"/>
  <c r="H76" i="127" s="1"/>
  <c r="G16" i="101"/>
  <c r="P36" i="101"/>
  <c r="W48" i="101"/>
  <c r="K81" i="101"/>
  <c r="O84" i="101"/>
  <c r="I84" i="128" s="1"/>
  <c r="M54" i="101"/>
  <c r="I36" i="101"/>
  <c r="J28" i="101"/>
  <c r="C48" i="101"/>
  <c r="D49" i="101"/>
  <c r="F49" i="128" s="1"/>
  <c r="L49" i="128" s="1"/>
  <c r="D48" i="101"/>
  <c r="E50" i="127" s="1"/>
  <c r="C34" i="101"/>
  <c r="E34" i="128" s="1"/>
  <c r="D22" i="101"/>
  <c r="E24" i="127" s="1"/>
  <c r="N22" i="101"/>
  <c r="H22" i="128" s="1"/>
  <c r="N28" i="101"/>
  <c r="I29" i="154" s="1"/>
  <c r="N29" i="154" s="1"/>
  <c r="O49" i="101"/>
  <c r="I49" i="128" s="1"/>
  <c r="O49" i="128" s="1"/>
  <c r="N21" i="101"/>
  <c r="G23" i="127" s="1"/>
  <c r="O24" i="101"/>
  <c r="H26" i="127" s="1"/>
  <c r="R76" i="101"/>
  <c r="X12" i="101"/>
  <c r="X71" i="101"/>
  <c r="S89" i="101"/>
  <c r="K87" i="101"/>
  <c r="T78" i="101"/>
  <c r="Q73" i="101"/>
  <c r="O90" i="101"/>
  <c r="I90" i="128" s="1"/>
  <c r="S90" i="101"/>
  <c r="F32" i="101"/>
  <c r="I14" i="101"/>
  <c r="N56" i="101"/>
  <c r="G58" i="127" s="1"/>
  <c r="T32" i="101"/>
  <c r="O69" i="101"/>
  <c r="I69" i="128" s="1"/>
  <c r="N85" i="101"/>
  <c r="H85" i="128" s="1"/>
  <c r="R26" i="101"/>
  <c r="R75" i="101"/>
  <c r="E88" i="101"/>
  <c r="T60" i="101"/>
  <c r="S45" i="101"/>
  <c r="F20" i="101"/>
  <c r="P53" i="101"/>
  <c r="E11" i="101"/>
  <c r="K88" i="101"/>
  <c r="G45" i="154"/>
  <c r="L45" i="154" s="1"/>
  <c r="V11" i="101"/>
  <c r="V34" i="101"/>
  <c r="K16" i="101"/>
  <c r="E28" i="101"/>
  <c r="C79" i="101"/>
  <c r="D81" i="127" s="1"/>
  <c r="E16" i="101"/>
  <c r="G72" i="101"/>
  <c r="U12" i="101"/>
  <c r="Q76" i="101"/>
  <c r="X92" i="101"/>
  <c r="H36" i="101"/>
  <c r="Q19" i="101"/>
  <c r="T58" i="101"/>
  <c r="R43" i="101"/>
  <c r="S52" i="101"/>
  <c r="T69" i="101"/>
  <c r="F68" i="101"/>
  <c r="E41" i="101"/>
  <c r="U21" i="101"/>
  <c r="J21" i="101"/>
  <c r="I81" i="101"/>
  <c r="X63" i="101"/>
  <c r="K12" i="101"/>
  <c r="V90" i="101"/>
  <c r="G12" i="154"/>
  <c r="E12" i="154" s="1"/>
  <c r="J12" i="154" s="1"/>
  <c r="U73" i="101"/>
  <c r="D61" i="101"/>
  <c r="F61" i="128" s="1"/>
  <c r="T83" i="101"/>
  <c r="S87" i="101"/>
  <c r="G12" i="101"/>
  <c r="Q61" i="101"/>
  <c r="T61" i="101"/>
  <c r="F23" i="101"/>
  <c r="L88" i="101"/>
  <c r="R74" i="101"/>
  <c r="V56" i="101"/>
  <c r="I43" i="101"/>
  <c r="O54" i="101"/>
  <c r="I54" i="128" s="1"/>
  <c r="Q69" i="101"/>
  <c r="P38" i="101"/>
  <c r="S30" i="101"/>
  <c r="H19" i="101"/>
  <c r="V55" i="101"/>
  <c r="C11" i="101"/>
  <c r="N10" i="116" s="1"/>
  <c r="D40" i="101"/>
  <c r="E42" i="127" s="1"/>
  <c r="D35" i="101"/>
  <c r="F35" i="128" s="1"/>
  <c r="L35" i="128" s="1"/>
  <c r="C30" i="101"/>
  <c r="E30" i="128" s="1"/>
  <c r="O12" i="101"/>
  <c r="I12" i="128" s="1"/>
  <c r="O44" i="101"/>
  <c r="H46" i="127" s="1"/>
  <c r="O22" i="101"/>
  <c r="H24" i="127" s="1"/>
  <c r="O30" i="101"/>
  <c r="H32" i="127" s="1"/>
  <c r="O53" i="101"/>
  <c r="H55" i="127" s="1"/>
  <c r="R79" i="101"/>
  <c r="E20" i="101"/>
  <c r="D70" i="101"/>
  <c r="E72" i="127" s="1"/>
  <c r="R29" i="101"/>
  <c r="K52" i="101"/>
  <c r="J32" i="101"/>
  <c r="M45" i="101"/>
  <c r="W14" i="101"/>
  <c r="M34" i="101"/>
  <c r="I82" i="101"/>
  <c r="R91" i="101"/>
  <c r="J49" i="101"/>
  <c r="J18" i="101"/>
  <c r="Q17" i="101"/>
  <c r="J12" i="101"/>
  <c r="J92" i="101"/>
  <c r="J61" i="101"/>
  <c r="I38" i="101"/>
  <c r="R37" i="101"/>
  <c r="I45" i="101"/>
  <c r="R66" i="101"/>
  <c r="P16" i="101"/>
  <c r="M83" i="101"/>
  <c r="V45" i="101"/>
  <c r="J60" i="101"/>
  <c r="P93" i="101"/>
  <c r="E43" i="101"/>
  <c r="U37" i="101"/>
  <c r="X46" i="101"/>
  <c r="J71" i="101"/>
  <c r="J53" i="101"/>
  <c r="I32" i="101"/>
  <c r="I53" i="101"/>
  <c r="W87" i="101"/>
  <c r="I63" i="101"/>
  <c r="L22" i="101"/>
  <c r="I68" i="101"/>
  <c r="O83" i="101"/>
  <c r="I83" i="128" s="1"/>
  <c r="N73" i="101"/>
  <c r="G75" i="127" s="1"/>
  <c r="I55" i="101"/>
  <c r="W79" i="101"/>
  <c r="Q60" i="101"/>
  <c r="M20" i="101"/>
  <c r="L38" i="101"/>
  <c r="W15" i="101"/>
  <c r="X58" i="101"/>
  <c r="G24" i="101"/>
  <c r="P86" i="101"/>
  <c r="M27" i="101"/>
  <c r="L46" i="101"/>
  <c r="F35" i="101"/>
  <c r="V81" i="101"/>
  <c r="N83" i="101"/>
  <c r="G85" i="127" s="1"/>
  <c r="C65" i="101"/>
  <c r="D67" i="127" s="1"/>
  <c r="L47" i="101"/>
  <c r="K15" i="101"/>
  <c r="H59" i="101"/>
  <c r="I35" i="101"/>
  <c r="U29" i="101"/>
  <c r="S80" i="101"/>
  <c r="W55" i="101"/>
  <c r="T46" i="101"/>
  <c r="G48" i="101"/>
  <c r="R92" i="101"/>
  <c r="Q21" i="101"/>
  <c r="F21" i="101"/>
  <c r="I86" i="101"/>
  <c r="D92" i="101"/>
  <c r="F92" i="128" s="1"/>
  <c r="G92" i="128" s="1"/>
  <c r="D47" i="101"/>
  <c r="E49" i="127" s="1"/>
  <c r="C91" i="101"/>
  <c r="E91" i="128" s="1"/>
  <c r="O91" i="101"/>
  <c r="H93" i="127" s="1"/>
  <c r="K39" i="101"/>
  <c r="P71" i="101"/>
  <c r="N69" i="101"/>
  <c r="G71" i="127" s="1"/>
  <c r="K34" i="101"/>
  <c r="G26" i="101"/>
  <c r="F89" i="101"/>
  <c r="G85" i="101"/>
  <c r="E92" i="101"/>
  <c r="F93" i="101"/>
  <c r="S55" i="101"/>
  <c r="C80" i="101"/>
  <c r="E80" i="128" s="1"/>
  <c r="K28" i="101"/>
  <c r="U74" i="101"/>
  <c r="O73" i="101"/>
  <c r="I73" i="128" s="1"/>
  <c r="S73" i="101"/>
  <c r="U38" i="101"/>
  <c r="L29" i="101"/>
  <c r="E58" i="101"/>
  <c r="G49" i="101"/>
  <c r="T49" i="101"/>
  <c r="E78" i="101"/>
  <c r="U34" i="101"/>
  <c r="M75" i="101"/>
  <c r="F12" i="101"/>
  <c r="V48" i="101"/>
  <c r="U87" i="101"/>
  <c r="E19" i="101"/>
  <c r="T22" i="101"/>
  <c r="V80" i="101"/>
  <c r="V87" i="101"/>
  <c r="J40" i="101"/>
  <c r="E52" i="101"/>
  <c r="C71" i="101"/>
  <c r="D73" i="127" s="1"/>
  <c r="G53" i="101"/>
  <c r="N55" i="101"/>
  <c r="G57" i="127" s="1"/>
  <c r="T38" i="101"/>
  <c r="Q27" i="101"/>
  <c r="E15" i="101"/>
  <c r="L41" i="101"/>
  <c r="D87" i="101"/>
  <c r="F87" i="128" s="1"/>
  <c r="I52" i="101"/>
  <c r="D83" i="101"/>
  <c r="E85" i="127" s="1"/>
  <c r="E63" i="101"/>
  <c r="C62" i="101"/>
  <c r="D64" i="127" s="1"/>
  <c r="V65" i="101"/>
  <c r="W39" i="101"/>
  <c r="I60" i="101"/>
  <c r="J65" i="101"/>
  <c r="M22" i="101"/>
  <c r="E80" i="101"/>
  <c r="I70" i="101"/>
  <c r="W45" i="101"/>
  <c r="Q54" i="101"/>
  <c r="G79" i="101"/>
  <c r="X78" i="101"/>
  <c r="K83" i="101"/>
  <c r="T18" i="101"/>
  <c r="V88" i="101"/>
  <c r="T51" i="101"/>
  <c r="S20" i="101"/>
  <c r="G28" i="101"/>
  <c r="F54" i="101"/>
  <c r="G19" i="101"/>
  <c r="Q24" i="101"/>
  <c r="I16" i="101"/>
  <c r="C59" i="101"/>
  <c r="D61" i="127" s="1"/>
  <c r="C14" i="101"/>
  <c r="N13" i="116" s="1"/>
  <c r="W93" i="101"/>
  <c r="T19" i="101"/>
  <c r="N67" i="101"/>
  <c r="G69" i="127" s="1"/>
  <c r="E37" i="101"/>
  <c r="K70" i="101"/>
  <c r="R12" i="101"/>
  <c r="L50" i="101"/>
  <c r="M65" i="101"/>
  <c r="U61" i="101"/>
  <c r="I79" i="101"/>
  <c r="P45" i="101"/>
  <c r="C73" i="101"/>
  <c r="E73" i="128" s="1"/>
  <c r="K63" i="101"/>
  <c r="D15" i="101"/>
  <c r="F15" i="128" s="1"/>
  <c r="L15" i="128" s="1"/>
  <c r="D41" i="101"/>
  <c r="F41" i="128" s="1"/>
  <c r="N40" i="101"/>
  <c r="H40" i="128" s="1"/>
  <c r="O85" i="101"/>
  <c r="H87" i="127" s="1"/>
  <c r="P66" i="101"/>
  <c r="J93" i="101"/>
  <c r="E86" i="101"/>
  <c r="W26" i="101"/>
  <c r="J20" i="101"/>
  <c r="J29" i="101"/>
  <c r="D72" i="101"/>
  <c r="E74" i="127" s="1"/>
  <c r="E91" i="101"/>
  <c r="M77" i="101"/>
  <c r="D67" i="101"/>
  <c r="F67" i="128" s="1"/>
  <c r="K74" i="101"/>
  <c r="V76" i="101"/>
  <c r="D69" i="101"/>
  <c r="F69" i="128" s="1"/>
  <c r="U14" i="101"/>
  <c r="I46" i="101"/>
  <c r="N70" i="101"/>
  <c r="H70" i="128" s="1"/>
  <c r="G41" i="154"/>
  <c r="L41" i="154" s="1"/>
  <c r="P35" i="101"/>
  <c r="P62" i="101"/>
  <c r="Q83" i="101"/>
  <c r="S79" i="101"/>
  <c r="E89" i="101"/>
  <c r="D71" i="101"/>
  <c r="E73" i="127" s="1"/>
  <c r="H71" i="101"/>
  <c r="W35" i="101"/>
  <c r="P32" i="101"/>
  <c r="P46" i="101"/>
  <c r="X19" i="101"/>
  <c r="H66" i="101"/>
  <c r="E27" i="101"/>
  <c r="T40" i="101"/>
  <c r="T16" i="101"/>
  <c r="D76" i="101"/>
  <c r="E78" i="127" s="1"/>
  <c r="H50" i="101"/>
  <c r="U41" i="101"/>
  <c r="J23" i="101"/>
  <c r="M53" i="101"/>
  <c r="H93" i="101"/>
  <c r="P91" i="101"/>
  <c r="F78" i="101"/>
  <c r="S12" i="101"/>
  <c r="K35" i="101"/>
  <c r="L64" i="101"/>
  <c r="J87" i="116"/>
  <c r="J80" i="116"/>
  <c r="K87" i="116"/>
  <c r="L87" i="116" s="1"/>
  <c r="J66" i="116"/>
  <c r="K83" i="17"/>
  <c r="K83" i="261"/>
  <c r="R35" i="101"/>
  <c r="T88" i="101"/>
  <c r="K17" i="101"/>
  <c r="U44" i="101"/>
  <c r="K50" i="101"/>
  <c r="F48" i="101"/>
  <c r="D46" i="101"/>
  <c r="E48" i="127" s="1"/>
  <c r="G23" i="154"/>
  <c r="L23" i="154" s="1"/>
  <c r="H65" i="101"/>
  <c r="T64" i="101"/>
  <c r="E12" i="101"/>
  <c r="M93" i="101"/>
  <c r="G56" i="101"/>
  <c r="X70" i="101"/>
  <c r="V21" i="101"/>
  <c r="N63" i="101"/>
  <c r="G65" i="127" s="1"/>
  <c r="L71" i="101"/>
  <c r="K57" i="101"/>
  <c r="P73" i="101"/>
  <c r="G20" i="154"/>
  <c r="L20" i="154" s="1"/>
  <c r="P30" i="101"/>
  <c r="E76" i="101"/>
  <c r="S91" i="101"/>
  <c r="N72" i="101"/>
  <c r="G74" i="127" s="1"/>
  <c r="M48" i="101"/>
  <c r="Q89" i="101"/>
  <c r="U22" i="101"/>
  <c r="G43" i="101"/>
  <c r="M92" i="101"/>
  <c r="N61" i="101"/>
  <c r="H61" i="128" s="1"/>
  <c r="C41" i="101"/>
  <c r="E41" i="128" s="1"/>
  <c r="H81" i="101"/>
  <c r="K41" i="101"/>
  <c r="X48" i="101"/>
  <c r="H69" i="101"/>
  <c r="V39" i="101"/>
  <c r="Q57" i="101"/>
  <c r="E53" i="101"/>
  <c r="U63" i="101"/>
  <c r="G38" i="101"/>
  <c r="P20" i="101"/>
  <c r="N65" i="101"/>
  <c r="H65" i="128" s="1"/>
  <c r="M23" i="101"/>
  <c r="L14" i="101"/>
  <c r="C56" i="101"/>
  <c r="E56" i="128" s="1"/>
  <c r="P22" i="101"/>
  <c r="F59" i="101"/>
  <c r="F45" i="101"/>
  <c r="H52" i="101"/>
  <c r="O46" i="101"/>
  <c r="H48" i="127" s="1"/>
  <c r="E74" i="101"/>
  <c r="X52" i="101"/>
  <c r="E29" i="101"/>
  <c r="F50" i="101"/>
  <c r="G82" i="101"/>
  <c r="G84" i="101"/>
  <c r="M37" i="101"/>
  <c r="G21" i="154"/>
  <c r="E21" i="154" s="1"/>
  <c r="J21" i="154" s="1"/>
  <c r="R15" i="101"/>
  <c r="I51" i="101"/>
  <c r="F71" i="101"/>
  <c r="O72" i="101"/>
  <c r="I72" i="128" s="1"/>
  <c r="O82" i="101"/>
  <c r="H84" i="127" s="1"/>
  <c r="D81" i="101"/>
  <c r="F81" i="128" s="1"/>
  <c r="G69" i="101"/>
  <c r="U58" i="101"/>
  <c r="P17" i="101"/>
  <c r="K76" i="101"/>
  <c r="X54" i="101"/>
  <c r="L37" i="101"/>
  <c r="E47" i="101"/>
  <c r="H80" i="101"/>
  <c r="K86" i="101"/>
  <c r="W56" i="101"/>
  <c r="K43" i="101"/>
  <c r="N47" i="101"/>
  <c r="G49" i="127" s="1"/>
  <c r="C12" i="101"/>
  <c r="E12" i="128" s="1"/>
  <c r="D34" i="101"/>
  <c r="F34" i="128" s="1"/>
  <c r="L34" i="128" s="1"/>
  <c r="C77" i="101"/>
  <c r="D79" i="127" s="1"/>
  <c r="P72" i="101"/>
  <c r="U49" i="101"/>
  <c r="F16" i="101"/>
  <c r="I90" i="101"/>
  <c r="R64" i="101"/>
  <c r="U67" i="101"/>
  <c r="E79" i="101"/>
  <c r="W24" i="101"/>
  <c r="N45" i="101"/>
  <c r="G52" i="154"/>
  <c r="L52" i="154" s="1"/>
  <c r="W36" i="101"/>
  <c r="G19" i="154"/>
  <c r="E19" i="154" s="1"/>
  <c r="J19" i="154" s="1"/>
  <c r="L27" i="101"/>
  <c r="L43" i="101"/>
  <c r="X45" i="101"/>
  <c r="L45" i="101"/>
  <c r="G87" i="101"/>
  <c r="O60" i="101"/>
  <c r="H62" i="127" s="1"/>
  <c r="S29" i="101"/>
  <c r="C46" i="101"/>
  <c r="D48" i="127" s="1"/>
  <c r="W57" i="101"/>
  <c r="F36" i="101"/>
  <c r="X60" i="101"/>
  <c r="P24" i="101"/>
  <c r="U40" i="101"/>
  <c r="S59" i="101"/>
  <c r="W46" i="101"/>
  <c r="K60" i="101"/>
  <c r="S53" i="101"/>
  <c r="M61" i="101"/>
  <c r="W27" i="101"/>
  <c r="N66" i="101"/>
  <c r="H66" i="128" s="1"/>
  <c r="H56" i="101"/>
  <c r="E56" i="101"/>
  <c r="W84" i="101"/>
  <c r="Q18" i="101"/>
  <c r="O55" i="101"/>
  <c r="H57" i="127" s="1"/>
  <c r="F11" i="101"/>
  <c r="U16" i="101"/>
  <c r="H91" i="101"/>
  <c r="J70" i="101"/>
  <c r="R85" i="101"/>
  <c r="X28" i="101"/>
  <c r="W47" i="101"/>
  <c r="O43" i="101"/>
  <c r="I43" i="128" s="1"/>
  <c r="O43" i="128" s="1"/>
  <c r="C45" i="101"/>
  <c r="H46" i="154" s="1"/>
  <c r="M46" i="154" s="1"/>
  <c r="G67" i="101"/>
  <c r="R46" i="101"/>
  <c r="I56" i="101"/>
  <c r="L30" i="101"/>
  <c r="G38" i="154"/>
  <c r="E38" i="154" s="1"/>
  <c r="J38" i="154" s="1"/>
  <c r="F69" i="101"/>
  <c r="P79" i="101"/>
  <c r="D89" i="101"/>
  <c r="F89" i="128" s="1"/>
  <c r="M80" i="101"/>
  <c r="P90" i="101"/>
  <c r="N37" i="101"/>
  <c r="I38" i="154" s="1"/>
  <c r="N38" i="154" s="1"/>
  <c r="F29" i="101"/>
  <c r="S62" i="101"/>
  <c r="R30" i="101"/>
  <c r="R53" i="101"/>
  <c r="K68" i="101"/>
  <c r="R14" i="101"/>
  <c r="M81" i="101"/>
  <c r="X41" i="101"/>
  <c r="R73" i="101"/>
  <c r="G50" i="154"/>
  <c r="E50" i="154" s="1"/>
  <c r="J50" i="154" s="1"/>
  <c r="L87" i="101"/>
  <c r="P34" i="101"/>
  <c r="U65" i="101"/>
  <c r="X22" i="101"/>
  <c r="F92" i="101"/>
  <c r="Q32" i="101"/>
  <c r="R52" i="101"/>
  <c r="E68" i="101"/>
  <c r="M82" i="101"/>
  <c r="M17" i="101"/>
  <c r="E60" i="101"/>
  <c r="W60" i="101"/>
  <c r="X30" i="101"/>
  <c r="N78" i="101"/>
  <c r="H78" i="128" s="1"/>
  <c r="H60" i="101"/>
  <c r="G45" i="101"/>
  <c r="J73" i="101"/>
  <c r="L57" i="101"/>
  <c r="G36" i="101"/>
  <c r="C75" i="101"/>
  <c r="E75" i="128" s="1"/>
  <c r="G18" i="101"/>
  <c r="I76" i="101"/>
  <c r="C72" i="101"/>
  <c r="D74" i="127" s="1"/>
  <c r="W75" i="101"/>
  <c r="N92" i="101"/>
  <c r="H92" i="128" s="1"/>
  <c r="T73" i="101"/>
  <c r="J88" i="101"/>
  <c r="T85" i="101"/>
  <c r="R78" i="101"/>
  <c r="Q49" i="101"/>
  <c r="H20" i="101"/>
  <c r="P75" i="101"/>
  <c r="W32" i="101"/>
  <c r="M36" i="101"/>
  <c r="K66" i="101"/>
  <c r="X35" i="101"/>
  <c r="F79" i="101"/>
  <c r="L91" i="101"/>
  <c r="G73" i="101"/>
  <c r="R48" i="101"/>
  <c r="N20" i="101"/>
  <c r="H20" i="128" s="1"/>
  <c r="J83" i="101"/>
  <c r="S49" i="101"/>
  <c r="J26" i="101"/>
  <c r="I29" i="101"/>
  <c r="Q72" i="101"/>
  <c r="T26" i="101"/>
  <c r="S76" i="101"/>
  <c r="F43" i="101"/>
  <c r="G27" i="101"/>
  <c r="I66" i="101"/>
  <c r="M91" i="101"/>
  <c r="E84" i="101"/>
  <c r="N86" i="101"/>
  <c r="G88" i="127" s="1"/>
  <c r="I71" i="101"/>
  <c r="K67" i="101"/>
  <c r="G15" i="101"/>
  <c r="E49" i="101"/>
  <c r="M84" i="101"/>
  <c r="C64" i="101"/>
  <c r="D66" i="127" s="1"/>
  <c r="X91" i="101"/>
  <c r="R81" i="101"/>
  <c r="I41" i="101"/>
  <c r="J16" i="101"/>
  <c r="T39" i="101"/>
  <c r="L67" i="101"/>
  <c r="F53" i="101"/>
  <c r="M63" i="101"/>
  <c r="D93" i="101"/>
  <c r="E95" i="127" s="1"/>
  <c r="J58" i="101"/>
  <c r="Q11" i="101"/>
  <c r="I26" i="101"/>
  <c r="X73" i="101"/>
  <c r="U30" i="101"/>
  <c r="M55" i="101"/>
  <c r="P15" i="101"/>
  <c r="Q20" i="101"/>
  <c r="U50" i="101"/>
  <c r="X40" i="101"/>
  <c r="J68" i="101"/>
  <c r="V47" i="101"/>
  <c r="W89" i="101"/>
  <c r="V52" i="101"/>
  <c r="L74" i="101"/>
  <c r="F55" i="101"/>
  <c r="K73" i="101"/>
  <c r="V62" i="101"/>
  <c r="T84" i="101"/>
  <c r="H34" i="101"/>
  <c r="H48" i="101"/>
  <c r="H44" i="101"/>
  <c r="L23" i="101"/>
  <c r="N50" i="101"/>
  <c r="H50" i="128" s="1"/>
  <c r="O36" i="101"/>
  <c r="H38" i="127" s="1"/>
  <c r="O28" i="101"/>
  <c r="H30" i="127" s="1"/>
  <c r="O38" i="101"/>
  <c r="H40" i="127" s="1"/>
  <c r="D32" i="101"/>
  <c r="E34" i="127" s="1"/>
  <c r="C19" i="101"/>
  <c r="D21" i="127" s="1"/>
  <c r="D21" i="101"/>
  <c r="F21" i="128" s="1"/>
  <c r="C52" i="101"/>
  <c r="R23" i="101"/>
  <c r="T15" i="101"/>
  <c r="I65" i="101"/>
  <c r="W12" i="101"/>
  <c r="T54" i="101"/>
  <c r="U82" i="101"/>
  <c r="K89" i="101"/>
  <c r="C67" i="101"/>
  <c r="D69" i="127" s="1"/>
  <c r="R87" i="101"/>
  <c r="U83" i="101"/>
  <c r="K30" i="101"/>
  <c r="J19" i="101"/>
  <c r="W22" i="101"/>
  <c r="E83" i="101"/>
  <c r="M73" i="101"/>
  <c r="X93" i="101"/>
  <c r="J67" i="101"/>
  <c r="R67" i="101"/>
  <c r="J66" i="101"/>
  <c r="R82" i="101"/>
  <c r="P57" i="101"/>
  <c r="V69" i="101"/>
  <c r="F91" i="101"/>
  <c r="J27" i="101"/>
  <c r="M14" i="101"/>
  <c r="X90" i="101"/>
  <c r="I48" i="101"/>
  <c r="N81" i="101"/>
  <c r="H81" i="128" s="1"/>
  <c r="S66" i="101"/>
  <c r="P14" i="101"/>
  <c r="O58" i="101"/>
  <c r="H60" i="127" s="1"/>
  <c r="O78" i="101"/>
  <c r="H80" i="127" s="1"/>
  <c r="M56" i="101"/>
  <c r="K80" i="101"/>
  <c r="U86" i="101"/>
  <c r="H51" i="101"/>
  <c r="H54" i="101"/>
  <c r="H29" i="101"/>
  <c r="S85" i="101"/>
  <c r="J79" i="101"/>
  <c r="E24" i="101"/>
  <c r="I11" i="101"/>
  <c r="R88" i="101"/>
  <c r="L34" i="101"/>
  <c r="V61" i="101"/>
  <c r="R16" i="101"/>
  <c r="S75" i="101"/>
  <c r="T91" i="101"/>
  <c r="T65" i="101"/>
  <c r="Q67" i="101"/>
  <c r="R51" i="101"/>
  <c r="N26" i="101"/>
  <c r="G28" i="127" s="1"/>
  <c r="N11" i="101"/>
  <c r="G13" i="127" s="1"/>
  <c r="N41" i="101"/>
  <c r="G43" i="127" s="1"/>
  <c r="C40" i="101"/>
  <c r="E40" i="128" s="1"/>
  <c r="C15" i="101"/>
  <c r="D17" i="127" s="1"/>
  <c r="D36" i="101"/>
  <c r="F36" i="128" s="1"/>
  <c r="D23" i="101"/>
  <c r="F23" i="128" s="1"/>
  <c r="K37" i="101"/>
  <c r="O63" i="101"/>
  <c r="H65" i="127" s="1"/>
  <c r="F73" i="101"/>
  <c r="W61" i="101"/>
  <c r="S37" i="101"/>
  <c r="P48" i="101"/>
  <c r="O93" i="101"/>
  <c r="H95" i="127" s="1"/>
  <c r="R38" i="101"/>
  <c r="T66" i="101"/>
  <c r="M58" i="101"/>
  <c r="K40" i="101"/>
  <c r="I80" i="101"/>
  <c r="E36" i="101"/>
  <c r="R69" i="101"/>
  <c r="Q55" i="101"/>
  <c r="G61" i="101"/>
  <c r="G55" i="101"/>
  <c r="T59" i="101"/>
  <c r="T72" i="101"/>
  <c r="V51" i="101"/>
  <c r="T21" i="101"/>
  <c r="T36" i="101"/>
  <c r="X32" i="101"/>
  <c r="L89" i="101"/>
  <c r="P41" i="101"/>
  <c r="R36" i="101"/>
  <c r="V93" i="101"/>
  <c r="I84" i="101"/>
  <c r="W77" i="101"/>
  <c r="E93" i="101"/>
  <c r="W41" i="101"/>
  <c r="F14" i="101"/>
  <c r="P59" i="101"/>
  <c r="R86" i="101"/>
  <c r="K46" i="101"/>
  <c r="P70" i="101"/>
  <c r="P23" i="101"/>
  <c r="R50" i="101"/>
  <c r="L92" i="101"/>
  <c r="N58" i="101"/>
  <c r="H58" i="128" s="1"/>
  <c r="D91" i="101"/>
  <c r="E93" i="127" s="1"/>
  <c r="D30" i="101"/>
  <c r="F30" i="128" s="1"/>
  <c r="N54" i="101"/>
  <c r="H54" i="128" s="1"/>
  <c r="O47" i="101"/>
  <c r="H49" i="127" s="1"/>
  <c r="O14" i="101"/>
  <c r="H16" i="127" s="1"/>
  <c r="O16" i="101"/>
  <c r="I16" i="128" s="1"/>
  <c r="O16" i="128" s="1"/>
  <c r="O32" i="101"/>
  <c r="H34" i="127" s="1"/>
  <c r="O37" i="101"/>
  <c r="I37" i="128" s="1"/>
  <c r="O37" i="128" s="1"/>
  <c r="C21" i="101"/>
  <c r="N20" i="116" s="1"/>
  <c r="D50" i="101"/>
  <c r="E52" i="127" s="1"/>
  <c r="C51" i="101"/>
  <c r="D12" i="101"/>
  <c r="E14" i="127" s="1"/>
  <c r="D19" i="101"/>
  <c r="F19" i="128" s="1"/>
  <c r="P29" i="101"/>
  <c r="N44" i="101"/>
  <c r="G46" i="127" s="1"/>
  <c r="O18" i="101"/>
  <c r="I18" i="128" s="1"/>
  <c r="O18" i="128" s="1"/>
  <c r="O48" i="101"/>
  <c r="I48" i="128" s="1"/>
  <c r="O48" i="128" s="1"/>
  <c r="O26" i="101"/>
  <c r="H28" i="127" s="1"/>
  <c r="O21" i="101"/>
  <c r="I21" i="128" s="1"/>
  <c r="O21" i="128" s="1"/>
  <c r="D14" i="101"/>
  <c r="E16" i="127" s="1"/>
  <c r="C28" i="101"/>
  <c r="N27" i="116" s="1"/>
  <c r="C37" i="101"/>
  <c r="N36" i="116" s="1"/>
  <c r="C39" i="101"/>
  <c r="N38" i="116" s="1"/>
  <c r="D51" i="101"/>
  <c r="F51" i="128" s="1"/>
  <c r="L51" i="128" s="1"/>
  <c r="N12" i="101"/>
  <c r="I13" i="154" s="1"/>
  <c r="N13" i="154" s="1"/>
  <c r="O50" i="101"/>
  <c r="I50" i="128" s="1"/>
  <c r="O50" i="128" s="1"/>
  <c r="O41" i="101"/>
  <c r="I41" i="128" s="1"/>
  <c r="O41" i="128" s="1"/>
  <c r="O11" i="101"/>
  <c r="I11" i="128" s="1"/>
  <c r="O17" i="101"/>
  <c r="H19" i="127" s="1"/>
  <c r="C53" i="101"/>
  <c r="D45" i="101"/>
  <c r="F45" i="128" s="1"/>
  <c r="C18" i="101"/>
  <c r="E18" i="128" s="1"/>
  <c r="C20" i="101"/>
  <c r="E20" i="128" s="1"/>
  <c r="C54" i="257"/>
  <c r="D64" i="116"/>
  <c r="J64" i="116" s="1"/>
  <c r="H23" i="162"/>
  <c r="V502" i="274" s="1"/>
  <c r="H20" i="162"/>
  <c r="V499" i="274" s="1"/>
  <c r="H47" i="162"/>
  <c r="V526" i="274" s="1"/>
  <c r="H15" i="162"/>
  <c r="H41" i="162"/>
  <c r="V520" i="274" s="1"/>
  <c r="H21" i="162"/>
  <c r="V500" i="274" s="1"/>
  <c r="H28" i="162"/>
  <c r="V507" i="274" s="1"/>
  <c r="H42" i="162"/>
  <c r="V521" i="274" s="1"/>
  <c r="H35" i="162"/>
  <c r="V514" i="274" s="1"/>
  <c r="H12" i="162"/>
  <c r="H26" i="162"/>
  <c r="V505" i="274" s="1"/>
  <c r="H36" i="162"/>
  <c r="V515" i="274" s="1"/>
  <c r="H27" i="162"/>
  <c r="V506" i="274" s="1"/>
  <c r="H19" i="162"/>
  <c r="V498" i="274" s="1"/>
  <c r="H44" i="162"/>
  <c r="V523" i="274" s="1"/>
  <c r="H22" i="162"/>
  <c r="V501" i="274" s="1"/>
  <c r="H32" i="162"/>
  <c r="V511" i="274" s="1"/>
  <c r="H45" i="162"/>
  <c r="V524" i="274" s="1"/>
  <c r="H39" i="162"/>
  <c r="V518" i="274" s="1"/>
  <c r="H9" i="162"/>
  <c r="H30" i="162"/>
  <c r="V509" i="274" s="1"/>
  <c r="H40" i="162"/>
  <c r="V519" i="274" s="1"/>
  <c r="H31" i="162"/>
  <c r="V510" i="274" s="1"/>
  <c r="H33" i="162"/>
  <c r="V512" i="274" s="1"/>
  <c r="H17" i="162"/>
  <c r="H46" i="162"/>
  <c r="V525" i="274" s="1"/>
  <c r="H34" i="162"/>
  <c r="V513" i="274" s="1"/>
  <c r="H25" i="162"/>
  <c r="V504" i="274" s="1"/>
  <c r="H13" i="162"/>
  <c r="H8" i="162"/>
  <c r="H16" i="162"/>
  <c r="H43" i="162"/>
  <c r="V522" i="274" s="1"/>
  <c r="H14" i="162"/>
  <c r="H37" i="162"/>
  <c r="V516" i="274" s="1"/>
  <c r="H18" i="162"/>
  <c r="V497" i="274" s="1"/>
  <c r="H24" i="162"/>
  <c r="V503" i="274" s="1"/>
  <c r="H38" i="162"/>
  <c r="V517" i="274" s="1"/>
  <c r="H29" i="162"/>
  <c r="V508" i="274" s="1"/>
  <c r="H10" i="162"/>
  <c r="H11" i="162"/>
  <c r="D73" i="116"/>
  <c r="K73" i="116" s="1"/>
  <c r="D75" i="116"/>
  <c r="J75" i="116" s="1"/>
  <c r="B87" i="257"/>
  <c r="O89" i="116"/>
  <c r="P89" i="116" s="1"/>
  <c r="C89" i="257" s="1"/>
  <c r="H89" i="116"/>
  <c r="F89" i="257"/>
  <c r="D71" i="116"/>
  <c r="B71" i="116" s="1"/>
  <c r="D88" i="116"/>
  <c r="B88" i="116" s="1"/>
  <c r="G55" i="116"/>
  <c r="F55" i="116" s="1"/>
  <c r="G55" i="257"/>
  <c r="E55" i="257" s="1"/>
  <c r="D55" i="257" s="1"/>
  <c r="D62" i="127"/>
  <c r="D63" i="116"/>
  <c r="H72" i="116"/>
  <c r="O72" i="116"/>
  <c r="P72" i="116" s="1"/>
  <c r="C72" i="257" s="1"/>
  <c r="F72" i="257"/>
  <c r="G58" i="257"/>
  <c r="E58" i="257" s="1"/>
  <c r="D58" i="257" s="1"/>
  <c r="G58" i="116"/>
  <c r="F58" i="116" s="1"/>
  <c r="D86" i="116"/>
  <c r="J53" i="19"/>
  <c r="P62" i="116"/>
  <c r="C62" i="257" s="1"/>
  <c r="G62" i="116"/>
  <c r="F62" i="116" s="1"/>
  <c r="G62" i="257"/>
  <c r="E62" i="257" s="1"/>
  <c r="D62" i="257" s="1"/>
  <c r="D70" i="116"/>
  <c r="B70" i="116" s="1"/>
  <c r="D69" i="116"/>
  <c r="D74" i="116"/>
  <c r="J74" i="116" s="1"/>
  <c r="P58" i="116"/>
  <c r="C58" i="257" s="1"/>
  <c r="D82" i="116"/>
  <c r="B82" i="116" s="1"/>
  <c r="D79" i="116"/>
  <c r="B79" i="116" s="1"/>
  <c r="C79" i="116" s="1"/>
  <c r="B79" i="257" s="1"/>
  <c r="D59" i="116"/>
  <c r="J59" i="116" s="1"/>
  <c r="D81" i="116"/>
  <c r="B81" i="116" s="1"/>
  <c r="P55" i="116"/>
  <c r="C55" i="257" s="1"/>
  <c r="D85" i="116"/>
  <c r="B85" i="116" s="1"/>
  <c r="D56" i="116"/>
  <c r="J56" i="116" s="1"/>
  <c r="N53" i="116"/>
  <c r="G54" i="257"/>
  <c r="G54" i="116"/>
  <c r="F83" i="257"/>
  <c r="H83" i="116"/>
  <c r="O83" i="116"/>
  <c r="P77" i="116"/>
  <c r="C77" i="257" s="1"/>
  <c r="G77" i="116"/>
  <c r="F77" i="116" s="1"/>
  <c r="G77" i="257"/>
  <c r="E77" i="257" s="1"/>
  <c r="D77" i="257" s="1"/>
  <c r="B68" i="257"/>
  <c r="G67" i="257"/>
  <c r="E67" i="257" s="1"/>
  <c r="D67" i="257" s="1"/>
  <c r="G67" i="116"/>
  <c r="F67" i="116" s="1"/>
  <c r="D60" i="116"/>
  <c r="K60" i="116" s="1"/>
  <c r="H88" i="127"/>
  <c r="E87" i="128"/>
  <c r="G20" i="127"/>
  <c r="N10" i="260"/>
  <c r="N46" i="260"/>
  <c r="R46" i="261" s="1"/>
  <c r="S46" i="261" s="1"/>
  <c r="W46" i="261" s="1"/>
  <c r="Z46" i="261" s="1"/>
  <c r="Z88" i="261" l="1"/>
  <c r="H74" i="128"/>
  <c r="I39" i="154"/>
  <c r="N39" i="154" s="1"/>
  <c r="I53" i="154"/>
  <c r="N53" i="154" s="1"/>
  <c r="H52" i="128"/>
  <c r="L31" i="154"/>
  <c r="I19" i="154"/>
  <c r="N19" i="154" s="1"/>
  <c r="R44" i="261"/>
  <c r="U44" i="261" s="1"/>
  <c r="Y44" i="261" s="1"/>
  <c r="AB44" i="261" s="1"/>
  <c r="R27" i="261"/>
  <c r="U27" i="261" s="1"/>
  <c r="Y27" i="261" s="1"/>
  <c r="AB27" i="261" s="1"/>
  <c r="H45" i="128"/>
  <c r="E5" i="277"/>
  <c r="E47" i="128"/>
  <c r="G95" i="127"/>
  <c r="I95" i="127" s="1"/>
  <c r="E7" i="277"/>
  <c r="H49" i="154"/>
  <c r="M49" i="154" s="1"/>
  <c r="V703" i="274"/>
  <c r="V267" i="274"/>
  <c r="V701" i="274"/>
  <c r="V265" i="274"/>
  <c r="V690" i="274"/>
  <c r="V254" i="274"/>
  <c r="V252" i="274"/>
  <c r="V688" i="274"/>
  <c r="V245" i="274"/>
  <c r="V681" i="274"/>
  <c r="V261" i="274"/>
  <c r="V697" i="274"/>
  <c r="V702" i="274"/>
  <c r="V266" i="274"/>
  <c r="V253" i="274"/>
  <c r="V689" i="274"/>
  <c r="V274" i="274"/>
  <c r="V710" i="274"/>
  <c r="V682" i="274"/>
  <c r="V246" i="274"/>
  <c r="V263" i="274"/>
  <c r="V699" i="274"/>
  <c r="V272" i="274"/>
  <c r="V708" i="274"/>
  <c r="V695" i="274"/>
  <c r="V259" i="274"/>
  <c r="V262" i="274"/>
  <c r="V698" i="274"/>
  <c r="V686" i="274"/>
  <c r="V250" i="274"/>
  <c r="W711" i="274"/>
  <c r="W275" i="274"/>
  <c r="V692" i="274"/>
  <c r="V256" i="274"/>
  <c r="V248" i="274"/>
  <c r="V684" i="274"/>
  <c r="V704" i="274"/>
  <c r="V268" i="274"/>
  <c r="V709" i="274"/>
  <c r="V273" i="274"/>
  <c r="V270" i="274"/>
  <c r="V706" i="274"/>
  <c r="V696" i="274"/>
  <c r="V260" i="274"/>
  <c r="V249" i="274"/>
  <c r="V685" i="274"/>
  <c r="V705" i="274"/>
  <c r="V269" i="274"/>
  <c r="V257" i="274"/>
  <c r="V693" i="274"/>
  <c r="V687" i="274"/>
  <c r="V251" i="274"/>
  <c r="V700" i="274"/>
  <c r="V264" i="274"/>
  <c r="V683" i="274"/>
  <c r="V247" i="274"/>
  <c r="V694" i="274"/>
  <c r="V258" i="274"/>
  <c r="V707" i="274"/>
  <c r="V271" i="274"/>
  <c r="V255" i="274"/>
  <c r="V691" i="274"/>
  <c r="D56" i="127"/>
  <c r="E41" i="127"/>
  <c r="H25" i="127"/>
  <c r="G79" i="127"/>
  <c r="I35" i="128"/>
  <c r="O35" i="128" s="1"/>
  <c r="D57" i="127"/>
  <c r="I91" i="128"/>
  <c r="L19" i="154"/>
  <c r="H31" i="127"/>
  <c r="I31" i="127" s="1"/>
  <c r="G73" i="127"/>
  <c r="E60" i="127"/>
  <c r="I23" i="154"/>
  <c r="N23" i="154" s="1"/>
  <c r="G36" i="127"/>
  <c r="G24" i="127"/>
  <c r="H19" i="128"/>
  <c r="H56" i="128"/>
  <c r="J56" i="128" s="1"/>
  <c r="I35" i="154"/>
  <c r="N35" i="154" s="1"/>
  <c r="E57" i="127"/>
  <c r="H84" i="128"/>
  <c r="J84" i="128" s="1"/>
  <c r="H38" i="128"/>
  <c r="N38" i="128" s="1"/>
  <c r="E55" i="127"/>
  <c r="E39" i="154"/>
  <c r="J39" i="154" s="1"/>
  <c r="G82" i="127"/>
  <c r="H91" i="127"/>
  <c r="U33" i="261"/>
  <c r="Y33" i="261" s="1"/>
  <c r="AB33" i="261" s="1"/>
  <c r="L29" i="154"/>
  <c r="F28" i="128"/>
  <c r="L28" i="128" s="1"/>
  <c r="I76" i="128"/>
  <c r="J76" i="128" s="1"/>
  <c r="H73" i="127"/>
  <c r="E37" i="271"/>
  <c r="F16" i="128"/>
  <c r="L16" i="128" s="1"/>
  <c r="H68" i="128"/>
  <c r="L28" i="154"/>
  <c r="L37" i="154"/>
  <c r="L18" i="154"/>
  <c r="H30" i="128"/>
  <c r="N30" i="128" s="1"/>
  <c r="E20" i="127"/>
  <c r="E40" i="154"/>
  <c r="J40" i="154" s="1"/>
  <c r="E29" i="127"/>
  <c r="G62" i="127"/>
  <c r="I62" i="127" s="1"/>
  <c r="H79" i="128"/>
  <c r="I33" i="154"/>
  <c r="N33" i="154" s="1"/>
  <c r="E36" i="154"/>
  <c r="J36" i="154" s="1"/>
  <c r="G34" i="127"/>
  <c r="I34" i="127" s="1"/>
  <c r="L80" i="116"/>
  <c r="E38" i="271"/>
  <c r="D49" i="127"/>
  <c r="F49" i="127" s="1"/>
  <c r="I40" i="128"/>
  <c r="O40" i="128" s="1"/>
  <c r="G37" i="127"/>
  <c r="I37" i="127" s="1"/>
  <c r="H82" i="127"/>
  <c r="H54" i="127"/>
  <c r="I54" i="127" s="1"/>
  <c r="F32" i="128"/>
  <c r="L32" i="128" s="1"/>
  <c r="H82" i="128"/>
  <c r="H35" i="128"/>
  <c r="E11" i="128"/>
  <c r="G78" i="127"/>
  <c r="I78" i="127" s="1"/>
  <c r="E24" i="128"/>
  <c r="K24" i="128" s="1"/>
  <c r="I30" i="128"/>
  <c r="O30" i="128" s="1"/>
  <c r="I65" i="128"/>
  <c r="J65" i="128" s="1"/>
  <c r="I70" i="128"/>
  <c r="J70" i="128" s="1"/>
  <c r="H36" i="154"/>
  <c r="M36" i="154" s="1"/>
  <c r="L48" i="154"/>
  <c r="L54" i="154"/>
  <c r="L53" i="154"/>
  <c r="D24" i="127"/>
  <c r="F24" i="127" s="1"/>
  <c r="I74" i="128"/>
  <c r="J74" i="128" s="1"/>
  <c r="I53" i="128"/>
  <c r="O53" i="128" s="1"/>
  <c r="E27" i="128"/>
  <c r="C25" i="155" s="1"/>
  <c r="G22" i="127"/>
  <c r="L35" i="154"/>
  <c r="D87" i="127"/>
  <c r="F87" i="127" s="1"/>
  <c r="D37" i="127"/>
  <c r="F43" i="128"/>
  <c r="L43" i="128" s="1"/>
  <c r="H73" i="128"/>
  <c r="J73" i="128" s="1"/>
  <c r="I15" i="128"/>
  <c r="O15" i="128" s="1"/>
  <c r="E64" i="127"/>
  <c r="E39" i="271"/>
  <c r="E45" i="271"/>
  <c r="E49" i="128"/>
  <c r="K49" i="128" s="1"/>
  <c r="I39" i="128"/>
  <c r="O39" i="128" s="1"/>
  <c r="I82" i="128"/>
  <c r="I67" i="128"/>
  <c r="I34" i="128"/>
  <c r="O34" i="128" s="1"/>
  <c r="E45" i="128"/>
  <c r="G45" i="127"/>
  <c r="H63" i="127"/>
  <c r="D52" i="127"/>
  <c r="F52" i="127" s="1"/>
  <c r="N46" i="116"/>
  <c r="H46" i="116" s="1"/>
  <c r="H51" i="127"/>
  <c r="E61" i="128"/>
  <c r="G61" i="128" s="1"/>
  <c r="E63" i="128"/>
  <c r="I24" i="128"/>
  <c r="O24" i="128" s="1"/>
  <c r="E29" i="128"/>
  <c r="K29" i="128" s="1"/>
  <c r="G92" i="127"/>
  <c r="I40" i="154"/>
  <c r="N40" i="154" s="1"/>
  <c r="M87" i="116"/>
  <c r="I85" i="128"/>
  <c r="J85" i="128" s="1"/>
  <c r="D42" i="127"/>
  <c r="F42" i="127" s="1"/>
  <c r="G18" i="127"/>
  <c r="E48" i="271"/>
  <c r="E43" i="128"/>
  <c r="K43" i="128" s="1"/>
  <c r="D80" i="127"/>
  <c r="F80" i="127" s="1"/>
  <c r="H37" i="154"/>
  <c r="M37" i="154" s="1"/>
  <c r="M57" i="116"/>
  <c r="E47" i="127"/>
  <c r="E68" i="128"/>
  <c r="G68" i="128" s="1"/>
  <c r="D30" i="127"/>
  <c r="F30" i="127" s="1"/>
  <c r="N39" i="116"/>
  <c r="E75" i="127"/>
  <c r="H90" i="127"/>
  <c r="E15" i="271"/>
  <c r="H92" i="127"/>
  <c r="F79" i="128"/>
  <c r="H66" i="127"/>
  <c r="I66" i="127" s="1"/>
  <c r="E50" i="271"/>
  <c r="E23" i="127"/>
  <c r="E23" i="128"/>
  <c r="L22" i="154"/>
  <c r="H75" i="127"/>
  <c r="I75" i="127" s="1"/>
  <c r="F17" i="128"/>
  <c r="L17" i="128" s="1"/>
  <c r="L16" i="154"/>
  <c r="E16" i="128"/>
  <c r="K16" i="128" s="1"/>
  <c r="F86" i="128"/>
  <c r="G86" i="128" s="1"/>
  <c r="I68" i="128"/>
  <c r="I30" i="154"/>
  <c r="N30" i="154" s="1"/>
  <c r="L24" i="154"/>
  <c r="H39" i="128"/>
  <c r="E79" i="128"/>
  <c r="F83" i="128"/>
  <c r="D18" i="127"/>
  <c r="F18" i="127" s="1"/>
  <c r="I58" i="128"/>
  <c r="J58" i="128" s="1"/>
  <c r="H23" i="128"/>
  <c r="E91" i="127"/>
  <c r="F91" i="127" s="1"/>
  <c r="H29" i="128"/>
  <c r="N29" i="128" s="1"/>
  <c r="E40" i="271"/>
  <c r="E36" i="271"/>
  <c r="H47" i="127"/>
  <c r="E59" i="128"/>
  <c r="G59" i="128" s="1"/>
  <c r="H17" i="154"/>
  <c r="M17" i="154" s="1"/>
  <c r="H41" i="154"/>
  <c r="M41" i="154" s="1"/>
  <c r="E68" i="127"/>
  <c r="F68" i="127" s="1"/>
  <c r="I17" i="154"/>
  <c r="N17" i="154" s="1"/>
  <c r="I20" i="154"/>
  <c r="N20" i="154" s="1"/>
  <c r="E76" i="128"/>
  <c r="I52" i="154"/>
  <c r="N52" i="154" s="1"/>
  <c r="I57" i="128"/>
  <c r="J57" i="128" s="1"/>
  <c r="E51" i="127"/>
  <c r="G72" i="127"/>
  <c r="I72" i="127" s="1"/>
  <c r="I22" i="128"/>
  <c r="O22" i="128" s="1"/>
  <c r="I28" i="128"/>
  <c r="O28" i="128" s="1"/>
  <c r="F29" i="128"/>
  <c r="L29" i="128" s="1"/>
  <c r="E90" i="128"/>
  <c r="L33" i="154"/>
  <c r="I98" i="19"/>
  <c r="L49" i="154"/>
  <c r="E62" i="127"/>
  <c r="F62" i="127" s="1"/>
  <c r="I66" i="128"/>
  <c r="J66" i="128" s="1"/>
  <c r="E89" i="128"/>
  <c r="G89" i="128" s="1"/>
  <c r="E17" i="154"/>
  <c r="J17" i="154" s="1"/>
  <c r="H49" i="128"/>
  <c r="N49" i="128" s="1"/>
  <c r="H83" i="127"/>
  <c r="E30" i="154"/>
  <c r="J30" i="154" s="1"/>
  <c r="N44" i="116"/>
  <c r="I37" i="154"/>
  <c r="N37" i="154" s="1"/>
  <c r="G51" i="127"/>
  <c r="L46" i="154"/>
  <c r="D14" i="127"/>
  <c r="F14" i="127" s="1"/>
  <c r="H39" i="154"/>
  <c r="M39" i="154" s="1"/>
  <c r="I79" i="128"/>
  <c r="J79" i="128" s="1"/>
  <c r="H17" i="128"/>
  <c r="N17" i="128" s="1"/>
  <c r="L76" i="116"/>
  <c r="G59" i="127"/>
  <c r="I59" i="127" s="1"/>
  <c r="E66" i="127"/>
  <c r="F66" i="127" s="1"/>
  <c r="I16" i="154"/>
  <c r="N16" i="154" s="1"/>
  <c r="G16" i="127"/>
  <c r="I16" i="127" s="1"/>
  <c r="F78" i="128"/>
  <c r="G78" i="128" s="1"/>
  <c r="L27" i="154"/>
  <c r="I75" i="128"/>
  <c r="J75" i="128" s="1"/>
  <c r="G53" i="127"/>
  <c r="H53" i="127"/>
  <c r="H45" i="154"/>
  <c r="M45" i="154" s="1"/>
  <c r="H71" i="127"/>
  <c r="I71" i="127" s="1"/>
  <c r="F88" i="128"/>
  <c r="G88" i="128" s="1"/>
  <c r="E40" i="127"/>
  <c r="E45" i="154"/>
  <c r="J45" i="154" s="1"/>
  <c r="D29" i="127"/>
  <c r="I48" i="154"/>
  <c r="N48" i="154" s="1"/>
  <c r="H61" i="127"/>
  <c r="M61" i="116"/>
  <c r="D22" i="127"/>
  <c r="F22" i="127" s="1"/>
  <c r="E51" i="154"/>
  <c r="J51" i="154" s="1"/>
  <c r="H53" i="128"/>
  <c r="D86" i="127"/>
  <c r="F86" i="127" s="1"/>
  <c r="E72" i="128"/>
  <c r="G29" i="127"/>
  <c r="N16" i="116"/>
  <c r="E32" i="128"/>
  <c r="F26" i="128"/>
  <c r="L26" i="128" s="1"/>
  <c r="H29" i="127"/>
  <c r="H85" i="127"/>
  <c r="I85" i="127" s="1"/>
  <c r="L78" i="116"/>
  <c r="L50" i="154"/>
  <c r="E69" i="127"/>
  <c r="F69" i="127" s="1"/>
  <c r="H27" i="154"/>
  <c r="M27" i="154" s="1"/>
  <c r="I25" i="154"/>
  <c r="N25" i="154" s="1"/>
  <c r="E56" i="127"/>
  <c r="F84" i="128"/>
  <c r="G84" i="128" s="1"/>
  <c r="F22" i="128"/>
  <c r="F91" i="128"/>
  <c r="L91" i="128" s="1"/>
  <c r="D90" i="127"/>
  <c r="F90" i="127" s="1"/>
  <c r="E15" i="154"/>
  <c r="J15" i="154" s="1"/>
  <c r="D93" i="127"/>
  <c r="F93" i="127" s="1"/>
  <c r="H27" i="128"/>
  <c r="J27" i="128" s="1"/>
  <c r="P27" i="128" s="1"/>
  <c r="L21" i="154"/>
  <c r="E42" i="154"/>
  <c r="J42" i="154" s="1"/>
  <c r="G89" i="127"/>
  <c r="L44" i="154"/>
  <c r="L92" i="154"/>
  <c r="H36" i="128"/>
  <c r="N36" i="128" s="1"/>
  <c r="G83" i="127"/>
  <c r="H21" i="127"/>
  <c r="I21" i="127" s="1"/>
  <c r="G19" i="127"/>
  <c r="I19" i="127" s="1"/>
  <c r="H79" i="127"/>
  <c r="G26" i="127"/>
  <c r="I26" i="127" s="1"/>
  <c r="G94" i="127"/>
  <c r="I94" i="127" s="1"/>
  <c r="I47" i="154"/>
  <c r="H14" i="128"/>
  <c r="F63" i="128"/>
  <c r="G32" i="127"/>
  <c r="I32" i="127" s="1"/>
  <c r="H11" i="128"/>
  <c r="J11" i="128" s="1"/>
  <c r="F82" i="128"/>
  <c r="H64" i="128"/>
  <c r="J64" i="128" s="1"/>
  <c r="I54" i="154"/>
  <c r="N54" i="154" s="1"/>
  <c r="N11" i="116"/>
  <c r="E17" i="128"/>
  <c r="G17" i="127"/>
  <c r="I17" i="127" s="1"/>
  <c r="C10" i="160"/>
  <c r="D19" i="127"/>
  <c r="F19" i="127" s="1"/>
  <c r="S83" i="261"/>
  <c r="W83" i="261" s="1"/>
  <c r="F83" i="268" s="1"/>
  <c r="E30" i="271"/>
  <c r="I27" i="154"/>
  <c r="N27" i="154" s="1"/>
  <c r="H51" i="154"/>
  <c r="M51" i="154" s="1"/>
  <c r="N48" i="116"/>
  <c r="O48" i="116" s="1"/>
  <c r="E16" i="271"/>
  <c r="N47" i="116"/>
  <c r="F47" i="257" s="1"/>
  <c r="F48" i="127"/>
  <c r="E32" i="127"/>
  <c r="H25" i="154"/>
  <c r="M25" i="154" s="1"/>
  <c r="N43" i="116"/>
  <c r="H58" i="127"/>
  <c r="I58" i="127" s="1"/>
  <c r="N90" i="116"/>
  <c r="H90" i="116" s="1"/>
  <c r="H55" i="128"/>
  <c r="G90" i="127"/>
  <c r="H89" i="127"/>
  <c r="N49" i="116"/>
  <c r="O49" i="116" s="1"/>
  <c r="P49" i="116" s="1"/>
  <c r="C49" i="257" s="1"/>
  <c r="D40" i="127"/>
  <c r="I92" i="154"/>
  <c r="N92" i="154" s="1"/>
  <c r="E34" i="271"/>
  <c r="F37" i="128"/>
  <c r="F20" i="128"/>
  <c r="G20" i="128" s="1"/>
  <c r="M20" i="128" s="1"/>
  <c r="F72" i="128"/>
  <c r="G77" i="127"/>
  <c r="I77" i="127" s="1"/>
  <c r="G25" i="127"/>
  <c r="H74" i="127"/>
  <c r="I74" i="127" s="1"/>
  <c r="G64" i="127"/>
  <c r="I64" i="127" s="1"/>
  <c r="E22" i="128"/>
  <c r="C20" i="155" s="1"/>
  <c r="H22" i="127"/>
  <c r="I22" i="127" s="1"/>
  <c r="E44" i="128"/>
  <c r="L25" i="154"/>
  <c r="G61" i="127"/>
  <c r="H86" i="127"/>
  <c r="I86" i="127" s="1"/>
  <c r="H56" i="127"/>
  <c r="D60" i="127"/>
  <c r="I62" i="128"/>
  <c r="J62" i="128" s="1"/>
  <c r="E50" i="128"/>
  <c r="C48" i="155" s="1"/>
  <c r="N37" i="116"/>
  <c r="H91" i="128"/>
  <c r="N91" i="128" s="1"/>
  <c r="H23" i="154"/>
  <c r="M23" i="154" s="1"/>
  <c r="G30" i="127"/>
  <c r="I30" i="127" s="1"/>
  <c r="E53" i="127"/>
  <c r="H69" i="128"/>
  <c r="J69" i="128" s="1"/>
  <c r="E36" i="127"/>
  <c r="D25" i="127"/>
  <c r="D75" i="127"/>
  <c r="G67" i="127"/>
  <c r="I67" i="127" s="1"/>
  <c r="I38" i="128"/>
  <c r="O38" i="128" s="1"/>
  <c r="E66" i="128"/>
  <c r="G66" i="128" s="1"/>
  <c r="H43" i="128"/>
  <c r="N43" i="128" s="1"/>
  <c r="H21" i="128"/>
  <c r="N21" i="128" s="1"/>
  <c r="E37" i="127"/>
  <c r="G91" i="127"/>
  <c r="E13" i="154"/>
  <c r="J13" i="154" s="1"/>
  <c r="I92" i="128"/>
  <c r="J92" i="128" s="1"/>
  <c r="E61" i="127"/>
  <c r="F61" i="127" s="1"/>
  <c r="H13" i="127"/>
  <c r="I13" i="127" s="1"/>
  <c r="G87" i="127"/>
  <c r="I87" i="127" s="1"/>
  <c r="E65" i="128"/>
  <c r="G65" i="128" s="1"/>
  <c r="L38" i="154"/>
  <c r="I60" i="128"/>
  <c r="J60" i="128" s="1"/>
  <c r="G63" i="127"/>
  <c r="F85" i="128"/>
  <c r="G85" i="128" s="1"/>
  <c r="E49" i="271"/>
  <c r="P46" i="271"/>
  <c r="D51" i="127"/>
  <c r="H26" i="128"/>
  <c r="N26" i="128" s="1"/>
  <c r="D26" i="127"/>
  <c r="H16" i="154"/>
  <c r="M16" i="154" s="1"/>
  <c r="H24" i="154"/>
  <c r="M24" i="154" s="1"/>
  <c r="I22" i="154"/>
  <c r="N22" i="154" s="1"/>
  <c r="I44" i="128"/>
  <c r="O44" i="128" s="1"/>
  <c r="D82" i="127"/>
  <c r="F82" i="127" s="1"/>
  <c r="H50" i="154"/>
  <c r="M50" i="154" s="1"/>
  <c r="D77" i="127"/>
  <c r="D36" i="127"/>
  <c r="F36" i="127" s="1"/>
  <c r="F47" i="128"/>
  <c r="G47" i="128" s="1"/>
  <c r="G42" i="127"/>
  <c r="I42" i="127" s="1"/>
  <c r="H13" i="154"/>
  <c r="M13" i="154" s="1"/>
  <c r="E26" i="271"/>
  <c r="E17" i="271"/>
  <c r="AA14" i="101"/>
  <c r="AC14" i="101" s="1"/>
  <c r="H12" i="128"/>
  <c r="E43" i="127"/>
  <c r="E52" i="154"/>
  <c r="J52" i="154" s="1"/>
  <c r="E52" i="271"/>
  <c r="I51" i="154"/>
  <c r="N51" i="154" s="1"/>
  <c r="D47" i="127"/>
  <c r="E71" i="128"/>
  <c r="D16" i="127"/>
  <c r="F16" i="127" s="1"/>
  <c r="I41" i="154"/>
  <c r="N41" i="154" s="1"/>
  <c r="F71" i="128"/>
  <c r="D58" i="127"/>
  <c r="H72" i="128"/>
  <c r="J72" i="128" s="1"/>
  <c r="E22" i="271"/>
  <c r="I12" i="154"/>
  <c r="N12" i="154" s="1"/>
  <c r="H15" i="154"/>
  <c r="M15" i="154" s="1"/>
  <c r="E28" i="128"/>
  <c r="C26" i="155" s="1"/>
  <c r="E29" i="271"/>
  <c r="E23" i="271"/>
  <c r="H10" i="271"/>
  <c r="D26" i="271"/>
  <c r="D18" i="271"/>
  <c r="D12" i="271"/>
  <c r="D24" i="271"/>
  <c r="D35" i="271"/>
  <c r="D37" i="271"/>
  <c r="D53" i="271"/>
  <c r="C53" i="271" s="1"/>
  <c r="D19" i="271"/>
  <c r="D47" i="271"/>
  <c r="D45" i="271"/>
  <c r="I78" i="128"/>
  <c r="J78" i="128" s="1"/>
  <c r="D34" i="271"/>
  <c r="D20" i="271"/>
  <c r="E28" i="271"/>
  <c r="D36" i="271"/>
  <c r="E24" i="271"/>
  <c r="G10" i="271"/>
  <c r="D27" i="271"/>
  <c r="D29" i="271"/>
  <c r="E18" i="271"/>
  <c r="D93" i="271"/>
  <c r="D39" i="271"/>
  <c r="K10" i="271"/>
  <c r="D91" i="271"/>
  <c r="D28" i="271"/>
  <c r="D40" i="271"/>
  <c r="D21" i="271"/>
  <c r="D51" i="271"/>
  <c r="I10" i="271"/>
  <c r="O46" i="271"/>
  <c r="E47" i="271"/>
  <c r="O91" i="271"/>
  <c r="E64" i="128"/>
  <c r="G64" i="128" s="1"/>
  <c r="D32" i="271"/>
  <c r="C32" i="271" s="1"/>
  <c r="D17" i="271"/>
  <c r="D15" i="271"/>
  <c r="D16" i="271"/>
  <c r="D43" i="271"/>
  <c r="C43" i="271" s="1"/>
  <c r="M10" i="271"/>
  <c r="D38" i="271"/>
  <c r="D49" i="271"/>
  <c r="E46" i="271"/>
  <c r="D48" i="271"/>
  <c r="D11" i="271"/>
  <c r="F10" i="271"/>
  <c r="E20" i="271"/>
  <c r="E19" i="271"/>
  <c r="D22" i="271"/>
  <c r="E27" i="271"/>
  <c r="E44" i="271"/>
  <c r="E11" i="271"/>
  <c r="L10" i="271"/>
  <c r="E91" i="271"/>
  <c r="E93" i="271"/>
  <c r="D14" i="271"/>
  <c r="D23" i="271"/>
  <c r="D41" i="271"/>
  <c r="C41" i="271" s="1"/>
  <c r="D30" i="271"/>
  <c r="E21" i="271"/>
  <c r="D52" i="271"/>
  <c r="E14" i="271"/>
  <c r="D44" i="271"/>
  <c r="J10" i="271"/>
  <c r="D50" i="271"/>
  <c r="E35" i="271"/>
  <c r="D46" i="271"/>
  <c r="E12" i="271"/>
  <c r="C12" i="271" s="1"/>
  <c r="E51" i="271"/>
  <c r="P91" i="271"/>
  <c r="I26" i="128"/>
  <c r="O26" i="128" s="1"/>
  <c r="I32" i="128"/>
  <c r="O32" i="128" s="1"/>
  <c r="H18" i="127"/>
  <c r="G47" i="154"/>
  <c r="E47" i="154" s="1"/>
  <c r="D55" i="127"/>
  <c r="N51" i="116"/>
  <c r="E48" i="128"/>
  <c r="C46" i="155" s="1"/>
  <c r="J91" i="261"/>
  <c r="J91" i="268"/>
  <c r="K53" i="261"/>
  <c r="K53" i="268"/>
  <c r="H52" i="154"/>
  <c r="M52" i="154" s="1"/>
  <c r="AB88" i="261"/>
  <c r="Z89" i="261"/>
  <c r="M84" i="116"/>
  <c r="E70" i="127"/>
  <c r="F70" i="127" s="1"/>
  <c r="F70" i="128"/>
  <c r="H33" i="154"/>
  <c r="M33" i="154" s="1"/>
  <c r="L68" i="116"/>
  <c r="E26" i="127"/>
  <c r="N42" i="116"/>
  <c r="E15" i="128"/>
  <c r="C13" i="155" s="1"/>
  <c r="E67" i="128"/>
  <c r="G67" i="128" s="1"/>
  <c r="G54" i="128"/>
  <c r="E70" i="128"/>
  <c r="D50" i="127"/>
  <c r="F50" i="127" s="1"/>
  <c r="E63" i="127"/>
  <c r="F63" i="127" s="1"/>
  <c r="H31" i="154"/>
  <c r="M31" i="154" s="1"/>
  <c r="H92" i="154"/>
  <c r="M92" i="154" s="1"/>
  <c r="E89" i="127"/>
  <c r="F89" i="127" s="1"/>
  <c r="E14" i="128"/>
  <c r="C12" i="155" s="1"/>
  <c r="F80" i="128"/>
  <c r="G80" i="128" s="1"/>
  <c r="E58" i="127"/>
  <c r="F57" i="128"/>
  <c r="G57" i="128" s="1"/>
  <c r="E37" i="128"/>
  <c r="D83" i="127"/>
  <c r="F11" i="128"/>
  <c r="N28" i="116"/>
  <c r="N26" i="116"/>
  <c r="E36" i="128"/>
  <c r="G36" i="128" s="1"/>
  <c r="M36" i="128" s="1"/>
  <c r="E77" i="127"/>
  <c r="F77" i="127" s="1"/>
  <c r="E35" i="128"/>
  <c r="G35" i="128" s="1"/>
  <c r="M35" i="128" s="1"/>
  <c r="E69" i="128"/>
  <c r="G69" i="128" s="1"/>
  <c r="H42" i="154"/>
  <c r="M42" i="154" s="1"/>
  <c r="E67" i="127"/>
  <c r="F67" i="127" s="1"/>
  <c r="F90" i="128"/>
  <c r="F44" i="128"/>
  <c r="D28" i="127"/>
  <c r="F28" i="127" s="1"/>
  <c r="E79" i="127"/>
  <c r="F79" i="127" s="1"/>
  <c r="D54" i="127"/>
  <c r="E54" i="127"/>
  <c r="N31" i="116"/>
  <c r="F74" i="128"/>
  <c r="E74" i="128"/>
  <c r="L66" i="116"/>
  <c r="D88" i="127"/>
  <c r="F88" i="127" s="1"/>
  <c r="E83" i="128"/>
  <c r="D32" i="127"/>
  <c r="E62" i="128"/>
  <c r="G62" i="128" s="1"/>
  <c r="G73" i="128"/>
  <c r="D31" i="127"/>
  <c r="F31" i="127" s="1"/>
  <c r="D38" i="127"/>
  <c r="N25" i="116"/>
  <c r="H47" i="154"/>
  <c r="D45" i="127"/>
  <c r="F45" i="127" s="1"/>
  <c r="N14" i="116"/>
  <c r="N29" i="116"/>
  <c r="E39" i="128"/>
  <c r="D43" i="127"/>
  <c r="E52" i="128"/>
  <c r="C50" i="155" s="1"/>
  <c r="D23" i="127"/>
  <c r="H22" i="154"/>
  <c r="M22" i="154" s="1"/>
  <c r="I10" i="101"/>
  <c r="H10" i="101"/>
  <c r="G10" i="101"/>
  <c r="J77" i="128"/>
  <c r="J87" i="128"/>
  <c r="T44" i="261"/>
  <c r="X44" i="261" s="1"/>
  <c r="AA44" i="261" s="1"/>
  <c r="S44" i="261"/>
  <c r="W44" i="261" s="1"/>
  <c r="Z44" i="261" s="1"/>
  <c r="T10" i="101"/>
  <c r="L10" i="101"/>
  <c r="S10" i="101"/>
  <c r="I24" i="127"/>
  <c r="S41" i="261"/>
  <c r="W41" i="261" s="1"/>
  <c r="F41" i="268" s="1"/>
  <c r="U83" i="261"/>
  <c r="Y83" i="261" s="1"/>
  <c r="G83" i="268" s="1"/>
  <c r="X9" i="261"/>
  <c r="U89" i="261"/>
  <c r="Y89" i="261" s="1"/>
  <c r="G89" i="268" s="1"/>
  <c r="T27" i="261"/>
  <c r="X27" i="261" s="1"/>
  <c r="AA27" i="261" s="1"/>
  <c r="U41" i="261"/>
  <c r="Y41" i="261" s="1"/>
  <c r="G41" i="268" s="1"/>
  <c r="S27" i="261"/>
  <c r="W27" i="261" s="1"/>
  <c r="Z27" i="261" s="1"/>
  <c r="R10" i="261"/>
  <c r="S10" i="261" s="1"/>
  <c r="W10" i="261" s="1"/>
  <c r="Z10" i="261" s="1"/>
  <c r="T89" i="261"/>
  <c r="X89" i="261" s="1"/>
  <c r="AA89" i="261" s="1"/>
  <c r="H14" i="127"/>
  <c r="E94" i="127"/>
  <c r="F94" i="127" s="1"/>
  <c r="E17" i="127"/>
  <c r="F17" i="127" s="1"/>
  <c r="E25" i="127"/>
  <c r="D10" i="101"/>
  <c r="E12" i="127" s="1"/>
  <c r="G39" i="127"/>
  <c r="I36" i="128"/>
  <c r="O36" i="128" s="1"/>
  <c r="W10" i="101"/>
  <c r="F81" i="127"/>
  <c r="V10" i="101"/>
  <c r="X10" i="101"/>
  <c r="T46" i="261"/>
  <c r="X46" i="261" s="1"/>
  <c r="AA46" i="261" s="1"/>
  <c r="R10" i="101"/>
  <c r="K10" i="101"/>
  <c r="C10" i="101"/>
  <c r="D12" i="127" s="1"/>
  <c r="U10" i="101"/>
  <c r="U46" i="261"/>
  <c r="Y46" i="261" s="1"/>
  <c r="AB46" i="261" s="1"/>
  <c r="G50" i="127"/>
  <c r="H86" i="128"/>
  <c r="J86" i="128" s="1"/>
  <c r="H21" i="154"/>
  <c r="M21" i="154" s="1"/>
  <c r="G14" i="127"/>
  <c r="D13" i="127"/>
  <c r="F13" i="127" s="1"/>
  <c r="J71" i="128"/>
  <c r="H29" i="154"/>
  <c r="M29" i="154" s="1"/>
  <c r="H50" i="127"/>
  <c r="H20" i="154"/>
  <c r="M20" i="154" s="1"/>
  <c r="I46" i="154"/>
  <c r="N46" i="154" s="1"/>
  <c r="H63" i="128"/>
  <c r="E21" i="127"/>
  <c r="F21" i="127" s="1"/>
  <c r="E21" i="128"/>
  <c r="I14" i="128"/>
  <c r="O14" i="128" s="1"/>
  <c r="I63" i="128"/>
  <c r="H53" i="154"/>
  <c r="M53" i="154" s="1"/>
  <c r="I48" i="127"/>
  <c r="M10" i="101"/>
  <c r="Q10" i="101"/>
  <c r="E10" i="101"/>
  <c r="F10" i="101"/>
  <c r="J10" i="101"/>
  <c r="J80" i="128"/>
  <c r="N17" i="116"/>
  <c r="F14" i="128"/>
  <c r="L14" i="128" s="1"/>
  <c r="H20" i="127"/>
  <c r="I20" i="127" s="1"/>
  <c r="G80" i="127"/>
  <c r="I80" i="127" s="1"/>
  <c r="F12" i="128"/>
  <c r="H39" i="127"/>
  <c r="I47" i="128"/>
  <c r="H41" i="128"/>
  <c r="J41" i="128" s="1"/>
  <c r="P41" i="128" s="1"/>
  <c r="I49" i="127"/>
  <c r="I65" i="127"/>
  <c r="G60" i="127"/>
  <c r="I60" i="127" s="1"/>
  <c r="I55" i="128"/>
  <c r="H35" i="154"/>
  <c r="M35" i="154" s="1"/>
  <c r="L12" i="154"/>
  <c r="F40" i="128"/>
  <c r="H83" i="128"/>
  <c r="J83" i="128" s="1"/>
  <c r="H67" i="128"/>
  <c r="G81" i="128"/>
  <c r="N18" i="116"/>
  <c r="G47" i="127"/>
  <c r="E83" i="127"/>
  <c r="E20" i="154"/>
  <c r="J20" i="154" s="1"/>
  <c r="E23" i="154"/>
  <c r="J23" i="154" s="1"/>
  <c r="L65" i="116"/>
  <c r="H48" i="128"/>
  <c r="J48" i="128" s="1"/>
  <c r="P48" i="128" s="1"/>
  <c r="G52" i="127"/>
  <c r="D20" i="127"/>
  <c r="H43" i="127"/>
  <c r="I43" i="127" s="1"/>
  <c r="D59" i="127"/>
  <c r="F59" i="127" s="1"/>
  <c r="E82" i="128"/>
  <c r="F48" i="128"/>
  <c r="L48" i="128" s="1"/>
  <c r="N33" i="116"/>
  <c r="H28" i="128"/>
  <c r="G11" i="154"/>
  <c r="E11" i="154" s="1"/>
  <c r="H12" i="154"/>
  <c r="M12" i="154" s="1"/>
  <c r="E71" i="127"/>
  <c r="F71" i="127" s="1"/>
  <c r="E41" i="154"/>
  <c r="J41" i="154" s="1"/>
  <c r="F76" i="128"/>
  <c r="H44" i="128"/>
  <c r="N44" i="128" s="1"/>
  <c r="J88" i="128"/>
  <c r="E19" i="128"/>
  <c r="I21" i="154"/>
  <c r="N21" i="154" s="1"/>
  <c r="H37" i="128"/>
  <c r="J37" i="128" s="1"/>
  <c r="P37" i="128" s="1"/>
  <c r="H45" i="127"/>
  <c r="E77" i="128"/>
  <c r="G77" i="128" s="1"/>
  <c r="H47" i="128"/>
  <c r="N47" i="128" s="1"/>
  <c r="N40" i="116"/>
  <c r="J91" i="17"/>
  <c r="D53" i="127"/>
  <c r="G56" i="127"/>
  <c r="E38" i="127"/>
  <c r="I42" i="154"/>
  <c r="N42" i="154" s="1"/>
  <c r="G68" i="127"/>
  <c r="I68" i="127" s="1"/>
  <c r="P10" i="101"/>
  <c r="G87" i="128"/>
  <c r="F46" i="127"/>
  <c r="F72" i="127"/>
  <c r="H19" i="154"/>
  <c r="M19" i="154" s="1"/>
  <c r="H54" i="154"/>
  <c r="M54" i="154" s="1"/>
  <c r="I70" i="127"/>
  <c r="D39" i="127"/>
  <c r="F39" i="127" s="1"/>
  <c r="F50" i="128"/>
  <c r="L50" i="128" s="1"/>
  <c r="F95" i="127"/>
  <c r="N10" i="101"/>
  <c r="I11" i="154" s="1"/>
  <c r="F85" i="127"/>
  <c r="N52" i="116"/>
  <c r="F52" i="257" s="1"/>
  <c r="H52" i="127"/>
  <c r="K85" i="116"/>
  <c r="M85" i="116" s="1"/>
  <c r="D41" i="127"/>
  <c r="AA13" i="101"/>
  <c r="AC13" i="101" s="1"/>
  <c r="K70" i="116"/>
  <c r="L70" i="116" s="1"/>
  <c r="N50" i="116"/>
  <c r="O50" i="116" s="1"/>
  <c r="J89" i="128"/>
  <c r="I88" i="127"/>
  <c r="N19" i="116"/>
  <c r="E53" i="128"/>
  <c r="G53" i="128" s="1"/>
  <c r="M53" i="128" s="1"/>
  <c r="I17" i="128"/>
  <c r="O17" i="128" s="1"/>
  <c r="O10" i="101"/>
  <c r="H12" i="127" s="1"/>
  <c r="J85" i="116"/>
  <c r="H40" i="154"/>
  <c r="M40" i="154" s="1"/>
  <c r="H38" i="154"/>
  <c r="M38" i="154" s="1"/>
  <c r="H23" i="127"/>
  <c r="I23" i="127" s="1"/>
  <c r="I45" i="154"/>
  <c r="N45" i="154" s="1"/>
  <c r="I38" i="127"/>
  <c r="E51" i="128"/>
  <c r="K51" i="128" s="1"/>
  <c r="G55" i="128"/>
  <c r="I81" i="127"/>
  <c r="J79" i="257"/>
  <c r="K79" i="257" s="1"/>
  <c r="F84" i="127"/>
  <c r="F73" i="127"/>
  <c r="F64" i="127"/>
  <c r="I69" i="127"/>
  <c r="J81" i="116"/>
  <c r="J79" i="116"/>
  <c r="F53" i="257"/>
  <c r="F76" i="127"/>
  <c r="K88" i="116"/>
  <c r="M88" i="116" s="1"/>
  <c r="I28" i="127"/>
  <c r="H53" i="116"/>
  <c r="F78" i="127"/>
  <c r="J88" i="116"/>
  <c r="L60" i="116"/>
  <c r="M60" i="116"/>
  <c r="M73" i="116"/>
  <c r="L73" i="116"/>
  <c r="L38" i="128"/>
  <c r="J18" i="128"/>
  <c r="P18" i="128" s="1"/>
  <c r="N18" i="128"/>
  <c r="F65" i="127"/>
  <c r="H22" i="116"/>
  <c r="F22" i="257"/>
  <c r="O22" i="116"/>
  <c r="N32" i="128"/>
  <c r="J52" i="128"/>
  <c r="P52" i="128" s="1"/>
  <c r="N52" i="128"/>
  <c r="J59" i="128"/>
  <c r="L45" i="128"/>
  <c r="K34" i="128"/>
  <c r="G34" i="128"/>
  <c r="M34" i="128" s="1"/>
  <c r="C32" i="155"/>
  <c r="N22" i="128"/>
  <c r="C28" i="155"/>
  <c r="G30" i="128"/>
  <c r="M30" i="128" s="1"/>
  <c r="K30" i="128"/>
  <c r="C89" i="155"/>
  <c r="K91" i="128"/>
  <c r="H13" i="116"/>
  <c r="O13" i="116"/>
  <c r="F13" i="257"/>
  <c r="L41" i="128"/>
  <c r="L27" i="128"/>
  <c r="C85" i="116"/>
  <c r="B85" i="257" s="1"/>
  <c r="J85" i="257"/>
  <c r="K85" i="257" s="1"/>
  <c r="K81" i="116"/>
  <c r="B59" i="116"/>
  <c r="K59" i="116"/>
  <c r="J19" i="128"/>
  <c r="P19" i="128" s="1"/>
  <c r="N19" i="128"/>
  <c r="F74" i="127"/>
  <c r="J90" i="128"/>
  <c r="J45" i="128"/>
  <c r="N45" i="128"/>
  <c r="K12" i="128"/>
  <c r="C10" i="155"/>
  <c r="G56" i="128"/>
  <c r="J61" i="128"/>
  <c r="J70" i="116"/>
  <c r="L36" i="128"/>
  <c r="I76" i="127"/>
  <c r="N24" i="128"/>
  <c r="I84" i="127"/>
  <c r="I93" i="127"/>
  <c r="J16" i="128"/>
  <c r="P16" i="128" s="1"/>
  <c r="N16" i="128"/>
  <c r="J71" i="116"/>
  <c r="G89" i="257"/>
  <c r="E89" i="257" s="1"/>
  <c r="D89" i="257" s="1"/>
  <c r="G89" i="116"/>
  <c r="F89" i="116" s="1"/>
  <c r="B75" i="116"/>
  <c r="K75" i="116"/>
  <c r="B64" i="116"/>
  <c r="K64" i="116"/>
  <c r="O45" i="128"/>
  <c r="O23" i="116"/>
  <c r="F23" i="257"/>
  <c r="H23" i="116"/>
  <c r="L21" i="128"/>
  <c r="J50" i="128"/>
  <c r="P50" i="128" s="1"/>
  <c r="N50" i="128"/>
  <c r="K45" i="128"/>
  <c r="P83" i="116"/>
  <c r="C83" i="257" s="1"/>
  <c r="G83" i="257"/>
  <c r="E83" i="257" s="1"/>
  <c r="D83" i="257" s="1"/>
  <c r="G83" i="116"/>
  <c r="F83" i="116" s="1"/>
  <c r="O53" i="116"/>
  <c r="O11" i="128"/>
  <c r="O10" i="116"/>
  <c r="F10" i="257"/>
  <c r="H10" i="116"/>
  <c r="I57" i="127"/>
  <c r="L39" i="128"/>
  <c r="J82" i="116"/>
  <c r="J92" i="154"/>
  <c r="N34" i="128"/>
  <c r="J81" i="128"/>
  <c r="C27" i="155"/>
  <c r="F34" i="257"/>
  <c r="O34" i="116"/>
  <c r="H34" i="116"/>
  <c r="C39" i="155"/>
  <c r="G41" i="128"/>
  <c r="M41" i="128" s="1"/>
  <c r="K41" i="128"/>
  <c r="B69" i="116"/>
  <c r="K69" i="116"/>
  <c r="J91" i="19"/>
  <c r="K53" i="17"/>
  <c r="G72" i="116"/>
  <c r="F72" i="116" s="1"/>
  <c r="G72" i="257"/>
  <c r="B63" i="116"/>
  <c r="J63" i="116"/>
  <c r="G38" i="128"/>
  <c r="M38" i="128" s="1"/>
  <c r="C36" i="155"/>
  <c r="K38" i="128"/>
  <c r="J51" i="128"/>
  <c r="P51" i="128" s="1"/>
  <c r="N51" i="128"/>
  <c r="I41" i="127"/>
  <c r="C22" i="155"/>
  <c r="L18" i="128"/>
  <c r="B60" i="116"/>
  <c r="J60" i="116"/>
  <c r="B56" i="116"/>
  <c r="K56" i="116"/>
  <c r="K11" i="128"/>
  <c r="C9" i="155"/>
  <c r="F15" i="257"/>
  <c r="O15" i="116"/>
  <c r="H15" i="116"/>
  <c r="C81" i="116"/>
  <c r="B81" i="257" s="1"/>
  <c r="J81" i="257"/>
  <c r="K81" i="257" s="1"/>
  <c r="C82" i="116"/>
  <c r="B82" i="257" s="1"/>
  <c r="J82" i="257"/>
  <c r="K82" i="257" s="1"/>
  <c r="L23" i="128"/>
  <c r="K40" i="128"/>
  <c r="C38" i="155"/>
  <c r="I55" i="127"/>
  <c r="J23" i="128"/>
  <c r="P23" i="128" s="1"/>
  <c r="N23" i="128"/>
  <c r="B74" i="116"/>
  <c r="K74" i="116"/>
  <c r="J69" i="116"/>
  <c r="B86" i="116"/>
  <c r="K86" i="116"/>
  <c r="K63" i="116"/>
  <c r="L19" i="128"/>
  <c r="F20" i="257"/>
  <c r="H20" i="116"/>
  <c r="O20" i="116"/>
  <c r="P20" i="116" s="1"/>
  <c r="C20" i="257" s="1"/>
  <c r="J54" i="128"/>
  <c r="G60" i="128"/>
  <c r="D55" i="116"/>
  <c r="B55" i="116" s="1"/>
  <c r="C55" i="116" s="1"/>
  <c r="B55" i="257" s="1"/>
  <c r="J71" i="257"/>
  <c r="K71" i="257" s="1"/>
  <c r="C71" i="116"/>
  <c r="B71" i="257" s="1"/>
  <c r="E54" i="257"/>
  <c r="D54" i="257" s="1"/>
  <c r="L30" i="128"/>
  <c r="O21" i="116"/>
  <c r="P21" i="116" s="1"/>
  <c r="C21" i="257" s="1"/>
  <c r="H21" i="116"/>
  <c r="F21" i="257"/>
  <c r="D67" i="116"/>
  <c r="B67" i="116" s="1"/>
  <c r="D77" i="116"/>
  <c r="B77" i="116" s="1"/>
  <c r="C77" i="116" s="1"/>
  <c r="B77" i="257" s="1"/>
  <c r="F54" i="116"/>
  <c r="K20" i="128"/>
  <c r="C18" i="155"/>
  <c r="C16" i="155"/>
  <c r="G18" i="128"/>
  <c r="M18" i="128" s="1"/>
  <c r="K18" i="128"/>
  <c r="O12" i="128"/>
  <c r="O91" i="128"/>
  <c r="N40" i="128"/>
  <c r="I40" i="127"/>
  <c r="G58" i="128"/>
  <c r="K79" i="116"/>
  <c r="K82" i="116"/>
  <c r="O38" i="116"/>
  <c r="H38" i="116"/>
  <c r="F38" i="257"/>
  <c r="O36" i="116"/>
  <c r="H36" i="116"/>
  <c r="F36" i="257"/>
  <c r="H27" i="116"/>
  <c r="F27" i="257"/>
  <c r="O27" i="116"/>
  <c r="I46" i="127"/>
  <c r="I36" i="127"/>
  <c r="F35" i="257"/>
  <c r="H35" i="116"/>
  <c r="O35" i="116"/>
  <c r="N20" i="128"/>
  <c r="J20" i="128"/>
  <c r="P20" i="128" s="1"/>
  <c r="G75" i="128"/>
  <c r="C70" i="116"/>
  <c r="B70" i="257" s="1"/>
  <c r="J70" i="257"/>
  <c r="K70" i="257" s="1"/>
  <c r="D62" i="116"/>
  <c r="B62" i="116" s="1"/>
  <c r="C62" i="116" s="1"/>
  <c r="B62" i="257" s="1"/>
  <c r="J86" i="116"/>
  <c r="D58" i="116"/>
  <c r="B58" i="116" s="1"/>
  <c r="C58" i="116" s="1"/>
  <c r="B58" i="257" s="1"/>
  <c r="C24" i="155"/>
  <c r="K26" i="128"/>
  <c r="N15" i="128"/>
  <c r="F34" i="127"/>
  <c r="J82" i="128"/>
  <c r="C45" i="155"/>
  <c r="K47" i="128"/>
  <c r="F92" i="127"/>
  <c r="J88" i="257"/>
  <c r="K88" i="257" s="1"/>
  <c r="C88" i="116"/>
  <c r="B88" i="257" s="1"/>
  <c r="K71" i="116"/>
  <c r="B73" i="116"/>
  <c r="J73" i="116"/>
  <c r="F41" i="127" l="1"/>
  <c r="I25" i="127"/>
  <c r="C37" i="271"/>
  <c r="F60" i="127"/>
  <c r="F5" i="277"/>
  <c r="M46" i="277"/>
  <c r="N12" i="128"/>
  <c r="E6" i="277"/>
  <c r="F6" i="277" s="1"/>
  <c r="F7" i="277"/>
  <c r="F57" i="127"/>
  <c r="O31" i="116"/>
  <c r="P31" i="116" s="1"/>
  <c r="C31" i="257" s="1"/>
  <c r="F39" i="257"/>
  <c r="G45" i="128"/>
  <c r="M45" i="128" s="1"/>
  <c r="H29" i="116"/>
  <c r="I73" i="127"/>
  <c r="I79" i="127"/>
  <c r="C41" i="155"/>
  <c r="O39" i="116"/>
  <c r="P39" i="116" s="1"/>
  <c r="C39" i="257" s="1"/>
  <c r="F56" i="127"/>
  <c r="J35" i="128"/>
  <c r="P35" i="128" s="1"/>
  <c r="I63" i="127"/>
  <c r="G24" i="128"/>
  <c r="M24" i="128" s="1"/>
  <c r="I82" i="127"/>
  <c r="I92" i="127"/>
  <c r="J21" i="128"/>
  <c r="P21" i="128" s="1"/>
  <c r="I47" i="127"/>
  <c r="G17" i="128"/>
  <c r="M17" i="128" s="1"/>
  <c r="G90" i="128"/>
  <c r="G11" i="128"/>
  <c r="C40" i="271"/>
  <c r="J39" i="128"/>
  <c r="P39" i="128" s="1"/>
  <c r="I91" i="127"/>
  <c r="C36" i="271"/>
  <c r="F37" i="127"/>
  <c r="J53" i="128"/>
  <c r="P53" i="128" s="1"/>
  <c r="C15" i="155"/>
  <c r="K17" i="128"/>
  <c r="I18" i="127"/>
  <c r="C50" i="271"/>
  <c r="C39" i="271"/>
  <c r="J24" i="128"/>
  <c r="P24" i="128" s="1"/>
  <c r="G76" i="128"/>
  <c r="C48" i="271"/>
  <c r="F47" i="127"/>
  <c r="G91" i="128"/>
  <c r="M91" i="128" s="1"/>
  <c r="F20" i="127"/>
  <c r="F55" i="127"/>
  <c r="H31" i="116"/>
  <c r="N41" i="128"/>
  <c r="H39" i="116"/>
  <c r="C43" i="155"/>
  <c r="J68" i="128"/>
  <c r="G49" i="128"/>
  <c r="M49" i="128" s="1"/>
  <c r="N39" i="128"/>
  <c r="C38" i="271"/>
  <c r="N35" i="128"/>
  <c r="J30" i="128"/>
  <c r="P30" i="128" s="1"/>
  <c r="C47" i="155"/>
  <c r="F29" i="127"/>
  <c r="G79" i="128"/>
  <c r="L47" i="154"/>
  <c r="J34" i="128"/>
  <c r="P34" i="128" s="1"/>
  <c r="J38" i="128"/>
  <c r="P38" i="128" s="1"/>
  <c r="G27" i="128"/>
  <c r="M27" i="128" s="1"/>
  <c r="J47" i="154"/>
  <c r="G32" i="128"/>
  <c r="M32" i="128" s="1"/>
  <c r="I51" i="127"/>
  <c r="K27" i="128"/>
  <c r="H49" i="116"/>
  <c r="G63" i="128"/>
  <c r="J40" i="128"/>
  <c r="P40" i="128" s="1"/>
  <c r="G43" i="128"/>
  <c r="M43" i="128" s="1"/>
  <c r="C45" i="271"/>
  <c r="AA14" i="271" s="1"/>
  <c r="AC14" i="271" s="1"/>
  <c r="F46" i="257"/>
  <c r="K50" i="128"/>
  <c r="O46" i="116"/>
  <c r="P46" i="116" s="1"/>
  <c r="J15" i="128"/>
  <c r="P15" i="128" s="1"/>
  <c r="J29" i="128"/>
  <c r="P29" i="128" s="1"/>
  <c r="K32" i="128"/>
  <c r="I90" i="127"/>
  <c r="F25" i="127"/>
  <c r="F26" i="127"/>
  <c r="L47" i="128"/>
  <c r="I45" i="127"/>
  <c r="C14" i="155"/>
  <c r="C30" i="155"/>
  <c r="N27" i="128"/>
  <c r="J55" i="128"/>
  <c r="G16" i="128"/>
  <c r="M16" i="128" s="1"/>
  <c r="C42" i="155"/>
  <c r="F26" i="257"/>
  <c r="K44" i="128"/>
  <c r="J67" i="128"/>
  <c r="F89" i="155"/>
  <c r="H14" i="116"/>
  <c r="H16" i="116"/>
  <c r="J12" i="128"/>
  <c r="F19" i="257"/>
  <c r="O25" i="116"/>
  <c r="P25" i="116" s="1"/>
  <c r="C25" i="257" s="1"/>
  <c r="O42" i="116"/>
  <c r="G42" i="116" s="1"/>
  <c r="F31" i="257"/>
  <c r="O29" i="116"/>
  <c r="G29" i="116" s="1"/>
  <c r="F29" i="116" s="1"/>
  <c r="D29" i="116" s="1"/>
  <c r="B29" i="116" s="1"/>
  <c r="C29" i="116" s="1"/>
  <c r="H37" i="116"/>
  <c r="O90" i="116"/>
  <c r="G90" i="257" s="1"/>
  <c r="L12" i="128"/>
  <c r="K21" i="128"/>
  <c r="G83" i="128"/>
  <c r="K22" i="128"/>
  <c r="I29" i="127"/>
  <c r="F16" i="257"/>
  <c r="G29" i="128"/>
  <c r="M29" i="128" s="1"/>
  <c r="G23" i="128"/>
  <c r="M23" i="128" s="1"/>
  <c r="F49" i="257"/>
  <c r="F23" i="127"/>
  <c r="L44" i="128"/>
  <c r="C15" i="271"/>
  <c r="C34" i="271"/>
  <c r="F40" i="127"/>
  <c r="J49" i="128"/>
  <c r="P49" i="128" s="1"/>
  <c r="L37" i="128"/>
  <c r="F48" i="257"/>
  <c r="I61" i="127"/>
  <c r="L11" i="154"/>
  <c r="G39" i="128"/>
  <c r="M39" i="128" s="1"/>
  <c r="F75" i="127"/>
  <c r="O16" i="116"/>
  <c r="P16" i="116" s="1"/>
  <c r="C16" i="257" s="1"/>
  <c r="K23" i="128"/>
  <c r="C21" i="155"/>
  <c r="L40" i="128"/>
  <c r="F43" i="127"/>
  <c r="C30" i="271"/>
  <c r="K36" i="128"/>
  <c r="H48" i="116"/>
  <c r="C34" i="155"/>
  <c r="G37" i="128"/>
  <c r="M37" i="128" s="1"/>
  <c r="C23" i="271"/>
  <c r="L20" i="128"/>
  <c r="C37" i="155"/>
  <c r="K39" i="128"/>
  <c r="N47" i="154"/>
  <c r="N11" i="128"/>
  <c r="N37" i="128"/>
  <c r="E10" i="271"/>
  <c r="G74" i="128"/>
  <c r="F58" i="127"/>
  <c r="I53" i="127"/>
  <c r="G71" i="128"/>
  <c r="I83" i="127"/>
  <c r="C22" i="271"/>
  <c r="G22" i="128"/>
  <c r="M22" i="128" s="1"/>
  <c r="J14" i="128"/>
  <c r="P14" i="128" s="1"/>
  <c r="N14" i="128"/>
  <c r="F44" i="257"/>
  <c r="O44" i="116"/>
  <c r="P44" i="116" s="1"/>
  <c r="C44" i="257" s="1"/>
  <c r="H44" i="116"/>
  <c r="F11" i="257"/>
  <c r="O11" i="116"/>
  <c r="P11" i="116" s="1"/>
  <c r="C11" i="257" s="1"/>
  <c r="H11" i="116"/>
  <c r="O51" i="116"/>
  <c r="P51" i="116" s="1"/>
  <c r="C51" i="257" s="1"/>
  <c r="H51" i="116"/>
  <c r="F51" i="257"/>
  <c r="O17" i="116"/>
  <c r="P17" i="116" s="1"/>
  <c r="C17" i="257" s="1"/>
  <c r="F17" i="257"/>
  <c r="O47" i="128"/>
  <c r="I46" i="128"/>
  <c r="N28" i="128"/>
  <c r="J28" i="128"/>
  <c r="P28" i="128" s="1"/>
  <c r="H18" i="116"/>
  <c r="F18" i="257"/>
  <c r="C49" i="271"/>
  <c r="C26" i="271"/>
  <c r="G72" i="128"/>
  <c r="G21" i="128"/>
  <c r="M21" i="128" s="1"/>
  <c r="N48" i="128"/>
  <c r="H42" i="116"/>
  <c r="F32" i="127"/>
  <c r="C19" i="155"/>
  <c r="O37" i="116"/>
  <c r="P37" i="116" s="1"/>
  <c r="C37" i="257" s="1"/>
  <c r="L11" i="128"/>
  <c r="F90" i="257"/>
  <c r="O47" i="116"/>
  <c r="P47" i="116" s="1"/>
  <c r="C47" i="257" s="1"/>
  <c r="F37" i="257"/>
  <c r="I56" i="127"/>
  <c r="F83" i="127"/>
  <c r="G26" i="128"/>
  <c r="M26" i="128" s="1"/>
  <c r="J22" i="128"/>
  <c r="P22" i="128" s="1"/>
  <c r="E93" i="154"/>
  <c r="C51" i="271"/>
  <c r="C16" i="271"/>
  <c r="F51" i="127"/>
  <c r="L22" i="128"/>
  <c r="C35" i="155"/>
  <c r="G82" i="128"/>
  <c r="K37" i="128"/>
  <c r="J91" i="128"/>
  <c r="P91" i="128" s="1"/>
  <c r="N53" i="128"/>
  <c r="C17" i="271"/>
  <c r="F29" i="257"/>
  <c r="I89" i="127"/>
  <c r="H47" i="116"/>
  <c r="C19" i="271"/>
  <c r="O26" i="116"/>
  <c r="G26" i="257" s="1"/>
  <c r="H26" i="116"/>
  <c r="H17" i="116"/>
  <c r="C20" i="271"/>
  <c r="J43" i="128"/>
  <c r="P43" i="128" s="1"/>
  <c r="K28" i="128"/>
  <c r="G12" i="128"/>
  <c r="O28" i="116"/>
  <c r="P28" i="116" s="1"/>
  <c r="C28" i="257" s="1"/>
  <c r="K14" i="128"/>
  <c r="G28" i="128"/>
  <c r="M28" i="128" s="1"/>
  <c r="G44" i="128"/>
  <c r="M44" i="128" s="1"/>
  <c r="F53" i="127"/>
  <c r="C35" i="271"/>
  <c r="F43" i="257"/>
  <c r="H25" i="116"/>
  <c r="H43" i="116"/>
  <c r="O18" i="116"/>
  <c r="G18" i="257" s="1"/>
  <c r="C27" i="271"/>
  <c r="H40" i="116"/>
  <c r="H33" i="116"/>
  <c r="O43" i="116"/>
  <c r="P43" i="116" s="1"/>
  <c r="C43" i="257" s="1"/>
  <c r="F25" i="257"/>
  <c r="C11" i="126"/>
  <c r="I93" i="154"/>
  <c r="C47" i="271"/>
  <c r="J32" i="128"/>
  <c r="P32" i="128" s="1"/>
  <c r="U10" i="261"/>
  <c r="Y10" i="261" s="1"/>
  <c r="AB10" i="261" s="1"/>
  <c r="J36" i="128"/>
  <c r="P36" i="128" s="1"/>
  <c r="M70" i="116"/>
  <c r="N91" i="271"/>
  <c r="C52" i="271"/>
  <c r="C91" i="271"/>
  <c r="C29" i="271"/>
  <c r="C18" i="271"/>
  <c r="H11" i="154"/>
  <c r="H93" i="154" s="1"/>
  <c r="C14" i="271"/>
  <c r="K48" i="128"/>
  <c r="F12" i="127"/>
  <c r="K52" i="128"/>
  <c r="J63" i="128"/>
  <c r="C44" i="271"/>
  <c r="D10" i="271"/>
  <c r="C21" i="271"/>
  <c r="C28" i="271"/>
  <c r="J26" i="128"/>
  <c r="P26" i="128" s="1"/>
  <c r="C11" i="271"/>
  <c r="C24" i="271"/>
  <c r="G70" i="128"/>
  <c r="P53" i="116"/>
  <c r="C53" i="257" s="1"/>
  <c r="F28" i="257"/>
  <c r="G9" i="268"/>
  <c r="K15" i="128"/>
  <c r="K35" i="128"/>
  <c r="O14" i="116"/>
  <c r="P14" i="116" s="1"/>
  <c r="C14" i="257" s="1"/>
  <c r="G14" i="128"/>
  <c r="M14" i="128" s="1"/>
  <c r="H28" i="116"/>
  <c r="F9" i="268"/>
  <c r="G15" i="128"/>
  <c r="M15" i="128" s="1"/>
  <c r="C33" i="155"/>
  <c r="L88" i="116"/>
  <c r="G52" i="128"/>
  <c r="M52" i="128" s="1"/>
  <c r="F14" i="257"/>
  <c r="F42" i="257"/>
  <c r="J44" i="128"/>
  <c r="P44" i="128" s="1"/>
  <c r="F40" i="257"/>
  <c r="O33" i="116"/>
  <c r="G33" i="257" s="1"/>
  <c r="H19" i="116"/>
  <c r="K91" i="261"/>
  <c r="K91" i="268"/>
  <c r="Y9" i="261"/>
  <c r="Z41" i="261"/>
  <c r="Z9" i="261" s="1"/>
  <c r="AB89" i="261"/>
  <c r="AB83" i="261"/>
  <c r="Z83" i="261"/>
  <c r="F38" i="127"/>
  <c r="O19" i="116"/>
  <c r="P19" i="116" s="1"/>
  <c r="C19" i="257" s="1"/>
  <c r="G53" i="257"/>
  <c r="E53" i="257" s="1"/>
  <c r="D53" i="257" s="1"/>
  <c r="I53" i="257" s="1"/>
  <c r="I50" i="127"/>
  <c r="F54" i="127"/>
  <c r="F10" i="128"/>
  <c r="J47" i="128"/>
  <c r="I14" i="127"/>
  <c r="I39" i="127"/>
  <c r="C17" i="155"/>
  <c r="G40" i="128"/>
  <c r="M40" i="128" s="1"/>
  <c r="J17" i="128"/>
  <c r="P17" i="128" s="1"/>
  <c r="O40" i="116"/>
  <c r="P40" i="116" s="1"/>
  <c r="C40" i="257" s="1"/>
  <c r="N11" i="154"/>
  <c r="I52" i="127"/>
  <c r="J11" i="154"/>
  <c r="W9" i="261"/>
  <c r="AB41" i="261"/>
  <c r="AB9" i="261" s="1"/>
  <c r="T10" i="261"/>
  <c r="X10" i="261" s="1"/>
  <c r="AA10" i="261" s="1"/>
  <c r="M11" i="154"/>
  <c r="L85" i="116"/>
  <c r="G53" i="116"/>
  <c r="C51" i="155"/>
  <c r="G12" i="127"/>
  <c r="I12" i="127" s="1"/>
  <c r="F50" i="257"/>
  <c r="M47" i="154"/>
  <c r="F33" i="257"/>
  <c r="G19" i="128"/>
  <c r="M19" i="128" s="1"/>
  <c r="F46" i="128"/>
  <c r="N9" i="116"/>
  <c r="H52" i="116"/>
  <c r="K19" i="128"/>
  <c r="G50" i="128"/>
  <c r="M50" i="128" s="1"/>
  <c r="O52" i="116"/>
  <c r="G52" i="116" s="1"/>
  <c r="J62" i="116"/>
  <c r="G93" i="154"/>
  <c r="G48" i="128"/>
  <c r="M48" i="128" s="1"/>
  <c r="K53" i="128"/>
  <c r="C49" i="155"/>
  <c r="H50" i="116"/>
  <c r="J55" i="257"/>
  <c r="K55" i="257" s="1"/>
  <c r="N45" i="116"/>
  <c r="G51" i="128"/>
  <c r="M51" i="128" s="1"/>
  <c r="I10" i="128"/>
  <c r="E72" i="257"/>
  <c r="D72" i="257" s="1"/>
  <c r="K58" i="116"/>
  <c r="M58" i="116" s="1"/>
  <c r="G36" i="257"/>
  <c r="E36" i="257" s="1"/>
  <c r="D36" i="257" s="1"/>
  <c r="G36" i="116"/>
  <c r="F36" i="116" s="1"/>
  <c r="G38" i="257"/>
  <c r="E38" i="257" s="1"/>
  <c r="D38" i="257" s="1"/>
  <c r="G38" i="116"/>
  <c r="F38" i="116" s="1"/>
  <c r="P38" i="116"/>
  <c r="C38" i="257" s="1"/>
  <c r="F14" i="155"/>
  <c r="P90" i="116"/>
  <c r="C90" i="257" s="1"/>
  <c r="K77" i="116"/>
  <c r="K67" i="116"/>
  <c r="K55" i="116"/>
  <c r="G46" i="116"/>
  <c r="L56" i="116"/>
  <c r="M56" i="116"/>
  <c r="C63" i="116"/>
  <c r="B63" i="257" s="1"/>
  <c r="J63" i="257"/>
  <c r="K63" i="257" s="1"/>
  <c r="L69" i="116"/>
  <c r="M69" i="116"/>
  <c r="F47" i="155"/>
  <c r="C75" i="116"/>
  <c r="B75" i="257" s="1"/>
  <c r="J75" i="257"/>
  <c r="K75" i="257" s="1"/>
  <c r="J62" i="257"/>
  <c r="K62" i="257" s="1"/>
  <c r="J59" i="257"/>
  <c r="K59" i="257" s="1"/>
  <c r="C59" i="116"/>
  <c r="B59" i="257" s="1"/>
  <c r="G22" i="257"/>
  <c r="E22" i="257" s="1"/>
  <c r="D22" i="257" s="1"/>
  <c r="P22" i="116"/>
  <c r="C22" i="257" s="1"/>
  <c r="G22" i="116"/>
  <c r="F22" i="116" s="1"/>
  <c r="C73" i="116"/>
  <c r="B73" i="257" s="1"/>
  <c r="J73" i="257"/>
  <c r="K73" i="257" s="1"/>
  <c r="M47" i="128"/>
  <c r="F24" i="155"/>
  <c r="P27" i="116"/>
  <c r="C27" i="257" s="1"/>
  <c r="G27" i="257"/>
  <c r="E27" i="257" s="1"/>
  <c r="D27" i="257" s="1"/>
  <c r="G27" i="116"/>
  <c r="F27" i="116" s="1"/>
  <c r="J77" i="116"/>
  <c r="C67" i="116"/>
  <c r="B67" i="257" s="1"/>
  <c r="J67" i="257"/>
  <c r="K67" i="257" s="1"/>
  <c r="P11" i="128"/>
  <c r="G21" i="257"/>
  <c r="E21" i="257" s="1"/>
  <c r="D21" i="257" s="1"/>
  <c r="G21" i="116"/>
  <c r="F21" i="116" s="1"/>
  <c r="D21" i="116" s="1"/>
  <c r="B21" i="116" s="1"/>
  <c r="C21" i="116" s="1"/>
  <c r="J55" i="116"/>
  <c r="L63" i="116"/>
  <c r="M63" i="116"/>
  <c r="M74" i="116"/>
  <c r="L74" i="116"/>
  <c r="J58" i="257"/>
  <c r="K58" i="257" s="1"/>
  <c r="G15" i="257"/>
  <c r="E15" i="257" s="1"/>
  <c r="D15" i="257" s="1"/>
  <c r="G15" i="116"/>
  <c r="F15" i="116" s="1"/>
  <c r="D15" i="116" s="1"/>
  <c r="B15" i="116" s="1"/>
  <c r="C15" i="116" s="1"/>
  <c r="P15" i="116"/>
  <c r="C15" i="257" s="1"/>
  <c r="C56" i="116"/>
  <c r="B56" i="257" s="1"/>
  <c r="J56" i="257"/>
  <c r="K56" i="257" s="1"/>
  <c r="F41" i="155"/>
  <c r="K91" i="17"/>
  <c r="J98" i="19"/>
  <c r="C69" i="116"/>
  <c r="B69" i="257" s="1"/>
  <c r="J69" i="257"/>
  <c r="K69" i="257" s="1"/>
  <c r="P10" i="116"/>
  <c r="G10" i="257"/>
  <c r="G10" i="116"/>
  <c r="P23" i="116"/>
  <c r="C23" i="257" s="1"/>
  <c r="G23" i="257"/>
  <c r="E23" i="257" s="1"/>
  <c r="D23" i="257" s="1"/>
  <c r="G23" i="116"/>
  <c r="F23" i="116" s="1"/>
  <c r="D23" i="116" s="1"/>
  <c r="B23" i="116" s="1"/>
  <c r="C23" i="116" s="1"/>
  <c r="M64" i="116"/>
  <c r="L64" i="116"/>
  <c r="D89" i="116"/>
  <c r="B89" i="116" s="1"/>
  <c r="F10" i="155"/>
  <c r="P45" i="128"/>
  <c r="G49" i="257"/>
  <c r="G49" i="116"/>
  <c r="P48" i="116"/>
  <c r="C48" i="257" s="1"/>
  <c r="G48" i="257"/>
  <c r="G48" i="116"/>
  <c r="L81" i="116"/>
  <c r="M81" i="116"/>
  <c r="F28" i="155"/>
  <c r="F32" i="155"/>
  <c r="M71" i="116"/>
  <c r="L71" i="116"/>
  <c r="P35" i="116"/>
  <c r="C35" i="257" s="1"/>
  <c r="G35" i="257"/>
  <c r="E35" i="257" s="1"/>
  <c r="D35" i="257" s="1"/>
  <c r="G35" i="116"/>
  <c r="F35" i="116" s="1"/>
  <c r="M82" i="116"/>
  <c r="L82" i="116"/>
  <c r="F16" i="155"/>
  <c r="G20" i="257"/>
  <c r="E20" i="257" s="1"/>
  <c r="D20" i="257" s="1"/>
  <c r="G20" i="116"/>
  <c r="F20" i="116" s="1"/>
  <c r="D20" i="116" s="1"/>
  <c r="B20" i="116" s="1"/>
  <c r="J20" i="257" s="1"/>
  <c r="M86" i="116"/>
  <c r="L86" i="116"/>
  <c r="C74" i="116"/>
  <c r="B74" i="257" s="1"/>
  <c r="J74" i="257"/>
  <c r="K74" i="257" s="1"/>
  <c r="M11" i="128"/>
  <c r="F36" i="155"/>
  <c r="F49" i="155"/>
  <c r="D72" i="116"/>
  <c r="B72" i="116" s="1"/>
  <c r="F39" i="155"/>
  <c r="G34" i="257"/>
  <c r="E34" i="257" s="1"/>
  <c r="D34" i="257" s="1"/>
  <c r="G34" i="116"/>
  <c r="F34" i="116" s="1"/>
  <c r="D83" i="116"/>
  <c r="B83" i="116" s="1"/>
  <c r="C83" i="116" s="1"/>
  <c r="B83" i="257" s="1"/>
  <c r="F43" i="155"/>
  <c r="C64" i="116"/>
  <c r="B64" i="257" s="1"/>
  <c r="J64" i="257"/>
  <c r="K64" i="257" s="1"/>
  <c r="J77" i="257"/>
  <c r="K77" i="257" s="1"/>
  <c r="F45" i="155"/>
  <c r="J58" i="116"/>
  <c r="K62" i="116"/>
  <c r="P36" i="116"/>
  <c r="C36" i="257" s="1"/>
  <c r="M79" i="116"/>
  <c r="L79" i="116"/>
  <c r="F18" i="155"/>
  <c r="D54" i="116"/>
  <c r="J54" i="116" s="1"/>
  <c r="F53" i="116"/>
  <c r="D53" i="116" s="1"/>
  <c r="J67" i="116"/>
  <c r="G16" i="116"/>
  <c r="C86" i="116"/>
  <c r="B86" i="257" s="1"/>
  <c r="J86" i="257"/>
  <c r="K86" i="257" s="1"/>
  <c r="F38" i="155"/>
  <c r="F9" i="155"/>
  <c r="J60" i="257"/>
  <c r="K60" i="257" s="1"/>
  <c r="C60" i="116"/>
  <c r="B60" i="257" s="1"/>
  <c r="F22" i="155"/>
  <c r="P34" i="116"/>
  <c r="C34" i="257" s="1"/>
  <c r="F27" i="155"/>
  <c r="M75" i="116"/>
  <c r="L75" i="116"/>
  <c r="G31" i="257"/>
  <c r="G31" i="116"/>
  <c r="P50" i="116"/>
  <c r="C50" i="257" s="1"/>
  <c r="G50" i="257"/>
  <c r="G50" i="116"/>
  <c r="L59" i="116"/>
  <c r="M59" i="116"/>
  <c r="P13" i="116"/>
  <c r="C13" i="257" s="1"/>
  <c r="G13" i="116"/>
  <c r="F13" i="116" s="1"/>
  <c r="G13" i="257"/>
  <c r="E13" i="257" s="1"/>
  <c r="D13" i="257" s="1"/>
  <c r="P29" i="116" l="1"/>
  <c r="C29" i="257" s="1"/>
  <c r="G39" i="257"/>
  <c r="E39" i="257" s="1"/>
  <c r="D39" i="257" s="1"/>
  <c r="G39" i="116"/>
  <c r="P12" i="128"/>
  <c r="M45" i="277"/>
  <c r="S527" i="274"/>
  <c r="F21" i="155"/>
  <c r="F30" i="155"/>
  <c r="F15" i="155"/>
  <c r="F34" i="155"/>
  <c r="F20" i="155"/>
  <c r="F42" i="155"/>
  <c r="F13" i="155"/>
  <c r="F37" i="155"/>
  <c r="F48" i="155"/>
  <c r="F12" i="155"/>
  <c r="F19" i="155"/>
  <c r="F31" i="116"/>
  <c r="D31" i="116" s="1"/>
  <c r="J31" i="116" s="1"/>
  <c r="J93" i="154"/>
  <c r="G42" i="257"/>
  <c r="P42" i="116"/>
  <c r="C42" i="257" s="1"/>
  <c r="F16" i="116"/>
  <c r="F49" i="116"/>
  <c r="D49" i="116" s="1"/>
  <c r="B49" i="116" s="1"/>
  <c r="C49" i="116" s="1"/>
  <c r="J46" i="128"/>
  <c r="G25" i="257"/>
  <c r="E25" i="257" s="1"/>
  <c r="D25" i="257" s="1"/>
  <c r="G16" i="257"/>
  <c r="E16" i="257" s="1"/>
  <c r="D16" i="257" s="1"/>
  <c r="G47" i="116"/>
  <c r="F47" i="116" s="1"/>
  <c r="D47" i="116" s="1"/>
  <c r="B47" i="116" s="1"/>
  <c r="C47" i="116" s="1"/>
  <c r="G43" i="257"/>
  <c r="E43" i="257" s="1"/>
  <c r="D43" i="257" s="1"/>
  <c r="G29" i="257"/>
  <c r="E29" i="257" s="1"/>
  <c r="D29" i="257" s="1"/>
  <c r="M29" i="257" s="1"/>
  <c r="G43" i="116"/>
  <c r="F43" i="116" s="1"/>
  <c r="D43" i="116" s="1"/>
  <c r="B43" i="116" s="1"/>
  <c r="G90" i="116"/>
  <c r="F90" i="116" s="1"/>
  <c r="D90" i="116" s="1"/>
  <c r="B90" i="116" s="1"/>
  <c r="C90" i="116" s="1"/>
  <c r="G19" i="257"/>
  <c r="E19" i="257" s="1"/>
  <c r="D19" i="257" s="1"/>
  <c r="F48" i="116"/>
  <c r="D48" i="116" s="1"/>
  <c r="B48" i="116" s="1"/>
  <c r="C48" i="116" s="1"/>
  <c r="E48" i="257"/>
  <c r="D48" i="257" s="1"/>
  <c r="G17" i="257"/>
  <c r="E17" i="257" s="1"/>
  <c r="D17" i="257" s="1"/>
  <c r="F39" i="116"/>
  <c r="D39" i="116" s="1"/>
  <c r="B39" i="116" s="1"/>
  <c r="G37" i="116"/>
  <c r="F37" i="116" s="1"/>
  <c r="D37" i="116" s="1"/>
  <c r="K37" i="116" s="1"/>
  <c r="L93" i="154"/>
  <c r="G47" i="257"/>
  <c r="E47" i="257" s="1"/>
  <c r="D47" i="257" s="1"/>
  <c r="O46" i="128"/>
  <c r="G46" i="257"/>
  <c r="E46" i="257" s="1"/>
  <c r="D46" i="257" s="1"/>
  <c r="F25" i="155"/>
  <c r="G28" i="116"/>
  <c r="F28" i="116" s="1"/>
  <c r="D28" i="116" s="1"/>
  <c r="B28" i="116" s="1"/>
  <c r="C28" i="116" s="1"/>
  <c r="G11" i="116"/>
  <c r="F11" i="116" s="1"/>
  <c r="D11" i="116" s="1"/>
  <c r="E26" i="257"/>
  <c r="D26" i="257" s="1"/>
  <c r="E49" i="257"/>
  <c r="D49" i="257" s="1"/>
  <c r="G11" i="257"/>
  <c r="E11" i="257" s="1"/>
  <c r="D11" i="257" s="1"/>
  <c r="F42" i="116"/>
  <c r="D42" i="116" s="1"/>
  <c r="B42" i="116" s="1"/>
  <c r="C42" i="116" s="1"/>
  <c r="G25" i="116"/>
  <c r="F25" i="116" s="1"/>
  <c r="D25" i="116" s="1"/>
  <c r="J25" i="116" s="1"/>
  <c r="E90" i="257"/>
  <c r="D90" i="257" s="1"/>
  <c r="N93" i="154"/>
  <c r="E31" i="257"/>
  <c r="D31" i="257" s="1"/>
  <c r="E18" i="257"/>
  <c r="D18" i="257" s="1"/>
  <c r="L10" i="128"/>
  <c r="F50" i="155"/>
  <c r="O10" i="128"/>
  <c r="F26" i="155"/>
  <c r="F33" i="155"/>
  <c r="F46" i="155"/>
  <c r="F45" i="257"/>
  <c r="G33" i="116"/>
  <c r="F33" i="116" s="1"/>
  <c r="D33" i="116" s="1"/>
  <c r="B33" i="116" s="1"/>
  <c r="F35" i="155"/>
  <c r="C8" i="155"/>
  <c r="J20" i="116"/>
  <c r="G17" i="116"/>
  <c r="F17" i="116" s="1"/>
  <c r="D17" i="116" s="1"/>
  <c r="B17" i="116" s="1"/>
  <c r="C17" i="116" s="1"/>
  <c r="G37" i="257"/>
  <c r="E37" i="257" s="1"/>
  <c r="D37" i="257" s="1"/>
  <c r="G18" i="116"/>
  <c r="F18" i="116" s="1"/>
  <c r="D18" i="116" s="1"/>
  <c r="B18" i="116" s="1"/>
  <c r="C18" i="116" s="1"/>
  <c r="G44" i="257"/>
  <c r="E44" i="257" s="1"/>
  <c r="D44" i="257" s="1"/>
  <c r="G44" i="116"/>
  <c r="F44" i="116" s="1"/>
  <c r="D44" i="116" s="1"/>
  <c r="P26" i="116"/>
  <c r="C26" i="257" s="1"/>
  <c r="G51" i="116"/>
  <c r="F51" i="116" s="1"/>
  <c r="D51" i="116" s="1"/>
  <c r="B51" i="116" s="1"/>
  <c r="G26" i="116"/>
  <c r="F26" i="116" s="1"/>
  <c r="D26" i="116" s="1"/>
  <c r="B26" i="116" s="1"/>
  <c r="K20" i="116"/>
  <c r="G28" i="257"/>
  <c r="E28" i="257" s="1"/>
  <c r="D28" i="257" s="1"/>
  <c r="G51" i="257"/>
  <c r="E51" i="257" s="1"/>
  <c r="D51" i="257" s="1"/>
  <c r="C20" i="116"/>
  <c r="B20" i="257" s="1"/>
  <c r="H97" i="116"/>
  <c r="L46" i="128"/>
  <c r="P18" i="116"/>
  <c r="C18" i="257" s="1"/>
  <c r="M12" i="128"/>
  <c r="AA13" i="271"/>
  <c r="AC13" i="271" s="1"/>
  <c r="H9" i="116"/>
  <c r="G40" i="257"/>
  <c r="E40" i="257" s="1"/>
  <c r="D40" i="257" s="1"/>
  <c r="E42" i="257"/>
  <c r="D42" i="257" s="1"/>
  <c r="P47" i="128"/>
  <c r="C10" i="271"/>
  <c r="J29" i="116"/>
  <c r="G19" i="116"/>
  <c r="F19" i="116" s="1"/>
  <c r="C44" i="155"/>
  <c r="F9" i="257"/>
  <c r="G14" i="116"/>
  <c r="F14" i="116" s="1"/>
  <c r="D14" i="116" s="1"/>
  <c r="J14" i="116" s="1"/>
  <c r="O9" i="116"/>
  <c r="J10" i="128"/>
  <c r="P33" i="116"/>
  <c r="C33" i="257" s="1"/>
  <c r="G14" i="257"/>
  <c r="E14" i="257" s="1"/>
  <c r="D14" i="257" s="1"/>
  <c r="J48" i="257"/>
  <c r="F51" i="155"/>
  <c r="I93" i="128"/>
  <c r="O93" i="128" s="1"/>
  <c r="H45" i="116"/>
  <c r="F52" i="116"/>
  <c r="D52" i="116" s="1"/>
  <c r="J52" i="116" s="1"/>
  <c r="M93" i="154"/>
  <c r="F93" i="128"/>
  <c r="L93" i="128" s="1"/>
  <c r="K23" i="116"/>
  <c r="P52" i="116"/>
  <c r="C52" i="257" s="1"/>
  <c r="G40" i="116"/>
  <c r="F40" i="116" s="1"/>
  <c r="D40" i="116" s="1"/>
  <c r="B40" i="116" s="1"/>
  <c r="F17" i="155"/>
  <c r="J29" i="257"/>
  <c r="O45" i="116"/>
  <c r="K15" i="116"/>
  <c r="K29" i="116"/>
  <c r="K21" i="116"/>
  <c r="E50" i="257"/>
  <c r="D50" i="257" s="1"/>
  <c r="G10" i="128"/>
  <c r="L58" i="116"/>
  <c r="G52" i="257"/>
  <c r="E52" i="257" s="1"/>
  <c r="D52" i="257" s="1"/>
  <c r="B21" i="257"/>
  <c r="E33" i="257"/>
  <c r="D33" i="257" s="1"/>
  <c r="J15" i="116"/>
  <c r="F50" i="116"/>
  <c r="D50" i="116" s="1"/>
  <c r="B50" i="116" s="1"/>
  <c r="C50" i="116" s="1"/>
  <c r="M15" i="257"/>
  <c r="N91" i="116"/>
  <c r="F91" i="257" s="1"/>
  <c r="G46" i="128"/>
  <c r="M21" i="257"/>
  <c r="J23" i="116"/>
  <c r="J21" i="116"/>
  <c r="J21" i="257"/>
  <c r="J53" i="116"/>
  <c r="K53" i="116"/>
  <c r="M53" i="116" s="1"/>
  <c r="J89" i="116"/>
  <c r="J72" i="116"/>
  <c r="M23" i="257"/>
  <c r="K72" i="116"/>
  <c r="M72" i="116" s="1"/>
  <c r="M20" i="257"/>
  <c r="D13" i="116"/>
  <c r="B13" i="116" s="1"/>
  <c r="B54" i="116"/>
  <c r="K54" i="116"/>
  <c r="M62" i="116"/>
  <c r="L62" i="116"/>
  <c r="K83" i="116"/>
  <c r="C89" i="116"/>
  <c r="B89" i="257" s="1"/>
  <c r="J89" i="257"/>
  <c r="C10" i="257"/>
  <c r="J15" i="257"/>
  <c r="D22" i="116"/>
  <c r="B22" i="116" s="1"/>
  <c r="C22" i="116" s="1"/>
  <c r="B22" i="257" s="1"/>
  <c r="J83" i="257"/>
  <c r="F46" i="116"/>
  <c r="L55" i="116"/>
  <c r="M55" i="116"/>
  <c r="D36" i="116"/>
  <c r="J36" i="116" s="1"/>
  <c r="C72" i="116"/>
  <c r="B72" i="257" s="1"/>
  <c r="J72" i="257"/>
  <c r="K72" i="257" s="1"/>
  <c r="J23" i="257"/>
  <c r="F10" i="116"/>
  <c r="B15" i="257"/>
  <c r="M67" i="116"/>
  <c r="L67" i="116"/>
  <c r="D16" i="116"/>
  <c r="B16" i="116" s="1"/>
  <c r="B53" i="116"/>
  <c r="J83" i="116"/>
  <c r="D35" i="116"/>
  <c r="B35" i="116" s="1"/>
  <c r="K89" i="116"/>
  <c r="L77" i="116"/>
  <c r="M77" i="116"/>
  <c r="D38" i="116"/>
  <c r="B38" i="116" s="1"/>
  <c r="C38" i="116" s="1"/>
  <c r="B38" i="257" s="1"/>
  <c r="D34" i="116"/>
  <c r="B34" i="116" s="1"/>
  <c r="M34" i="257" s="1"/>
  <c r="B23" i="257"/>
  <c r="E10" i="257"/>
  <c r="D10" i="257" s="1"/>
  <c r="D27" i="116"/>
  <c r="K27" i="116" s="1"/>
  <c r="C46" i="257"/>
  <c r="K20" i="257"/>
  <c r="S275" i="274" l="1"/>
  <c r="S711" i="274"/>
  <c r="K89" i="257"/>
  <c r="B11" i="116"/>
  <c r="M11" i="257" s="1"/>
  <c r="M44" i="277"/>
  <c r="S526" i="274"/>
  <c r="K83" i="257"/>
  <c r="P46" i="128"/>
  <c r="H46" i="128"/>
  <c r="K49" i="116"/>
  <c r="J49" i="116"/>
  <c r="J49" i="257"/>
  <c r="B48" i="257"/>
  <c r="J48" i="116"/>
  <c r="M49" i="257"/>
  <c r="K47" i="116"/>
  <c r="J47" i="116"/>
  <c r="B29" i="257"/>
  <c r="J47" i="257"/>
  <c r="M47" i="257"/>
  <c r="P47" i="257" s="1"/>
  <c r="Q47" i="257" s="1"/>
  <c r="M48" i="257"/>
  <c r="P48" i="257" s="1"/>
  <c r="Q48" i="257" s="1"/>
  <c r="K48" i="116"/>
  <c r="M42" i="257"/>
  <c r="N42" i="257" s="1"/>
  <c r="J42" i="257"/>
  <c r="B49" i="257"/>
  <c r="B47" i="257"/>
  <c r="M17" i="257"/>
  <c r="N17" i="257" s="1"/>
  <c r="B18" i="257"/>
  <c r="J42" i="116"/>
  <c r="K42" i="116"/>
  <c r="B90" i="257"/>
  <c r="G45" i="116"/>
  <c r="J11" i="116"/>
  <c r="K18" i="116"/>
  <c r="K11" i="116"/>
  <c r="M20" i="116"/>
  <c r="P45" i="116"/>
  <c r="C45" i="257" s="1"/>
  <c r="P10" i="128"/>
  <c r="B17" i="257"/>
  <c r="C91" i="155"/>
  <c r="C9" i="160" s="1"/>
  <c r="K48" i="257"/>
  <c r="M18" i="257"/>
  <c r="K17" i="116"/>
  <c r="L20" i="116"/>
  <c r="J17" i="116"/>
  <c r="J18" i="257"/>
  <c r="J17" i="257"/>
  <c r="J18" i="116"/>
  <c r="J28" i="116"/>
  <c r="M28" i="257"/>
  <c r="J28" i="257"/>
  <c r="K28" i="116"/>
  <c r="B42" i="257"/>
  <c r="J33" i="257"/>
  <c r="P9" i="116"/>
  <c r="C9" i="257" s="1"/>
  <c r="H10" i="128"/>
  <c r="B28" i="257"/>
  <c r="G9" i="257"/>
  <c r="E9" i="257" s="1"/>
  <c r="D9" i="257" s="1"/>
  <c r="D19" i="116"/>
  <c r="B19" i="116" s="1"/>
  <c r="O91" i="116"/>
  <c r="M15" i="116"/>
  <c r="H91" i="116"/>
  <c r="G97" i="116"/>
  <c r="E46" i="128"/>
  <c r="L21" i="116"/>
  <c r="J44" i="116"/>
  <c r="G9" i="116"/>
  <c r="M29" i="116"/>
  <c r="L23" i="116"/>
  <c r="M23" i="116"/>
  <c r="K29" i="257"/>
  <c r="N29" i="257"/>
  <c r="M21" i="116"/>
  <c r="P29" i="257"/>
  <c r="Q29" i="257" s="1"/>
  <c r="L72" i="116"/>
  <c r="L53" i="116"/>
  <c r="N23" i="257"/>
  <c r="N15" i="257"/>
  <c r="P20" i="257"/>
  <c r="Q20" i="257" s="1"/>
  <c r="N21" i="257"/>
  <c r="P21" i="257"/>
  <c r="Q21" i="257" s="1"/>
  <c r="J90" i="257"/>
  <c r="K90" i="257" s="1"/>
  <c r="J40" i="116"/>
  <c r="K21" i="257"/>
  <c r="L29" i="116"/>
  <c r="G45" i="257"/>
  <c r="E45" i="257" s="1"/>
  <c r="D45" i="257" s="1"/>
  <c r="M10" i="128"/>
  <c r="E10" i="128"/>
  <c r="L15" i="116"/>
  <c r="N20" i="257"/>
  <c r="B50" i="257"/>
  <c r="K51" i="116"/>
  <c r="J22" i="257"/>
  <c r="M46" i="128"/>
  <c r="J43" i="116"/>
  <c r="J39" i="116"/>
  <c r="K43" i="116"/>
  <c r="K40" i="116"/>
  <c r="J16" i="116"/>
  <c r="J13" i="116"/>
  <c r="K38" i="116"/>
  <c r="M22" i="257"/>
  <c r="K16" i="116"/>
  <c r="K26" i="116"/>
  <c r="J35" i="116"/>
  <c r="J33" i="116"/>
  <c r="J26" i="116"/>
  <c r="N34" i="257"/>
  <c r="J90" i="116"/>
  <c r="K90" i="116"/>
  <c r="M90" i="116" s="1"/>
  <c r="B37" i="116"/>
  <c r="J37" i="116"/>
  <c r="B27" i="116"/>
  <c r="J27" i="116"/>
  <c r="B44" i="116"/>
  <c r="K44" i="116"/>
  <c r="J34" i="116"/>
  <c r="K39" i="116"/>
  <c r="J51" i="116"/>
  <c r="J40" i="257"/>
  <c r="C40" i="116"/>
  <c r="B40" i="257" s="1"/>
  <c r="M16" i="257"/>
  <c r="J16" i="257"/>
  <c r="C16" i="116"/>
  <c r="B16" i="257" s="1"/>
  <c r="K50" i="116"/>
  <c r="K33" i="116"/>
  <c r="D46" i="116"/>
  <c r="F45" i="116"/>
  <c r="L83" i="116"/>
  <c r="M83" i="116"/>
  <c r="M54" i="116"/>
  <c r="L54" i="116"/>
  <c r="M13" i="257"/>
  <c r="C13" i="116"/>
  <c r="B13" i="257" s="1"/>
  <c r="L37" i="116"/>
  <c r="M37" i="116"/>
  <c r="M27" i="116"/>
  <c r="L27" i="116"/>
  <c r="K34" i="116"/>
  <c r="M51" i="257"/>
  <c r="C51" i="116"/>
  <c r="B51" i="257" s="1"/>
  <c r="J51" i="257"/>
  <c r="J38" i="116"/>
  <c r="B25" i="116"/>
  <c r="K25" i="116"/>
  <c r="J43" i="257"/>
  <c r="C43" i="116"/>
  <c r="B43" i="257" s="1"/>
  <c r="L89" i="116"/>
  <c r="M89" i="116"/>
  <c r="K35" i="116"/>
  <c r="F9" i="116"/>
  <c r="D9" i="116" s="1"/>
  <c r="B9" i="116" s="1"/>
  <c r="C9" i="116" s="1"/>
  <c r="F97" i="116"/>
  <c r="D10" i="116"/>
  <c r="B14" i="116"/>
  <c r="K14" i="116"/>
  <c r="J50" i="116"/>
  <c r="B36" i="116"/>
  <c r="K36" i="116"/>
  <c r="K15" i="257"/>
  <c r="P15" i="257"/>
  <c r="Q15" i="257" s="1"/>
  <c r="B52" i="116"/>
  <c r="K52" i="116"/>
  <c r="J54" i="257"/>
  <c r="K54" i="257" s="1"/>
  <c r="C54" i="116"/>
  <c r="B54" i="257" s="1"/>
  <c r="C39" i="116"/>
  <c r="B39" i="257" s="1"/>
  <c r="J39" i="257"/>
  <c r="C53" i="116"/>
  <c r="J53" i="257"/>
  <c r="K53" i="257" s="1"/>
  <c r="J38" i="257"/>
  <c r="K23" i="257"/>
  <c r="P23" i="257"/>
  <c r="Q23" i="257" s="1"/>
  <c r="C33" i="116"/>
  <c r="B33" i="257" s="1"/>
  <c r="M33" i="257"/>
  <c r="C26" i="116"/>
  <c r="B26" i="257" s="1"/>
  <c r="J26" i="257"/>
  <c r="M26" i="257"/>
  <c r="K22" i="116"/>
  <c r="M43" i="257"/>
  <c r="K13" i="116"/>
  <c r="J13" i="257"/>
  <c r="C11" i="116"/>
  <c r="J11" i="257"/>
  <c r="C34" i="116"/>
  <c r="B34" i="257" s="1"/>
  <c r="J34" i="257"/>
  <c r="J35" i="257"/>
  <c r="M35" i="257"/>
  <c r="C35" i="116"/>
  <c r="B35" i="257" s="1"/>
  <c r="M38" i="257"/>
  <c r="B31" i="116"/>
  <c r="K31" i="116"/>
  <c r="J22" i="116"/>
  <c r="M40" i="257"/>
  <c r="J50" i="257"/>
  <c r="M39" i="257"/>
  <c r="M50" i="257"/>
  <c r="P49" i="257" l="1"/>
  <c r="Q49" i="257" s="1"/>
  <c r="S710" i="274"/>
  <c r="T526" i="274"/>
  <c r="S274" i="274"/>
  <c r="L48" i="116"/>
  <c r="M43" i="277"/>
  <c r="S525" i="274"/>
  <c r="N49" i="257"/>
  <c r="N48" i="257"/>
  <c r="L11" i="116"/>
  <c r="K47" i="257"/>
  <c r="M18" i="116"/>
  <c r="L49" i="116"/>
  <c r="M49" i="116"/>
  <c r="K49" i="257"/>
  <c r="N46" i="128"/>
  <c r="L47" i="116"/>
  <c r="M47" i="116"/>
  <c r="N47" i="257"/>
  <c r="P42" i="257"/>
  <c r="Q42" i="257" s="1"/>
  <c r="M48" i="116"/>
  <c r="K42" i="257"/>
  <c r="L18" i="116"/>
  <c r="M42" i="116"/>
  <c r="L42" i="116"/>
  <c r="M11" i="116"/>
  <c r="N18" i="257"/>
  <c r="G91" i="116"/>
  <c r="L51" i="116"/>
  <c r="M28" i="116"/>
  <c r="M17" i="116"/>
  <c r="H93" i="128"/>
  <c r="J93" i="128" s="1"/>
  <c r="P93" i="128" s="1"/>
  <c r="L17" i="116"/>
  <c r="K17" i="257"/>
  <c r="P28" i="257"/>
  <c r="Q28" i="257" s="1"/>
  <c r="N28" i="257"/>
  <c r="P17" i="257"/>
  <c r="Q17" i="257" s="1"/>
  <c r="P18" i="257"/>
  <c r="Q18" i="257" s="1"/>
  <c r="N10" i="128"/>
  <c r="K28" i="257"/>
  <c r="K18" i="257"/>
  <c r="P91" i="116"/>
  <c r="C91" i="257" s="1"/>
  <c r="L28" i="116"/>
  <c r="K33" i="257"/>
  <c r="M26" i="116"/>
  <c r="K19" i="116"/>
  <c r="J19" i="116"/>
  <c r="J19" i="257"/>
  <c r="C19" i="116"/>
  <c r="B19" i="257" s="1"/>
  <c r="M19" i="257"/>
  <c r="M38" i="116"/>
  <c r="K46" i="128"/>
  <c r="F44" i="155" s="1"/>
  <c r="M40" i="116"/>
  <c r="K10" i="128"/>
  <c r="F8" i="155" s="1"/>
  <c r="L26" i="116"/>
  <c r="L43" i="116"/>
  <c r="M51" i="116"/>
  <c r="G48" i="162"/>
  <c r="E93" i="128"/>
  <c r="K22" i="257"/>
  <c r="G91" i="257"/>
  <c r="E91" i="257" s="1"/>
  <c r="D91" i="257" s="1"/>
  <c r="I91" i="257" s="1"/>
  <c r="M9" i="257"/>
  <c r="M43" i="116"/>
  <c r="L90" i="116"/>
  <c r="L40" i="116"/>
  <c r="L38" i="116"/>
  <c r="B9" i="257"/>
  <c r="J9" i="257"/>
  <c r="K9" i="257" s="1"/>
  <c r="M16" i="116"/>
  <c r="N22" i="257"/>
  <c r="L16" i="116"/>
  <c r="P22" i="257"/>
  <c r="Q22" i="257" s="1"/>
  <c r="K9" i="116"/>
  <c r="L9" i="116" s="1"/>
  <c r="J9" i="116"/>
  <c r="P39" i="257"/>
  <c r="Q39" i="257" s="1"/>
  <c r="K39" i="257"/>
  <c r="C25" i="116"/>
  <c r="B25" i="257" s="1"/>
  <c r="J25" i="257"/>
  <c r="M25" i="257"/>
  <c r="N51" i="257"/>
  <c r="L33" i="116"/>
  <c r="M33" i="116"/>
  <c r="N16" i="257"/>
  <c r="M44" i="116"/>
  <c r="L44" i="116"/>
  <c r="C37" i="116"/>
  <c r="B37" i="257" s="1"/>
  <c r="J37" i="257"/>
  <c r="M37" i="257"/>
  <c r="N38" i="257"/>
  <c r="N40" i="257"/>
  <c r="P35" i="257"/>
  <c r="Q35" i="257" s="1"/>
  <c r="K35" i="257"/>
  <c r="K11" i="257"/>
  <c r="P11" i="257"/>
  <c r="Q11" i="257" s="1"/>
  <c r="P13" i="257"/>
  <c r="Q13" i="257" s="1"/>
  <c r="K13" i="257"/>
  <c r="L22" i="116"/>
  <c r="M22" i="116"/>
  <c r="N33" i="257"/>
  <c r="B53" i="257"/>
  <c r="L14" i="116"/>
  <c r="M14" i="116"/>
  <c r="M34" i="116"/>
  <c r="L34" i="116"/>
  <c r="N13" i="257"/>
  <c r="M50" i="116"/>
  <c r="L50" i="116"/>
  <c r="K50" i="257"/>
  <c r="P50" i="257"/>
  <c r="Q50" i="257" s="1"/>
  <c r="N35" i="257"/>
  <c r="N11" i="257"/>
  <c r="N50" i="257"/>
  <c r="M31" i="116"/>
  <c r="L31" i="116"/>
  <c r="P34" i="257"/>
  <c r="Q34" i="257" s="1"/>
  <c r="K34" i="257"/>
  <c r="B11" i="257"/>
  <c r="M13" i="116"/>
  <c r="L13" i="116"/>
  <c r="N26" i="257"/>
  <c r="M52" i="116"/>
  <c r="L52" i="116"/>
  <c r="M36" i="116"/>
  <c r="L36" i="116"/>
  <c r="C14" i="116"/>
  <c r="B14" i="257" s="1"/>
  <c r="J14" i="257"/>
  <c r="M14" i="257"/>
  <c r="M35" i="116"/>
  <c r="L35" i="116"/>
  <c r="K43" i="257"/>
  <c r="P43" i="257"/>
  <c r="Q43" i="257" s="1"/>
  <c r="K51" i="257"/>
  <c r="P51" i="257"/>
  <c r="Q51" i="257" s="1"/>
  <c r="D45" i="116"/>
  <c r="P40" i="257"/>
  <c r="Q40" i="257" s="1"/>
  <c r="K40" i="257"/>
  <c r="M39" i="116"/>
  <c r="L39" i="116"/>
  <c r="M44" i="257"/>
  <c r="J44" i="257"/>
  <c r="C44" i="116"/>
  <c r="C27" i="116"/>
  <c r="B27" i="257" s="1"/>
  <c r="J27" i="257"/>
  <c r="M27" i="257"/>
  <c r="N39" i="257"/>
  <c r="C31" i="116"/>
  <c r="B31" i="257" s="1"/>
  <c r="J31" i="257"/>
  <c r="M31" i="257"/>
  <c r="P33" i="257"/>
  <c r="Q33" i="257" s="1"/>
  <c r="N43" i="257"/>
  <c r="K26" i="257"/>
  <c r="P26" i="257"/>
  <c r="Q26" i="257" s="1"/>
  <c r="K38" i="257"/>
  <c r="P38" i="257"/>
  <c r="Q38" i="257" s="1"/>
  <c r="C52" i="116"/>
  <c r="B52" i="257" s="1"/>
  <c r="M52" i="257"/>
  <c r="J52" i="257"/>
  <c r="J36" i="257"/>
  <c r="C36" i="116"/>
  <c r="B36" i="257" s="1"/>
  <c r="M36" i="257"/>
  <c r="J10" i="116"/>
  <c r="B10" i="116"/>
  <c r="D97" i="116"/>
  <c r="J97" i="116" s="1"/>
  <c r="K10" i="116"/>
  <c r="M25" i="116"/>
  <c r="L25" i="116"/>
  <c r="B46" i="116"/>
  <c r="K46" i="116"/>
  <c r="J46" i="116"/>
  <c r="P16" i="257"/>
  <c r="Q16" i="257" s="1"/>
  <c r="K16" i="257"/>
  <c r="F91" i="116"/>
  <c r="D91" i="116" s="1"/>
  <c r="S273" i="274" l="1"/>
  <c r="S709" i="274"/>
  <c r="M42" i="277"/>
  <c r="S524" i="274"/>
  <c r="T525" i="274"/>
  <c r="T274" i="274"/>
  <c r="T710" i="274"/>
  <c r="W526" i="274"/>
  <c r="M48" i="162"/>
  <c r="U527" i="274"/>
  <c r="N93" i="128"/>
  <c r="N19" i="257"/>
  <c r="M9" i="116"/>
  <c r="M19" i="116"/>
  <c r="L19" i="116"/>
  <c r="K19" i="257"/>
  <c r="P19" i="257"/>
  <c r="Q19" i="257" s="1"/>
  <c r="B91" i="116"/>
  <c r="G93" i="128"/>
  <c r="M93" i="128" s="1"/>
  <c r="K93" i="128"/>
  <c r="F48" i="162"/>
  <c r="K48" i="162" s="1"/>
  <c r="K47" i="162" s="1"/>
  <c r="K91" i="116"/>
  <c r="M91" i="116" s="1"/>
  <c r="M46" i="257"/>
  <c r="C46" i="116"/>
  <c r="B46" i="257" s="1"/>
  <c r="J46" i="257"/>
  <c r="M10" i="116"/>
  <c r="L10" i="116"/>
  <c r="P52" i="257"/>
  <c r="Q52" i="257" s="1"/>
  <c r="K52" i="257"/>
  <c r="N31" i="257"/>
  <c r="B44" i="257"/>
  <c r="K37" i="257"/>
  <c r="P37" i="257"/>
  <c r="Q37" i="257" s="1"/>
  <c r="J91" i="116"/>
  <c r="N36" i="257"/>
  <c r="N52" i="257"/>
  <c r="P31" i="257"/>
  <c r="Q31" i="257" s="1"/>
  <c r="K31" i="257"/>
  <c r="N27" i="257"/>
  <c r="K44" i="257"/>
  <c r="P44" i="257"/>
  <c r="Q44" i="257" s="1"/>
  <c r="N14" i="257"/>
  <c r="K97" i="116"/>
  <c r="M10" i="257"/>
  <c r="J10" i="257"/>
  <c r="C10" i="116"/>
  <c r="B97" i="116"/>
  <c r="K27" i="257"/>
  <c r="P27" i="257"/>
  <c r="Q27" i="257" s="1"/>
  <c r="N44" i="257"/>
  <c r="B45" i="116"/>
  <c r="C45" i="116" s="1"/>
  <c r="J45" i="116"/>
  <c r="K14" i="257"/>
  <c r="P14" i="257"/>
  <c r="Q14" i="257" s="1"/>
  <c r="N25" i="257"/>
  <c r="M46" i="116"/>
  <c r="L46" i="116"/>
  <c r="P36" i="257"/>
  <c r="Q36" i="257" s="1"/>
  <c r="K36" i="257"/>
  <c r="K45" i="116"/>
  <c r="N37" i="257"/>
  <c r="K25" i="257"/>
  <c r="P25" i="257"/>
  <c r="Q25" i="257" s="1"/>
  <c r="M41" i="277" l="1"/>
  <c r="S523" i="274"/>
  <c r="S272" i="274"/>
  <c r="S708" i="274"/>
  <c r="W274" i="274"/>
  <c r="W710" i="274"/>
  <c r="T709" i="274"/>
  <c r="T524" i="274"/>
  <c r="T273" i="274"/>
  <c r="W525" i="274"/>
  <c r="U711" i="274"/>
  <c r="X527" i="274"/>
  <c r="U275" i="274"/>
  <c r="C91" i="116"/>
  <c r="C48" i="162"/>
  <c r="E48" i="162" s="1"/>
  <c r="J48" i="162" s="1"/>
  <c r="J9" i="162" s="1"/>
  <c r="J91" i="257"/>
  <c r="K91" i="257" s="1"/>
  <c r="F91" i="155"/>
  <c r="L91" i="116"/>
  <c r="M45" i="116"/>
  <c r="L45" i="116"/>
  <c r="B45" i="257"/>
  <c r="B10" i="257"/>
  <c r="C97" i="116"/>
  <c r="P10" i="257"/>
  <c r="Q10" i="257" s="1"/>
  <c r="K10" i="257"/>
  <c r="K46" i="257"/>
  <c r="P46" i="257"/>
  <c r="Q46" i="257" s="1"/>
  <c r="N10" i="257"/>
  <c r="M97" i="116"/>
  <c r="L97" i="116"/>
  <c r="N46" i="257"/>
  <c r="K46" i="162"/>
  <c r="S271" i="274" l="1"/>
  <c r="S707" i="274"/>
  <c r="W709" i="274"/>
  <c r="W273" i="274"/>
  <c r="M40" i="277"/>
  <c r="S522" i="274"/>
  <c r="T272" i="274"/>
  <c r="T708" i="274"/>
  <c r="T523" i="274"/>
  <c r="W524" i="274"/>
  <c r="X275" i="274"/>
  <c r="X711" i="274"/>
  <c r="I48" i="162"/>
  <c r="I9" i="162" s="1"/>
  <c r="I10" i="162" s="1"/>
  <c r="B91" i="257"/>
  <c r="K45" i="162"/>
  <c r="J10" i="162"/>
  <c r="S270" i="274" l="1"/>
  <c r="S706" i="274"/>
  <c r="M39" i="277"/>
  <c r="S521" i="274"/>
  <c r="W272" i="274"/>
  <c r="W708" i="274"/>
  <c r="T707" i="274"/>
  <c r="T522" i="274"/>
  <c r="T271" i="274"/>
  <c r="W523" i="274"/>
  <c r="D9" i="162"/>
  <c r="E9" i="162" s="1"/>
  <c r="F9" i="162" s="1"/>
  <c r="I11" i="162"/>
  <c r="D10" i="162"/>
  <c r="E10" i="162" s="1"/>
  <c r="F10" i="162" s="1"/>
  <c r="J11" i="162"/>
  <c r="K44" i="162"/>
  <c r="M38" i="277" l="1"/>
  <c r="S520" i="274"/>
  <c r="W271" i="274"/>
  <c r="W707" i="274"/>
  <c r="T270" i="274"/>
  <c r="T521" i="274"/>
  <c r="T706" i="274"/>
  <c r="W522" i="274"/>
  <c r="S269" i="274"/>
  <c r="S705" i="274"/>
  <c r="J12" i="162"/>
  <c r="K43" i="162"/>
  <c r="I12" i="162"/>
  <c r="D11" i="162"/>
  <c r="E11" i="162" s="1"/>
  <c r="F11" i="162" s="1"/>
  <c r="W706" i="274" l="1"/>
  <c r="W270" i="274"/>
  <c r="T705" i="274"/>
  <c r="T269" i="274"/>
  <c r="T520" i="274"/>
  <c r="W521" i="274"/>
  <c r="S268" i="274"/>
  <c r="S704" i="274"/>
  <c r="M37" i="277"/>
  <c r="S519" i="274"/>
  <c r="K42" i="162"/>
  <c r="I13" i="162"/>
  <c r="D12" i="162"/>
  <c r="E12" i="162" s="1"/>
  <c r="F12" i="162" s="1"/>
  <c r="J13" i="162"/>
  <c r="W705" i="274" l="1"/>
  <c r="W269" i="274"/>
  <c r="T704" i="274"/>
  <c r="T519" i="274"/>
  <c r="T268" i="274"/>
  <c r="W520" i="274"/>
  <c r="S703" i="274"/>
  <c r="S267" i="274"/>
  <c r="M36" i="277"/>
  <c r="S518" i="274"/>
  <c r="I14" i="162"/>
  <c r="D13" i="162"/>
  <c r="E13" i="162" s="1"/>
  <c r="F13" i="162" s="1"/>
  <c r="K41" i="162"/>
  <c r="J14" i="162"/>
  <c r="W704" i="274" l="1"/>
  <c r="W268" i="274"/>
  <c r="T267" i="274"/>
  <c r="T703" i="274"/>
  <c r="T518" i="274"/>
  <c r="W519" i="274"/>
  <c r="S266" i="274"/>
  <c r="S702" i="274"/>
  <c r="M35" i="277"/>
  <c r="S517" i="274"/>
  <c r="K40" i="162"/>
  <c r="J15" i="162"/>
  <c r="D14" i="162"/>
  <c r="E14" i="162" s="1"/>
  <c r="F14" i="162" s="1"/>
  <c r="I15" i="162"/>
  <c r="W267" i="274" l="1"/>
  <c r="W703" i="274"/>
  <c r="T517" i="274"/>
  <c r="T266" i="274"/>
  <c r="T702" i="274"/>
  <c r="W518" i="274"/>
  <c r="S265" i="274"/>
  <c r="S701" i="274"/>
  <c r="M34" i="277"/>
  <c r="S516" i="274"/>
  <c r="J16" i="162"/>
  <c r="I16" i="162"/>
  <c r="D15" i="162"/>
  <c r="E15" i="162" s="1"/>
  <c r="F15" i="162" s="1"/>
  <c r="K39" i="162"/>
  <c r="W266" i="274" l="1"/>
  <c r="W702" i="274"/>
  <c r="T516" i="274"/>
  <c r="T265" i="274"/>
  <c r="T701" i="274"/>
  <c r="W517" i="274"/>
  <c r="S264" i="274"/>
  <c r="S700" i="274"/>
  <c r="M33" i="277"/>
  <c r="S515" i="274"/>
  <c r="P67" i="260"/>
  <c r="V67" i="260" s="1"/>
  <c r="U67" i="260"/>
  <c r="P37" i="260"/>
  <c r="V37" i="260" s="1"/>
  <c r="U37" i="260"/>
  <c r="P77" i="260"/>
  <c r="V77" i="260" s="1"/>
  <c r="U77" i="260"/>
  <c r="P39" i="260"/>
  <c r="V39" i="260" s="1"/>
  <c r="U39" i="260"/>
  <c r="D42" i="260"/>
  <c r="P42" i="261" s="1"/>
  <c r="C42" i="260"/>
  <c r="Q42" i="260"/>
  <c r="D72" i="260"/>
  <c r="P72" i="261" s="1"/>
  <c r="Q72" i="260"/>
  <c r="C72" i="260"/>
  <c r="Q58" i="260"/>
  <c r="C58" i="260"/>
  <c r="D58" i="260"/>
  <c r="C67" i="260"/>
  <c r="D67" i="260"/>
  <c r="P67" i="261" s="1"/>
  <c r="C81" i="260"/>
  <c r="D81" i="260"/>
  <c r="C39" i="260"/>
  <c r="D39" i="260"/>
  <c r="P39" i="261" s="1"/>
  <c r="D49" i="260"/>
  <c r="P49" i="261" s="1"/>
  <c r="Q49" i="260"/>
  <c r="C49" i="260"/>
  <c r="C77" i="260"/>
  <c r="D77" i="260"/>
  <c r="P77" i="261" s="1"/>
  <c r="Q77" i="260"/>
  <c r="C47" i="260"/>
  <c r="D47" i="260"/>
  <c r="P47" i="261" s="1"/>
  <c r="G45" i="260"/>
  <c r="C37" i="260"/>
  <c r="D37" i="260"/>
  <c r="P37" i="261" s="1"/>
  <c r="G9" i="260"/>
  <c r="I17" i="162"/>
  <c r="D16" i="162"/>
  <c r="E16" i="162" s="1"/>
  <c r="F16" i="162" s="1"/>
  <c r="K38" i="162"/>
  <c r="J17" i="162"/>
  <c r="W265" i="274" l="1"/>
  <c r="W701" i="274"/>
  <c r="T264" i="274"/>
  <c r="T700" i="274"/>
  <c r="T515" i="274"/>
  <c r="W516" i="274"/>
  <c r="S263" i="274"/>
  <c r="S699" i="274"/>
  <c r="M32" i="277"/>
  <c r="S514" i="274"/>
  <c r="M49" i="260"/>
  <c r="M58" i="260"/>
  <c r="C9" i="260"/>
  <c r="D9" i="260"/>
  <c r="P9" i="261" s="1"/>
  <c r="I37" i="260"/>
  <c r="Q37" i="261" s="1"/>
  <c r="H37" i="260"/>
  <c r="L9" i="260"/>
  <c r="M77" i="260"/>
  <c r="N77" i="260"/>
  <c r="R77" i="261" s="1"/>
  <c r="Q37" i="260"/>
  <c r="D45" i="260"/>
  <c r="P45" i="261" s="1"/>
  <c r="C45" i="260"/>
  <c r="H47" i="260"/>
  <c r="L45" i="260"/>
  <c r="H81" i="260"/>
  <c r="P81" i="260"/>
  <c r="H67" i="260"/>
  <c r="I67" i="260"/>
  <c r="Q67" i="261" s="1"/>
  <c r="D8" i="259"/>
  <c r="B8" i="259" s="1"/>
  <c r="H77" i="260"/>
  <c r="I77" i="260"/>
  <c r="Q77" i="261" s="1"/>
  <c r="H39" i="260"/>
  <c r="I39" i="260"/>
  <c r="M72" i="260"/>
  <c r="M42" i="260"/>
  <c r="Q47" i="260"/>
  <c r="Q81" i="260"/>
  <c r="Q67" i="260"/>
  <c r="H42" i="260"/>
  <c r="U42" i="260"/>
  <c r="H49" i="260"/>
  <c r="Q39" i="260"/>
  <c r="H72" i="260"/>
  <c r="H58" i="260"/>
  <c r="P58" i="260"/>
  <c r="N58" i="260" s="1"/>
  <c r="K37" i="162"/>
  <c r="J18" i="162"/>
  <c r="D17" i="162"/>
  <c r="E17" i="162" s="1"/>
  <c r="F17" i="162" s="1"/>
  <c r="I18" i="162"/>
  <c r="W700" i="274" l="1"/>
  <c r="W264" i="274"/>
  <c r="T514" i="274"/>
  <c r="T263" i="274"/>
  <c r="T699" i="274"/>
  <c r="W515" i="274"/>
  <c r="S262" i="274"/>
  <c r="S698" i="274"/>
  <c r="M31" i="277"/>
  <c r="S513" i="274"/>
  <c r="I47" i="260"/>
  <c r="Q47" i="261" s="1"/>
  <c r="U47" i="260"/>
  <c r="P49" i="260"/>
  <c r="U49" i="260"/>
  <c r="P72" i="260"/>
  <c r="U72" i="260"/>
  <c r="Q39" i="261"/>
  <c r="T77" i="261"/>
  <c r="X77" i="261" s="1"/>
  <c r="AA77" i="261" s="1"/>
  <c r="S77" i="261"/>
  <c r="W77" i="261" s="1"/>
  <c r="F77" i="268" s="1"/>
  <c r="U77" i="261"/>
  <c r="Y77" i="261" s="1"/>
  <c r="G77" i="268" s="1"/>
  <c r="I42" i="260"/>
  <c r="Q42" i="261" s="1"/>
  <c r="K9" i="260"/>
  <c r="I9" i="260" s="1"/>
  <c r="Q9" i="261" s="1"/>
  <c r="M39" i="260"/>
  <c r="N39" i="260"/>
  <c r="M47" i="260"/>
  <c r="Q45" i="260"/>
  <c r="I81" i="260"/>
  <c r="Q81" i="261" s="1"/>
  <c r="M37" i="260"/>
  <c r="N37" i="260"/>
  <c r="R37" i="261" s="1"/>
  <c r="S37" i="261" s="1"/>
  <c r="W37" i="261" s="1"/>
  <c r="Z37" i="261" s="1"/>
  <c r="Q9" i="260"/>
  <c r="H45" i="260"/>
  <c r="H9" i="260"/>
  <c r="D7" i="259"/>
  <c r="I58" i="260"/>
  <c r="I72" i="260"/>
  <c r="I49" i="260"/>
  <c r="Q49" i="261" s="1"/>
  <c r="M67" i="260"/>
  <c r="N67" i="260"/>
  <c r="R67" i="261" s="1"/>
  <c r="U67" i="261" s="1"/>
  <c r="Y67" i="261" s="1"/>
  <c r="G67" i="268" s="1"/>
  <c r="G8" i="259"/>
  <c r="E8" i="259" s="1"/>
  <c r="H8" i="259" s="1"/>
  <c r="P42" i="260"/>
  <c r="M81" i="260"/>
  <c r="N81" i="260"/>
  <c r="R81" i="261" s="1"/>
  <c r="K45" i="260"/>
  <c r="I45" i="260" s="1"/>
  <c r="Q45" i="261" s="1"/>
  <c r="P47" i="260"/>
  <c r="J19" i="162"/>
  <c r="D18" i="162"/>
  <c r="E18" i="162" s="1"/>
  <c r="F18" i="162" s="1"/>
  <c r="I19" i="162"/>
  <c r="K36" i="162"/>
  <c r="W263" i="274" l="1"/>
  <c r="W699" i="274"/>
  <c r="S261" i="274"/>
  <c r="S697" i="274"/>
  <c r="M30" i="277"/>
  <c r="S512" i="274"/>
  <c r="T262" i="274"/>
  <c r="T513" i="274"/>
  <c r="T698" i="274"/>
  <c r="W514" i="274"/>
  <c r="N72" i="260"/>
  <c r="V72" i="260"/>
  <c r="P9" i="260"/>
  <c r="N9" i="260" s="1"/>
  <c r="R9" i="261" s="1"/>
  <c r="V42" i="260"/>
  <c r="P45" i="260"/>
  <c r="N45" i="260" s="1"/>
  <c r="R45" i="261" s="1"/>
  <c r="S45" i="261" s="1"/>
  <c r="V47" i="260"/>
  <c r="N49" i="260"/>
  <c r="R49" i="261" s="1"/>
  <c r="T49" i="261" s="1"/>
  <c r="X49" i="261" s="1"/>
  <c r="AA49" i="261" s="1"/>
  <c r="V49" i="260"/>
  <c r="Z77" i="261"/>
  <c r="AB67" i="261"/>
  <c r="AB77" i="261"/>
  <c r="R39" i="261"/>
  <c r="T39" i="261" s="1"/>
  <c r="X39" i="261" s="1"/>
  <c r="AA39" i="261" s="1"/>
  <c r="Q72" i="261"/>
  <c r="U37" i="261"/>
  <c r="Y37" i="261" s="1"/>
  <c r="AB37" i="261" s="1"/>
  <c r="S67" i="261"/>
  <c r="W67" i="261" s="1"/>
  <c r="T67" i="261"/>
  <c r="X67" i="261" s="1"/>
  <c r="AA67" i="261" s="1"/>
  <c r="T37" i="261"/>
  <c r="X37" i="261" s="1"/>
  <c r="AA37" i="261" s="1"/>
  <c r="T81" i="261"/>
  <c r="X81" i="261" s="1"/>
  <c r="AA81" i="261" s="1"/>
  <c r="S81" i="261"/>
  <c r="W81" i="261" s="1"/>
  <c r="Z81" i="261" s="1"/>
  <c r="U81" i="261"/>
  <c r="Y81" i="261" s="1"/>
  <c r="AB81" i="261" s="1"/>
  <c r="B7" i="259"/>
  <c r="D9" i="259"/>
  <c r="B9" i="259" s="1"/>
  <c r="M45" i="260"/>
  <c r="N42" i="260"/>
  <c r="R42" i="261" s="1"/>
  <c r="T42" i="261" s="1"/>
  <c r="X42" i="261" s="1"/>
  <c r="AA42" i="261" s="1"/>
  <c r="M9" i="260"/>
  <c r="G7" i="259"/>
  <c r="N47" i="260"/>
  <c r="R47" i="261" s="1"/>
  <c r="I20" i="162"/>
  <c r="D19" i="162"/>
  <c r="E19" i="162" s="1"/>
  <c r="F19" i="162" s="1"/>
  <c r="J20" i="162"/>
  <c r="K35" i="162"/>
  <c r="W262" i="274" l="1"/>
  <c r="W698" i="274"/>
  <c r="T512" i="274"/>
  <c r="T697" i="274"/>
  <c r="T261" i="274"/>
  <c r="W513" i="274"/>
  <c r="S260" i="274"/>
  <c r="S696" i="274"/>
  <c r="M29" i="277"/>
  <c r="S511" i="274"/>
  <c r="R72" i="261"/>
  <c r="T72" i="261" s="1"/>
  <c r="X72" i="261" s="1"/>
  <c r="AA72" i="261" s="1"/>
  <c r="AA53" i="261" s="1"/>
  <c r="AA91" i="261" s="1"/>
  <c r="U49" i="261"/>
  <c r="Y49" i="261" s="1"/>
  <c r="AB49" i="261" s="1"/>
  <c r="S49" i="261"/>
  <c r="W49" i="261" s="1"/>
  <c r="Z49" i="261" s="1"/>
  <c r="Z67" i="261"/>
  <c r="U39" i="261"/>
  <c r="Y39" i="261" s="1"/>
  <c r="AB39" i="261" s="1"/>
  <c r="S39" i="261"/>
  <c r="W39" i="261" s="1"/>
  <c r="Z39" i="261" s="1"/>
  <c r="U42" i="261"/>
  <c r="Y42" i="261" s="1"/>
  <c r="AB42" i="261" s="1"/>
  <c r="U45" i="261"/>
  <c r="S42" i="261"/>
  <c r="W42" i="261" s="1"/>
  <c r="Z42" i="261" s="1"/>
  <c r="T45" i="261"/>
  <c r="S47" i="261"/>
  <c r="W47" i="261" s="1"/>
  <c r="Z47" i="261" s="1"/>
  <c r="T47" i="261"/>
  <c r="X47" i="261" s="1"/>
  <c r="AA47" i="261" s="1"/>
  <c r="U47" i="261"/>
  <c r="Y47" i="261" s="1"/>
  <c r="AB47" i="261" s="1"/>
  <c r="E7" i="259"/>
  <c r="H7" i="259" s="1"/>
  <c r="G9" i="259"/>
  <c r="E9" i="259" s="1"/>
  <c r="H9" i="259" s="1"/>
  <c r="J21" i="162"/>
  <c r="K34" i="162"/>
  <c r="I21" i="162"/>
  <c r="D20" i="162"/>
  <c r="E20" i="162" s="1"/>
  <c r="F20" i="162" s="1"/>
  <c r="U72" i="261" l="1"/>
  <c r="Y72" i="261" s="1"/>
  <c r="W261" i="274"/>
  <c r="W697" i="274"/>
  <c r="T511" i="274"/>
  <c r="T260" i="274"/>
  <c r="T696" i="274"/>
  <c r="W512" i="274"/>
  <c r="S259" i="274"/>
  <c r="S695" i="274"/>
  <c r="S72" i="261"/>
  <c r="W72" i="261" s="1"/>
  <c r="M28" i="277"/>
  <c r="S510" i="274"/>
  <c r="Z72" i="261"/>
  <c r="Z53" i="261" s="1"/>
  <c r="F72" i="268" s="1"/>
  <c r="AB72" i="261"/>
  <c r="AB53" i="261" s="1"/>
  <c r="G72" i="268" s="1"/>
  <c r="D21" i="162"/>
  <c r="E21" i="162" s="1"/>
  <c r="F21" i="162" s="1"/>
  <c r="I22" i="162"/>
  <c r="K33" i="162"/>
  <c r="J22" i="162"/>
  <c r="T259" i="274" l="1"/>
  <c r="T695" i="274"/>
  <c r="T510" i="274"/>
  <c r="W511" i="274"/>
  <c r="W260" i="274"/>
  <c r="W696" i="274"/>
  <c r="S694" i="274"/>
  <c r="S258" i="274"/>
  <c r="M27" i="277"/>
  <c r="S509" i="274"/>
  <c r="G55" i="268"/>
  <c r="G82" i="268"/>
  <c r="G78" i="268"/>
  <c r="G57" i="268"/>
  <c r="G85" i="268"/>
  <c r="G64" i="268"/>
  <c r="G66" i="268"/>
  <c r="G71" i="268"/>
  <c r="G63" i="268"/>
  <c r="G62" i="268"/>
  <c r="G56" i="268"/>
  <c r="G70" i="268"/>
  <c r="G69" i="268"/>
  <c r="G68" i="268"/>
  <c r="G87" i="268"/>
  <c r="G86" i="268"/>
  <c r="G73" i="268"/>
  <c r="G74" i="268"/>
  <c r="G59" i="268"/>
  <c r="G79" i="268"/>
  <c r="G75" i="268"/>
  <c r="G58" i="268"/>
  <c r="G65" i="268"/>
  <c r="G61" i="268"/>
  <c r="G76" i="268"/>
  <c r="G81" i="268"/>
  <c r="G84" i="268"/>
  <c r="G60" i="268"/>
  <c r="G80" i="268"/>
  <c r="G54" i="268"/>
  <c r="F67" i="268"/>
  <c r="F61" i="268"/>
  <c r="F76" i="268"/>
  <c r="F81" i="268"/>
  <c r="F84" i="268"/>
  <c r="F60" i="268"/>
  <c r="F80" i="268"/>
  <c r="F54" i="268"/>
  <c r="F55" i="268"/>
  <c r="F82" i="268"/>
  <c r="F78" i="268"/>
  <c r="F57" i="268"/>
  <c r="F85" i="268"/>
  <c r="F64" i="268"/>
  <c r="F66" i="268"/>
  <c r="F71" i="268"/>
  <c r="F63" i="268"/>
  <c r="F62" i="268"/>
  <c r="F56" i="268"/>
  <c r="F70" i="268"/>
  <c r="F69" i="268"/>
  <c r="F68" i="268"/>
  <c r="F87" i="268"/>
  <c r="F86" i="268"/>
  <c r="F73" i="268"/>
  <c r="F74" i="268"/>
  <c r="F59" i="268"/>
  <c r="F79" i="268"/>
  <c r="F75" i="268"/>
  <c r="F58" i="268"/>
  <c r="F65" i="268"/>
  <c r="AB91" i="261"/>
  <c r="Z91" i="261"/>
  <c r="D22" i="162"/>
  <c r="E22" i="162" s="1"/>
  <c r="F22" i="162" s="1"/>
  <c r="I23" i="162"/>
  <c r="K32" i="162"/>
  <c r="J23" i="162"/>
  <c r="W695" i="274" l="1"/>
  <c r="W259" i="274"/>
  <c r="T509" i="274"/>
  <c r="T258" i="274"/>
  <c r="T694" i="274"/>
  <c r="W510" i="274"/>
  <c r="S257" i="274"/>
  <c r="S693" i="274"/>
  <c r="M26" i="277"/>
  <c r="S508" i="274"/>
  <c r="F53" i="268"/>
  <c r="F91" i="268" s="1"/>
  <c r="G53" i="268"/>
  <c r="G91" i="268" s="1"/>
  <c r="J24" i="162"/>
  <c r="K31" i="162"/>
  <c r="I24" i="162"/>
  <c r="D23" i="162"/>
  <c r="E23" i="162" s="1"/>
  <c r="F23" i="162" s="1"/>
  <c r="W258" i="274" l="1"/>
  <c r="W694" i="274"/>
  <c r="S692" i="274"/>
  <c r="S256" i="274"/>
  <c r="T508" i="274"/>
  <c r="T693" i="274"/>
  <c r="T257" i="274"/>
  <c r="W509" i="274"/>
  <c r="M25" i="277"/>
  <c r="S507" i="274"/>
  <c r="K30" i="162"/>
  <c r="J25" i="162"/>
  <c r="I25" i="162"/>
  <c r="D24" i="162"/>
  <c r="E24" i="162" s="1"/>
  <c r="F24" i="162" s="1"/>
  <c r="W693" i="274" l="1"/>
  <c r="W257" i="274"/>
  <c r="T256" i="274"/>
  <c r="T692" i="274"/>
  <c r="T507" i="274"/>
  <c r="W508" i="274"/>
  <c r="S255" i="274"/>
  <c r="S691" i="274"/>
  <c r="M24" i="277"/>
  <c r="S506" i="274"/>
  <c r="J26" i="162"/>
  <c r="K29" i="162"/>
  <c r="I26" i="162"/>
  <c r="D25" i="162"/>
  <c r="E25" i="162" s="1"/>
  <c r="F25" i="162" s="1"/>
  <c r="W692" i="274" l="1"/>
  <c r="W256" i="274"/>
  <c r="T506" i="274"/>
  <c r="T255" i="274"/>
  <c r="T691" i="274"/>
  <c r="W507" i="274"/>
  <c r="S254" i="274"/>
  <c r="S690" i="274"/>
  <c r="M23" i="277"/>
  <c r="S505" i="274"/>
  <c r="K28" i="162"/>
  <c r="J27" i="162"/>
  <c r="D26" i="162"/>
  <c r="E26" i="162" s="1"/>
  <c r="F26" i="162" s="1"/>
  <c r="I27" i="162"/>
  <c r="W255" i="274" l="1"/>
  <c r="W691" i="274"/>
  <c r="S253" i="274"/>
  <c r="S689" i="274"/>
  <c r="M22" i="277"/>
  <c r="S504" i="274"/>
  <c r="T505" i="274"/>
  <c r="T254" i="274"/>
  <c r="T690" i="274"/>
  <c r="W506" i="274"/>
  <c r="J28" i="162"/>
  <c r="I28" i="162"/>
  <c r="D27" i="162"/>
  <c r="E27" i="162" s="1"/>
  <c r="F27" i="162" s="1"/>
  <c r="K27" i="162"/>
  <c r="T504" i="274" l="1"/>
  <c r="T253" i="274"/>
  <c r="T689" i="274"/>
  <c r="W505" i="274"/>
  <c r="S688" i="274"/>
  <c r="S252" i="274"/>
  <c r="M21" i="277"/>
  <c r="S503" i="274"/>
  <c r="W690" i="274"/>
  <c r="W254" i="274"/>
  <c r="G27" i="162"/>
  <c r="K26" i="162"/>
  <c r="I29" i="162"/>
  <c r="D28" i="162"/>
  <c r="E28" i="162" s="1"/>
  <c r="F28" i="162" s="1"/>
  <c r="G28" i="162" s="1"/>
  <c r="J29" i="162"/>
  <c r="M20" i="277" l="1"/>
  <c r="S502" i="274"/>
  <c r="W253" i="274"/>
  <c r="W689" i="274"/>
  <c r="T252" i="274"/>
  <c r="T503" i="274"/>
  <c r="T688" i="274"/>
  <c r="W504" i="274"/>
  <c r="S251" i="274"/>
  <c r="S687" i="274"/>
  <c r="M28" i="162"/>
  <c r="U507" i="274"/>
  <c r="M27" i="162"/>
  <c r="U506" i="274"/>
  <c r="I30" i="162"/>
  <c r="D29" i="162"/>
  <c r="E29" i="162" s="1"/>
  <c r="F29" i="162" s="1"/>
  <c r="G29" i="162" s="1"/>
  <c r="J30" i="162"/>
  <c r="K25" i="162"/>
  <c r="G26" i="162"/>
  <c r="W252" i="274" l="1"/>
  <c r="W688" i="274"/>
  <c r="T502" i="274"/>
  <c r="T251" i="274"/>
  <c r="T687" i="274"/>
  <c r="W503" i="274"/>
  <c r="S686" i="274"/>
  <c r="S250" i="274"/>
  <c r="M19" i="277"/>
  <c r="S501" i="274"/>
  <c r="M29" i="162"/>
  <c r="U508" i="274"/>
  <c r="U690" i="274"/>
  <c r="U254" i="274"/>
  <c r="X506" i="274"/>
  <c r="U691" i="274"/>
  <c r="U255" i="274"/>
  <c r="X507" i="274"/>
  <c r="M26" i="162"/>
  <c r="U505" i="274"/>
  <c r="J31" i="162"/>
  <c r="K24" i="162"/>
  <c r="G25" i="162"/>
  <c r="D30" i="162"/>
  <c r="E30" i="162" s="1"/>
  <c r="F30" i="162" s="1"/>
  <c r="G30" i="162" s="1"/>
  <c r="I31" i="162"/>
  <c r="S249" i="274" l="1"/>
  <c r="S685" i="274"/>
  <c r="W251" i="274"/>
  <c r="W687" i="274"/>
  <c r="T501" i="274"/>
  <c r="T686" i="274"/>
  <c r="T250" i="274"/>
  <c r="W502" i="274"/>
  <c r="M18" i="277"/>
  <c r="S500" i="274"/>
  <c r="M30" i="162"/>
  <c r="U509" i="274"/>
  <c r="U256" i="274"/>
  <c r="U692" i="274"/>
  <c r="X508" i="274"/>
  <c r="X255" i="274"/>
  <c r="X691" i="274"/>
  <c r="M25" i="162"/>
  <c r="U504" i="274"/>
  <c r="X254" i="274"/>
  <c r="X690" i="274"/>
  <c r="U689" i="274"/>
  <c r="U253" i="274"/>
  <c r="X505" i="274"/>
  <c r="K23" i="162"/>
  <c r="G24" i="162"/>
  <c r="I32" i="162"/>
  <c r="D31" i="162"/>
  <c r="E31" i="162" s="1"/>
  <c r="F31" i="162" s="1"/>
  <c r="G31" i="162" s="1"/>
  <c r="J32" i="162"/>
  <c r="W686" i="274" l="1"/>
  <c r="W250" i="274"/>
  <c r="T249" i="274"/>
  <c r="T685" i="274"/>
  <c r="T500" i="274"/>
  <c r="W501" i="274"/>
  <c r="S684" i="274"/>
  <c r="S248" i="274"/>
  <c r="M17" i="277"/>
  <c r="S499" i="274"/>
  <c r="M24" i="162"/>
  <c r="U503" i="274"/>
  <c r="X253" i="274"/>
  <c r="X689" i="274"/>
  <c r="X256" i="274"/>
  <c r="X692" i="274"/>
  <c r="M31" i="162"/>
  <c r="U510" i="274"/>
  <c r="U693" i="274"/>
  <c r="U257" i="274"/>
  <c r="X509" i="274"/>
  <c r="U252" i="274"/>
  <c r="U688" i="274"/>
  <c r="X504" i="274"/>
  <c r="D32" i="162"/>
  <c r="E32" i="162" s="1"/>
  <c r="F32" i="162" s="1"/>
  <c r="G32" i="162" s="1"/>
  <c r="I33" i="162"/>
  <c r="J33" i="162"/>
  <c r="G23" i="162"/>
  <c r="K22" i="162"/>
  <c r="W685" i="274" l="1"/>
  <c r="W249" i="274"/>
  <c r="T248" i="274"/>
  <c r="T499" i="274"/>
  <c r="T684" i="274"/>
  <c r="W500" i="274"/>
  <c r="S247" i="274"/>
  <c r="S683" i="274"/>
  <c r="M16" i="277"/>
  <c r="S497" i="274" s="1"/>
  <c r="S498" i="274"/>
  <c r="U694" i="274"/>
  <c r="U258" i="274"/>
  <c r="X510" i="274"/>
  <c r="M32" i="162"/>
  <c r="U511" i="274"/>
  <c r="X688" i="274"/>
  <c r="X252" i="274"/>
  <c r="X693" i="274"/>
  <c r="X257" i="274"/>
  <c r="M23" i="162"/>
  <c r="U502" i="274"/>
  <c r="U251" i="274"/>
  <c r="U687" i="274"/>
  <c r="X503" i="274"/>
  <c r="J34" i="162"/>
  <c r="K21" i="162"/>
  <c r="G22" i="162"/>
  <c r="I34" i="162"/>
  <c r="D33" i="162"/>
  <c r="E33" i="162" s="1"/>
  <c r="F33" i="162" s="1"/>
  <c r="G33" i="162" s="1"/>
  <c r="B12" i="179"/>
  <c r="C5" i="174"/>
  <c r="W248" i="274" l="1"/>
  <c r="W684" i="274"/>
  <c r="T498" i="274"/>
  <c r="T247" i="274"/>
  <c r="T683" i="274"/>
  <c r="W499" i="274"/>
  <c r="S246" i="274"/>
  <c r="S682" i="274"/>
  <c r="S245" i="274"/>
  <c r="S681" i="274"/>
  <c r="M33" i="162"/>
  <c r="U512" i="274"/>
  <c r="U686" i="274"/>
  <c r="U250" i="274"/>
  <c r="X502" i="274"/>
  <c r="X258" i="274"/>
  <c r="X694" i="274"/>
  <c r="X251" i="274"/>
  <c r="X687" i="274"/>
  <c r="U695" i="274"/>
  <c r="U259" i="274"/>
  <c r="X511" i="274"/>
  <c r="M22" i="162"/>
  <c r="U501" i="274"/>
  <c r="D12" i="179"/>
  <c r="K20" i="162"/>
  <c r="G21" i="162"/>
  <c r="I35" i="162"/>
  <c r="D34" i="162"/>
  <c r="E34" i="162" s="1"/>
  <c r="F34" i="162" s="1"/>
  <c r="G34" i="162" s="1"/>
  <c r="J35" i="162"/>
  <c r="W247" i="274" l="1"/>
  <c r="W683" i="274"/>
  <c r="T497" i="274"/>
  <c r="T246" i="274"/>
  <c r="T682" i="274"/>
  <c r="W498" i="274"/>
  <c r="U249" i="274"/>
  <c r="U685" i="274"/>
  <c r="X501" i="274"/>
  <c r="X250" i="274"/>
  <c r="X686" i="274"/>
  <c r="X259" i="274"/>
  <c r="X695" i="274"/>
  <c r="M34" i="162"/>
  <c r="U513" i="274"/>
  <c r="U696" i="274"/>
  <c r="U260" i="274"/>
  <c r="X512" i="274"/>
  <c r="M21" i="162"/>
  <c r="U500" i="274"/>
  <c r="K19" i="162"/>
  <c r="G20" i="162"/>
  <c r="J36" i="162"/>
  <c r="I36" i="162"/>
  <c r="D35" i="162"/>
  <c r="E35" i="162" s="1"/>
  <c r="F35" i="162" s="1"/>
  <c r="G35" i="162" s="1"/>
  <c r="W682" i="274" l="1"/>
  <c r="W246" i="274"/>
  <c r="T245" i="274"/>
  <c r="T681" i="274"/>
  <c r="W497" i="274"/>
  <c r="U248" i="274"/>
  <c r="U684" i="274"/>
  <c r="X500" i="274"/>
  <c r="X696" i="274"/>
  <c r="X260" i="274"/>
  <c r="M35" i="162"/>
  <c r="U514" i="274"/>
  <c r="X249" i="274"/>
  <c r="X685" i="274"/>
  <c r="U697" i="274"/>
  <c r="U261" i="274"/>
  <c r="X513" i="274"/>
  <c r="M20" i="162"/>
  <c r="U499" i="274"/>
  <c r="D36" i="162"/>
  <c r="E36" i="162" s="1"/>
  <c r="F36" i="162" s="1"/>
  <c r="G36" i="162" s="1"/>
  <c r="I37" i="162"/>
  <c r="K18" i="162"/>
  <c r="G19" i="162"/>
  <c r="J37" i="162"/>
  <c r="W245" i="274" l="1"/>
  <c r="W681" i="274"/>
  <c r="U262" i="274"/>
  <c r="U698" i="274"/>
  <c r="X514" i="274"/>
  <c r="U683" i="274"/>
  <c r="U247" i="274"/>
  <c r="X499" i="274"/>
  <c r="X261" i="274"/>
  <c r="X697" i="274"/>
  <c r="M36" i="162"/>
  <c r="U515" i="274"/>
  <c r="X248" i="274"/>
  <c r="X684" i="274"/>
  <c r="M19" i="162"/>
  <c r="U498" i="274"/>
  <c r="K17" i="162"/>
  <c r="G18" i="162"/>
  <c r="J38" i="162"/>
  <c r="I38" i="162"/>
  <c r="D37" i="162"/>
  <c r="E37" i="162" s="1"/>
  <c r="F37" i="162" s="1"/>
  <c r="G37" i="162" s="1"/>
  <c r="M18" i="162" l="1"/>
  <c r="U497" i="274"/>
  <c r="X247" i="274"/>
  <c r="X683" i="274"/>
  <c r="U682" i="274"/>
  <c r="U246" i="274"/>
  <c r="X498" i="274"/>
  <c r="M37" i="162"/>
  <c r="U516" i="274"/>
  <c r="X262" i="274"/>
  <c r="X698" i="274"/>
  <c r="U263" i="274"/>
  <c r="U699" i="274"/>
  <c r="X515" i="274"/>
  <c r="J39" i="162"/>
  <c r="I39" i="162"/>
  <c r="D38" i="162"/>
  <c r="E38" i="162" s="1"/>
  <c r="F38" i="162" s="1"/>
  <c r="G38" i="162" s="1"/>
  <c r="K16" i="162"/>
  <c r="G17" i="162"/>
  <c r="M17" i="162" s="1"/>
  <c r="X246" i="274" l="1"/>
  <c r="X682" i="274"/>
  <c r="X263" i="274"/>
  <c r="X699" i="274"/>
  <c r="U681" i="274"/>
  <c r="U245" i="274"/>
  <c r="X497" i="274"/>
  <c r="M38" i="162"/>
  <c r="U517" i="274"/>
  <c r="U264" i="274"/>
  <c r="U700" i="274"/>
  <c r="X516" i="274"/>
  <c r="I40" i="162"/>
  <c r="D39" i="162"/>
  <c r="E39" i="162" s="1"/>
  <c r="F39" i="162" s="1"/>
  <c r="G39" i="162" s="1"/>
  <c r="J40" i="162"/>
  <c r="K15" i="162"/>
  <c r="G16" i="162"/>
  <c r="M16" i="162" s="1"/>
  <c r="X681" i="274" l="1"/>
  <c r="X245" i="274"/>
  <c r="X264" i="274"/>
  <c r="X700" i="274"/>
  <c r="M39" i="162"/>
  <c r="U518" i="274"/>
  <c r="U701" i="274"/>
  <c r="U265" i="274"/>
  <c r="X517" i="274"/>
  <c r="J41" i="162"/>
  <c r="K14" i="162"/>
  <c r="G15" i="162"/>
  <c r="M15" i="162" s="1"/>
  <c r="D40" i="162"/>
  <c r="E40" i="162" s="1"/>
  <c r="F40" i="162" s="1"/>
  <c r="G40" i="162" s="1"/>
  <c r="I41" i="162"/>
  <c r="M40" i="162" l="1"/>
  <c r="U519" i="274"/>
  <c r="U266" i="274"/>
  <c r="U702" i="274"/>
  <c r="X518" i="274"/>
  <c r="X265" i="274"/>
  <c r="X701" i="274"/>
  <c r="K13" i="162"/>
  <c r="G14" i="162"/>
  <c r="M14" i="162" s="1"/>
  <c r="I42" i="162"/>
  <c r="D41" i="162"/>
  <c r="E41" i="162" s="1"/>
  <c r="F41" i="162" s="1"/>
  <c r="G41" i="162" s="1"/>
  <c r="J42" i="162"/>
  <c r="X702" i="274" l="1"/>
  <c r="X266" i="274"/>
  <c r="M41" i="162"/>
  <c r="U520" i="274"/>
  <c r="U703" i="274"/>
  <c r="U267" i="274"/>
  <c r="X519" i="274"/>
  <c r="B5" i="174"/>
  <c r="D42" i="162"/>
  <c r="E42" i="162" s="1"/>
  <c r="F42" i="162" s="1"/>
  <c r="G42" i="162" s="1"/>
  <c r="I43" i="162"/>
  <c r="J43" i="162"/>
  <c r="G13" i="162"/>
  <c r="M13" i="162" s="1"/>
  <c r="B11" i="179" s="1"/>
  <c r="K12" i="162"/>
  <c r="X703" i="274" l="1"/>
  <c r="X267" i="274"/>
  <c r="U704" i="274"/>
  <c r="U268" i="274"/>
  <c r="X520" i="274"/>
  <c r="M42" i="162"/>
  <c r="B13" i="179" s="1"/>
  <c r="U521" i="274"/>
  <c r="D5" i="174"/>
  <c r="G12" i="162"/>
  <c r="M12" i="162" s="1"/>
  <c r="K11" i="162"/>
  <c r="D11" i="179"/>
  <c r="D10" i="179"/>
  <c r="J44" i="162"/>
  <c r="D43" i="162"/>
  <c r="E43" i="162" s="1"/>
  <c r="F43" i="162" s="1"/>
  <c r="G43" i="162" s="1"/>
  <c r="I44" i="162"/>
  <c r="U705" i="274" l="1"/>
  <c r="U269" i="274"/>
  <c r="X521" i="274"/>
  <c r="M43" i="162"/>
  <c r="U522" i="274"/>
  <c r="X704" i="274"/>
  <c r="X268" i="274"/>
  <c r="D9" i="179"/>
  <c r="D13" i="179"/>
  <c r="J45" i="162"/>
  <c r="G11" i="162"/>
  <c r="M11" i="162" s="1"/>
  <c r="K10" i="162"/>
  <c r="I45" i="162"/>
  <c r="D44" i="162"/>
  <c r="E44" i="162" s="1"/>
  <c r="F44" i="162" s="1"/>
  <c r="G44" i="162" s="1"/>
  <c r="M44" i="162" l="1"/>
  <c r="U523" i="274"/>
  <c r="U706" i="274"/>
  <c r="U270" i="274"/>
  <c r="X522" i="274"/>
  <c r="X705" i="274"/>
  <c r="X269" i="274"/>
  <c r="D8" i="179"/>
  <c r="J46" i="162"/>
  <c r="I46" i="162"/>
  <c r="D45" i="162"/>
  <c r="E45" i="162" s="1"/>
  <c r="F45" i="162" s="1"/>
  <c r="G45" i="162" s="1"/>
  <c r="K9" i="162"/>
  <c r="G10" i="162"/>
  <c r="M10" i="162" s="1"/>
  <c r="X270" i="274" l="1"/>
  <c r="X706" i="274"/>
  <c r="M45" i="162"/>
  <c r="U524" i="274"/>
  <c r="U271" i="274"/>
  <c r="U707" i="274"/>
  <c r="X523" i="274"/>
  <c r="D7" i="179"/>
  <c r="J47" i="162"/>
  <c r="G9" i="162"/>
  <c r="M9" i="162" s="1"/>
  <c r="K8" i="162"/>
  <c r="G8" i="162" s="1"/>
  <c r="M8" i="162" s="1"/>
  <c r="I47" i="162"/>
  <c r="D47" i="162" s="1"/>
  <c r="E47" i="162" s="1"/>
  <c r="D46" i="162"/>
  <c r="E46" i="162" s="1"/>
  <c r="F46" i="162" s="1"/>
  <c r="G46" i="162" s="1"/>
  <c r="X271" i="274" l="1"/>
  <c r="X707" i="274"/>
  <c r="M46" i="162"/>
  <c r="U525" i="274"/>
  <c r="U272" i="274"/>
  <c r="U708" i="274"/>
  <c r="X524" i="274"/>
  <c r="F47" i="162"/>
  <c r="G47" i="162" s="1"/>
  <c r="D6" i="179"/>
  <c r="M47" i="162" l="1"/>
  <c r="U526" i="274"/>
  <c r="X272" i="274"/>
  <c r="X708" i="274"/>
  <c r="U273" i="274"/>
  <c r="U709" i="274"/>
  <c r="X525" i="274"/>
  <c r="E5" i="174"/>
  <c r="B14" i="179"/>
  <c r="X709" i="274" l="1"/>
  <c r="X273" i="274"/>
  <c r="U274" i="274"/>
  <c r="U710" i="274"/>
  <c r="X526" i="274"/>
  <c r="D14" i="179"/>
  <c r="L526" i="274" l="1"/>
  <c r="X274" i="274"/>
  <c r="L274" i="274" s="1"/>
  <c r="X710" i="274"/>
  <c r="L710" i="274" s="1"/>
  <c r="F16" i="263"/>
  <c r="F17" i="263" s="1"/>
  <c r="G16" i="263"/>
  <c r="G17" i="263" s="1"/>
  <c r="C16" i="263"/>
  <c r="C17" i="263" s="1"/>
  <c r="M710" i="274" l="1"/>
  <c r="P710" i="274" s="1"/>
  <c r="O710" i="274"/>
  <c r="L709" i="274"/>
  <c r="N710" i="274"/>
  <c r="Q710" i="274" s="1"/>
  <c r="M274" i="274"/>
  <c r="P274" i="274" s="1"/>
  <c r="L273" i="274"/>
  <c r="N274" i="274"/>
  <c r="Q274" i="274" s="1"/>
  <c r="O274" i="274"/>
  <c r="L525" i="274"/>
  <c r="M526" i="274"/>
  <c r="P526" i="274" s="1"/>
  <c r="O526" i="274"/>
  <c r="N526" i="274"/>
  <c r="Q526" i="274" s="1"/>
  <c r="V70" i="271"/>
  <c r="Q14" i="271"/>
  <c r="Q20" i="271"/>
  <c r="W45" i="271"/>
  <c r="Q16" i="271"/>
  <c r="W38" i="271"/>
  <c r="V58" i="271"/>
  <c r="V18" i="271"/>
  <c r="V83" i="271"/>
  <c r="V16" i="271"/>
  <c r="V14" i="271"/>
  <c r="V47" i="271"/>
  <c r="V35" i="271"/>
  <c r="V59" i="271"/>
  <c r="V23" i="271"/>
  <c r="V28" i="271"/>
  <c r="V44" i="271"/>
  <c r="V17" i="271"/>
  <c r="V65" i="271"/>
  <c r="V61" i="271"/>
  <c r="V48" i="271"/>
  <c r="V37" i="271"/>
  <c r="V22" i="271"/>
  <c r="V89" i="271"/>
  <c r="V72" i="271"/>
  <c r="V62" i="271"/>
  <c r="V30" i="271"/>
  <c r="V86" i="271"/>
  <c r="V55" i="271"/>
  <c r="V60" i="271"/>
  <c r="V24" i="271"/>
  <c r="V34" i="271"/>
  <c r="V45" i="271"/>
  <c r="V76" i="271"/>
  <c r="V79" i="271"/>
  <c r="V39" i="271"/>
  <c r="V36" i="271"/>
  <c r="V68" i="271"/>
  <c r="V27" i="271"/>
  <c r="V50" i="271"/>
  <c r="V77" i="271"/>
  <c r="V78" i="271"/>
  <c r="V49" i="271"/>
  <c r="V38" i="271"/>
  <c r="V32" i="271"/>
  <c r="V19" i="271"/>
  <c r="V64" i="271"/>
  <c r="V93" i="271"/>
  <c r="V82" i="271"/>
  <c r="V85" i="271"/>
  <c r="V69" i="271"/>
  <c r="V80" i="271"/>
  <c r="V84" i="271"/>
  <c r="V75" i="271"/>
  <c r="V88" i="271"/>
  <c r="V73" i="271"/>
  <c r="V71" i="271"/>
  <c r="V56" i="271"/>
  <c r="V63" i="271"/>
  <c r="V51" i="271"/>
  <c r="V66" i="271"/>
  <c r="V52" i="271"/>
  <c r="V53" i="271"/>
  <c r="V29" i="271"/>
  <c r="V15" i="271"/>
  <c r="V81" i="271"/>
  <c r="V87" i="271"/>
  <c r="V12" i="271"/>
  <c r="V21" i="271"/>
  <c r="V67" i="271"/>
  <c r="V20" i="271"/>
  <c r="V40" i="271"/>
  <c r="V57" i="271"/>
  <c r="V90" i="271"/>
  <c r="V74" i="271"/>
  <c r="V92" i="271"/>
  <c r="T52" i="271"/>
  <c r="T45" i="271"/>
  <c r="T28" i="271"/>
  <c r="T14" i="271"/>
  <c r="T84" i="271"/>
  <c r="T77" i="271"/>
  <c r="T57" i="271"/>
  <c r="T19" i="271"/>
  <c r="T51" i="271"/>
  <c r="T81" i="271"/>
  <c r="T82" i="271"/>
  <c r="T16" i="271"/>
  <c r="T38" i="271"/>
  <c r="T90" i="271"/>
  <c r="T40" i="271"/>
  <c r="T36" i="271"/>
  <c r="T66" i="271"/>
  <c r="T61" i="271"/>
  <c r="T44" i="271"/>
  <c r="T71" i="271"/>
  <c r="T89" i="271"/>
  <c r="T22" i="271"/>
  <c r="T63" i="271"/>
  <c r="T50" i="271"/>
  <c r="T15" i="271"/>
  <c r="T93" i="271"/>
  <c r="T75" i="271"/>
  <c r="T24" i="271"/>
  <c r="T35" i="271"/>
  <c r="T18" i="271"/>
  <c r="T88" i="271"/>
  <c r="T41" i="271"/>
  <c r="T73" i="271"/>
  <c r="T21" i="271"/>
  <c r="T79" i="271"/>
  <c r="T34" i="271"/>
  <c r="T68" i="271"/>
  <c r="T72" i="271"/>
  <c r="T86" i="271"/>
  <c r="T32" i="271"/>
  <c r="T55" i="271"/>
  <c r="T69" i="271"/>
  <c r="T17" i="271"/>
  <c r="T47" i="271"/>
  <c r="T26" i="271"/>
  <c r="T65" i="271"/>
  <c r="T58" i="271"/>
  <c r="T87" i="271"/>
  <c r="T92" i="271"/>
  <c r="T59" i="271"/>
  <c r="T20" i="271"/>
  <c r="T74" i="271"/>
  <c r="T62" i="271"/>
  <c r="T37" i="271"/>
  <c r="T53" i="271"/>
  <c r="T67" i="271"/>
  <c r="T49" i="271"/>
  <c r="T60" i="271"/>
  <c r="T29" i="271"/>
  <c r="T27" i="271"/>
  <c r="T48" i="271"/>
  <c r="T78" i="271"/>
  <c r="T43" i="271"/>
  <c r="T30" i="271"/>
  <c r="T70" i="271"/>
  <c r="T23" i="271"/>
  <c r="T80" i="271"/>
  <c r="T39" i="271"/>
  <c r="T76" i="271"/>
  <c r="T85" i="271"/>
  <c r="T64" i="271"/>
  <c r="T83" i="271"/>
  <c r="T56" i="271"/>
  <c r="T12" i="271"/>
  <c r="X82" i="271"/>
  <c r="X47" i="271"/>
  <c r="X30" i="271"/>
  <c r="X53" i="271"/>
  <c r="X12" i="271"/>
  <c r="X69" i="271"/>
  <c r="X20" i="271"/>
  <c r="X62" i="271"/>
  <c r="X45" i="271"/>
  <c r="X57" i="271"/>
  <c r="X22" i="271"/>
  <c r="X49" i="271"/>
  <c r="X75" i="271"/>
  <c r="X55" i="271"/>
  <c r="X66" i="271"/>
  <c r="X56" i="271"/>
  <c r="X58" i="271"/>
  <c r="X38" i="271"/>
  <c r="X41" i="271"/>
  <c r="X15" i="271"/>
  <c r="X48" i="271"/>
  <c r="X76" i="271"/>
  <c r="X16" i="271"/>
  <c r="X79" i="271"/>
  <c r="X83" i="271"/>
  <c r="X87" i="271"/>
  <c r="X90" i="271"/>
  <c r="X64" i="271"/>
  <c r="X78" i="271"/>
  <c r="X23" i="271"/>
  <c r="X36" i="271"/>
  <c r="X34" i="271"/>
  <c r="X85" i="271"/>
  <c r="X88" i="271"/>
  <c r="X32" i="271"/>
  <c r="X71" i="271"/>
  <c r="X28" i="271"/>
  <c r="X68" i="271"/>
  <c r="X29" i="271"/>
  <c r="X61" i="271"/>
  <c r="X50" i="271"/>
  <c r="X17" i="271"/>
  <c r="X35" i="271"/>
  <c r="X39" i="271"/>
  <c r="X52" i="271"/>
  <c r="X72" i="271"/>
  <c r="X74" i="271"/>
  <c r="X65" i="271"/>
  <c r="X89" i="271"/>
  <c r="X51" i="271"/>
  <c r="X18" i="271"/>
  <c r="X81" i="271"/>
  <c r="X43" i="271"/>
  <c r="X14" i="271"/>
  <c r="X44" i="271"/>
  <c r="X63" i="271"/>
  <c r="X70" i="271"/>
  <c r="X67" i="271"/>
  <c r="X59" i="271"/>
  <c r="X27" i="271"/>
  <c r="X80" i="271"/>
  <c r="X26" i="271"/>
  <c r="X93" i="271"/>
  <c r="X86" i="271"/>
  <c r="X60" i="271"/>
  <c r="X92" i="271"/>
  <c r="X19" i="271"/>
  <c r="X84" i="271"/>
  <c r="X40" i="271"/>
  <c r="X73" i="271"/>
  <c r="X21" i="271"/>
  <c r="X37" i="271"/>
  <c r="X77" i="271"/>
  <c r="X24" i="271"/>
  <c r="R47" i="271"/>
  <c r="R82" i="271"/>
  <c r="R41" i="271"/>
  <c r="R70" i="271"/>
  <c r="R37" i="271"/>
  <c r="R49" i="271"/>
  <c r="R57" i="271"/>
  <c r="R21" i="271"/>
  <c r="R61" i="271"/>
  <c r="R29" i="271"/>
  <c r="R17" i="271"/>
  <c r="R16" i="271"/>
  <c r="R44" i="271"/>
  <c r="R81" i="271"/>
  <c r="R32" i="271"/>
  <c r="R12" i="271"/>
  <c r="R50" i="271"/>
  <c r="R28" i="271"/>
  <c r="R30" i="271"/>
  <c r="R56" i="271"/>
  <c r="R39" i="271"/>
  <c r="R23" i="271"/>
  <c r="R67" i="271"/>
  <c r="R93" i="271"/>
  <c r="R26" i="271"/>
  <c r="R85" i="271"/>
  <c r="R48" i="271"/>
  <c r="R24" i="271"/>
  <c r="R35" i="271"/>
  <c r="R71" i="271"/>
  <c r="R75" i="271"/>
  <c r="R79" i="271"/>
  <c r="R15" i="271"/>
  <c r="R86" i="271"/>
  <c r="R36" i="271"/>
  <c r="R20" i="271"/>
  <c r="R92" i="271"/>
  <c r="R77" i="271"/>
  <c r="R65" i="271"/>
  <c r="R83" i="271"/>
  <c r="R80" i="271"/>
  <c r="R63" i="271"/>
  <c r="R40" i="271"/>
  <c r="R64" i="271"/>
  <c r="R66" i="271"/>
  <c r="R18" i="271"/>
  <c r="R87" i="271"/>
  <c r="R60" i="271"/>
  <c r="R34" i="271"/>
  <c r="R19" i="271"/>
  <c r="R38" i="271"/>
  <c r="R88" i="271"/>
  <c r="R45" i="271"/>
  <c r="R73" i="271"/>
  <c r="R22" i="271"/>
  <c r="R76" i="271"/>
  <c r="R89" i="271"/>
  <c r="R84" i="271"/>
  <c r="R52" i="271"/>
  <c r="R43" i="271"/>
  <c r="R72" i="271"/>
  <c r="R53" i="271"/>
  <c r="R14" i="271"/>
  <c r="R69" i="271"/>
  <c r="R62" i="271"/>
  <c r="R78" i="271"/>
  <c r="R90" i="271"/>
  <c r="R68" i="271"/>
  <c r="R74" i="271"/>
  <c r="R59" i="271"/>
  <c r="R58" i="271"/>
  <c r="R27" i="271"/>
  <c r="R51" i="271"/>
  <c r="R55" i="271"/>
  <c r="Q48" i="271"/>
  <c r="Q52" i="271"/>
  <c r="Q32" i="271"/>
  <c r="Q36" i="271"/>
  <c r="Q73" i="271"/>
  <c r="Q72" i="271"/>
  <c r="Q75" i="271"/>
  <c r="Q63" i="271"/>
  <c r="Q88" i="271"/>
  <c r="Q58" i="271"/>
  <c r="Q83" i="271"/>
  <c r="Q81" i="271"/>
  <c r="Q78" i="271"/>
  <c r="Q65" i="271"/>
  <c r="Q56" i="271"/>
  <c r="Q57" i="271"/>
  <c r="Q59" i="271"/>
  <c r="Q61" i="271"/>
  <c r="Q80" i="271"/>
  <c r="Q74" i="271"/>
  <c r="Q70" i="271"/>
  <c r="Q89" i="271"/>
  <c r="Q64" i="271"/>
  <c r="Q86" i="271"/>
  <c r="Q60" i="271"/>
  <c r="Q87" i="271"/>
  <c r="Q85" i="271"/>
  <c r="Q77" i="271"/>
  <c r="Q68" i="271"/>
  <c r="Q69" i="271"/>
  <c r="Q71" i="271"/>
  <c r="Q82" i="271"/>
  <c r="Q62" i="271"/>
  <c r="Q66" i="271"/>
  <c r="Q90" i="271"/>
  <c r="Q67" i="271"/>
  <c r="Q84" i="271"/>
  <c r="Q79" i="271"/>
  <c r="Q76" i="271"/>
  <c r="Q92" i="271"/>
  <c r="Q55" i="271"/>
  <c r="Q38" i="271"/>
  <c r="S26" i="271"/>
  <c r="S72" i="271"/>
  <c r="S14" i="271"/>
  <c r="S65" i="271"/>
  <c r="S67" i="271"/>
  <c r="S85" i="271"/>
  <c r="S15" i="271"/>
  <c r="S21" i="271"/>
  <c r="S89" i="271"/>
  <c r="S79" i="271"/>
  <c r="S48" i="271"/>
  <c r="S20" i="271"/>
  <c r="S66" i="271"/>
  <c r="S71" i="271"/>
  <c r="S18" i="271"/>
  <c r="S17" i="271"/>
  <c r="S90" i="271"/>
  <c r="S77" i="271"/>
  <c r="S41" i="271"/>
  <c r="S52" i="271"/>
  <c r="S63" i="271"/>
  <c r="S39" i="271"/>
  <c r="S45" i="271"/>
  <c r="S35" i="271"/>
  <c r="S69" i="271"/>
  <c r="S93" i="271"/>
  <c r="S82" i="271"/>
  <c r="S70" i="271"/>
  <c r="S86" i="271"/>
  <c r="S61" i="271"/>
  <c r="S12" i="271"/>
  <c r="S80" i="271"/>
  <c r="S22" i="271"/>
  <c r="S83" i="271"/>
  <c r="S44" i="271"/>
  <c r="S29" i="271"/>
  <c r="S76" i="271"/>
  <c r="S27" i="271"/>
  <c r="S55" i="271"/>
  <c r="S73" i="271"/>
  <c r="S47" i="271"/>
  <c r="S43" i="271"/>
  <c r="S68" i="271"/>
  <c r="S62" i="271"/>
  <c r="S36" i="271"/>
  <c r="S50" i="271"/>
  <c r="S84" i="271"/>
  <c r="S57" i="271"/>
  <c r="S30" i="271"/>
  <c r="S34" i="271"/>
  <c r="S38" i="271"/>
  <c r="S51" i="271"/>
  <c r="S56" i="271"/>
  <c r="S88" i="271"/>
  <c r="S78" i="271"/>
  <c r="S58" i="271"/>
  <c r="S19" i="271"/>
  <c r="S74" i="271"/>
  <c r="S87" i="271"/>
  <c r="S60" i="271"/>
  <c r="S59" i="271"/>
  <c r="S81" i="271"/>
  <c r="S23" i="271"/>
  <c r="S24" i="271"/>
  <c r="S53" i="271"/>
  <c r="S75" i="271"/>
  <c r="S32" i="271"/>
  <c r="S28" i="271"/>
  <c r="S49" i="271"/>
  <c r="S16" i="271"/>
  <c r="S92" i="271"/>
  <c r="S37" i="271"/>
  <c r="S40" i="271"/>
  <c r="S64" i="271"/>
  <c r="W17" i="271"/>
  <c r="W35" i="271"/>
  <c r="Q11" i="271"/>
  <c r="W39" i="271"/>
  <c r="P39" i="271" s="1"/>
  <c r="W74" i="271"/>
  <c r="W56" i="271"/>
  <c r="W84" i="271"/>
  <c r="W65" i="271"/>
  <c r="W79" i="271"/>
  <c r="W57" i="271"/>
  <c r="W70" i="271"/>
  <c r="W86" i="271"/>
  <c r="W60" i="271"/>
  <c r="W82" i="271"/>
  <c r="W92" i="271"/>
  <c r="W87" i="271"/>
  <c r="W55" i="271"/>
  <c r="W68" i="271"/>
  <c r="W67" i="271"/>
  <c r="W73" i="271"/>
  <c r="W72" i="271"/>
  <c r="W64" i="271"/>
  <c r="W88" i="271"/>
  <c r="W59" i="271"/>
  <c r="W61" i="271"/>
  <c r="W78" i="271"/>
  <c r="W77" i="271"/>
  <c r="W69" i="271"/>
  <c r="W75" i="271"/>
  <c r="W62" i="271"/>
  <c r="W83" i="271"/>
  <c r="W89" i="271"/>
  <c r="W76" i="271"/>
  <c r="W63" i="271"/>
  <c r="W66" i="271"/>
  <c r="W58" i="271"/>
  <c r="W71" i="271"/>
  <c r="W90" i="271"/>
  <c r="W80" i="271"/>
  <c r="W81" i="271"/>
  <c r="W85" i="271"/>
  <c r="N273" i="274" l="1"/>
  <c r="Q273" i="274" s="1"/>
  <c r="L272" i="274"/>
  <c r="M273" i="274"/>
  <c r="P273" i="274" s="1"/>
  <c r="O273" i="274"/>
  <c r="O709" i="274"/>
  <c r="N709" i="274"/>
  <c r="Q709" i="274" s="1"/>
  <c r="M709" i="274"/>
  <c r="P709" i="274" s="1"/>
  <c r="L708" i="274"/>
  <c r="N525" i="274"/>
  <c r="Q525" i="274" s="1"/>
  <c r="L524" i="274"/>
  <c r="M525" i="274"/>
  <c r="P525" i="274" s="1"/>
  <c r="O525" i="274"/>
  <c r="P38" i="271"/>
  <c r="P35" i="271"/>
  <c r="P17" i="271"/>
  <c r="Q43" i="271"/>
  <c r="X11" i="271"/>
  <c r="X10" i="271" s="1"/>
  <c r="Q41" i="271"/>
  <c r="W49" i="271"/>
  <c r="P49" i="271" s="1"/>
  <c r="W43" i="271"/>
  <c r="P43" i="271" s="1"/>
  <c r="Q22" i="271"/>
  <c r="T11" i="271"/>
  <c r="T10" i="271" s="1"/>
  <c r="V41" i="271"/>
  <c r="W14" i="271"/>
  <c r="P14" i="271" s="1"/>
  <c r="V43" i="271"/>
  <c r="W27" i="271"/>
  <c r="P27" i="271" s="1"/>
  <c r="P45" i="271"/>
  <c r="W26" i="271"/>
  <c r="P26" i="271" s="1"/>
  <c r="V11" i="271"/>
  <c r="S11" i="271"/>
  <c r="S10" i="271" s="1"/>
  <c r="Q19" i="271"/>
  <c r="U84" i="271"/>
  <c r="V26" i="271"/>
  <c r="Q49" i="271"/>
  <c r="R11" i="271"/>
  <c r="R10" i="271" s="1"/>
  <c r="Q50" i="271"/>
  <c r="Q24" i="271"/>
  <c r="U27" i="271"/>
  <c r="U90" i="271"/>
  <c r="U71" i="271"/>
  <c r="U59" i="271"/>
  <c r="U65" i="271"/>
  <c r="U67" i="271"/>
  <c r="U76" i="271"/>
  <c r="U78" i="271"/>
  <c r="U77" i="271"/>
  <c r="U83" i="271"/>
  <c r="W28" i="271"/>
  <c r="P28" i="271" s="1"/>
  <c r="W19" i="271"/>
  <c r="P19" i="271" s="1"/>
  <c r="Q51" i="271"/>
  <c r="W15" i="271"/>
  <c r="P15" i="271" s="1"/>
  <c r="W36" i="271"/>
  <c r="P36" i="271" s="1"/>
  <c r="Q21" i="271"/>
  <c r="Q93" i="271"/>
  <c r="W50" i="271"/>
  <c r="P50" i="271" s="1"/>
  <c r="Q29" i="271"/>
  <c r="U79" i="271"/>
  <c r="U93" i="271"/>
  <c r="U52" i="271"/>
  <c r="O52" i="271" s="1"/>
  <c r="U72" i="271"/>
  <c r="U75" i="271"/>
  <c r="U74" i="271"/>
  <c r="U23" i="271"/>
  <c r="U51" i="271"/>
  <c r="U39" i="271"/>
  <c r="Q45" i="271"/>
  <c r="Q44" i="271"/>
  <c r="W48" i="271"/>
  <c r="P48" i="271" s="1"/>
  <c r="W30" i="271"/>
  <c r="P30" i="271" s="1"/>
  <c r="W16" i="271"/>
  <c r="P16" i="271" s="1"/>
  <c r="Q34" i="271"/>
  <c r="W20" i="271"/>
  <c r="P20" i="271" s="1"/>
  <c r="U24" i="271"/>
  <c r="U22" i="271"/>
  <c r="U34" i="271"/>
  <c r="U15" i="271"/>
  <c r="U48" i="271"/>
  <c r="O48" i="271" s="1"/>
  <c r="U28" i="271"/>
  <c r="U86" i="271"/>
  <c r="U17" i="271"/>
  <c r="U50" i="271"/>
  <c r="W47" i="271"/>
  <c r="P47" i="271" s="1"/>
  <c r="U11" i="271"/>
  <c r="W12" i="271"/>
  <c r="P12" i="271" s="1"/>
  <c r="W11" i="271"/>
  <c r="Q28" i="271"/>
  <c r="Q17" i="271"/>
  <c r="Q23" i="271"/>
  <c r="Q18" i="271"/>
  <c r="U19" i="271"/>
  <c r="U35" i="271"/>
  <c r="U89" i="271"/>
  <c r="U56" i="271"/>
  <c r="U30" i="271"/>
  <c r="U92" i="271"/>
  <c r="U82" i="271"/>
  <c r="U61" i="271"/>
  <c r="U87" i="271"/>
  <c r="Q30" i="271"/>
  <c r="Q15" i="271"/>
  <c r="W93" i="271"/>
  <c r="P93" i="271" s="1"/>
  <c r="Q35" i="271"/>
  <c r="W41" i="271"/>
  <c r="P41" i="271" s="1"/>
  <c r="W24" i="271"/>
  <c r="P24" i="271" s="1"/>
  <c r="U49" i="271"/>
  <c r="U43" i="271"/>
  <c r="U64" i="271"/>
  <c r="U26" i="271"/>
  <c r="U44" i="271"/>
  <c r="U21" i="271"/>
  <c r="U41" i="271"/>
  <c r="U53" i="271"/>
  <c r="U38" i="271"/>
  <c r="O38" i="271" s="1"/>
  <c r="Q39" i="271"/>
  <c r="W40" i="271"/>
  <c r="P40" i="271" s="1"/>
  <c r="Q53" i="271"/>
  <c r="W23" i="271"/>
  <c r="P23" i="271" s="1"/>
  <c r="Q27" i="271"/>
  <c r="O27" i="271" s="1"/>
  <c r="Q47" i="271"/>
  <c r="Q37" i="271"/>
  <c r="U12" i="271"/>
  <c r="U66" i="271"/>
  <c r="U57" i="271"/>
  <c r="U20" i="271"/>
  <c r="O20" i="271" s="1"/>
  <c r="U81" i="271"/>
  <c r="U68" i="271"/>
  <c r="U70" i="271"/>
  <c r="U63" i="271"/>
  <c r="U40" i="271"/>
  <c r="Q40" i="271"/>
  <c r="Q12" i="271"/>
  <c r="W18" i="271"/>
  <c r="P18" i="271" s="1"/>
  <c r="W51" i="271"/>
  <c r="P51" i="271" s="1"/>
  <c r="W29" i="271"/>
  <c r="P29" i="271" s="1"/>
  <c r="W44" i="271"/>
  <c r="P44" i="271" s="1"/>
  <c r="W32" i="271"/>
  <c r="P32" i="271" s="1"/>
  <c r="W52" i="271"/>
  <c r="P52" i="271" s="1"/>
  <c r="U14" i="271"/>
  <c r="O14" i="271" s="1"/>
  <c r="U62" i="271"/>
  <c r="U60" i="271"/>
  <c r="U88" i="271"/>
  <c r="U32" i="271"/>
  <c r="O32" i="271" s="1"/>
  <c r="U29" i="271"/>
  <c r="U69" i="271"/>
  <c r="U45" i="271"/>
  <c r="U58" i="271"/>
  <c r="W34" i="271"/>
  <c r="P34" i="271" s="1"/>
  <c r="W37" i="271"/>
  <c r="P37" i="271" s="1"/>
  <c r="W22" i="271"/>
  <c r="P22" i="271" s="1"/>
  <c r="Q26" i="271"/>
  <c r="W21" i="271"/>
  <c r="P21" i="271" s="1"/>
  <c r="U85" i="271"/>
  <c r="U73" i="271"/>
  <c r="U80" i="271"/>
  <c r="U37" i="271"/>
  <c r="U16" i="271"/>
  <c r="O16" i="271" s="1"/>
  <c r="U18" i="271"/>
  <c r="U47" i="271"/>
  <c r="U36" i="271"/>
  <c r="O36" i="271" s="1"/>
  <c r="U55" i="271"/>
  <c r="W53" i="271"/>
  <c r="P53" i="271" s="1"/>
  <c r="O708" i="274" l="1"/>
  <c r="M708" i="274"/>
  <c r="P708" i="274" s="1"/>
  <c r="L707" i="274"/>
  <c r="N708" i="274"/>
  <c r="Q708" i="274" s="1"/>
  <c r="N524" i="274"/>
  <c r="Q524" i="274" s="1"/>
  <c r="L523" i="274"/>
  <c r="O524" i="274"/>
  <c r="M524" i="274"/>
  <c r="P524" i="274" s="1"/>
  <c r="N272" i="274"/>
  <c r="Q272" i="274" s="1"/>
  <c r="O272" i="274"/>
  <c r="L271" i="274"/>
  <c r="M272" i="274"/>
  <c r="P272" i="274" s="1"/>
  <c r="O15" i="271"/>
  <c r="N15" i="271" s="1"/>
  <c r="N38" i="271"/>
  <c r="O28" i="271"/>
  <c r="N28" i="271" s="1"/>
  <c r="O23" i="271"/>
  <c r="N23" i="271" s="1"/>
  <c r="O19" i="271"/>
  <c r="N19" i="271" s="1"/>
  <c r="N14" i="271"/>
  <c r="O49" i="271"/>
  <c r="N49" i="271" s="1"/>
  <c r="O22" i="271"/>
  <c r="N22" i="271" s="1"/>
  <c r="O26" i="271"/>
  <c r="N26" i="271" s="1"/>
  <c r="O35" i="271"/>
  <c r="N35" i="271" s="1"/>
  <c r="O41" i="271"/>
  <c r="N41" i="271" s="1"/>
  <c r="O39" i="271"/>
  <c r="N39" i="271" s="1"/>
  <c r="O43" i="271"/>
  <c r="N43" i="271" s="1"/>
  <c r="O34" i="271"/>
  <c r="N34" i="271" s="1"/>
  <c r="N27" i="271"/>
  <c r="O93" i="271"/>
  <c r="O12" i="271"/>
  <c r="N12" i="271" s="1"/>
  <c r="V10" i="271"/>
  <c r="N52" i="271"/>
  <c r="O18" i="271"/>
  <c r="N18" i="271" s="1"/>
  <c r="N32" i="271"/>
  <c r="O37" i="271"/>
  <c r="N37" i="271" s="1"/>
  <c r="N20" i="271"/>
  <c r="O29" i="271"/>
  <c r="N29" i="271" s="1"/>
  <c r="O47" i="271"/>
  <c r="N47" i="271" s="1"/>
  <c r="O17" i="271"/>
  <c r="N17" i="271" s="1"/>
  <c r="N16" i="271"/>
  <c r="W10" i="271"/>
  <c r="P10" i="271" s="1"/>
  <c r="P11" i="271"/>
  <c r="O21" i="271"/>
  <c r="N21" i="271" s="1"/>
  <c r="O24" i="271"/>
  <c r="N24" i="271" s="1"/>
  <c r="Q10" i="271"/>
  <c r="O53" i="271"/>
  <c r="N53" i="271" s="1"/>
  <c r="N48" i="271"/>
  <c r="N36" i="271"/>
  <c r="O50" i="271"/>
  <c r="N50" i="271" s="1"/>
  <c r="O30" i="271"/>
  <c r="N30" i="271" s="1"/>
  <c r="U10" i="271"/>
  <c r="O44" i="271"/>
  <c r="N44" i="271" s="1"/>
  <c r="O11" i="271"/>
  <c r="O40" i="271"/>
  <c r="N40" i="271" s="1"/>
  <c r="O45" i="271"/>
  <c r="N45" i="271" s="1"/>
  <c r="O51" i="271"/>
  <c r="N51" i="271" s="1"/>
  <c r="N523" i="274" l="1"/>
  <c r="Q523" i="274" s="1"/>
  <c r="L522" i="274"/>
  <c r="M523" i="274"/>
  <c r="P523" i="274" s="1"/>
  <c r="O523" i="274"/>
  <c r="O271" i="274"/>
  <c r="M271" i="274"/>
  <c r="P271" i="274" s="1"/>
  <c r="L270" i="274"/>
  <c r="N271" i="274"/>
  <c r="Q271" i="274" s="1"/>
  <c r="M707" i="274"/>
  <c r="P707" i="274" s="1"/>
  <c r="N707" i="274"/>
  <c r="Q707" i="274" s="1"/>
  <c r="L706" i="274"/>
  <c r="O707" i="274"/>
  <c r="N11" i="271"/>
  <c r="N10" i="271" s="1"/>
  <c r="O10" i="271"/>
  <c r="O270" i="274" l="1"/>
  <c r="N270" i="274"/>
  <c r="Q270" i="274" s="1"/>
  <c r="L269" i="274"/>
  <c r="M270" i="274"/>
  <c r="P270" i="274" s="1"/>
  <c r="O706" i="274"/>
  <c r="M706" i="274"/>
  <c r="P706" i="274" s="1"/>
  <c r="L705" i="274"/>
  <c r="N706" i="274"/>
  <c r="Q706" i="274" s="1"/>
  <c r="N522" i="274"/>
  <c r="Q522" i="274" s="1"/>
  <c r="M522" i="274"/>
  <c r="P522" i="274" s="1"/>
  <c r="L521" i="274"/>
  <c r="O522" i="274"/>
  <c r="N705" i="274" l="1"/>
  <c r="Q705" i="274" s="1"/>
  <c r="L704" i="274"/>
  <c r="O705" i="274"/>
  <c r="M705" i="274"/>
  <c r="P705" i="274" s="1"/>
  <c r="N521" i="274"/>
  <c r="Q521" i="274" s="1"/>
  <c r="L520" i="274"/>
  <c r="M521" i="274"/>
  <c r="P521" i="274" s="1"/>
  <c r="O521" i="274"/>
  <c r="N269" i="274"/>
  <c r="Q269" i="274" s="1"/>
  <c r="L268" i="274"/>
  <c r="O269" i="274"/>
  <c r="M269" i="274"/>
  <c r="P269" i="274" s="1"/>
  <c r="M520" i="274" l="1"/>
  <c r="P520" i="274" s="1"/>
  <c r="N520" i="274"/>
  <c r="Q520" i="274" s="1"/>
  <c r="L519" i="274"/>
  <c r="O520" i="274"/>
  <c r="N268" i="274"/>
  <c r="Q268" i="274" s="1"/>
  <c r="M268" i="274"/>
  <c r="P268" i="274" s="1"/>
  <c r="L267" i="274"/>
  <c r="O268" i="274"/>
  <c r="L703" i="274"/>
  <c r="O704" i="274"/>
  <c r="M704" i="274"/>
  <c r="P704" i="274" s="1"/>
  <c r="N704" i="274"/>
  <c r="Q704" i="274" s="1"/>
  <c r="O267" i="274" l="1"/>
  <c r="M267" i="274"/>
  <c r="P267" i="274" s="1"/>
  <c r="N267" i="274"/>
  <c r="Q267" i="274" s="1"/>
  <c r="L266" i="274"/>
  <c r="O519" i="274"/>
  <c r="M519" i="274"/>
  <c r="P519" i="274" s="1"/>
  <c r="N519" i="274"/>
  <c r="Q519" i="274" s="1"/>
  <c r="L518" i="274"/>
  <c r="M703" i="274"/>
  <c r="P703" i="274" s="1"/>
  <c r="L702" i="274"/>
  <c r="O703" i="274"/>
  <c r="N703" i="274"/>
  <c r="Q703" i="274" s="1"/>
  <c r="M518" i="274" l="1"/>
  <c r="P518" i="274" s="1"/>
  <c r="O518" i="274"/>
  <c r="L517" i="274"/>
  <c r="N518" i="274"/>
  <c r="Q518" i="274" s="1"/>
  <c r="M266" i="274"/>
  <c r="P266" i="274" s="1"/>
  <c r="O266" i="274"/>
  <c r="N266" i="274"/>
  <c r="Q266" i="274" s="1"/>
  <c r="L265" i="274"/>
  <c r="L701" i="274"/>
  <c r="M702" i="274"/>
  <c r="P702" i="274" s="1"/>
  <c r="N702" i="274"/>
  <c r="Q702" i="274" s="1"/>
  <c r="O702" i="274"/>
  <c r="N265" i="274" l="1"/>
  <c r="Q265" i="274" s="1"/>
  <c r="M265" i="274"/>
  <c r="P265" i="274" s="1"/>
  <c r="O265" i="274"/>
  <c r="L264" i="274"/>
  <c r="M517" i="274"/>
  <c r="P517" i="274" s="1"/>
  <c r="N517" i="274"/>
  <c r="Q517" i="274" s="1"/>
  <c r="L516" i="274"/>
  <c r="O517" i="274"/>
  <c r="L700" i="274"/>
  <c r="M701" i="274"/>
  <c r="P701" i="274" s="1"/>
  <c r="O701" i="274"/>
  <c r="N701" i="274"/>
  <c r="Q701" i="274" s="1"/>
  <c r="L515" i="274" l="1"/>
  <c r="O516" i="274"/>
  <c r="N516" i="274"/>
  <c r="Q516" i="274" s="1"/>
  <c r="M516" i="274"/>
  <c r="P516" i="274" s="1"/>
  <c r="O264" i="274"/>
  <c r="M264" i="274"/>
  <c r="P264" i="274" s="1"/>
  <c r="N264" i="274"/>
  <c r="Q264" i="274" s="1"/>
  <c r="L263" i="274"/>
  <c r="M700" i="274"/>
  <c r="P700" i="274" s="1"/>
  <c r="O700" i="274"/>
  <c r="L699" i="274"/>
  <c r="N700" i="274"/>
  <c r="Q700" i="274" s="1"/>
  <c r="M263" i="274" l="1"/>
  <c r="P263" i="274" s="1"/>
  <c r="O263" i="274"/>
  <c r="N263" i="274"/>
  <c r="Q263" i="274" s="1"/>
  <c r="L262" i="274"/>
  <c r="L698" i="274"/>
  <c r="O699" i="274"/>
  <c r="N699" i="274"/>
  <c r="Q699" i="274" s="1"/>
  <c r="M699" i="274"/>
  <c r="P699" i="274" s="1"/>
  <c r="L514" i="274"/>
  <c r="M515" i="274"/>
  <c r="P515" i="274" s="1"/>
  <c r="O515" i="274"/>
  <c r="N515" i="274"/>
  <c r="Q515" i="274" s="1"/>
  <c r="M698" i="274" l="1"/>
  <c r="P698" i="274" s="1"/>
  <c r="O698" i="274"/>
  <c r="N698" i="274"/>
  <c r="Q698" i="274" s="1"/>
  <c r="L697" i="274"/>
  <c r="L261" i="274"/>
  <c r="M262" i="274"/>
  <c r="P262" i="274" s="1"/>
  <c r="O262" i="274"/>
  <c r="N262" i="274"/>
  <c r="Q262" i="274" s="1"/>
  <c r="N514" i="274"/>
  <c r="Q514" i="274" s="1"/>
  <c r="O514" i="274"/>
  <c r="L513" i="274"/>
  <c r="M514" i="274"/>
  <c r="P514" i="274" s="1"/>
  <c r="M261" i="274" l="1"/>
  <c r="P261" i="274" s="1"/>
  <c r="O261" i="274"/>
  <c r="N261" i="274"/>
  <c r="Q261" i="274" s="1"/>
  <c r="L260" i="274"/>
  <c r="L696" i="274"/>
  <c r="N697" i="274"/>
  <c r="Q697" i="274" s="1"/>
  <c r="O697" i="274"/>
  <c r="M697" i="274"/>
  <c r="P697" i="274" s="1"/>
  <c r="O513" i="274"/>
  <c r="N513" i="274"/>
  <c r="Q513" i="274" s="1"/>
  <c r="L512" i="274"/>
  <c r="M513" i="274"/>
  <c r="P513" i="274" s="1"/>
  <c r="M696" i="274" l="1"/>
  <c r="P696" i="274" s="1"/>
  <c r="N696" i="274"/>
  <c r="Q696" i="274" s="1"/>
  <c r="O696" i="274"/>
  <c r="L695" i="274"/>
  <c r="N260" i="274"/>
  <c r="Q260" i="274" s="1"/>
  <c r="L259" i="274"/>
  <c r="M260" i="274"/>
  <c r="P260" i="274" s="1"/>
  <c r="O260" i="274"/>
  <c r="N512" i="274"/>
  <c r="Q512" i="274" s="1"/>
  <c r="L511" i="274"/>
  <c r="O512" i="274"/>
  <c r="M512" i="274"/>
  <c r="P512" i="274" s="1"/>
  <c r="N259" i="274" l="1"/>
  <c r="Q259" i="274" s="1"/>
  <c r="M259" i="274"/>
  <c r="P259" i="274" s="1"/>
  <c r="L258" i="274"/>
  <c r="O259" i="274"/>
  <c r="M695" i="274"/>
  <c r="P695" i="274" s="1"/>
  <c r="N695" i="274"/>
  <c r="Q695" i="274" s="1"/>
  <c r="L694" i="274"/>
  <c r="O695" i="274"/>
  <c r="O511" i="274"/>
  <c r="N511" i="274"/>
  <c r="Q511" i="274" s="1"/>
  <c r="M511" i="274"/>
  <c r="P511" i="274" s="1"/>
  <c r="L510" i="274"/>
  <c r="N694" i="274" l="1"/>
  <c r="Q694" i="274" s="1"/>
  <c r="O694" i="274"/>
  <c r="L693" i="274"/>
  <c r="M694" i="274"/>
  <c r="P694" i="274" s="1"/>
  <c r="L509" i="274"/>
  <c r="N510" i="274"/>
  <c r="Q510" i="274" s="1"/>
  <c r="O510" i="274"/>
  <c r="M510" i="274"/>
  <c r="P510" i="274" s="1"/>
  <c r="M258" i="274"/>
  <c r="P258" i="274" s="1"/>
  <c r="O258" i="274"/>
  <c r="L257" i="274"/>
  <c r="N258" i="274"/>
  <c r="Q258" i="274" s="1"/>
  <c r="O509" i="274" l="1"/>
  <c r="M509" i="274"/>
  <c r="P509" i="274" s="1"/>
  <c r="N509" i="274"/>
  <c r="Q509" i="274" s="1"/>
  <c r="L508" i="274"/>
  <c r="N257" i="274"/>
  <c r="Q257" i="274" s="1"/>
  <c r="M257" i="274"/>
  <c r="P257" i="274" s="1"/>
  <c r="O257" i="274"/>
  <c r="L256" i="274"/>
  <c r="N693" i="274"/>
  <c r="Q693" i="274" s="1"/>
  <c r="M693" i="274"/>
  <c r="P693" i="274" s="1"/>
  <c r="O693" i="274"/>
  <c r="L692" i="274"/>
  <c r="M256" i="274" l="1"/>
  <c r="P256" i="274" s="1"/>
  <c r="N256" i="274"/>
  <c r="Q256" i="274" s="1"/>
  <c r="L255" i="274"/>
  <c r="O256" i="274"/>
  <c r="O692" i="274"/>
  <c r="N692" i="274"/>
  <c r="Q692" i="274" s="1"/>
  <c r="M692" i="274"/>
  <c r="P692" i="274" s="1"/>
  <c r="L691" i="274"/>
  <c r="L507" i="274"/>
  <c r="O508" i="274"/>
  <c r="M508" i="274"/>
  <c r="P508" i="274" s="1"/>
  <c r="N508" i="274"/>
  <c r="Q508" i="274" s="1"/>
  <c r="L690" i="274" l="1"/>
  <c r="M691" i="274"/>
  <c r="P691" i="274" s="1"/>
  <c r="O691" i="274"/>
  <c r="N691" i="274"/>
  <c r="Q691" i="274" s="1"/>
  <c r="O255" i="274"/>
  <c r="M255" i="274"/>
  <c r="P255" i="274" s="1"/>
  <c r="N255" i="274"/>
  <c r="Q255" i="274" s="1"/>
  <c r="L254" i="274"/>
  <c r="L506" i="274"/>
  <c r="M507" i="274"/>
  <c r="P507" i="274" s="1"/>
  <c r="O507" i="274"/>
  <c r="N507" i="274"/>
  <c r="Q507" i="274" s="1"/>
  <c r="M506" i="274" l="1"/>
  <c r="P506" i="274" s="1"/>
  <c r="L505" i="274"/>
  <c r="N506" i="274"/>
  <c r="Q506" i="274" s="1"/>
  <c r="O506" i="274"/>
  <c r="L253" i="274"/>
  <c r="M254" i="274"/>
  <c r="P254" i="274" s="1"/>
  <c r="N254" i="274"/>
  <c r="Q254" i="274" s="1"/>
  <c r="O254" i="274"/>
  <c r="L689" i="274"/>
  <c r="N690" i="274"/>
  <c r="Q690" i="274" s="1"/>
  <c r="O690" i="274"/>
  <c r="M690" i="274"/>
  <c r="P690" i="274" s="1"/>
  <c r="M253" i="274" l="1"/>
  <c r="P253" i="274" s="1"/>
  <c r="L252" i="274"/>
  <c r="N253" i="274"/>
  <c r="Q253" i="274" s="1"/>
  <c r="O253" i="274"/>
  <c r="N689" i="274"/>
  <c r="Q689" i="274" s="1"/>
  <c r="L688" i="274"/>
  <c r="O689" i="274"/>
  <c r="M689" i="274"/>
  <c r="P689" i="274" s="1"/>
  <c r="L504" i="274"/>
  <c r="M505" i="274"/>
  <c r="P505" i="274" s="1"/>
  <c r="N505" i="274"/>
  <c r="Q505" i="274" s="1"/>
  <c r="O505" i="274"/>
  <c r="M688" i="274" l="1"/>
  <c r="P688" i="274" s="1"/>
  <c r="N688" i="274"/>
  <c r="Q688" i="274" s="1"/>
  <c r="L687" i="274"/>
  <c r="O688" i="274"/>
  <c r="M252" i="274"/>
  <c r="P252" i="274" s="1"/>
  <c r="N252" i="274"/>
  <c r="Q252" i="274" s="1"/>
  <c r="L251" i="274"/>
  <c r="O252" i="274"/>
  <c r="M504" i="274"/>
  <c r="P504" i="274" s="1"/>
  <c r="L503" i="274"/>
  <c r="N504" i="274"/>
  <c r="Q504" i="274" s="1"/>
  <c r="O504" i="274"/>
  <c r="M503" i="274" l="1"/>
  <c r="P503" i="274" s="1"/>
  <c r="L502" i="274"/>
  <c r="N503" i="274"/>
  <c r="Q503" i="274" s="1"/>
  <c r="O503" i="274"/>
  <c r="M687" i="274"/>
  <c r="P687" i="274" s="1"/>
  <c r="N687" i="274"/>
  <c r="Q687" i="274" s="1"/>
  <c r="L686" i="274"/>
  <c r="O687" i="274"/>
  <c r="L250" i="274"/>
  <c r="N251" i="274"/>
  <c r="Q251" i="274" s="1"/>
  <c r="O251" i="274"/>
  <c r="M251" i="274"/>
  <c r="P251" i="274" s="1"/>
  <c r="L685" i="274" l="1"/>
  <c r="O686" i="274"/>
  <c r="M686" i="274"/>
  <c r="P686" i="274" s="1"/>
  <c r="N686" i="274"/>
  <c r="Q686" i="274" s="1"/>
  <c r="N502" i="274"/>
  <c r="Q502" i="274" s="1"/>
  <c r="O502" i="274"/>
  <c r="L501" i="274"/>
  <c r="M502" i="274"/>
  <c r="P502" i="274" s="1"/>
  <c r="M250" i="274"/>
  <c r="P250" i="274" s="1"/>
  <c r="L249" i="274"/>
  <c r="N250" i="274"/>
  <c r="Q250" i="274" s="1"/>
  <c r="O250" i="274"/>
  <c r="N501" i="274" l="1"/>
  <c r="Q501" i="274" s="1"/>
  <c r="O501" i="274"/>
  <c r="M501" i="274"/>
  <c r="P501" i="274" s="1"/>
  <c r="L500" i="274"/>
  <c r="M249" i="274"/>
  <c r="P249" i="274" s="1"/>
  <c r="L248" i="274"/>
  <c r="O249" i="274"/>
  <c r="N249" i="274"/>
  <c r="Q249" i="274" s="1"/>
  <c r="M685" i="274"/>
  <c r="P685" i="274" s="1"/>
  <c r="N685" i="274"/>
  <c r="Q685" i="274" s="1"/>
  <c r="O685" i="274"/>
  <c r="L684" i="274"/>
  <c r="M248" i="274" l="1"/>
  <c r="P248" i="274" s="1"/>
  <c r="N248" i="274"/>
  <c r="Q248" i="274" s="1"/>
  <c r="L247" i="274"/>
  <c r="O248" i="274"/>
  <c r="L683" i="274"/>
  <c r="N684" i="274"/>
  <c r="Q684" i="274" s="1"/>
  <c r="O684" i="274"/>
  <c r="M684" i="274"/>
  <c r="P684" i="274" s="1"/>
  <c r="M500" i="274"/>
  <c r="P500" i="274" s="1"/>
  <c r="L499" i="274"/>
  <c r="N500" i="274"/>
  <c r="Q500" i="274" s="1"/>
  <c r="O500" i="274"/>
  <c r="N683" i="274" l="1"/>
  <c r="Q683" i="274" s="1"/>
  <c r="O683" i="274"/>
  <c r="M683" i="274"/>
  <c r="P683" i="274" s="1"/>
  <c r="L682" i="274"/>
  <c r="L246" i="274"/>
  <c r="M247" i="274"/>
  <c r="P247" i="274" s="1"/>
  <c r="O247" i="274"/>
  <c r="N247" i="274"/>
  <c r="Q247" i="274" s="1"/>
  <c r="M499" i="274"/>
  <c r="P499" i="274" s="1"/>
  <c r="L498" i="274"/>
  <c r="N499" i="274"/>
  <c r="Q499" i="274" s="1"/>
  <c r="O499" i="274"/>
  <c r="M246" i="274" l="1"/>
  <c r="P246" i="274" s="1"/>
  <c r="O246" i="274"/>
  <c r="L245" i="274"/>
  <c r="N246" i="274"/>
  <c r="Q246" i="274" s="1"/>
  <c r="N682" i="274"/>
  <c r="Q682" i="274" s="1"/>
  <c r="O682" i="274"/>
  <c r="M682" i="274"/>
  <c r="P682" i="274" s="1"/>
  <c r="L681" i="274"/>
  <c r="M498" i="274"/>
  <c r="P498" i="274" s="1"/>
  <c r="N498" i="274"/>
  <c r="Q498" i="274" s="1"/>
  <c r="L497" i="274"/>
  <c r="O498" i="274"/>
  <c r="M681" i="274" l="1"/>
  <c r="P681" i="274" s="1"/>
  <c r="N681" i="274"/>
  <c r="Q681" i="274" s="1"/>
  <c r="O681" i="274"/>
  <c r="M497" i="274"/>
  <c r="P497" i="274" s="1"/>
  <c r="N497" i="274"/>
  <c r="Q497" i="274" s="1"/>
  <c r="O497" i="274"/>
  <c r="O245" i="274"/>
  <c r="N245" i="274"/>
  <c r="Q245" i="274" s="1"/>
  <c r="M245" i="274"/>
  <c r="P245" i="2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A62" authorId="0" shapeId="0" xr:uid="{00000000-0006-0000-0B00-000001000000}">
      <text>
        <r>
          <rPr>
            <b/>
            <sz val="9"/>
            <color indexed="81"/>
            <rFont val="Garamond"/>
            <family val="2"/>
          </rPr>
          <t>Gabriel Zucman:</t>
        </r>
        <r>
          <rPr>
            <sz val="9"/>
            <color indexed="81"/>
            <rFont val="Garamond"/>
            <family val="2"/>
          </rPr>
          <t xml:space="preserve">
British Virgin Islands, Cayman Islands, Montserrat, and Turks and Caicos Islands. </t>
        </r>
      </text>
    </comment>
    <comment ref="A63" authorId="0" shapeId="0" xr:uid="{00000000-0006-0000-0B00-000002000000}">
      <text>
        <r>
          <rPr>
            <b/>
            <sz val="9"/>
            <color indexed="81"/>
            <rFont val="Garamond"/>
            <family val="2"/>
          </rPr>
          <t>Gabriel Zucman:</t>
        </r>
        <r>
          <rPr>
            <sz val="9"/>
            <color indexed="81"/>
            <rFont val="Garamond"/>
            <family val="2"/>
          </rPr>
          <t xml:space="preserve">
Includes Bahamas, Aruba, Anguilla, Dominica,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A62" authorId="0" shapeId="0" xr:uid="{00000000-0006-0000-0C00-000001000000}">
      <text>
        <r>
          <rPr>
            <b/>
            <sz val="9"/>
            <color indexed="81"/>
            <rFont val="Garamond"/>
            <family val="2"/>
          </rPr>
          <t>Gabriel Zucman:</t>
        </r>
        <r>
          <rPr>
            <sz val="9"/>
            <color indexed="81"/>
            <rFont val="Garamond"/>
            <family val="2"/>
          </rPr>
          <t xml:space="preserve">
British Virgin Islands, Cayman Islands, Montserrat, and Turks and Caicos Islands. </t>
        </r>
      </text>
    </comment>
    <comment ref="A63" authorId="0" shapeId="0" xr:uid="{00000000-0006-0000-0C00-000002000000}">
      <text>
        <r>
          <rPr>
            <b/>
            <sz val="9"/>
            <color indexed="81"/>
            <rFont val="Garamond"/>
            <family val="2"/>
          </rPr>
          <t>Gabriel Zucman:</t>
        </r>
        <r>
          <rPr>
            <sz val="9"/>
            <color indexed="81"/>
            <rFont val="Garamond"/>
            <family val="2"/>
          </rPr>
          <t xml:space="preserve">
Includes Bahamas, Aruba, Anguilla, Dominica,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B27" authorId="0" shapeId="0" xr:uid="{00000000-0006-0000-1100-000001000000}">
      <text>
        <r>
          <rPr>
            <b/>
            <sz val="9"/>
            <color indexed="81"/>
            <rFont val="Garamond"/>
            <family val="2"/>
          </rPr>
          <t>Gabriel Zucman:</t>
        </r>
        <r>
          <rPr>
            <sz val="9"/>
            <color indexed="81"/>
            <rFont val="Garamond"/>
            <family val="2"/>
          </rPr>
          <t xml:space="preserve">
Uses asset/liability data rather than directional</t>
        </r>
      </text>
    </comment>
  </commentList>
</comments>
</file>

<file path=xl/sharedStrings.xml><?xml version="1.0" encoding="utf-8"?>
<sst xmlns="http://schemas.openxmlformats.org/spreadsheetml/2006/main" count="23250" uniqueCount="5341">
  <si>
    <t>Table A.1: Value-added by sector (2015)</t>
  </si>
  <si>
    <t>[1]</t>
  </si>
  <si>
    <t>[2]</t>
  </si>
  <si>
    <t>[3]</t>
  </si>
  <si>
    <t>[4]</t>
  </si>
  <si>
    <t>[5]</t>
  </si>
  <si>
    <t>[6]</t>
  </si>
  <si>
    <t>[7]</t>
  </si>
  <si>
    <t>[8]</t>
  </si>
  <si>
    <t>[9]</t>
  </si>
  <si>
    <t>[10]</t>
  </si>
  <si>
    <t>[11]</t>
  </si>
  <si>
    <t>[12]</t>
  </si>
  <si>
    <t>[13]</t>
  </si>
  <si>
    <r>
      <rPr>
        <sz val="12"/>
        <color theme="1"/>
        <rFont val="Arial"/>
        <family val="2"/>
      </rPr>
      <t>Billion c</t>
    </r>
    <r>
      <rPr>
        <sz val="12"/>
        <color theme="1"/>
        <rFont val="Arial"/>
        <family val="2"/>
      </rPr>
      <t>urrent US$</t>
    </r>
  </si>
  <si>
    <t>% of total value-added at factor cost</t>
  </si>
  <si>
    <t>Memo: depreciation (billion US$)</t>
  </si>
  <si>
    <t>Memo: depreciation (% GDP)</t>
  </si>
  <si>
    <t>GDP</t>
  </si>
  <si>
    <t>Taxes on production net of subsidies</t>
  </si>
  <si>
    <t>Value-added at factor cost</t>
  </si>
  <si>
    <t>Corporate sector</t>
  </si>
  <si>
    <t>Non-financial corporations</t>
  </si>
  <si>
    <t>Financial corporations</t>
  </si>
  <si>
    <t>Government sector</t>
  </si>
  <si>
    <t>Non-corporate businesses, households &amp; NPISH</t>
  </si>
  <si>
    <t>Check</t>
  </si>
  <si>
    <t>KD corp / KD all</t>
  </si>
  <si>
    <t>OECD countries</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</si>
  <si>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</si>
  <si>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</si>
  <si>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</si>
  <si>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</si>
  <si>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</si>
  <si>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</si>
  <si>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</si>
  <si>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</si>
  <si>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</si>
  <si>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</si>
  <si>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</si>
  <si>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</si>
  <si>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</si>
  <si>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</si>
  <si>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</si>
  <si>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</si>
  <si>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</si>
  <si>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</si>
  <si>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</si>
  <si>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</si>
  <si>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</si>
  <si>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</si>
  <si>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</si>
  <si>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</si>
  <si>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</si>
  <si>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</si>
  <si>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</si>
  <si>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Slovakia</t>
  </si>
  <si>
    <t>Slovenia</t>
  </si>
  <si>
    <t>Spain</t>
  </si>
  <si>
    <t>Sweden</t>
  </si>
  <si>
    <t>Switzerland</t>
  </si>
  <si>
    <t>Turkey</t>
  </si>
  <si>
    <t>United Kingdom</t>
  </si>
  <si>
    <t>United States</t>
  </si>
  <si>
    <t>Main developing countries</t>
  </si>
  <si>
    <t>Brazil</t>
  </si>
  <si>
    <t>China</t>
  </si>
  <si>
    <t>Colombia</t>
  </si>
  <si>
    <t>Costa Rica</t>
  </si>
  <si>
    <t>India</t>
  </si>
  <si>
    <t>Russia</t>
  </si>
  <si>
    <t>South Africa</t>
  </si>
  <si>
    <t>Non-OECD tax havens</t>
  </si>
  <si>
    <t>Andorra</t>
  </si>
  <si>
    <t>Anguilla</t>
  </si>
  <si>
    <t>Antigua and Barbuda</t>
  </si>
  <si>
    <t>Aruba</t>
  </si>
  <si>
    <t>Bahamas, The</t>
  </si>
  <si>
    <t>Bahrain</t>
  </si>
  <si>
    <t>Barbados</t>
  </si>
  <si>
    <t>Belize</t>
  </si>
  <si>
    <t>Bermuda</t>
  </si>
  <si>
    <t>Bonaire</t>
  </si>
  <si>
    <t>British Virgin Islands</t>
  </si>
  <si>
    <t>Cayman Islands</t>
  </si>
  <si>
    <t>Curacao</t>
  </si>
  <si>
    <t>Cyprus</t>
  </si>
  <si>
    <t>Jersey</t>
  </si>
  <si>
    <t>Grenada</t>
  </si>
  <si>
    <t>Guernsey</t>
  </si>
  <si>
    <t>Gibraltar</t>
  </si>
  <si>
    <t>Hong Kong</t>
  </si>
  <si>
    <t>Isle of man</t>
  </si>
  <si>
    <t>Lebanon</t>
  </si>
  <si>
    <t>Liechtenstein</t>
  </si>
  <si>
    <t>Macau</t>
  </si>
  <si>
    <t>Malta</t>
  </si>
  <si>
    <t>Marshall Islands</t>
  </si>
  <si>
    <t>Monaco</t>
  </si>
  <si>
    <t>Sint Maarten</t>
  </si>
  <si>
    <t>Mauritius</t>
  </si>
  <si>
    <t>Seychelles</t>
  </si>
  <si>
    <t>Singapore</t>
  </si>
  <si>
    <t>St. Kitts and Nevis</t>
  </si>
  <si>
    <t>St. Lucia</t>
  </si>
  <si>
    <t>St. Vincent and the Grenadines</t>
  </si>
  <si>
    <t>Turks and Caicos</t>
  </si>
  <si>
    <t>Panama</t>
  </si>
  <si>
    <t>Puerto Rico</t>
  </si>
  <si>
    <t>Rest of world</t>
  </si>
  <si>
    <t>World total</t>
  </si>
  <si>
    <r>
      <rPr>
        <u/>
        <sz val="12"/>
        <color theme="1"/>
        <rFont val="Arial"/>
        <family val="2"/>
      </rPr>
      <t>Notes</t>
    </r>
    <r>
      <rPr>
        <sz val="12"/>
        <color theme="1"/>
        <rFont val="Arial"/>
        <family val="2"/>
      </rPr>
      <t>:  The share of the corporate sector in total value-added at factor cost is imputed when no data is available, see formulas and Online Appendix Section A.2. In this and subsequent tables, data for Brazil and South Africa are for 2014</t>
    </r>
  </si>
  <si>
    <t>Average shares</t>
  </si>
  <si>
    <t>Taxes on production net of subsidies/GDP</t>
  </si>
  <si>
    <t>Corporate sector/Value-added at factor cost</t>
  </si>
  <si>
    <t>OECD</t>
  </si>
  <si>
    <t>Havens</t>
  </si>
  <si>
    <t>Developing</t>
  </si>
  <si>
    <t>Table A.2: Value-added in the corporate sector: decomposition by cost component (2015)</t>
  </si>
  <si>
    <t>Capital share (gross)</t>
  </si>
  <si>
    <t>Capital share         (net)</t>
  </si>
  <si>
    <t>Labor share          (net)</t>
  </si>
  <si>
    <t>Net interest paid / net operating surplus</t>
  </si>
  <si>
    <t>Profits / compensation</t>
  </si>
  <si>
    <t>Value-added of the corporate sector</t>
  </si>
  <si>
    <t>Compensation of employees</t>
  </si>
  <si>
    <t>Net operating surplus</t>
  </si>
  <si>
    <t>Net interest paid</t>
  </si>
  <si>
    <t>Corporate profits</t>
  </si>
  <si>
    <t>Deprecia-tion</t>
  </si>
  <si>
    <t>Depreciation % VA</t>
  </si>
  <si>
    <t>Depreciation % GOS</t>
  </si>
  <si>
    <r>
      <rPr>
        <u/>
        <sz val="12"/>
        <color theme="1"/>
        <rFont val="Arial"/>
        <family val="2"/>
      </rPr>
      <t>Notes</t>
    </r>
    <r>
      <rPr>
        <sz val="12"/>
        <color theme="1"/>
        <rFont val="Arial"/>
        <family val="2"/>
      </rPr>
      <t xml:space="preserve">: Values are imputed when no data is available, see Online Appendix Section A.2. </t>
    </r>
  </si>
  <si>
    <t>OECD excl havens</t>
  </si>
  <si>
    <t>Depreciation</t>
  </si>
  <si>
    <t>Table A.2b: Value-added in the non-financial corporate sector: decomposition by cost component (2015)</t>
  </si>
  <si>
    <t>Billion current US$</t>
  </si>
  <si>
    <t>Value-added of the non-financial corporate sector</t>
  </si>
  <si>
    <r>
      <rPr>
        <u/>
        <sz val="12"/>
        <color theme="1"/>
        <rFont val="Arial"/>
        <family val="2"/>
      </rPr>
      <t>Notes</t>
    </r>
    <r>
      <rPr>
        <sz val="12"/>
        <color theme="1"/>
        <rFont val="Arial"/>
        <family val="2"/>
      </rPr>
      <t>: Depreciation and net interest are imputed when no data is available, see Online Appendix Section A.2.</t>
    </r>
  </si>
  <si>
    <t>Percent of value added</t>
  </si>
  <si>
    <t>Percent of corporate depreciation</t>
  </si>
  <si>
    <t>Depreciation all sectors</t>
  </si>
  <si>
    <t>Table A.3: Distribution of corporate profits (2015)</t>
  </si>
  <si>
    <t>Corporate income tax rate</t>
  </si>
  <si>
    <t>Retained earnings / net-of-tax profits</t>
  </si>
  <si>
    <t>Net dividends paid</t>
  </si>
  <si>
    <t>Dividends paid</t>
  </si>
  <si>
    <t>Dividends received</t>
  </si>
  <si>
    <t>Retained earnings</t>
  </si>
  <si>
    <t>Corporate income tax</t>
  </si>
  <si>
    <t>Memo: corporate tax revenue</t>
  </si>
  <si>
    <t>Memo: central bank profits</t>
  </si>
  <si>
    <t>Bahamas</t>
  </si>
  <si>
    <t>BVI</t>
  </si>
  <si>
    <t>Gribraltar</t>
  </si>
  <si>
    <t>Rest of World</t>
  </si>
  <si>
    <r>
      <rPr>
        <u/>
        <sz val="12"/>
        <color theme="1"/>
        <rFont val="Arial"/>
        <family val="2"/>
      </rPr>
      <t>Notes</t>
    </r>
    <r>
      <rPr>
        <sz val="12"/>
        <color theme="1"/>
        <rFont val="Arial"/>
        <family val="2"/>
      </rPr>
      <t>: Dividends include "distributed income of corporations" (code D42) plus "investment income disbursement" (code D44), which includes investment income attributable to insurance policy holders, payable on pension entitlements, and attributable to collective investment funds  Retained earnings are computed as a residual, hence includes net rents (code D45) and net business transfers in addition to pure retained earnings. See Appendix A.2</t>
    </r>
  </si>
  <si>
    <t>net divs</t>
  </si>
  <si>
    <t>Table A.4: Corporate value-added: local firms vs. foreign-controlled firms (excl. SPEs) (2015)</t>
  </si>
  <si>
    <t>% of domestic economy total                     (local + foreign-controlled)</t>
  </si>
  <si>
    <t>Foreign-controlled firms</t>
  </si>
  <si>
    <t>Gross operating surplus</t>
  </si>
  <si>
    <t>Local firms</t>
  </si>
  <si>
    <t>V.A. foreign-controlled firms</t>
  </si>
  <si>
    <t>Comp. foreign-controlled firms</t>
  </si>
  <si>
    <t>Op. surplus foreign-controlled firms</t>
  </si>
  <si>
    <t>Checks</t>
  </si>
  <si>
    <t>Memo: Inward DI stock/GDP</t>
  </si>
  <si>
    <t>VA foreign controlled % total VA</t>
  </si>
  <si>
    <t>EU</t>
  </si>
  <si>
    <t>Other OECD</t>
  </si>
  <si>
    <r>
      <rPr>
        <u/>
        <sz val="12"/>
        <color theme="1"/>
        <rFont val="Arial"/>
        <family val="2"/>
      </rPr>
      <t>Notes</t>
    </r>
    <r>
      <rPr>
        <sz val="12"/>
        <color theme="1"/>
        <rFont val="Arial"/>
        <family val="2"/>
      </rPr>
      <t>: For both foreign-controlled and local firms, corporate value-added is at factor costs (i.e., net of indirect taxes). For Luxembourg, we assume that 100% of value-added in the financial sector (which is not reported in the FATS) is in foreign-controlled firms.</t>
    </r>
  </si>
  <si>
    <t>Euro/dollar 2015</t>
  </si>
  <si>
    <t>Non-OECD haven average share of compensation in foreign sector</t>
  </si>
  <si>
    <t>Average OECD share</t>
  </si>
  <si>
    <t>Avere developing</t>
  </si>
  <si>
    <t>Table A.5: Decomposition of operating surplus of foreign-controlled corporations (2015), excluding SPEs</t>
  </si>
  <si>
    <t>[14]</t>
  </si>
  <si>
    <t>[15]</t>
  </si>
  <si>
    <t>[16]</t>
  </si>
  <si>
    <t>Depreciation / gross operating surplus</t>
  </si>
  <si>
    <r>
      <t xml:space="preserve">Net </t>
    </r>
    <r>
      <rPr>
        <sz val="12"/>
        <color theme="1"/>
        <rFont val="Arial"/>
        <family val="2"/>
      </rPr>
      <t>interest</t>
    </r>
    <r>
      <rPr>
        <sz val="12"/>
        <color theme="1"/>
        <rFont val="Arial"/>
        <family val="2"/>
      </rPr>
      <t xml:space="preserve"> paid</t>
    </r>
  </si>
  <si>
    <t>Interest paid</t>
  </si>
  <si>
    <r>
      <rPr>
        <sz val="12"/>
        <color theme="1"/>
        <rFont val="Arial"/>
        <family val="2"/>
      </rPr>
      <t>Interest</t>
    </r>
    <r>
      <rPr>
        <sz val="12"/>
        <color theme="1"/>
        <rFont val="Arial"/>
        <family val="2"/>
      </rPr>
      <t xml:space="preserve"> received</t>
    </r>
  </si>
  <si>
    <t>Foreign-controlled corporations</t>
  </si>
  <si>
    <t>All domestic corporations</t>
  </si>
  <si>
    <t>Affiliates of US multinationals</t>
  </si>
  <si>
    <r>
      <rPr>
        <b/>
        <u/>
        <sz val="12"/>
        <color theme="1"/>
        <rFont val="Arial"/>
        <family val="2"/>
      </rPr>
      <t>Notes</t>
    </r>
    <r>
      <rPr>
        <b/>
        <sz val="12"/>
        <color theme="1"/>
        <rFont val="Arial"/>
        <family val="2"/>
      </rPr>
      <t xml:space="preserve">: For the US </t>
    </r>
    <r>
      <rPr>
        <sz val="12"/>
        <color theme="1"/>
        <rFont val="Arial"/>
        <family val="2"/>
      </rPr>
      <t xml:space="preserve">we use the exact figures for majority-owned affiliates of foreign multinationals, from the BEA Survey Table II.F1. (They are broadly consistent with the method used here which infers profits of foreign-controlled corporations from balance of payments data; the main difference is that net interest paid is about $12bn lower in the BEA data, probably due to differences between DI (&gt;10% owned, apportioned) and FATS stats (&gt;50% owned, not apportioned). </t>
    </r>
  </si>
  <si>
    <r>
      <rPr>
        <b/>
        <sz val="12"/>
        <color theme="1"/>
        <rFont val="Arial"/>
        <family val="2"/>
      </rPr>
      <t>For Luxembourg</t>
    </r>
    <r>
      <rPr>
        <sz val="12"/>
        <color theme="1"/>
        <rFont val="Arial"/>
        <family val="2"/>
      </rPr>
      <t>, we set depreciation at 24% (= economy average) (and corp tax rate out of operating surplus = 5%) and compute net interest as a residual. Otherwise the Luxembourg FATS and balance of payments data are not consistent (due to different scope: DI: &gt;10% owned vs. FATS: &gt;50% owned).</t>
    </r>
  </si>
  <si>
    <r>
      <rPr>
        <b/>
        <sz val="12"/>
        <color theme="1"/>
        <rFont val="Arial"/>
        <family val="2"/>
      </rPr>
      <t>For Malta</t>
    </r>
    <r>
      <rPr>
        <sz val="12"/>
        <color theme="1"/>
        <rFont val="Arial"/>
        <family val="2"/>
      </rPr>
      <t>, the implied operating surplus of foreign-controlled corporations is way larger than the recorded operating surplus of domestic corporations; we set the gross operating surplus of foreign-controlled corporations to zero and correct in Table A6.</t>
    </r>
  </si>
  <si>
    <t>Table A.6: Corrected corporate profits (2015)</t>
  </si>
  <si>
    <t>Corrrected corporate income tax rate</t>
  </si>
  <si>
    <t>Total corporate profits (corrected)</t>
  </si>
  <si>
    <t>Reported profits</t>
  </si>
  <si>
    <r>
      <rPr>
        <sz val="12"/>
        <color theme="1"/>
        <rFont val="Arial"/>
        <family val="2"/>
      </rPr>
      <t>Unrecorded</t>
    </r>
    <r>
      <rPr>
        <sz val="12"/>
        <color theme="1"/>
        <rFont val="Arial"/>
        <family val="2"/>
      </rPr>
      <t xml:space="preserve"> profits</t>
    </r>
  </si>
  <si>
    <t>Total profits of foreign corp. (corrected)</t>
  </si>
  <si>
    <t>Profits of operating units</t>
  </si>
  <si>
    <r>
      <rPr>
        <sz val="12"/>
        <color theme="1"/>
        <rFont val="Arial"/>
        <family val="2"/>
      </rPr>
      <t>Recorded p</t>
    </r>
    <r>
      <rPr>
        <sz val="12"/>
        <color theme="1"/>
        <rFont val="Arial"/>
        <family val="2"/>
      </rPr>
      <t>rofits of SPEs (net)</t>
    </r>
  </si>
  <si>
    <t>Missing profit outflows</t>
  </si>
  <si>
    <t>To the U.S.</t>
  </si>
  <si>
    <t>To the rest of the world</t>
  </si>
  <si>
    <t>Total local profits (corrected)</t>
  </si>
  <si>
    <r>
      <rPr>
        <u/>
        <sz val="12"/>
        <color theme="1"/>
        <rFont val="Arial"/>
        <family val="2"/>
      </rPr>
      <t>Notes</t>
    </r>
    <r>
      <rPr>
        <sz val="12"/>
        <color theme="1"/>
        <rFont val="Arial"/>
        <family val="2"/>
      </rPr>
      <t>: For Luxembourg, we assume that 1/3 of dividend payments by SPEs on inward DI are disguised as interest payments (through hybrid securities); see Appendix A.3 for a full discussion.</t>
    </r>
  </si>
  <si>
    <t>Table A.7: Artificially shifted profits (2015)</t>
  </si>
  <si>
    <t>Foreign-controlled       (% total)</t>
  </si>
  <si>
    <t>Reported profits / compensation</t>
  </si>
  <si>
    <r>
      <rPr>
        <sz val="12"/>
        <color theme="1"/>
        <rFont val="Arial"/>
        <family val="2"/>
      </rPr>
      <t>Offshore m</t>
    </r>
    <r>
      <rPr>
        <sz val="12"/>
        <color theme="1"/>
        <rFont val="Arial"/>
        <family val="2"/>
      </rPr>
      <t>utual fund profits</t>
    </r>
  </si>
  <si>
    <t>Missing profits</t>
  </si>
  <si>
    <t>Of U.S. multinationals</t>
  </si>
  <si>
    <t>Of E.U. multinationals</t>
  </si>
  <si>
    <t>Taxable profits / compens.           (π)</t>
  </si>
  <si>
    <r>
      <t>Foreign controlled firms       (π</t>
    </r>
    <r>
      <rPr>
        <vertAlign val="subscript"/>
        <sz val="12"/>
        <color theme="1"/>
        <rFont val="Arial"/>
        <family val="2"/>
      </rPr>
      <t>f</t>
    </r>
    <r>
      <rPr>
        <sz val="12"/>
        <color theme="1"/>
        <rFont val="Arial"/>
        <family val="2"/>
      </rPr>
      <t>)</t>
    </r>
  </si>
  <si>
    <t>Of which: US affiliates</t>
  </si>
  <si>
    <r>
      <t>Local firms (π</t>
    </r>
    <r>
      <rPr>
        <vertAlign val="subscript"/>
        <sz val="12"/>
        <color theme="1"/>
        <rFont val="Arial"/>
        <family val="2"/>
      </rPr>
      <t>l</t>
    </r>
    <r>
      <rPr>
        <sz val="12"/>
        <color theme="1"/>
        <rFont val="Arial"/>
        <family val="2"/>
      </rPr>
      <t>)</t>
    </r>
  </si>
  <si>
    <t>Corporate profits, total</t>
  </si>
  <si>
    <t>Foreign controlled firms</t>
  </si>
  <si>
    <r>
      <rPr>
        <sz val="12"/>
        <color theme="1"/>
        <rFont val="Arial"/>
        <family val="2"/>
      </rPr>
      <t>Offshore mutual funds</t>
    </r>
  </si>
  <si>
    <r>
      <t>Artificially shifted profits   (π</t>
    </r>
    <r>
      <rPr>
        <b/>
        <vertAlign val="subscript"/>
        <sz val="12"/>
        <color theme="1"/>
        <rFont val="Arial"/>
        <family val="2"/>
      </rPr>
      <t>f</t>
    </r>
    <r>
      <rPr>
        <b/>
        <sz val="12"/>
        <color theme="1"/>
        <rFont val="Arial"/>
        <family val="2"/>
      </rPr>
      <t xml:space="preserve"> = π</t>
    </r>
    <r>
      <rPr>
        <b/>
        <vertAlign val="subscript"/>
        <sz val="12"/>
        <color theme="1"/>
        <rFont val="Arial"/>
        <family val="2"/>
      </rPr>
      <t>l</t>
    </r>
    <r>
      <rPr>
        <b/>
        <sz val="12"/>
        <color theme="1"/>
        <rFont val="Arial"/>
        <family val="2"/>
      </rPr>
      <t>)</t>
    </r>
  </si>
  <si>
    <r>
      <rPr>
        <sz val="12"/>
        <color theme="1"/>
        <rFont val="Arial"/>
        <family val="2"/>
      </rPr>
      <t>Alt.</t>
    </r>
    <r>
      <rPr>
        <sz val="12"/>
        <color theme="1"/>
        <rFont val="Arial"/>
        <family val="2"/>
      </rPr>
      <t xml:space="preserve"> estimate (based on FDI stock)</t>
    </r>
  </si>
  <si>
    <t>In euros, from Eursotat</t>
  </si>
  <si>
    <t>Table A.8: Discrepancies in foreign affiliates statistics: Inward FATS of E.U. tax havens vs. Outward FATS of partners (2015)</t>
  </si>
  <si>
    <t>Table A.7: Discrepancies in FATS statistics: E.U. tax havens (2015)</t>
  </si>
  <si>
    <t>Gap</t>
  </si>
  <si>
    <t>Reported by Belgium</t>
  </si>
  <si>
    <t>Reported by partner countries</t>
  </si>
  <si>
    <t>Reported by Ireland</t>
  </si>
  <si>
    <t>Reported by Cyprus</t>
  </si>
  <si>
    <t>Reported by Luxembourg</t>
  </si>
  <si>
    <t>Reported by Netherlands</t>
  </si>
  <si>
    <t>Turnover (billion current US$)</t>
  </si>
  <si>
    <t>Turnover</t>
  </si>
  <si>
    <t>Total</t>
  </si>
  <si>
    <t>EU28</t>
  </si>
  <si>
    <t xml:space="preserve">  Belgium</t>
  </si>
  <si>
    <t xml:space="preserve">  Ireland</t>
  </si>
  <si>
    <t xml:space="preserve">  Luxembourg</t>
  </si>
  <si>
    <t xml:space="preserve">  Netherlands</t>
  </si>
  <si>
    <t xml:space="preserve">  France</t>
  </si>
  <si>
    <t xml:space="preserve">  Germany</t>
  </si>
  <si>
    <t xml:space="preserve">  Sweden</t>
  </si>
  <si>
    <t xml:space="preserve">  United Kingdom</t>
  </si>
  <si>
    <t xml:space="preserve">  Other</t>
  </si>
  <si>
    <t>USA</t>
  </si>
  <si>
    <t>Number of employees (thousands)</t>
  </si>
  <si>
    <t>Number of employees</t>
  </si>
  <si>
    <t>Gross operating surplus (billion current US$)</t>
  </si>
  <si>
    <t>Compensation of employees (billion current US$)</t>
  </si>
  <si>
    <t>EUR/dollar exchange rate</t>
  </si>
  <si>
    <t>(EU+US)/total</t>
  </si>
  <si>
    <t>Table A.9: Operating surplus: FATS vs. National accounts</t>
  </si>
  <si>
    <t>V.A. non financial corp:                 FATS / National accounts</t>
  </si>
  <si>
    <t>Local + foreign-controlled firms</t>
  </si>
  <si>
    <t>Foreign controlled firms (FATS)</t>
  </si>
  <si>
    <t>Compensation of employees, national accounts</t>
  </si>
  <si>
    <t>Of which: non-financial corp.</t>
  </si>
  <si>
    <t>Of which: financial corp.</t>
  </si>
  <si>
    <t>Compensation of employees (FATS)</t>
  </si>
  <si>
    <t>Missing from FATS</t>
  </si>
  <si>
    <t>Gross operating surplus, national accounts</t>
  </si>
  <si>
    <r>
      <t>Gross operating surplus</t>
    </r>
    <r>
      <rPr>
        <sz val="12"/>
        <color theme="1"/>
        <rFont val="Arial"/>
        <family val="2"/>
      </rPr>
      <t xml:space="preserve"> (</t>
    </r>
    <r>
      <rPr>
        <sz val="12"/>
        <color theme="1"/>
        <rFont val="Arial"/>
        <family val="2"/>
      </rPr>
      <t>FATS</t>
    </r>
    <r>
      <rPr>
        <sz val="12"/>
        <color theme="1"/>
        <rFont val="Arial"/>
        <family val="2"/>
      </rPr>
      <t>)</t>
    </r>
  </si>
  <si>
    <t>Gross value added</t>
  </si>
  <si>
    <t>Table A.10: Value-added of majority-owned foreign affiliates of U.S. multinationals (2015)</t>
  </si>
  <si>
    <t/>
  </si>
  <si>
    <t>Million current US$</t>
  </si>
  <si>
    <t>Gross value-added</t>
  </si>
  <si>
    <t>Profit-type return</t>
  </si>
  <si>
    <t xml:space="preserve">Net interest paid </t>
  </si>
  <si>
    <t xml:space="preserve">Taxes on production and imports </t>
  </si>
  <si>
    <t>Capital consumption allowances</t>
  </si>
  <si>
    <r>
      <rPr>
        <b/>
        <sz val="12"/>
        <rFont val="Arial"/>
        <family val="2"/>
      </rPr>
      <t>All countries</t>
    </r>
  </si>
  <si>
    <r>
      <rPr>
        <b/>
        <sz val="12"/>
        <rFont val="Arial"/>
        <family val="2"/>
      </rPr>
      <t>Canada</t>
    </r>
  </si>
  <si>
    <r>
      <rPr>
        <b/>
        <sz val="12"/>
        <rFont val="Arial"/>
        <family val="2"/>
      </rPr>
      <t>Europe</t>
    </r>
  </si>
  <si>
    <t>Other</t>
  </si>
  <si>
    <r>
      <rPr>
        <b/>
        <sz val="12"/>
        <rFont val="Arial"/>
        <family val="2"/>
      </rPr>
      <t>Latin America &amp; Other Western Hemisphere</t>
    </r>
  </si>
  <si>
    <t>South America</t>
  </si>
  <si>
    <t>Argentina</t>
  </si>
  <si>
    <t>Ecuador</t>
  </si>
  <si>
    <t>Peru</t>
  </si>
  <si>
    <t>Venezuela</t>
  </si>
  <si>
    <t>Central America</t>
  </si>
  <si>
    <t>Honduras</t>
  </si>
  <si>
    <t>Other Western Hemisphere</t>
  </si>
  <si>
    <t>Dominican Republic</t>
  </si>
  <si>
    <t>(D)</t>
  </si>
  <si>
    <t>United Kingdom Islands, Caribbean</t>
  </si>
  <si>
    <r>
      <rPr>
        <b/>
        <sz val="12"/>
        <rFont val="Arial"/>
        <family val="2"/>
      </rPr>
      <t>Africa</t>
    </r>
  </si>
  <si>
    <t>Egypt</t>
  </si>
  <si>
    <t>Nigeria</t>
  </si>
  <si>
    <r>
      <rPr>
        <b/>
        <sz val="12"/>
        <rFont val="Arial"/>
        <family val="2"/>
      </rPr>
      <t>Middle East</t>
    </r>
  </si>
  <si>
    <t>Saudi Arabia</t>
  </si>
  <si>
    <t>United Arab Emirates</t>
  </si>
  <si>
    <r>
      <rPr>
        <b/>
        <sz val="12"/>
        <rFont val="Arial"/>
        <family val="2"/>
      </rPr>
      <t>Asia and Pacific</t>
    </r>
  </si>
  <si>
    <t>Indonesia</t>
  </si>
  <si>
    <t>Malaysia</t>
  </si>
  <si>
    <t>Philippines</t>
  </si>
  <si>
    <t>Taiwan</t>
  </si>
  <si>
    <t>Thailand</t>
  </si>
  <si>
    <r>
      <rPr>
        <b/>
        <sz val="12"/>
        <rFont val="Arial"/>
        <family val="2"/>
      </rPr>
      <t>Addenda:</t>
    </r>
  </si>
  <si>
    <t>European Union (28)</t>
  </si>
  <si>
    <t>OPEC</t>
  </si>
  <si>
    <t>Notes: copied from U.S. MNE Activities: Preliminary 2015 Statistics, Majority-Owned Foreign Affiliates, Table II.F.1</t>
  </si>
  <si>
    <t>Table A.10: Value-added of majority-owned foreign affiliates of U.S. multinationals (2014)</t>
  </si>
  <si>
    <t>All countries</t>
  </si>
  <si>
    <t>Europe</t>
  </si>
  <si>
    <t>Latin America and Other Western Hemisphere</t>
  </si>
  <si>
    <t>Africa</t>
  </si>
  <si>
    <t>Middle East</t>
  </si>
  <si>
    <t>Asia and Pacific</t>
  </si>
  <si>
    <t>Korea, Republic of</t>
  </si>
  <si>
    <t>Addenda:</t>
  </si>
  <si>
    <t>Table A.11 Income Statement of of majority-owned foreign affiliates of U.S. multinationals (2015)</t>
  </si>
  <si>
    <t>Tax rate</t>
  </si>
  <si>
    <t>Income</t>
  </si>
  <si>
    <t>Costs and expenses</t>
  </si>
  <si>
    <t>Net income</t>
  </si>
  <si>
    <t>Sales</t>
  </si>
  <si>
    <t>Income from equity investments</t>
  </si>
  <si>
    <t>Capital gains (losses)</t>
  </si>
  <si>
    <t>Cost of goods sold and selling, general, and administrative expenses</t>
  </si>
  <si>
    <t>Foreign income taxes</t>
  </si>
  <si>
    <r>
      <rPr>
        <b/>
        <sz val="12"/>
        <rFont val="Arial"/>
        <family val="2"/>
      </rPr>
      <t>Latin America and Other Western Hemisphere</t>
    </r>
  </si>
  <si>
    <t>(*)</t>
  </si>
  <si>
    <t>Top 6 havens</t>
  </si>
  <si>
    <t>Main OECD non havens</t>
  </si>
  <si>
    <t>Main non-OECD Non havens</t>
  </si>
  <si>
    <t>Table A.11 Income Statement of of majority-owned foreign affiliates of U.S. multinationals (2014)</t>
  </si>
  <si>
    <t>Euro/USD</t>
  </si>
  <si>
    <t>Table B.1: Current account balances (2015)</t>
  </si>
  <si>
    <t>Current account</t>
  </si>
  <si>
    <t>Trade</t>
  </si>
  <si>
    <t>Primary income</t>
  </si>
  <si>
    <t>Secondary income</t>
  </si>
  <si>
    <t>FDI income</t>
  </si>
  <si>
    <t>Portfolio &amp; other primary income</t>
  </si>
  <si>
    <t>FDI equity income</t>
  </si>
  <si>
    <t>FDI debt income</t>
  </si>
  <si>
    <t>Slovak Republic</t>
  </si>
  <si>
    <t>China, P.R.: Mainland</t>
  </si>
  <si>
    <t>Russian Federation</t>
  </si>
  <si>
    <t>Bahamas, the</t>
  </si>
  <si>
    <t>Bahrain, Kingdom of</t>
  </si>
  <si>
    <t>China, P.R.: Hong Kong</t>
  </si>
  <si>
    <t>China, P.R.: Macao</t>
  </si>
  <si>
    <t>Unallocated &amp; rest of the world</t>
  </si>
  <si>
    <t>World</t>
  </si>
  <si>
    <r>
      <rPr>
        <u/>
        <sz val="10"/>
        <rFont val="Arial"/>
        <family val="2"/>
      </rPr>
      <t>Notes</t>
    </r>
    <r>
      <rPr>
        <sz val="10"/>
        <rFont val="Arial"/>
        <family val="2"/>
      </rPr>
      <t>: for Singapore, data on income are from http://www.mas.gov.sg/~/media/resource/publications/macro_review/2017/April%202017/MRapr17_AP.pdf Table 9 p. 103</t>
    </r>
  </si>
  <si>
    <t>Table B.1b: Current account balances, details for net income (2015)</t>
  </si>
  <si>
    <t>% of national income</t>
  </si>
  <si>
    <t>Total primary income</t>
  </si>
  <si>
    <t>Total primary investment income</t>
  </si>
  <si>
    <t>Other primary income</t>
  </si>
  <si>
    <t>National income</t>
  </si>
  <si>
    <t>Net DI interest received</t>
  </si>
  <si>
    <t>Net DI equity income received</t>
  </si>
  <si>
    <t>Net trade surplus</t>
  </si>
  <si>
    <t>Net primary income</t>
  </si>
  <si>
    <t>Direct investment income</t>
  </si>
  <si>
    <t>Portfolio investment income</t>
  </si>
  <si>
    <t>Other net investment income</t>
  </si>
  <si>
    <t>PI equity income</t>
  </si>
  <si>
    <t>PI debt income</t>
  </si>
  <si>
    <t>Table B.2: Direct investment income and positions (2015)</t>
  </si>
  <si>
    <r>
      <t xml:space="preserve">Billion current </t>
    </r>
    <r>
      <rPr>
        <sz val="12"/>
        <color theme="1"/>
        <rFont val="Arial"/>
        <family val="2"/>
      </rPr>
      <t>US$</t>
    </r>
  </si>
  <si>
    <t>Positions</t>
  </si>
  <si>
    <t>Inward direct investment</t>
  </si>
  <si>
    <t>Net dividends</t>
  </si>
  <si>
    <t>Net interest</t>
  </si>
  <si>
    <t>Reinvested earnings</t>
  </si>
  <si>
    <t>Outward direct investment</t>
  </si>
  <si>
    <t>Equity</t>
  </si>
  <si>
    <t>Debt</t>
  </si>
  <si>
    <t xml:space="preserve">  Brazil</t>
  </si>
  <si>
    <t>Virgin Islands, British</t>
  </si>
  <si>
    <t>Marshall Islands, Republic of</t>
  </si>
  <si>
    <t>Turks and Caicos Islands</t>
  </si>
  <si>
    <t>Table B.3: Direct investment income received (2015)</t>
  </si>
  <si>
    <t>Direct investment income received</t>
  </si>
  <si>
    <t>From foreign affiliates</t>
  </si>
  <si>
    <t>From foreign parents</t>
  </si>
  <si>
    <t>From fellow enterprises with domestic UCP</t>
  </si>
  <si>
    <t>From fellow enterprises with foreign UCP</t>
  </si>
  <si>
    <t>Interest received</t>
  </si>
  <si>
    <t>From foreign parent</t>
  </si>
  <si>
    <t>Table B.4: Direct investment income paid (2015)</t>
  </si>
  <si>
    <t>Direct investment income paid</t>
  </si>
  <si>
    <t>To foreign parent</t>
  </si>
  <si>
    <t>To foreign affiliates</t>
  </si>
  <si>
    <t>To fellow enterprises with domestic UCP</t>
  </si>
  <si>
    <t>To fellow enterprises with foreign UCP</t>
  </si>
  <si>
    <t>Notes:</t>
  </si>
  <si>
    <t>Table B.5: Direct investment income and positions of Special Purposes Entities (SPEs)</t>
  </si>
  <si>
    <t>Table B.6: Returns on direct investment (2015)</t>
  </si>
  <si>
    <t xml:space="preserve">Equity </t>
  </si>
  <si>
    <t>Outward - inward differential</t>
  </si>
  <si>
    <t>Table B.7: The World Current Account: Credits</t>
  </si>
  <si>
    <t xml:space="preserve"> Billions of current USD</t>
  </si>
  <si>
    <t>Memo: number of countries used for estimation of FDI income</t>
  </si>
  <si>
    <t>Goods trade (total trade before 2009)</t>
  </si>
  <si>
    <t>Service trade</t>
  </si>
  <si>
    <t>Portfolio &amp; other income</t>
  </si>
  <si>
    <t>Table B.8: The World Current Account: Debits</t>
  </si>
  <si>
    <t>Table B.9: The World Current Account: Discrepancies</t>
  </si>
  <si>
    <t>Table B.10: Corrections for direct investment income</t>
  </si>
  <si>
    <t xml:space="preserve"> Millions of current USD</t>
  </si>
  <si>
    <t>EU countries reported in Eurostat</t>
  </si>
  <si>
    <t>Reported income paid on inward direct investment</t>
  </si>
  <si>
    <t>Corrections for income paid</t>
  </si>
  <si>
    <t>Reported income received on outward direct investment</t>
  </si>
  <si>
    <t>Correction</t>
  </si>
  <si>
    <t>As reported by country (OECD numbers otherwise IMF)</t>
  </si>
  <si>
    <t>As reported by country (IMF numbers)</t>
  </si>
  <si>
    <t>As reported by OECD and EU partners</t>
  </si>
  <si>
    <t>Gap (reported by country) – (reported by partners)</t>
  </si>
  <si>
    <t>#1: Adding missing income reported by partners</t>
  </si>
  <si>
    <t>Of which: paid to United States</t>
  </si>
  <si>
    <t>Of which: paid to other countries</t>
  </si>
  <si>
    <t>#2: Using stock data when no partner data</t>
  </si>
  <si>
    <t>#3: Allocating remaining global income gap</t>
  </si>
  <si>
    <t>Difference</t>
  </si>
  <si>
    <t xml:space="preserve"> #1: Adding missing income reported by partners</t>
  </si>
  <si>
    <t>Bonaire, S</t>
  </si>
  <si>
    <t>Virgin Islands, Brit</t>
  </si>
  <si>
    <t>Curaçao</t>
  </si>
  <si>
    <t>Hong Kong,</t>
  </si>
  <si>
    <t>Macao</t>
  </si>
  <si>
    <t>Saint Kitts and Nevis</t>
  </si>
  <si>
    <t>Saint Lucia</t>
  </si>
  <si>
    <t>Saint Vincent and the Grenadines</t>
  </si>
  <si>
    <t>Afghanistan</t>
  </si>
  <si>
    <t>AFG: Afghanistan</t>
  </si>
  <si>
    <t>Afghanistan, Islamic Republic of</t>
  </si>
  <si>
    <t>Albania</t>
  </si>
  <si>
    <t>Algeria</t>
  </si>
  <si>
    <t>Angola</t>
  </si>
  <si>
    <t>Armenia</t>
  </si>
  <si>
    <t xml:space="preserve">    ARM: Armenia</t>
  </si>
  <si>
    <t>Armenia, Republic of</t>
  </si>
  <si>
    <t>Azerbaijan</t>
  </si>
  <si>
    <t xml:space="preserve">    AZE: Azerbaijan</t>
  </si>
  <si>
    <t>Azerbaijan, Republic of</t>
  </si>
  <si>
    <t>Bangladesh</t>
  </si>
  <si>
    <t>Belarus</t>
  </si>
  <si>
    <t>Benin</t>
  </si>
  <si>
    <t>Bhutan</t>
  </si>
  <si>
    <t>Bolivia</t>
  </si>
  <si>
    <t xml:space="preserve">  BOL: Bolivia</t>
  </si>
  <si>
    <t>Bosnia and Herzegovina</t>
  </si>
  <si>
    <t>BIH: Bosnia and Herzegovina</t>
  </si>
  <si>
    <t>Botswana</t>
  </si>
  <si>
    <t>BRN: Brunei Darussalam</t>
  </si>
  <si>
    <t>Brunei Darussalam</t>
  </si>
  <si>
    <t>Bulgaria</t>
  </si>
  <si>
    <t>Burkina Faso</t>
  </si>
  <si>
    <t>BFA: Burkina Faso</t>
  </si>
  <si>
    <t>Burundi</t>
  </si>
  <si>
    <t>Cambodia</t>
  </si>
  <si>
    <t>KHM: Cambodia (Kampuchea)</t>
  </si>
  <si>
    <t>Cameroon</t>
  </si>
  <si>
    <t>Cape Verde</t>
  </si>
  <si>
    <t>Central African Republic</t>
  </si>
  <si>
    <t>CAF: Central African Republic</t>
  </si>
  <si>
    <t>Chad</t>
  </si>
  <si>
    <t>Comoros</t>
  </si>
  <si>
    <t>Democratic Republic of the Congo</t>
  </si>
  <si>
    <t xml:space="preserve">COD: Congo, the Democratic Republic of the </t>
  </si>
  <si>
    <t>Congo, Democratic Republic of</t>
  </si>
  <si>
    <t>Congo</t>
  </si>
  <si>
    <t>COG: Congo</t>
  </si>
  <si>
    <t>Congo, Republic of</t>
  </si>
  <si>
    <t>Côte d'Ivoire</t>
  </si>
  <si>
    <t>CIV: Côte d'Ivoire</t>
  </si>
  <si>
    <t>Cote d'Ivoire</t>
  </si>
  <si>
    <t>Croatia</t>
  </si>
  <si>
    <t>Djibouti</t>
  </si>
  <si>
    <t>Dominica</t>
  </si>
  <si>
    <t xml:space="preserve">  DOM: Dominican Republic</t>
  </si>
  <si>
    <t>El Salvador</t>
  </si>
  <si>
    <t xml:space="preserve">  SLV: El Salvador</t>
  </si>
  <si>
    <t>Equatorial Guinea</t>
  </si>
  <si>
    <t>GNQ: Equatorial Guinea</t>
  </si>
  <si>
    <t>Eritrea</t>
  </si>
  <si>
    <t>Ethiopia</t>
  </si>
  <si>
    <t>Faroes (DK)</t>
  </si>
  <si>
    <t>FRO: Faroe Islands</t>
  </si>
  <si>
    <t>Faroe Islands</t>
  </si>
  <si>
    <t>Fiji</t>
  </si>
  <si>
    <t>Gabon</t>
  </si>
  <si>
    <t>Gambia, The</t>
  </si>
  <si>
    <t>GMB: Gambia</t>
  </si>
  <si>
    <t>Georgia</t>
  </si>
  <si>
    <t>Ghana</t>
  </si>
  <si>
    <t>Guatemala</t>
  </si>
  <si>
    <t>Guinea</t>
  </si>
  <si>
    <t>Guinea-Bissau</t>
  </si>
  <si>
    <t>GNB: Guinea-Bissau</t>
  </si>
  <si>
    <t>Guyana</t>
  </si>
  <si>
    <t>Haiti</t>
  </si>
  <si>
    <t>Iran, Islamic Republic of</t>
  </si>
  <si>
    <t>Iran</t>
  </si>
  <si>
    <t>Iraq</t>
  </si>
  <si>
    <t>Jamaica</t>
  </si>
  <si>
    <t>Jordan</t>
  </si>
  <si>
    <t>Kazakhstan</t>
  </si>
  <si>
    <t>Kenya</t>
  </si>
  <si>
    <t>Kiribati</t>
  </si>
  <si>
    <t>Kosovo, Republic of</t>
  </si>
  <si>
    <t>Kuwait</t>
  </si>
  <si>
    <t>Kyrgyz Republic</t>
  </si>
  <si>
    <t>Kyrgyzstan</t>
  </si>
  <si>
    <t>Lao People's Democratic Republic</t>
  </si>
  <si>
    <t>Laos</t>
  </si>
  <si>
    <t>Lesotho</t>
  </si>
  <si>
    <t>Liberia</t>
  </si>
  <si>
    <t>Libya</t>
  </si>
  <si>
    <t>Lithuania</t>
  </si>
  <si>
    <t>Macedonia,</t>
  </si>
  <si>
    <t>Former Yugoslav Republic of Macedonia, the</t>
  </si>
  <si>
    <t>Macedonia, FYR</t>
  </si>
  <si>
    <t>Madagascar</t>
  </si>
  <si>
    <t>Malawi</t>
  </si>
  <si>
    <t>Maldives</t>
  </si>
  <si>
    <t>Mali</t>
  </si>
  <si>
    <t>Mauritania</t>
  </si>
  <si>
    <t>Micronesia, Federated States of</t>
  </si>
  <si>
    <t>Federated States of Micronesia</t>
  </si>
  <si>
    <t>Micronesia</t>
  </si>
  <si>
    <t>Moldova</t>
  </si>
  <si>
    <t>Mongolia</t>
  </si>
  <si>
    <t>Montenegro</t>
  </si>
  <si>
    <t>Montserrat</t>
  </si>
  <si>
    <t>Morocco</t>
  </si>
  <si>
    <t>Mozambique</t>
  </si>
  <si>
    <t>Myanmar</t>
  </si>
  <si>
    <t>Namibia</t>
  </si>
  <si>
    <t>Nepal</t>
  </si>
  <si>
    <t>Nicaragua</t>
  </si>
  <si>
    <t>Niger</t>
  </si>
  <si>
    <t>Oman</t>
  </si>
  <si>
    <t>Pakistan</t>
  </si>
  <si>
    <t>Palau</t>
  </si>
  <si>
    <t>Papua New Guinea</t>
  </si>
  <si>
    <t>Paraguay</t>
  </si>
  <si>
    <t>Qatar</t>
  </si>
  <si>
    <t>Romania</t>
  </si>
  <si>
    <t>Rwanda</t>
  </si>
  <si>
    <t>Samoa</t>
  </si>
  <si>
    <t>Sao Tome and Principe</t>
  </si>
  <si>
    <t>Senegal</t>
  </si>
  <si>
    <t>Serbia, Republic of</t>
  </si>
  <si>
    <t>Serbia</t>
  </si>
  <si>
    <t>Sierra Leone</t>
  </si>
  <si>
    <t>Solomon Islands</t>
  </si>
  <si>
    <t>South Sudan</t>
  </si>
  <si>
    <t>Sudan</t>
  </si>
  <si>
    <t>Suriname</t>
  </si>
  <si>
    <t>Swaziland</t>
  </si>
  <si>
    <t>Syria</t>
  </si>
  <si>
    <t>Syrian Arab Republic</t>
  </si>
  <si>
    <t>Tajikistan</t>
  </si>
  <si>
    <t>Tanzania</t>
  </si>
  <si>
    <t>Timor-Leste, Dem. Rep. of</t>
  </si>
  <si>
    <t>Timor-Leste</t>
  </si>
  <si>
    <t>Togo</t>
  </si>
  <si>
    <t>Tonga</t>
  </si>
  <si>
    <t>Trinidad and Tobago</t>
  </si>
  <si>
    <t>Tunisia</t>
  </si>
  <si>
    <t>Tuvalu</t>
  </si>
  <si>
    <t>Uganda</t>
  </si>
  <si>
    <t>Ukraine</t>
  </si>
  <si>
    <t>Uruguay</t>
  </si>
  <si>
    <t>Vanuatu</t>
  </si>
  <si>
    <t>Venezuela, Republica Bolivariana de</t>
  </si>
  <si>
    <t>Vietnam</t>
  </si>
  <si>
    <t>West Bank and Gaza</t>
  </si>
  <si>
    <t>Yemen, Republic of</t>
  </si>
  <si>
    <t>Yemen</t>
  </si>
  <si>
    <t>Zambia</t>
  </si>
  <si>
    <t>Zimbabwe</t>
  </si>
  <si>
    <t>Classified or undeclared</t>
  </si>
  <si>
    <t>Notes: Puerto Rico is treated as part of the United States for U.S. direct investment statistics, hence is included under "United States" in this table.</t>
  </si>
  <si>
    <t>DI income gap</t>
  </si>
  <si>
    <t>Table B.11: Bilateral DI income discrepancies (both investor &amp; host bilateral report exists)</t>
  </si>
  <si>
    <t>Outward DI by investor less Inward DI by host</t>
  </si>
  <si>
    <t>Outward DI by investor less inward DI by host</t>
  </si>
  <si>
    <t>Billions of current US$</t>
  </si>
  <si>
    <t>Host (line) /          Investor (col.)</t>
  </si>
  <si>
    <t>European Union (Non-SPEs)</t>
  </si>
  <si>
    <t>Rest of world (imputed)</t>
  </si>
  <si>
    <t>Total (excl. ROW)</t>
  </si>
  <si>
    <t>Investor (line) /         Host (col.)</t>
  </si>
  <si>
    <t>EU non SPEs</t>
  </si>
  <si>
    <t xml:space="preserve">Rest of world </t>
  </si>
  <si>
    <t>Table B12a: EU service trade discrepancies</t>
  </si>
  <si>
    <t>Million euros</t>
  </si>
  <si>
    <t>% of service exports</t>
  </si>
  <si>
    <t>EU Total</t>
  </si>
  <si>
    <t>A. Lost exports of the EU: EU to EU exports less EU to EU imports</t>
  </si>
  <si>
    <r>
      <t>B. The EU's lost exports</t>
    </r>
    <r>
      <rPr>
        <sz val="12"/>
        <color theme="1"/>
        <rFont val="Arial"/>
        <family val="2"/>
      </rPr>
      <t xml:space="preserve"> </t>
    </r>
    <r>
      <rPr>
        <sz val="12"/>
        <color theme="1"/>
        <rFont val="Arial"/>
        <family val="2"/>
      </rPr>
      <t>(excluding havens)</t>
    </r>
  </si>
  <si>
    <t>The case of Luxembourg</t>
  </si>
  <si>
    <t>Luxembourg's service exports to rest of EU</t>
  </si>
  <si>
    <t>Rest of EU's service imports from Luxembourg</t>
  </si>
  <si>
    <t>Service export gap</t>
  </si>
  <si>
    <t>Gap when excluding haven partners</t>
  </si>
  <si>
    <t>Service export gaps in the 6 EU havens vs. rest of non-haven EU</t>
  </si>
  <si>
    <t>C. Sum</t>
  </si>
  <si>
    <t>Service export gaps in the 6 EU havens among themselves</t>
  </si>
  <si>
    <t>D. Sum</t>
  </si>
  <si>
    <t>E. Service exports gap of EU non-havens vs. EU havens</t>
  </si>
  <si>
    <t>Total discrepancies (B+C+D+E)=(A)=</t>
  </si>
  <si>
    <t>Table B12b: Service import and export discrepancies</t>
  </si>
  <si>
    <t>Exports to non-haven EU countries, Million Euros</t>
  </si>
  <si>
    <t>Shares</t>
  </si>
  <si>
    <t>Reported by exporter</t>
  </si>
  <si>
    <t>Reported by importer</t>
  </si>
  <si>
    <t>Difference [2]-[1]</t>
  </si>
  <si>
    <t>EU22</t>
  </si>
  <si>
    <t>EU6</t>
  </si>
  <si>
    <r>
      <rPr>
        <u/>
        <sz val="12"/>
        <color theme="1"/>
        <rFont val="Arial"/>
        <family val="2"/>
      </rPr>
      <t>Notes</t>
    </r>
    <r>
      <rPr>
        <sz val="12"/>
        <color theme="1"/>
        <rFont val="Arial"/>
        <family val="2"/>
      </rPr>
      <t>: EU22 is the EU28 less Belgium, Cyprus, Ireland; Luxembourg; Netherlands and Malta</t>
    </r>
  </si>
  <si>
    <t>Table C.1: High-risk payments to tax havens</t>
  </si>
  <si>
    <t>[17]</t>
  </si>
  <si>
    <t>[18]</t>
  </si>
  <si>
    <t>[19]</t>
  </si>
  <si>
    <t>[20]</t>
  </si>
  <si>
    <t>[21]</t>
  </si>
  <si>
    <t>[22]</t>
  </si>
  <si>
    <t>FDI interest payments (million USD)</t>
  </si>
  <si>
    <t>Royalty, insurance, ICT, financial and "other" service payments (million USD)</t>
  </si>
  <si>
    <t>All havens</t>
  </si>
  <si>
    <t>EU havens</t>
  </si>
  <si>
    <t>Non-EU tax havens</t>
  </si>
  <si>
    <t>Rest</t>
  </si>
  <si>
    <t>Aux computations</t>
  </si>
  <si>
    <t>Share of FDI interest non EU</t>
  </si>
  <si>
    <t>Share of rest of high risk payments non EU</t>
  </si>
  <si>
    <t>Share of EU rest FDI interest</t>
  </si>
  <si>
    <t>Share of EU rest service</t>
  </si>
  <si>
    <t>Germany (until 1990 former territory of the FRG)</t>
  </si>
  <si>
    <t>South Korea</t>
  </si>
  <si>
    <t>China (except Hong Kong)</t>
  </si>
  <si>
    <t>Non-haven total</t>
  </si>
  <si>
    <t>Table C2: Excessive high risk payments to tax havens</t>
  </si>
  <si>
    <t>Excessive royalty, insurance, ICT, financial and "other" service payments (million USD)</t>
  </si>
  <si>
    <t>Share interest</t>
  </si>
  <si>
    <t>Table C3: Who are the ultimate owners of the FDI stocks in tax havens?</t>
  </si>
  <si>
    <t xml:space="preserve"> FDI stocks in havens (million USD)</t>
  </si>
  <si>
    <t>Bonaire, Sint Eustatius and Saba</t>
  </si>
  <si>
    <t>Table C4: Allocating the profits shifted to tax havens</t>
  </si>
  <si>
    <t>Excessive high risk payments (million USD)</t>
  </si>
  <si>
    <t>Benchmark allocation: Excessive high risk payments</t>
  </si>
  <si>
    <t>Ultimate ownership (million USD)</t>
  </si>
  <si>
    <t>Shifted profits (Mn.)</t>
  </si>
  <si>
    <t>Corporate tax base (Bn.)</t>
  </si>
  <si>
    <t>US</t>
  </si>
  <si>
    <t>Table C4b: Allocating the profits shifted to tax havens</t>
  </si>
  <si>
    <t>Share of shifted profits</t>
  </si>
  <si>
    <t>Excessive high risk payments</t>
  </si>
  <si>
    <t>Ultimate ownership</t>
  </si>
  <si>
    <t>Table C4c: Profits shifted to tax havens – share of tax base</t>
  </si>
  <si>
    <t>Corporate profits (Bn. USD)</t>
  </si>
  <si>
    <t>Share of tax base</t>
  </si>
  <si>
    <t>Table C4d: Lost tax revenue due to profit shifting</t>
  </si>
  <si>
    <t>Corporate tax revenue (Bn. USD)</t>
  </si>
  <si>
    <t xml:space="preserve">Corporate tax rate </t>
  </si>
  <si>
    <t>Tax losses (billion $US)</t>
  </si>
  <si>
    <t>Tax losses (% of corp. tax revenue)</t>
  </si>
  <si>
    <t>Table C4e: Allocating the shifted profits: alternative estimate based on the reported profitability of foreign firm in non-haven countries</t>
  </si>
  <si>
    <t>Corporate tax revenue ($Bn.)</t>
  </si>
  <si>
    <t>Profits shifted to tax havens ($Bn.)</t>
  </si>
  <si>
    <t>Revenue lost, % of corporate tax rev.</t>
  </si>
  <si>
    <t>Alternative allocation: profitability gap</t>
  </si>
  <si>
    <t>Memo: allocation based on excessive high risk payments</t>
  </si>
  <si>
    <t>Memo: allocation based on ultimate ownership</t>
  </si>
  <si>
    <t>Total loss</t>
  </si>
  <si>
    <t>Setting local profitability = foreign</t>
  </si>
  <si>
    <t>Distributing remaining haven profits to parents</t>
  </si>
  <si>
    <t>Table C4x: Construction of sankey diagrams ($, millions)</t>
  </si>
  <si>
    <t>Table C2</t>
  </si>
  <si>
    <t>Table C4</t>
  </si>
  <si>
    <t>Table A7</t>
  </si>
  <si>
    <t>High-risk exports (to non-havens)</t>
  </si>
  <si>
    <t>Scaled high-risk exports</t>
  </si>
  <si>
    <r>
      <t>Artificially shifted profits   (π</t>
    </r>
    <r>
      <rPr>
        <b/>
        <vertAlign val="subscript"/>
        <sz val="12"/>
        <color rgb="FF000000"/>
        <rFont val="Arial"/>
        <family val="2"/>
      </rPr>
      <t>f</t>
    </r>
    <r>
      <rPr>
        <b/>
        <sz val="12"/>
        <color rgb="FF000000"/>
        <rFont val="Arial"/>
        <family val="2"/>
      </rPr>
      <t xml:space="preserve"> = π</t>
    </r>
    <r>
      <rPr>
        <b/>
        <vertAlign val="subscript"/>
        <sz val="12"/>
        <color rgb="FF000000"/>
        <rFont val="Arial"/>
        <family val="2"/>
      </rPr>
      <t>l</t>
    </r>
    <r>
      <rPr>
        <b/>
        <sz val="12"/>
        <color rgb="FF000000"/>
        <rFont val="Arial"/>
        <family val="2"/>
      </rPr>
      <t>)</t>
    </r>
  </si>
  <si>
    <t>Difference between High-risk exports and excess profits</t>
  </si>
  <si>
    <t>Raw exporter data (high-risk imports, $ millions)</t>
  </si>
  <si>
    <t>Importer/Exporter</t>
  </si>
  <si>
    <t>Offshore tax havens</t>
  </si>
  <si>
    <t>Rest of havens</t>
  </si>
  <si>
    <t>Non-EU Non-Haven</t>
  </si>
  <si>
    <t>Additional manual corrections to ensure sums match</t>
  </si>
  <si>
    <t>Reallocation matrix</t>
  </si>
  <si>
    <t>Reallocation matrix^2</t>
  </si>
  <si>
    <t xml:space="preserve">Point of entry/Ultimate location </t>
  </si>
  <si>
    <t>OFFSHO</t>
  </si>
  <si>
    <t>Final distribution ($, billions)</t>
  </si>
  <si>
    <t>EU high-tax countries</t>
  </si>
  <si>
    <t>Non-EU high-tax countries</t>
  </si>
  <si>
    <t>EU22 to ultimate destination</t>
  </si>
  <si>
    <t>Input to online sankey diagram</t>
  </si>
  <si>
    <t>Origin</t>
  </si>
  <si>
    <t>Destination</t>
  </si>
  <si>
    <t>Billion (Imports)</t>
  </si>
  <si>
    <t>Node (origin)</t>
  </si>
  <si>
    <t>Node (destination)</t>
  </si>
  <si>
    <t>Immediate</t>
  </si>
  <si>
    <t>Ultimate</t>
  </si>
  <si>
    <t>EU22 to EU havens</t>
  </si>
  <si>
    <t>EU22 to non-EU havens</t>
  </si>
  <si>
    <t>Table C5: National account statistics corrected for profit shifting</t>
  </si>
  <si>
    <t>Difference in net capital share</t>
  </si>
  <si>
    <t>Shifted operating surplus</t>
  </si>
  <si>
    <t>Net domestic product</t>
  </si>
  <si>
    <t>Shifted corporate profits</t>
  </si>
  <si>
    <t>Shifted interest</t>
  </si>
  <si>
    <t>Table C5b: Balance of payment statistics corrected for profit shifting</t>
  </si>
  <si>
    <t>Trade balance / GDP (raw)</t>
  </si>
  <si>
    <t>Trade balance / GDP (corrected)</t>
  </si>
  <si>
    <r>
      <t xml:space="preserve">Difference in </t>
    </r>
    <r>
      <rPr>
        <sz val="12"/>
        <color theme="1"/>
        <rFont val="Arial"/>
        <family val="2"/>
      </rPr>
      <t>trade balance</t>
    </r>
  </si>
  <si>
    <t>Cross-border primary income / GDP (raw)</t>
  </si>
  <si>
    <t>Cross-border primary income / GDP (corrected)</t>
  </si>
  <si>
    <t>Difference in primary income balance</t>
  </si>
  <si>
    <t>Current account balance / GDP (raw)</t>
  </si>
  <si>
    <t>Current account balance / GDP (corrected)</t>
  </si>
  <si>
    <t>Difference in current account balance</t>
  </si>
  <si>
    <t>Trade balance</t>
  </si>
  <si>
    <t>Cross-border primary income</t>
  </si>
  <si>
    <t>Equity income</t>
  </si>
  <si>
    <t>Debt income</t>
  </si>
  <si>
    <t>Debt shifting: does not affect trade balance nor income balance (but only the breakdown of DI income into debt and equity income); hence relatively little impact on Dutch BoP (lot of interest)</t>
  </si>
  <si>
    <t>Real shifting: affects trande balance and income balance in opposite direction</t>
  </si>
  <si>
    <t>CA balance of havens falls because we add the missing US profits as DI income paid (and assume that any service exports were appropriately recorded: consistent with fact that at global level, DI balance &lt; 0 but trade balance &gt; 0: if anything there are too much exports, not too little)</t>
  </si>
  <si>
    <t>This might be excessive in the case of Ireland (probably missing some exports)</t>
  </si>
  <si>
    <t>Luxembourg is a foreign-owned country (real mobility of finance + cross-border workers)</t>
  </si>
  <si>
    <t>Table C.6: World corporate profits 1975-2012</t>
  </si>
  <si>
    <t>Aux: UN data on value-added</t>
  </si>
  <si>
    <t>Depreciation (% GDP)</t>
  </si>
  <si>
    <t>Corporate sector share of net output</t>
  </si>
  <si>
    <t>Labor share in net corporate value-added</t>
  </si>
  <si>
    <t>Memo: Labor share in gross corporate value-added</t>
  </si>
  <si>
    <t>Share of foreign corporations in profits</t>
  </si>
  <si>
    <t>Net value-added</t>
  </si>
  <si>
    <t>Net corporate value-added</t>
  </si>
  <si>
    <t>Net corporate profits</t>
  </si>
  <si>
    <t>Of which: of foreign-controlled corporations</t>
  </si>
  <si>
    <t>Corporate sector share of GDP</t>
  </si>
  <si>
    <t>Number of countries in sample</t>
  </si>
  <si>
    <t>Labour share in corporate sector</t>
  </si>
  <si>
    <r>
      <rPr>
        <b/>
        <sz val="11"/>
        <color theme="1"/>
        <rFont val="Arial"/>
        <family val="2"/>
      </rPr>
      <t>Notes:</t>
    </r>
    <r>
      <rPr>
        <sz val="11"/>
        <color theme="1"/>
        <rFont val="Arial"/>
        <family val="2"/>
      </rPr>
      <t xml:space="preserve"> "Corporate profits" are after net interest payments.</t>
    </r>
  </si>
  <si>
    <t>Note:</t>
  </si>
  <si>
    <t>Table C7: Tracing immediate high-risk payments to their ultimate destination</t>
  </si>
  <si>
    <t>Excessive high risk payments - immediate destination (million USD)</t>
  </si>
  <si>
    <t>Excessive high risk payments - ultimate destination (million USD)</t>
  </si>
  <si>
    <t>Non-EU havens</t>
  </si>
  <si>
    <t>Corrections such that sums match</t>
  </si>
  <si>
    <t>Table D1a: Comparison with other estimates</t>
  </si>
  <si>
    <t>$Bn.</t>
  </si>
  <si>
    <t>Our benchmark</t>
  </si>
  <si>
    <t>Clausing</t>
  </si>
  <si>
    <t>OECD 2015</t>
  </si>
  <si>
    <t>UNCTAD 2015</t>
  </si>
  <si>
    <t>Crivelli et al 2016 (long-run estimate)</t>
  </si>
  <si>
    <t>Crivelli et al 2016 (short-run estimate)</t>
  </si>
  <si>
    <t>Crivelli 2016 / Cobham &amp; Jansky 2017 (long run)</t>
  </si>
  <si>
    <t>Year of estimate</t>
  </si>
  <si>
    <t>Global tax revenue loss</t>
  </si>
  <si>
    <t>100-240</t>
  </si>
  <si>
    <t>Global base shifted</t>
  </si>
  <si>
    <t>Table D.1b: Comparison with other estimates (country details)</t>
  </si>
  <si>
    <t>Tax revenue loss ($Bn.)</t>
  </si>
  <si>
    <t>Tax revenue loss (% of corp. Tax revenue)</t>
  </si>
  <si>
    <t>Our benchmark estimate</t>
  </si>
  <si>
    <t>Crivelli 2016 / Cobham &amp; Jansky 2017</t>
  </si>
  <si>
    <t>Clausing 2016</t>
  </si>
  <si>
    <t>World Total</t>
  </si>
  <si>
    <t>Table D2: Studies of transfer mispricing of goods</t>
  </si>
  <si>
    <t>Cristeau &amp; Nguyen 2014</t>
  </si>
  <si>
    <t>Liu et al 2017</t>
  </si>
  <si>
    <t>Davies et al 2016</t>
  </si>
  <si>
    <t>Bernard et al 2006</t>
  </si>
  <si>
    <t>Country</t>
  </si>
  <si>
    <t>DK</t>
  </si>
  <si>
    <t>UK</t>
  </si>
  <si>
    <t>FR</t>
  </si>
  <si>
    <t>Tax loss in million Euro</t>
  </si>
  <si>
    <t>Corporate income tax revenue in mill. Euro</t>
  </si>
  <si>
    <t>Tax loss in percent of CIT</t>
  </si>
  <si>
    <t>Of tax loss: internal loss to EU countries</t>
  </si>
  <si>
    <t>N/A</t>
  </si>
  <si>
    <t>Of internal EU loss: Loss going to EU havens</t>
  </si>
  <si>
    <t>Transfer mispricing of goods estimates</t>
  </si>
  <si>
    <t>Huizinga &amp; Laeven 2008 corporate tax losses relative to total corporate tax incomes 1999</t>
  </si>
  <si>
    <t>Taxes on the income or profits of corporations including holding gains</t>
  </si>
  <si>
    <t>Gained revenue in million USD</t>
  </si>
  <si>
    <t>Gained revenue in million Euro</t>
  </si>
  <si>
    <t>Percent of CIT gained</t>
  </si>
  <si>
    <t>Income year of estimate</t>
  </si>
  <si>
    <t>Place</t>
  </si>
  <si>
    <t>Tax loss in mill. Euro</t>
  </si>
  <si>
    <t>CIT in mill. Euro</t>
  </si>
  <si>
    <t>source: Main national accounts tax aggregates [gov_10a_taxag]</t>
  </si>
  <si>
    <t>1999 Exchange rate USD/EUR</t>
  </si>
  <si>
    <t>Table E1: Capital intensity: Local vs. foreign-controlled firms (2015)</t>
  </si>
  <si>
    <t>Full economy</t>
  </si>
  <si>
    <t>Foreign firms</t>
  </si>
  <si>
    <t>K/wL</t>
  </si>
  <si>
    <t>K/L</t>
  </si>
  <si>
    <t>Compensation of employees (wL)</t>
  </si>
  <si>
    <t>Number of employees in FATS    (L)</t>
  </si>
  <si>
    <t>Tangible fixed assets (K)</t>
  </si>
  <si>
    <t>Thousands</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</si>
  <si>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</si>
  <si>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</si>
  <si>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</si>
  <si>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</si>
  <si>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</si>
  <si>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</si>
  <si>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</si>
  <si>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</si>
  <si>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</si>
  <si>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</si>
  <si>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</si>
  <si>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</si>
  <si>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</si>
  <si>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</si>
  <si>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</si>
  <si>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</si>
  <si>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</si>
  <si>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</si>
  <si>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</si>
  <si>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</si>
  <si>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</si>
  <si>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</si>
  <si>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</si>
  <si>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</si>
  <si>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</si>
  <si>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</si>
  <si>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</si>
  <si>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</si>
  <si>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</si>
  <si>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</si>
  <si>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</si>
  <si>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</si>
  <si>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</si>
  <si>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</si>
  <si>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BRA</t>
  </si>
  <si>
    <t>CHN</t>
  </si>
  <si>
    <t>COL</t>
  </si>
  <si>
    <t>CRI</t>
  </si>
  <si>
    <t>IND</t>
  </si>
  <si>
    <t>RUS</t>
  </si>
  <si>
    <t>ZAF</t>
  </si>
  <si>
    <t>AND</t>
  </si>
  <si>
    <t>AIA</t>
  </si>
  <si>
    <t>ATG</t>
  </si>
  <si>
    <t>ABW</t>
  </si>
  <si>
    <t>BHS</t>
  </si>
  <si>
    <t>BRB</t>
  </si>
  <si>
    <t>BLZ</t>
  </si>
  <si>
    <t>BMU</t>
  </si>
  <si>
    <t>BES</t>
  </si>
  <si>
    <t>CYM</t>
  </si>
  <si>
    <t>CUW</t>
  </si>
  <si>
    <t>CYP</t>
  </si>
  <si>
    <t>JEY</t>
  </si>
  <si>
    <t>GRD</t>
  </si>
  <si>
    <t>GGY</t>
  </si>
  <si>
    <t>GIB</t>
  </si>
  <si>
    <t>HKG</t>
  </si>
  <si>
    <t>IMN</t>
  </si>
  <si>
    <t>LBN</t>
  </si>
  <si>
    <t>LIE</t>
  </si>
  <si>
    <t>MLT</t>
  </si>
  <si>
    <t>MCO</t>
  </si>
  <si>
    <t>SXM</t>
  </si>
  <si>
    <t>MUS</t>
  </si>
  <si>
    <t>SYC</t>
  </si>
  <si>
    <t>SGP</t>
  </si>
  <si>
    <t>KNA</t>
  </si>
  <si>
    <t>LCA</t>
  </si>
  <si>
    <t>VCT</t>
  </si>
  <si>
    <t>TCA</t>
  </si>
  <si>
    <t>PAN</t>
  </si>
  <si>
    <t>PRI</t>
  </si>
  <si>
    <r>
      <rPr>
        <u/>
        <sz val="12"/>
        <color theme="1"/>
        <rFont val="Arial"/>
        <family val="2"/>
      </rPr>
      <t>Notes</t>
    </r>
    <r>
      <rPr>
        <sz val="12"/>
        <color theme="1"/>
        <rFont val="Arial"/>
        <family val="2"/>
      </rPr>
      <t xml:space="preserve">: The foreign share of tangible fixed assets is computed as the share of gross investments in tangible assets in the preceding 9 years using FATS data. When local FATS data are unavailable, we use the ratio of tangible assets to compensation in US-owned firms. Data on tangible assets of foreign affiliates for Puerto Rico is taken from US Country-by-Country reports from 2016. For India, South Africa and Puerto Rico the local sector ratio of tangible assets to employee compensation is imputed as the developing country average. </t>
    </r>
  </si>
  <si>
    <t>Table E2: Capital intensity: havens vs. Non-havens (billions of US$)</t>
  </si>
  <si>
    <t>Foreign</t>
  </si>
  <si>
    <t>Local</t>
  </si>
  <si>
    <t>Foreign /Local</t>
  </si>
  <si>
    <t>wL/K</t>
  </si>
  <si>
    <t>wL</t>
  </si>
  <si>
    <t>K</t>
  </si>
  <si>
    <t>All</t>
  </si>
  <si>
    <t>Non-havens</t>
  </si>
  <si>
    <t>Tangible capital  / compens.           (K/L)</t>
  </si>
  <si>
    <r>
      <t>Foreign controlled firms       (K/L</t>
    </r>
    <r>
      <rPr>
        <sz val="12"/>
        <color theme="1"/>
        <rFont val="Arial"/>
        <family val="2"/>
      </rPr>
      <t>)</t>
    </r>
  </si>
  <si>
    <r>
      <t>Local firms (K/L</t>
    </r>
    <r>
      <rPr>
        <sz val="12"/>
        <color theme="1"/>
        <rFont val="Arial"/>
        <family val="2"/>
      </rPr>
      <t>)</t>
    </r>
  </si>
  <si>
    <t>Local firm profitability (π) corrected by setting local=foreign K/L ratio</t>
  </si>
  <si>
    <r>
      <t>Artificially shifted profits (π</t>
    </r>
    <r>
      <rPr>
        <b/>
        <vertAlign val="subscript"/>
        <sz val="12"/>
        <color theme="1"/>
        <rFont val="Arial"/>
        <family val="2"/>
      </rPr>
      <t>f</t>
    </r>
    <r>
      <rPr>
        <b/>
        <sz val="12"/>
        <color theme="1"/>
        <rFont val="Arial"/>
        <family val="2"/>
      </rPr>
      <t xml:space="preserve"> = π</t>
    </r>
    <r>
      <rPr>
        <b/>
        <vertAlign val="subscript"/>
        <sz val="12"/>
        <color theme="1"/>
        <rFont val="Arial"/>
        <family val="2"/>
      </rPr>
      <t>l</t>
    </r>
    <r>
      <rPr>
        <b/>
        <sz val="12"/>
        <color theme="1"/>
        <rFont val="Arial"/>
        <family val="2"/>
      </rPr>
      <t>) with adjusted local firm profitability</t>
    </r>
  </si>
  <si>
    <t>Change relative to benchmark</t>
  </si>
  <si>
    <t>σ=0.7</t>
  </si>
  <si>
    <t>σ=1</t>
  </si>
  <si>
    <t>σ=1.3</t>
  </si>
  <si>
    <t>Benchmark</t>
  </si>
  <si>
    <t>Preferred estimate</t>
  </si>
  <si>
    <t>Robustness checks</t>
  </si>
  <si>
    <t>Removing bilateral disc. ("missing profits"</t>
  </si>
  <si>
    <t>Adjustment for capital intensity with σ=0.7</t>
  </si>
  <si>
    <t>Adjustment for capital intensity with σ=1.3</t>
  </si>
  <si>
    <t>Table F1a: Top statutory corporate income tax rates by country</t>
  </si>
  <si>
    <t>Hong Kong SAR</t>
  </si>
  <si>
    <t>Sint Maarten (Dutch part)</t>
  </si>
  <si>
    <t>European average</t>
  </si>
  <si>
    <t>Asian average</t>
  </si>
  <si>
    <t>African Average</t>
  </si>
  <si>
    <t>Latin american average</t>
  </si>
  <si>
    <t>World average</t>
  </si>
  <si>
    <t>Table F1b: Top statutory corporate income tax rates of OECD countries</t>
  </si>
  <si>
    <t>2000-2016</t>
  </si>
  <si>
    <t>[23]</t>
  </si>
  <si>
    <t>[24]</t>
  </si>
  <si>
    <t>[25]</t>
  </si>
  <si>
    <t>[26]</t>
  </si>
  <si>
    <t>[27]</t>
  </si>
  <si>
    <t>[28]</t>
  </si>
  <si>
    <t>[29]</t>
  </si>
  <si>
    <t>[30]</t>
  </si>
  <si>
    <t>[31]</t>
  </si>
  <si>
    <t>[32]</t>
  </si>
  <si>
    <t>[33]</t>
  </si>
  <si>
    <t>[34]</t>
  </si>
  <si>
    <t>[35]</t>
  </si>
  <si>
    <t>[36]</t>
  </si>
  <si>
    <t>[37]</t>
  </si>
  <si>
    <t>[38]</t>
  </si>
  <si>
    <t>OECD average</t>
  </si>
  <si>
    <t>Avg top 8 partners us (by comp)</t>
  </si>
  <si>
    <t>Avg top 10 partners us (by comp)</t>
  </si>
  <si>
    <t>Table F1c: Top statutory corporate income tax rates of OECD countries, decennial averages</t>
  </si>
  <si>
    <t>1981-1989</t>
  </si>
  <si>
    <t>1990-1999</t>
  </si>
  <si>
    <t>2000-2009</t>
  </si>
  <si>
    <t>2010-2018</t>
  </si>
  <si>
    <t>Multinational profits (% of all profits)</t>
  </si>
  <si>
    <t>World average tax rate</t>
  </si>
  <si>
    <t>Table F2: Corporate tax revenue as a share of GNI</t>
  </si>
  <si>
    <t>France, Germany, Italy, United Kingdom</t>
  </si>
  <si>
    <t>% of NNI</t>
  </si>
  <si>
    <t>Note: The calculations are made assuming that Assuming KD = 15% of GDP and NNI = 0.85 * GNI. Source: OECD accessed 1-10-2017</t>
  </si>
  <si>
    <t>Table F3: Multinational profits as share of global profits (decennial averages)</t>
  </si>
  <si>
    <t>MNE profits/Global profits</t>
  </si>
  <si>
    <t>US FDI/US profits</t>
  </si>
  <si>
    <t>MNE profits/Global profits - Including imputations</t>
  </si>
  <si>
    <t>1930-39</t>
  </si>
  <si>
    <t>1940-49</t>
  </si>
  <si>
    <t>1950-59</t>
  </si>
  <si>
    <t>1960-69</t>
  </si>
  <si>
    <t>1970-79</t>
  </si>
  <si>
    <t>1980-89</t>
  </si>
  <si>
    <t>1990-99</t>
  </si>
  <si>
    <t>2000-09</t>
  </si>
  <si>
    <t>2010-15</t>
  </si>
  <si>
    <t>Table G1: Profits of US-owned firms across data sources ($, Millions)</t>
  </si>
  <si>
    <t>Country-by-country reports</t>
  </si>
  <si>
    <t xml:space="preserve">FATS profit-type-return (incl. Puerto Rico) </t>
  </si>
  <si>
    <t xml:space="preserve">DIA equity income before taxes (incl. Puerto Rico) </t>
  </si>
  <si>
    <t>National Accounts (Table 14a, Corporate sector)</t>
  </si>
  <si>
    <t>2017/2016</t>
  </si>
  <si>
    <t>Stateless</t>
  </si>
  <si>
    <t>Foreign (non-stateless)</t>
  </si>
  <si>
    <r>
      <rPr>
        <u/>
        <sz val="12"/>
        <rFont val="Arial"/>
        <family val="2"/>
      </rPr>
      <t>Notes</t>
    </r>
    <r>
      <rPr>
        <sz val="12"/>
        <rFont val="Arial"/>
        <family val="2"/>
      </rPr>
      <t>: Income data on Puerto Rico is added to FATS/DIA data from CBCR. Taxes are added to DIA equity income using the eff. tax rate on foreign profits from FATS</t>
    </r>
  </si>
  <si>
    <t>Table G2: US-owned firms profits in tax havens across different sources ($, millions)</t>
  </si>
  <si>
    <t>CBcR</t>
  </si>
  <si>
    <t>FATS (incl. Puerto Rico)</t>
  </si>
  <si>
    <t>OECD tax havens</t>
  </si>
  <si>
    <t xml:space="preserve">Non-OECD havens </t>
  </si>
  <si>
    <t>Total tax havens</t>
  </si>
  <si>
    <t>% of foreign (excl. stateless profits in CBCR)</t>
  </si>
  <si>
    <t>Memo: Ireland + Bermuda</t>
  </si>
  <si>
    <t>Table G3: US firms profits in tax havens across different sources ($, millions)</t>
  </si>
  <si>
    <t>FATS</t>
  </si>
  <si>
    <t>Profits ($, millions)</t>
  </si>
  <si>
    <t>Profit-type-return ($, millions)</t>
  </si>
  <si>
    <t>BHR</t>
  </si>
  <si>
    <t>VGB</t>
  </si>
  <si>
    <t>MAC</t>
  </si>
  <si>
    <t>MHL</t>
  </si>
  <si>
    <t>Table G4: Global foreign profits in 2016 CbCR vs TWZ  ($, billions)</t>
  </si>
  <si>
    <t>TWZ foreign profits (before tax and excl. passthrough)</t>
  </si>
  <si>
    <t>Ratio (1)/(2)</t>
  </si>
  <si>
    <t xml:space="preserve">All countries </t>
  </si>
  <si>
    <t>Foreign profits (incl. stateless)</t>
  </si>
  <si>
    <t>Country allocated foreign profits</t>
  </si>
  <si>
    <t>Stateless profits</t>
  </si>
  <si>
    <t>-</t>
  </si>
  <si>
    <t>Unallocated (non-stateless)</t>
  </si>
  <si>
    <t>Tax havens</t>
  </si>
  <si>
    <t>% of foreign allocated profits</t>
  </si>
  <si>
    <t>Table G5: Global 2016 CBcR vs. TWZ</t>
  </si>
  <si>
    <t>$, Billion</t>
  </si>
  <si>
    <t>Total profits of foreign corp.  in TWZ</t>
  </si>
  <si>
    <t>Foreign profits CBcR</t>
  </si>
  <si>
    <t>Difference (1) - (2)</t>
  </si>
  <si>
    <t>Profit CBCR</t>
  </si>
  <si>
    <t>Difference Our 2016 less CBCR</t>
  </si>
  <si>
    <t>CBCR</t>
  </si>
  <si>
    <t>Our method</t>
  </si>
  <si>
    <t>Europa</t>
  </si>
  <si>
    <t>Southern Europe</t>
  </si>
  <si>
    <t>Americas</t>
  </si>
  <si>
    <t>Latin America and the Caribbean</t>
  </si>
  <si>
    <t>SA</t>
  </si>
  <si>
    <t>Car</t>
  </si>
  <si>
    <t>Middle east</t>
  </si>
  <si>
    <t>Northern America</t>
  </si>
  <si>
    <t>Asia</t>
  </si>
  <si>
    <t>Western Asia</t>
  </si>
  <si>
    <t>Northern Europe</t>
  </si>
  <si>
    <t>Western Europe</t>
  </si>
  <si>
    <t>Sub-Saharan Africa</t>
  </si>
  <si>
    <t>South-eastern Asia</t>
  </si>
  <si>
    <t>jur</t>
  </si>
  <si>
    <t>Sum</t>
  </si>
  <si>
    <t>PROFIT</t>
  </si>
  <si>
    <t>AGO</t>
  </si>
  <si>
    <t>ALB</t>
  </si>
  <si>
    <t>ARE</t>
  </si>
  <si>
    <t>ARG</t>
  </si>
  <si>
    <t>ARM</t>
  </si>
  <si>
    <t>AZE</t>
  </si>
  <si>
    <t>BGD</t>
  </si>
  <si>
    <t>BGR</t>
  </si>
  <si>
    <t>BIH</t>
  </si>
  <si>
    <t>BLR</t>
  </si>
  <si>
    <t>BOL</t>
  </si>
  <si>
    <t>BRN</t>
  </si>
  <si>
    <t>BWA</t>
  </si>
  <si>
    <t>CIV</t>
  </si>
  <si>
    <t>CMR</t>
  </si>
  <si>
    <t>COG</t>
  </si>
  <si>
    <t>DOM</t>
  </si>
  <si>
    <t>DZA</t>
  </si>
  <si>
    <t>ECU</t>
  </si>
  <si>
    <t>EGY</t>
  </si>
  <si>
    <t>FJI</t>
  </si>
  <si>
    <t>FJT</t>
  </si>
  <si>
    <t>GAB</t>
  </si>
  <si>
    <t>GEO</t>
  </si>
  <si>
    <t>GHA</t>
  </si>
  <si>
    <t>GNQ</t>
  </si>
  <si>
    <t>GTM</t>
  </si>
  <si>
    <t>GUM</t>
  </si>
  <si>
    <t>HND</t>
  </si>
  <si>
    <t>HRV</t>
  </si>
  <si>
    <t>IDN</t>
  </si>
  <si>
    <t>IRQ</t>
  </si>
  <si>
    <t>JAM</t>
  </si>
  <si>
    <t>JOR</t>
  </si>
  <si>
    <t>KAZ</t>
  </si>
  <si>
    <t>KEN</t>
  </si>
  <si>
    <t>KHM</t>
  </si>
  <si>
    <t>KWT</t>
  </si>
  <si>
    <t>LBY</t>
  </si>
  <si>
    <t>LKA</t>
  </si>
  <si>
    <t>LTU</t>
  </si>
  <si>
    <t>MAR</t>
  </si>
  <si>
    <t>MKD</t>
  </si>
  <si>
    <t>MMR</t>
  </si>
  <si>
    <t>MOZ</t>
  </si>
  <si>
    <t>MYS</t>
  </si>
  <si>
    <t>NAM</t>
  </si>
  <si>
    <t>NGA</t>
  </si>
  <si>
    <t>NIC</t>
  </si>
  <si>
    <t>OAF</t>
  </si>
  <si>
    <t>OAM</t>
  </si>
  <si>
    <t>OAS</t>
  </si>
  <si>
    <t>OMN</t>
  </si>
  <si>
    <t>OTE</t>
  </si>
  <si>
    <t>PAK</t>
  </si>
  <si>
    <t>PER</t>
  </si>
  <si>
    <t>PHL</t>
  </si>
  <si>
    <t>PNG</t>
  </si>
  <si>
    <t>PRY</t>
  </si>
  <si>
    <t>QAT</t>
  </si>
  <si>
    <t>ROU</t>
  </si>
  <si>
    <t>SAU</t>
  </si>
  <si>
    <t>SEN</t>
  </si>
  <si>
    <t>SLV</t>
  </si>
  <si>
    <t>SRB</t>
  </si>
  <si>
    <t>STA</t>
  </si>
  <si>
    <t>THA</t>
  </si>
  <si>
    <t>TTO</t>
  </si>
  <si>
    <t>TUN</t>
  </si>
  <si>
    <t>TWN</t>
  </si>
  <si>
    <t>TZA</t>
  </si>
  <si>
    <t>UGA</t>
  </si>
  <si>
    <t>UKR</t>
  </si>
  <si>
    <t>URY</t>
  </si>
  <si>
    <t>VEN</t>
  </si>
  <si>
    <t>VIR</t>
  </si>
  <si>
    <t>VNM</t>
  </si>
  <si>
    <t>ZMB</t>
  </si>
  <si>
    <t>ZWE</t>
  </si>
  <si>
    <t>ASSETS</t>
  </si>
  <si>
    <t>TAX ACCRUED</t>
  </si>
  <si>
    <t>EMPLOYEES</t>
  </si>
  <si>
    <t>Discrepancies in the EU service trade</t>
  </si>
  <si>
    <t>Million Euros exported</t>
  </si>
  <si>
    <t>Sum of EU28</t>
  </si>
  <si>
    <t>Total services reported by importer subtracted total serviced reported by exporter</t>
  </si>
  <si>
    <t>Sum of non-havens</t>
  </si>
  <si>
    <t>Sum of havens</t>
  </si>
  <si>
    <t>Total services reported by importer</t>
  </si>
  <si>
    <t>Total services reported by exporter</t>
  </si>
  <si>
    <r>
      <rPr>
        <u/>
        <sz val="11"/>
        <color theme="1"/>
        <rFont val="Arial"/>
        <family val="2"/>
      </rPr>
      <t>Notes:</t>
    </r>
    <r>
      <rPr>
        <sz val="11"/>
        <color theme="1"/>
        <rFont val="Arial"/>
        <family val="2"/>
      </rPr>
      <t xml:space="preserve"> A zero implies that data is missing and the sum of EU28 (a partner category in Eurostat)hence does not add up to the sum of bilateral accounts. Discrepancies are only calculated when both partner accounts exists.</t>
    </r>
  </si>
  <si>
    <t>Table F4c: Overview of EU service trade discrepancies</t>
  </si>
  <si>
    <t>Million Euros</t>
  </si>
  <si>
    <t>Exporter (importer)</t>
  </si>
  <si>
    <t>As reported by importers</t>
  </si>
  <si>
    <t>As reported by exporters</t>
  </si>
  <si>
    <t>Discrepancy</t>
  </si>
  <si>
    <t>EU6 (EU22)</t>
  </si>
  <si>
    <t>EU6 (EU6)</t>
  </si>
  <si>
    <t>EU22 (EU22)</t>
  </si>
  <si>
    <t>EU22 (EU6)</t>
  </si>
  <si>
    <t xml:space="preserve">Source: Eurostat bop_its6_det </t>
  </si>
  <si>
    <t>Accessed: 1/10/2017</t>
  </si>
  <si>
    <t>Other non-EU havens</t>
  </si>
  <si>
    <t xml:space="preserve"> 45%-pt. increase in local firm profitability </t>
  </si>
  <si>
    <t xml:space="preserve"> 45%-pt. decrease in local firm profitability </t>
  </si>
  <si>
    <t>Net flows (high-risk payments, $ millions)</t>
  </si>
  <si>
    <t>Total negative</t>
  </si>
  <si>
    <t>Total positive</t>
  </si>
  <si>
    <t xml:space="preserve"> </t>
  </si>
  <si>
    <t>Net inflows from other havens</t>
  </si>
  <si>
    <t>Discrepancy with non-havens</t>
  </si>
  <si>
    <t>Total discrepancy to be corrected</t>
  </si>
  <si>
    <t>Link to sankey diagram: https://public.flourish.studio/story/954031/</t>
  </si>
  <si>
    <r>
      <rPr>
        <u/>
        <sz val="12"/>
        <color theme="1"/>
        <rFont val="Arial"/>
        <family val="2"/>
      </rPr>
      <t>Notes</t>
    </r>
    <r>
      <rPr>
        <sz val="12"/>
        <color theme="1"/>
        <rFont val="Arial"/>
        <family val="2"/>
      </rPr>
      <t xml:space="preserve">: Consistent with the estimates reported in Table C2, we assume that interest account for 16% of shifted profits (and other transactions that reduce operating surplus for 84%). For tax havens, we assume the interest/other split that's specific to each haven, see formulas. For Luxembourg, we assume that two thirds of shifted profits are from interest (and 1/3 operating surplus). </t>
    </r>
    <r>
      <rPr>
        <sz val="12"/>
        <color theme="1"/>
        <rFont val="Arial"/>
        <family val="2"/>
        <charset val="204"/>
      </rPr>
      <t>We do not correct depreciation (i.e., simply add reported shifted profits to GDP, although shifted profits are on a net-of-depreciation basis—meaning that our GDP adjustment is too conservative).</t>
    </r>
  </si>
  <si>
    <t>Total havens</t>
  </si>
  <si>
    <t>Caribbean</t>
  </si>
  <si>
    <t>Decline in profit if no shifting</t>
  </si>
  <si>
    <t>Corp. tax revenue loss (% collected)</t>
  </si>
  <si>
    <t>Effective corporate tax rate</t>
  </si>
  <si>
    <t>Shifted profits</t>
  </si>
  <si>
    <t>Of which: Foreign firms</t>
  </si>
  <si>
    <t>Of which: Local firms</t>
  </si>
  <si>
    <t>Reported pre-tax profits</t>
  </si>
  <si>
    <t>Table A.12: Profit loss for tax havens if there was no profit shfiting</t>
  </si>
  <si>
    <t>Value added</t>
  </si>
  <si>
    <t>Value-added/L</t>
  </si>
  <si>
    <t>G7</t>
  </si>
  <si>
    <t>(lower bound)</t>
  </si>
  <si>
    <t>Benchmark adjusted capital share</t>
  </si>
  <si>
    <t>(upper bound)</t>
  </si>
  <si>
    <t>Bechmark shifting</t>
  </si>
  <si>
    <t>Reported capital share</t>
  </si>
  <si>
    <t>Indirect taxes (% of gross corporate VA)</t>
  </si>
  <si>
    <t>EU28, AE</t>
  </si>
  <si>
    <t>SK</t>
  </si>
  <si>
    <t>SI</t>
  </si>
  <si>
    <t>EU15</t>
  </si>
  <si>
    <t>SE</t>
  </si>
  <si>
    <t>global</t>
  </si>
  <si>
    <t>RU</t>
  </si>
  <si>
    <t>EU28, EE</t>
  </si>
  <si>
    <t>RO</t>
  </si>
  <si>
    <t>PT</t>
  </si>
  <si>
    <t>PL</t>
  </si>
  <si>
    <t>AE</t>
  </si>
  <si>
    <t>NO</t>
  </si>
  <si>
    <t>NL</t>
  </si>
  <si>
    <t>MT</t>
  </si>
  <si>
    <t>LV</t>
  </si>
  <si>
    <t>LU</t>
  </si>
  <si>
    <t>LT</t>
  </si>
  <si>
    <t>KR</t>
  </si>
  <si>
    <t>JP</t>
  </si>
  <si>
    <t>IT</t>
  </si>
  <si>
    <t>IS</t>
  </si>
  <si>
    <t>IN</t>
  </si>
  <si>
    <t>IE</t>
  </si>
  <si>
    <t>HU</t>
  </si>
  <si>
    <t>HR</t>
  </si>
  <si>
    <t>Share global profits in havens</t>
  </si>
  <si>
    <t>Global multinational profits</t>
  </si>
  <si>
    <t>Global profits</t>
  </si>
  <si>
    <t>Global profits in havens</t>
  </si>
  <si>
    <t>Profits booked in havens, US MNEs</t>
  </si>
  <si>
    <t>FI</t>
  </si>
  <si>
    <t>ES</t>
  </si>
  <si>
    <t>EL</t>
  </si>
  <si>
    <t>EE</t>
  </si>
  <si>
    <t>DE</t>
  </si>
  <si>
    <t>CZ</t>
  </si>
  <si>
    <t>CY</t>
  </si>
  <si>
    <t>CN</t>
  </si>
  <si>
    <t>CA</t>
  </si>
  <si>
    <t>BG</t>
  </si>
  <si>
    <t>BE</t>
  </si>
  <si>
    <t>AT</t>
  </si>
  <si>
    <t>Unadjusted corporate sector labor share</t>
  </si>
  <si>
    <t>Business sector labor share, not adj. for self-emp.</t>
  </si>
  <si>
    <t>Adjusted corporate sector labor share</t>
  </si>
  <si>
    <t>Adjusted business sector labor share</t>
  </si>
  <si>
    <t>Country group</t>
  </si>
  <si>
    <t>Country name</t>
  </si>
  <si>
    <t>Country code (2-alpha)</t>
  </si>
  <si>
    <t>Year</t>
  </si>
  <si>
    <t xml:space="preserve">Data from </t>
  </si>
  <si>
    <t>Gutiérrez, G. &amp; Piton, S. (2020), "Revisiting the Global Decline of the (Non-housing) Labor Share", American Economic Review: Insights, 2(3): 321-38.</t>
  </si>
  <si>
    <t>Downloaded August 2021 from Piton's website</t>
  </si>
  <si>
    <t>Grand Total</t>
  </si>
  <si>
    <t>Times 36%</t>
  </si>
  <si>
    <t>Compustat Global</t>
  </si>
  <si>
    <t>Sum of Profits</t>
  </si>
  <si>
    <t>Row Labels</t>
  </si>
  <si>
    <t>http://www.forbes.com/companies/vietin-bank/</t>
  </si>
  <si>
    <t>Regional Banks</t>
  </si>
  <si>
    <t>Financials</t>
  </si>
  <si>
    <t>Vietin Bank</t>
  </si>
  <si>
    <t>http://www.forbes.com/companies/petrovietnam-gas/</t>
  </si>
  <si>
    <t>Petrovietnam Gas</t>
  </si>
  <si>
    <t>http://www.forbes.com/companies/banco-occidental/</t>
  </si>
  <si>
    <t>Banco Occidental</t>
  </si>
  <si>
    <t>http://www.forbes.com/companies/mercantil-servicios/</t>
  </si>
  <si>
    <t>Mercantil Servicios</t>
  </si>
  <si>
    <t>http://www.forbes.com/companies/equifax/</t>
  </si>
  <si>
    <t>North America</t>
  </si>
  <si>
    <t>Business &amp; Personal Services</t>
  </si>
  <si>
    <t>Consumer Discretionary</t>
  </si>
  <si>
    <t>Equifax</t>
  </si>
  <si>
    <t>http://www.forbes.com/companies/synovus-financial/</t>
  </si>
  <si>
    <t>Synovus Financial</t>
  </si>
  <si>
    <t>http://www.forbes.com/companies/fmc/</t>
  </si>
  <si>
    <t>Specialized Chemicals</t>
  </si>
  <si>
    <t>Materials</t>
  </si>
  <si>
    <t>FMC</t>
  </si>
  <si>
    <t>http://www.forbes.com/companies/oshkosh/</t>
  </si>
  <si>
    <t>Heavy Equipment</t>
  </si>
  <si>
    <t>Industrials</t>
  </si>
  <si>
    <t>Oshkosh</t>
  </si>
  <si>
    <t>http://www.forbes.com/companies/urs/</t>
  </si>
  <si>
    <t>Construction Services</t>
  </si>
  <si>
    <t>URS</t>
  </si>
  <si>
    <t>http://www.forbes.com/companies/teradata/</t>
  </si>
  <si>
    <t>Computer Services</t>
  </si>
  <si>
    <t>Information Technology</t>
  </si>
  <si>
    <t>Teradata</t>
  </si>
  <si>
    <t>http://www.forbes.com/companies/windstream/</t>
  </si>
  <si>
    <t>Telecommunications services</t>
  </si>
  <si>
    <t>Telecommunication Services</t>
  </si>
  <si>
    <t>Windstream</t>
  </si>
  <si>
    <t>http://www.forbes.com/companies/american-natl-ins/</t>
  </si>
  <si>
    <t>Diversified Insurance</t>
  </si>
  <si>
    <t>American Natl Ins</t>
  </si>
  <si>
    <t>http://www.forbes.com/companies/tripadvisor/</t>
  </si>
  <si>
    <t>TripAdvisor</t>
  </si>
  <si>
    <t>http://www.forbes.com/companies/oceaneering-international/</t>
  </si>
  <si>
    <t>Oil Services &amp; Equipment</t>
  </si>
  <si>
    <t>Energy</t>
  </si>
  <si>
    <t>Oceaneering International</t>
  </si>
  <si>
    <t>http://www.forbes.com/companies/joy-global/</t>
  </si>
  <si>
    <t>Joy Global</t>
  </si>
  <si>
    <t>http://www.forbes.com/companies/western-refining/</t>
  </si>
  <si>
    <t>Oil &amp; Gas Operations</t>
  </si>
  <si>
    <t>Western Refining</t>
  </si>
  <si>
    <t>http://www.forbes.com/companies/range-resources/</t>
  </si>
  <si>
    <t>Range Resources</t>
  </si>
  <si>
    <t>http://www.forbes.com/companies/stericycle/</t>
  </si>
  <si>
    <t>Healthcare Services</t>
  </si>
  <si>
    <t>Health Care</t>
  </si>
  <si>
    <t>Stericycle</t>
  </si>
  <si>
    <t>http://www.forbes.com/companies/towers-watson/</t>
  </si>
  <si>
    <t>Towers Watson &amp; Co.</t>
  </si>
  <si>
    <t>http://www.forbes.com/companies/akamai-technologies/</t>
  </si>
  <si>
    <t>Akamai Technologies</t>
  </si>
  <si>
    <t>http://www.forbes.com/companies/hanesbrands/</t>
  </si>
  <si>
    <t>Apparel/Accessories</t>
  </si>
  <si>
    <t>Hanesbrands</t>
  </si>
  <si>
    <t>http://www.forbes.com/companies/brunswick/</t>
  </si>
  <si>
    <t>Recreational Products</t>
  </si>
  <si>
    <t>Brunswick</t>
  </si>
  <si>
    <t>http://www.forbes.com/companies/packaging-corp-amer/</t>
  </si>
  <si>
    <t>Packaging Corp of America</t>
  </si>
  <si>
    <t>http://www.forbes.com/companies/frontier-communications/</t>
  </si>
  <si>
    <t>Frontier Communications</t>
  </si>
  <si>
    <t>http://www.forbes.com/companies/amdocs/</t>
  </si>
  <si>
    <t>Software &amp; Programming</t>
  </si>
  <si>
    <t>Amdocs</t>
  </si>
  <si>
    <t>http://www.forbes.com/companies/pall/</t>
  </si>
  <si>
    <t>Precision Healthcare Equipment</t>
  </si>
  <si>
    <t>Pall</t>
  </si>
  <si>
    <t>http://www.forbes.com/companies/new-media-investment-group/</t>
  </si>
  <si>
    <t>New Media Investment Group</t>
  </si>
  <si>
    <t>http://www.forbes.com/companies/edwards-lifesciences/</t>
  </si>
  <si>
    <t>Medical Equipment &amp; Supplies</t>
  </si>
  <si>
    <t>Edwards Lifesciences</t>
  </si>
  <si>
    <t>http://www.forbes.com/companies/cst-brands/</t>
  </si>
  <si>
    <t>Specialty Stores</t>
  </si>
  <si>
    <t>CST Brands</t>
  </si>
  <si>
    <t>http://www.forbes.com/companies/city-national/</t>
  </si>
  <si>
    <t>City National</t>
  </si>
  <si>
    <t>http://www.forbes.com/companies/symetra-financial/</t>
  </si>
  <si>
    <t>Life &amp; Health Insurance</t>
  </si>
  <si>
    <t>Symetra Financial</t>
  </si>
  <si>
    <t>http://www.forbes.com/companies/ingredion/</t>
  </si>
  <si>
    <t>Food Processing</t>
  </si>
  <si>
    <t>Consumer Staples</t>
  </si>
  <si>
    <t>Ingredion</t>
  </si>
  <si>
    <t>http://www.forbes.com/companies/alliant-energy/</t>
  </si>
  <si>
    <t>Electric Utilities</t>
  </si>
  <si>
    <t>Utilities</t>
  </si>
  <si>
    <t>Alliant Energy</t>
  </si>
  <si>
    <t>http://www.forbes.com/companies/integrys-energy/</t>
  </si>
  <si>
    <t>Integrys Energy Group</t>
  </si>
  <si>
    <t>http://www.forbes.com/companies/cc-media-holdings/</t>
  </si>
  <si>
    <t>Broadcasting &amp; Cable</t>
  </si>
  <si>
    <t>CC Media Holdings</t>
  </si>
  <si>
    <t>http://www.forbes.com/companies/carefusion/</t>
  </si>
  <si>
    <t>CareFusion</t>
  </si>
  <si>
    <t>http://www.forbes.com/companies/microchip-technology/</t>
  </si>
  <si>
    <t>Semiconductors</t>
  </si>
  <si>
    <t>Microchip Technology</t>
  </si>
  <si>
    <t>http://www.forbes.com/companies/peoples-united-financial/</t>
  </si>
  <si>
    <t>Thrifts &amp; Mortgage Finance</t>
  </si>
  <si>
    <t>People's United Financial</t>
  </si>
  <si>
    <t>http://www.forbes.com/companies/oge-energy/</t>
  </si>
  <si>
    <t>OGE Energy</t>
  </si>
  <si>
    <t>http://www.forbes.com/companies/concho-resources/</t>
  </si>
  <si>
    <t>Concho Resources</t>
  </si>
  <si>
    <t>http://www.forbes.com/companies/denbury-resources/</t>
  </si>
  <si>
    <t>Denbury Resources</t>
  </si>
  <si>
    <t>http://www.forbes.com/companies/whiting-petroleum/</t>
  </si>
  <si>
    <t>Whiting Petroleum</t>
  </si>
  <si>
    <t>http://www.forbes.com/companies/lkq/</t>
  </si>
  <si>
    <t>Auto &amp; Truck Parts</t>
  </si>
  <si>
    <t>LKQ</t>
  </si>
  <si>
    <t>http://www.forbes.com/companies/peabody-energy/</t>
  </si>
  <si>
    <t>Diversified Metals &amp; Mining</t>
  </si>
  <si>
    <t>Peabody Energy</t>
  </si>
  <si>
    <t>http://www.forbes.com/companies/vertex-pharmaceuticals/</t>
  </si>
  <si>
    <t>Biotechs</t>
  </si>
  <si>
    <t>Vertex Pharmaceuticals</t>
  </si>
  <si>
    <t>http://www.forbes.com/companies/antero-resources/</t>
  </si>
  <si>
    <t>Antero Resources</t>
  </si>
  <si>
    <t>http://www.forbes.com/companies/penske-automotive/</t>
  </si>
  <si>
    <t>Penske Automotive</t>
  </si>
  <si>
    <t>http://www.forbes.com/companies/dean-foods/</t>
  </si>
  <si>
    <t>Dean Foods</t>
  </si>
  <si>
    <t>http://www.forbes.com/companies/b-e-aerospace/</t>
  </si>
  <si>
    <t>Aerospace &amp; Defense</t>
  </si>
  <si>
    <t>B/E Aerospace</t>
  </si>
  <si>
    <t>http://www.forbes.com/companies/sealed-air/</t>
  </si>
  <si>
    <t>Containers &amp; Packaging</t>
  </si>
  <si>
    <t>Sealed Air</t>
  </si>
  <si>
    <t>http://www.forbes.com/companies/verisk-analytics/</t>
  </si>
  <si>
    <t>Verisk Analytics</t>
  </si>
  <si>
    <t>http://www.forbes.com/companies/erie-indemnity/</t>
  </si>
  <si>
    <t>Erie Indemnity</t>
  </si>
  <si>
    <t>http://www.forbes.com/companies/workday/</t>
  </si>
  <si>
    <t xml:space="preserve"> Inc.</t>
  </si>
  <si>
    <t>Workday</t>
  </si>
  <si>
    <t>http://www.forbes.com/companies/cabot-oil-gas/</t>
  </si>
  <si>
    <t>Cabot Oil &amp; Gas</t>
  </si>
  <si>
    <t>http://www.forbes.com/companies/cheniere-energy/</t>
  </si>
  <si>
    <t>Cheniere Energy</t>
  </si>
  <si>
    <t>http://www.forbes.com/companies/cablevision/</t>
  </si>
  <si>
    <t>Cablevision Systems Corporation</t>
  </si>
  <si>
    <t>http://www.forbes.com/companies/interactive-brokers-group/</t>
  </si>
  <si>
    <t>Investment Services</t>
  </si>
  <si>
    <t>Interactive Brokers Group</t>
  </si>
  <si>
    <t>http://www.forbes.com/companies/nasdaq-omx-group/</t>
  </si>
  <si>
    <t>NASDAQ OMX Group</t>
  </si>
  <si>
    <t>http://www.forbes.com/companies/signature-bank/</t>
  </si>
  <si>
    <t>Signature Bank</t>
  </si>
  <si>
    <t>http://www.forbes.com/companies/citrix-systems/</t>
  </si>
  <si>
    <t>Citrix Systems</t>
  </si>
  <si>
    <t>http://www.forbes.com/companies/polaris-industries/</t>
  </si>
  <si>
    <t>Polaris Industries</t>
  </si>
  <si>
    <t>http://www.forbes.com/companies/ugi/</t>
  </si>
  <si>
    <t>Natural Gas Utilities</t>
  </si>
  <si>
    <t>UGI</t>
  </si>
  <si>
    <t>http://www.forbes.com/companies/american-equity-investment/</t>
  </si>
  <si>
    <t>American Equity Investment</t>
  </si>
  <si>
    <t>http://www.forbes.com/companies/gamestop/</t>
  </si>
  <si>
    <t>Computer &amp; Electronics Retail</t>
  </si>
  <si>
    <t>GameStop Corp.</t>
  </si>
  <si>
    <t>http://www.forbes.com/companies/airgas/</t>
  </si>
  <si>
    <t>Airgas</t>
  </si>
  <si>
    <t>http://www.forbes.com/companies/avon-products/</t>
  </si>
  <si>
    <t>Household/Personal Care</t>
  </si>
  <si>
    <t>Avon Products</t>
  </si>
  <si>
    <t>http://www.forbes.com/companies/supervalu/</t>
  </si>
  <si>
    <t>Food Retail</t>
  </si>
  <si>
    <t>Supervalu</t>
  </si>
  <si>
    <t>http://www.forbes.com/companies/agl-resources/</t>
  </si>
  <si>
    <t>AGL Resources</t>
  </si>
  <si>
    <t>http://www.forbes.com/companies/maxim-integrated-products/</t>
  </si>
  <si>
    <t>Maxim Integrated Products</t>
  </si>
  <si>
    <t>http://www.forbes.com/companies/church-dwight/</t>
  </si>
  <si>
    <t>Church &amp; Dwight</t>
  </si>
  <si>
    <t>http://www.forbes.com/companies/svb-financial-group/</t>
  </si>
  <si>
    <t>SVB Financial Group</t>
  </si>
  <si>
    <t>http://www.forbes.com/companies/nelnet/</t>
  </si>
  <si>
    <t>Consumer Financial Services</t>
  </si>
  <si>
    <t>Nelnet</t>
  </si>
  <si>
    <t>http://www.forbes.com/companies/illumina/</t>
  </si>
  <si>
    <t>Illumina</t>
  </si>
  <si>
    <t>http://www.forbes.com/companies/gannett/</t>
  </si>
  <si>
    <t>Printing &amp; Publishing</t>
  </si>
  <si>
    <t>Gannett</t>
  </si>
  <si>
    <t>http://www.forbes.com/companies/east-west-bancorp/</t>
  </si>
  <si>
    <t>East West Bancorp</t>
  </si>
  <si>
    <t>http://www.forbes.com/companies/monster-beverage/</t>
  </si>
  <si>
    <t>Beverages</t>
  </si>
  <si>
    <t>Monster Beverage</t>
  </si>
  <si>
    <t>http://www.forbes.com/companies/cvr-energy/</t>
  </si>
  <si>
    <t>CVR Energy</t>
  </si>
  <si>
    <t>http://www.forbes.com/companies/verisign/</t>
  </si>
  <si>
    <t>VeriSign</t>
  </si>
  <si>
    <t>http://www.forbes.com/companies/meadwestvaco/</t>
  </si>
  <si>
    <t>Paper &amp; Paper Products</t>
  </si>
  <si>
    <t>MeadWestvaco</t>
  </si>
  <si>
    <t>http://www.forbes.com/companies/varian-medical-systems/</t>
  </si>
  <si>
    <t>Varian Medical Systems</t>
  </si>
  <si>
    <t>http://www.forbes.com/companies/murphy-usa/</t>
  </si>
  <si>
    <t>Murphy USA</t>
  </si>
  <si>
    <t>http://www.forbes.com/companies/dicks-sporting-goods/</t>
  </si>
  <si>
    <t>Dick's Sporting Goods</t>
  </si>
  <si>
    <t>http://www.forbes.com/companies/jabil-circuit/</t>
  </si>
  <si>
    <t>Electronics</t>
  </si>
  <si>
    <t>Jabil Circuit</t>
  </si>
  <si>
    <t>http://www.forbes.com/companies/mccormick-co/</t>
  </si>
  <si>
    <t>McCormick &amp; Co</t>
  </si>
  <si>
    <t>http://www.forbes.com/companies/kansas-city-southern/</t>
  </si>
  <si>
    <t>Railroads</t>
  </si>
  <si>
    <t>Kansas City Southern</t>
  </si>
  <si>
    <t>http://www.forbes.com/companies/realogy-holdings/</t>
  </si>
  <si>
    <t>Realogy Holdings</t>
  </si>
  <si>
    <t>http://www.forbes.com/companies/hudson-city-bancorp/</t>
  </si>
  <si>
    <t>Hudson City Bancorp</t>
  </si>
  <si>
    <t>http://www.forbes.com/companies/bok-financial/</t>
  </si>
  <si>
    <t>BOK Financial</t>
  </si>
  <si>
    <t>http://www.forbes.com/companies/pinnacle-west/</t>
  </si>
  <si>
    <t>Pinnacle West</t>
  </si>
  <si>
    <t>http://www.forbes.com/companies/reliance-steel/</t>
  </si>
  <si>
    <t>Iron &amp; Steel</t>
  </si>
  <si>
    <t>Reliance Steel</t>
  </si>
  <si>
    <t>http://www.forbes.com/companies/pbf-energy/</t>
  </si>
  <si>
    <t>PBF Energy</t>
  </si>
  <si>
    <t>http://www.forbes.com/companies/linkedin/</t>
  </si>
  <si>
    <t>LinkedIn</t>
  </si>
  <si>
    <t>http://www.forbes.com/companies/affiliated-managers-group/</t>
  </si>
  <si>
    <t>Affiliated Managers Group</t>
  </si>
  <si>
    <t>http://www.forbes.com/companies/wabco-holdings/</t>
  </si>
  <si>
    <t>WABCO Holdings</t>
  </si>
  <si>
    <t>http://www.forbes.com/companies/sl-green-realty/</t>
  </si>
  <si>
    <t>Real Estate</t>
  </si>
  <si>
    <t>SL Green Realty</t>
  </si>
  <si>
    <t>http://www.forbes.com/companies/waters/</t>
  </si>
  <si>
    <t>Waters</t>
  </si>
  <si>
    <t>http://www.forbes.com/companies/huntsman/</t>
  </si>
  <si>
    <t>Diversified Chemicals</t>
  </si>
  <si>
    <t>Huntsman</t>
  </si>
  <si>
    <t>http://www.forbes.com/companies/tesla-motors/</t>
  </si>
  <si>
    <t>Tesla Motors</t>
  </si>
  <si>
    <t>http://www.forbes.com/companies/jc-penney/</t>
  </si>
  <si>
    <t>Department Stores</t>
  </si>
  <si>
    <t>JC Penney</t>
  </si>
  <si>
    <t>http://www.forbes.com/companies/netflix/</t>
  </si>
  <si>
    <t>Internet &amp; Catalog Retail</t>
  </si>
  <si>
    <t>Netflix</t>
  </si>
  <si>
    <t>http://www.forbes.com/companies/first-niagara-financial/</t>
  </si>
  <si>
    <t>First Niagara Financial</t>
  </si>
  <si>
    <t>http://www.forbes.com/companies/twitter/</t>
  </si>
  <si>
    <t>Twitter</t>
  </si>
  <si>
    <t>http://www.forbes.com/companies/masco/</t>
  </si>
  <si>
    <t>Construction Materials</t>
  </si>
  <si>
    <t>Masco</t>
  </si>
  <si>
    <t>http://www.forbes.com/companies/ncr/</t>
  </si>
  <si>
    <t>Computer Hardware</t>
  </si>
  <si>
    <t>NCR</t>
  </si>
  <si>
    <t>http://www.forbes.com/companies/jb-hunt-transport/</t>
  </si>
  <si>
    <t>Trucking</t>
  </si>
  <si>
    <t>JB Hunt Transport</t>
  </si>
  <si>
    <t>http://www.forbes.com/companies/alaska-air-group/</t>
  </si>
  <si>
    <t>Airline</t>
  </si>
  <si>
    <t>Alaska Air Group</t>
  </si>
  <si>
    <t>http://www.forbes.com/companies/cliffs-natural-resources/</t>
  </si>
  <si>
    <t>Cliffs Natural Resources</t>
  </si>
  <si>
    <t>http://www.forbes.com/companies/crown-holdings/</t>
  </si>
  <si>
    <t>Crown Holdings</t>
  </si>
  <si>
    <t>http://www.forbes.com/companies/tractor-supply/</t>
  </si>
  <si>
    <t>Tractor Supply</t>
  </si>
  <si>
    <t>http://www.forbes.com/companies/tech-data/</t>
  </si>
  <si>
    <t>Tech Data</t>
  </si>
  <si>
    <t>http://www.forbes.com/companies/alexion-pharmaceuticals/</t>
  </si>
  <si>
    <t>Alexion Pharmaceuticals</t>
  </si>
  <si>
    <t>http://www.forbes.com/companies/eastman-kodak/</t>
  </si>
  <si>
    <t>Consumer Electronics</t>
  </si>
  <si>
    <t>Eastman Kodak</t>
  </si>
  <si>
    <t>http://www.forbes.com/companies/expeditors-international/</t>
  </si>
  <si>
    <t>Air Courier</t>
  </si>
  <si>
    <t>Expeditors International</t>
  </si>
  <si>
    <t>http://www.forbes.com/companies/forest-laboratories/</t>
  </si>
  <si>
    <t>Pharmaceuticals</t>
  </si>
  <si>
    <t>Forest Laboratories</t>
  </si>
  <si>
    <t>http://www.forbes.com/companies/harris/</t>
  </si>
  <si>
    <t>Communications Equipment</t>
  </si>
  <si>
    <t>Harris</t>
  </si>
  <si>
    <t>http://www.forbes.com/companies/nvidia/</t>
  </si>
  <si>
    <t>NVIDIA</t>
  </si>
  <si>
    <t>http://www.forbes.com/companies/harbinger-group/</t>
  </si>
  <si>
    <t>Harbinger Group</t>
  </si>
  <si>
    <t>http://www.forbes.com/companies/jarden/</t>
  </si>
  <si>
    <t>Furniture &amp; Fixtures</t>
  </si>
  <si>
    <t>Jarden</t>
  </si>
  <si>
    <t>http://www.forbes.com/companies/avis-budget-group/</t>
  </si>
  <si>
    <t>Rental &amp; Leasing</t>
  </si>
  <si>
    <t>Avis Budget Group</t>
  </si>
  <si>
    <t>http://www.forbes.com/companies/beam/</t>
  </si>
  <si>
    <t>Beam</t>
  </si>
  <si>
    <t>http://www.forbes.com/companies/linear-technology/</t>
  </si>
  <si>
    <t>Linear Technology</t>
  </si>
  <si>
    <t>http://www.forbes.com/companies/chipotle-mexican-grill/</t>
  </si>
  <si>
    <t>Restaurants</t>
  </si>
  <si>
    <t>Chipotle Mexican Grill</t>
  </si>
  <si>
    <t>http://www.forbes.com/companies/altera/</t>
  </si>
  <si>
    <t>Altera</t>
  </si>
  <si>
    <t>http://www.forbes.com/companies/world-fuel-services/</t>
  </si>
  <si>
    <t>World Fuel Services</t>
  </si>
  <si>
    <t>http://www.forbes.com/companies/two-harbors-investment/</t>
  </si>
  <si>
    <t>Two Harbors Investment</t>
  </si>
  <si>
    <t>http://www.forbes.com/companies/darden-restaurants/</t>
  </si>
  <si>
    <t>Darden Restaurants</t>
  </si>
  <si>
    <t>http://www.forbes.com/companies/rockwood-holdings/</t>
  </si>
  <si>
    <t>Rockwood Holdings</t>
  </si>
  <si>
    <t>http://www.forbes.com/companies/westlake-chemical/</t>
  </si>
  <si>
    <t>Westlake Chemical</t>
  </si>
  <si>
    <t>http://www.forbes.com/companies/foot-locker/</t>
  </si>
  <si>
    <t>Apparel/Footwear Retail</t>
  </si>
  <si>
    <t>Foot Locker</t>
  </si>
  <si>
    <t>http://www.forbes.com/companies/salesforce/</t>
  </si>
  <si>
    <t>Salesforce.com</t>
  </si>
  <si>
    <t>http://www.forbes.com/companies/newell-rubbermaid/</t>
  </si>
  <si>
    <t>Newell Rubbermaid</t>
  </si>
  <si>
    <t>http://www.forbes.com/companies/petsmart/</t>
  </si>
  <si>
    <t>Petsmart</t>
  </si>
  <si>
    <t>http://www.forbes.com/companies/sigma-aldrich/</t>
  </si>
  <si>
    <t>Sigma-Aldrich</t>
  </si>
  <si>
    <t>http://www.forbes.com/companies/tenet-healthcare/</t>
  </si>
  <si>
    <t>Tenet Healthcare</t>
  </si>
  <si>
    <t>http://www.forbes.com/companies/american-water-works/</t>
  </si>
  <si>
    <t>Diversified Utilities</t>
  </si>
  <si>
    <t>American Water Works</t>
  </si>
  <si>
    <t>http://www.forbes.com/companies/cimarex-energy/</t>
  </si>
  <si>
    <t>Cimarex Energy</t>
  </si>
  <si>
    <t>http://www.forbes.com/companies/scripps-networks-interactive/</t>
  </si>
  <si>
    <t>Scripps Networks Interactive</t>
  </si>
  <si>
    <t>http://www.forbes.com/companies/cbre-group/</t>
  </si>
  <si>
    <t>CBRE Group</t>
  </si>
  <si>
    <t>http://www.forbes.com/companies/visteon/</t>
  </si>
  <si>
    <t>Visteon</t>
  </si>
  <si>
    <t>http://www.forbes.com/companies/old-republic-international/</t>
  </si>
  <si>
    <t>Property &amp; Casualty Insurance</t>
  </si>
  <si>
    <t>Old Republic International</t>
  </si>
  <si>
    <t>http://www.forbes.com/companies/quanta-services/</t>
  </si>
  <si>
    <t>Quanta Services</t>
  </si>
  <si>
    <t>http://www.forbes.com/companies/interpublic-group/</t>
  </si>
  <si>
    <t>Advertising</t>
  </si>
  <si>
    <t>Interpublic Group</t>
  </si>
  <si>
    <t>http://www.forbes.com/companies/fastenal/</t>
  </si>
  <si>
    <t>Home Improvement Retail</t>
  </si>
  <si>
    <t>Fastenal</t>
  </si>
  <si>
    <t>http://www.forbes.com/companies/kla-tencor/</t>
  </si>
  <si>
    <t>KLA-Tencor</t>
  </si>
  <si>
    <t>http://www.forbes.com/companies/e-trade-financial/</t>
  </si>
  <si>
    <t>E-Trade Financial</t>
  </si>
  <si>
    <t>http://www.forbes.com/companies/us-steel/</t>
  </si>
  <si>
    <t>US Steel</t>
  </si>
  <si>
    <t>http://www.forbes.com/companies/aramark/</t>
  </si>
  <si>
    <t>Aramark</t>
  </si>
  <si>
    <t>http://www.forbes.com/companies/level-3-communications/</t>
  </si>
  <si>
    <t>Level 3 Communications</t>
  </si>
  <si>
    <t>http://www.forbes.com/companies/ametek/</t>
  </si>
  <si>
    <t>Electrical Equipment</t>
  </si>
  <si>
    <t>Ametek</t>
  </si>
  <si>
    <t>http://www.forbes.com/companies/eqt/</t>
  </si>
  <si>
    <t>EQT</t>
  </si>
  <si>
    <t>http://www.forbes.com/companies/caesars-entertainment/</t>
  </si>
  <si>
    <t>Casinos &amp; Gaming</t>
  </si>
  <si>
    <t>Caesars Entertainment</t>
  </si>
  <si>
    <t>http://www.forbes.com/companies/united-rentals/</t>
  </si>
  <si>
    <t>United Rentals</t>
  </si>
  <si>
    <t>http://www.forbes.com/companies/cerner/</t>
  </si>
  <si>
    <t>Cerner</t>
  </si>
  <si>
    <t>http://www.forbes.com/companies/starwood-property-trust/</t>
  </si>
  <si>
    <t>Starwood Property Trust</t>
  </si>
  <si>
    <t>http://www.forbes.com/companies/pioneer-natural-resources/</t>
  </si>
  <si>
    <t>Pioneer Natural Resources</t>
  </si>
  <si>
    <t>http://www.forbes.com/companies/adobe-systems/</t>
  </si>
  <si>
    <t>Adobe Systems</t>
  </si>
  <si>
    <t>http://www.forbes.com/companies/advance-auto-parts/</t>
  </si>
  <si>
    <t>Advance Auto Parts</t>
  </si>
  <si>
    <t>http://www.forbes.com/companies/community-health-sys/</t>
  </si>
  <si>
    <t>Community Health Sys</t>
  </si>
  <si>
    <t>http://www.forbes.com/companies/wyndham-worldwide/</t>
  </si>
  <si>
    <t>Hotels &amp; Motels</t>
  </si>
  <si>
    <t>Wyndham Worldwide</t>
  </si>
  <si>
    <t>http://www.forbes.com/companies/roper-inds/</t>
  </si>
  <si>
    <t>Other Industrial Equipment</t>
  </si>
  <si>
    <t>Roper Industries</t>
  </si>
  <si>
    <t>http://www.forbes.com/companies/markel/</t>
  </si>
  <si>
    <t>Markel</t>
  </si>
  <si>
    <t>http://www.forbes.com/companies/flowserve/</t>
  </si>
  <si>
    <t>Flowserve</t>
  </si>
  <si>
    <t>http://www.forbes.com/companies/ball/</t>
  </si>
  <si>
    <t>Ball</t>
  </si>
  <si>
    <t>http://www.forbes.com/companies/manpower/</t>
  </si>
  <si>
    <t>Manpower</t>
  </si>
  <si>
    <t>http://www.forbes.com/companies/scana/</t>
  </si>
  <si>
    <t>SCANA</t>
  </si>
  <si>
    <t>http://www.forbes.com/companies/cr-bard/</t>
  </si>
  <si>
    <t>CR Bard</t>
  </si>
  <si>
    <t>http://www.forbes.com/companies/mohawk-industries/</t>
  </si>
  <si>
    <t>Mohawk Industries</t>
  </si>
  <si>
    <t>http://www.forbes.com/companies/rite-aid/</t>
  </si>
  <si>
    <t>Drug Retail</t>
  </si>
  <si>
    <t>Rite Aid</t>
  </si>
  <si>
    <t>http://www.forbes.com/companies/agco/</t>
  </si>
  <si>
    <t>AGCO</t>
  </si>
  <si>
    <t>http://www.forbes.com/companies/dr-horton/</t>
  </si>
  <si>
    <t>DR Horton</t>
  </si>
  <si>
    <t>http://www.forbes.com/companies/calpine/</t>
  </si>
  <si>
    <t>Calpine</t>
  </si>
  <si>
    <t>http://www.forbes.com/companies/pvh/</t>
  </si>
  <si>
    <t>PVH</t>
  </si>
  <si>
    <t>http://www.forbes.com/companies/protective-life/</t>
  </si>
  <si>
    <t>Protective Life</t>
  </si>
  <si>
    <t>http://www.forbes.com/companies/family-dollar-stores/</t>
  </si>
  <si>
    <t>Discount Stores</t>
  </si>
  <si>
    <t>Family Dollar Stores</t>
  </si>
  <si>
    <t>http://www.forbes.com/companies/labcorp/</t>
  </si>
  <si>
    <t>LabCorp</t>
  </si>
  <si>
    <t>http://www.forbes.com/companies/rockwell-collins/</t>
  </si>
  <si>
    <t>Rockwell Collins</t>
  </si>
  <si>
    <t>http://www.forbes.com/companies/xilinx/</t>
  </si>
  <si>
    <t>Xilinx</t>
  </si>
  <si>
    <t>http://www.forbes.com/companies/helmerich-payne/</t>
  </si>
  <si>
    <t>Helmerich &amp; Payne</t>
  </si>
  <si>
    <t>http://www.forbes.com/companies/zoetis/</t>
  </si>
  <si>
    <t>Zoetis</t>
  </si>
  <si>
    <t>http://www.forbes.com/companies/cno-financial-group/</t>
  </si>
  <si>
    <t>CNO Financial Group</t>
  </si>
  <si>
    <t>http://www.forbes.com/companies/catamaran/</t>
  </si>
  <si>
    <t>Catamaran</t>
  </si>
  <si>
    <t>http://www.forbes.com/companies/paychex/</t>
  </si>
  <si>
    <t>Paychex</t>
  </si>
  <si>
    <t>http://www.forbes.com/companies/torchmark/</t>
  </si>
  <si>
    <t>Torchmark</t>
  </si>
  <si>
    <t>http://www.forbes.com/companies/keurig-green-mountain/</t>
  </si>
  <si>
    <t>Keurig Green Mountain</t>
  </si>
  <si>
    <t>http://www.forbes.com/companies/regeneron-pharmaceuticals/</t>
  </si>
  <si>
    <t>Regeneron Pharmaceuticals</t>
  </si>
  <si>
    <t>http://www.forbes.com/companies/universal-health/</t>
  </si>
  <si>
    <t>Universal Health</t>
  </si>
  <si>
    <t>http://www.forbes.com/companies/juniper-networks/</t>
  </si>
  <si>
    <t>Juniper Networks</t>
  </si>
  <si>
    <t>http://www.forbes.com/companies/vornado-realty/</t>
  </si>
  <si>
    <t>Vornado Realty</t>
  </si>
  <si>
    <t>http://www.forbes.com/companies/zions-bancorp/</t>
  </si>
  <si>
    <t>Zions Bancorp</t>
  </si>
  <si>
    <t>http://www.forbes.com/companies/consol-energy/</t>
  </si>
  <si>
    <t>CONSOL Energy</t>
  </si>
  <si>
    <t>http://www.forbes.com/companies/autonation/</t>
  </si>
  <si>
    <t>AutoNation</t>
  </si>
  <si>
    <t>http://www.forbes.com/companies/health-care-reit/</t>
  </si>
  <si>
    <t>Health Care REIT</t>
  </si>
  <si>
    <t>http://www.forbes.com/companies/raymond-james-financial/</t>
  </si>
  <si>
    <t>Raymond James Financial</t>
  </si>
  <si>
    <t>http://www.forbes.com/companies/southwestern-energy/</t>
  </si>
  <si>
    <t>Southwestern Energy</t>
  </si>
  <si>
    <t>http://www.forbes.com/companies/amphenol/</t>
  </si>
  <si>
    <t>Amphenol</t>
  </si>
  <si>
    <t>http://www.forbes.com/companies/clorox/</t>
  </si>
  <si>
    <t>Clorox</t>
  </si>
  <si>
    <t>http://www.forbes.com/companies/analog-devices/</t>
  </si>
  <si>
    <t>Analog Devices</t>
  </si>
  <si>
    <t>http://www.forbes.com/companies/mead-johnson-nutrition/</t>
  </si>
  <si>
    <t>Mead Johnson Nutrition</t>
  </si>
  <si>
    <t>http://www.forbes.com/companies/jm-smucker/</t>
  </si>
  <si>
    <t>JM Smucker</t>
  </si>
  <si>
    <t>http://www.forbes.com/companies/brown-forman/</t>
  </si>
  <si>
    <t>Brown-Forman</t>
  </si>
  <si>
    <t>http://www.forbes.com/companies/host-hotels-resorts/</t>
  </si>
  <si>
    <t>Host Hotels &amp; Resorts</t>
  </si>
  <si>
    <t>http://www.forbes.com/companies/avalonbay-communities/</t>
  </si>
  <si>
    <t>Avalonbay Communities</t>
  </si>
  <si>
    <t>http://www.forbes.com/companies/ingram-micro/</t>
  </si>
  <si>
    <t>Ingram Micro</t>
  </si>
  <si>
    <t>http://www.forbes.com/companies/ch-robinson-worldwide/</t>
  </si>
  <si>
    <t>Other Transportation</t>
  </si>
  <si>
    <t>CH Robinson Worldwide</t>
  </si>
  <si>
    <t>http://www.forbes.com/companies/intuitive-surgical/</t>
  </si>
  <si>
    <t>Intuitive Surgical</t>
  </si>
  <si>
    <t>http://www.forbes.com/companies/equity-residential/</t>
  </si>
  <si>
    <t>Equity Residential</t>
  </si>
  <si>
    <t>http://www.forbes.com/companies/lennar/</t>
  </si>
  <si>
    <t>Lennar</t>
  </si>
  <si>
    <t>http://www.forbes.com/companies/crown-castle-international/</t>
  </si>
  <si>
    <t>Crown Castle International</t>
  </si>
  <si>
    <t>http://www.forbes.com/companies/cincinnati-financial/</t>
  </si>
  <si>
    <t>Cincinnati Financial</t>
  </si>
  <si>
    <t>http://www.forbes.com/companies/dr-pepper-snapple/</t>
  </si>
  <si>
    <t>Dr Pepper Snapple Group</t>
  </si>
  <si>
    <t>http://www.forbes.com/companies/jacobs-engineering/</t>
  </si>
  <si>
    <t>Jacobs Engineering</t>
  </si>
  <si>
    <t>http://www.forbes.com/companies/moodys/</t>
  </si>
  <si>
    <t>Moody's</t>
  </si>
  <si>
    <t>http://www.forbes.com/companies/wr-berkley/</t>
  </si>
  <si>
    <t>WR Berkley</t>
  </si>
  <si>
    <t>http://www.forbes.com/companies/american-financial-group/</t>
  </si>
  <si>
    <t>American Financial Group</t>
  </si>
  <si>
    <t>http://www.forbes.com/companies/fidelity-national-financial/</t>
  </si>
  <si>
    <t>Fidelity National Financial</t>
  </si>
  <si>
    <t>http://www.forbes.com/companies/ameren/</t>
  </si>
  <si>
    <t>Ameren</t>
  </si>
  <si>
    <t>http://www.forbes.com/companies/lear/</t>
  </si>
  <si>
    <t>Lear</t>
  </si>
  <si>
    <t>http://www.forbes.com/companies/henry-schein/</t>
  </si>
  <si>
    <t>Henry Schein</t>
  </si>
  <si>
    <t>http://www.forbes.com/companies/intuit/</t>
  </si>
  <si>
    <t>Intuit</t>
  </si>
  <si>
    <t>http://www.forbes.com/companies/fmc-technologies/</t>
  </si>
  <si>
    <t>FMC Technologies</t>
  </si>
  <si>
    <t>http://www.forbes.com/companies/alliance-data-systems/</t>
  </si>
  <si>
    <t>Alliance Data Systems</t>
  </si>
  <si>
    <t>http://www.forbes.com/companies/sears-holdings/</t>
  </si>
  <si>
    <t>Sears Holdings</t>
  </si>
  <si>
    <t>http://www.forbes.com/companies/molson-coors-brewing/</t>
  </si>
  <si>
    <t>Molson Coors Brewing</t>
  </si>
  <si>
    <t>http://www.forbes.com/companies/wisconsin-energy/</t>
  </si>
  <si>
    <t>Wisconsin Energy</t>
  </si>
  <si>
    <t>http://www.forbes.com/companies/fiserv/</t>
  </si>
  <si>
    <t>Fiserv</t>
  </si>
  <si>
    <t>http://www.forbes.com/companies/first-republic-bank/</t>
  </si>
  <si>
    <t>First Republic Bank</t>
  </si>
  <si>
    <t>http://www.forbes.com/companies/western-union/</t>
  </si>
  <si>
    <t>Western Union</t>
  </si>
  <si>
    <t>http://www.forbes.com/companies/dollar-tree/</t>
  </si>
  <si>
    <t>Dollar Tree</t>
  </si>
  <si>
    <t>http://www.forbes.com/companies/campbell-soup/</t>
  </si>
  <si>
    <t>Campbell Soup</t>
  </si>
  <si>
    <t>http://www.forbes.com/companies/new-york-community/</t>
  </si>
  <si>
    <t>New York Community</t>
  </si>
  <si>
    <t>http://www.forbes.com/companies/coach/</t>
  </si>
  <si>
    <t>Coach</t>
  </si>
  <si>
    <t>http://www.forbes.com/companies/starwood-hotels/</t>
  </si>
  <si>
    <t>Starwood Hotels</t>
  </si>
  <si>
    <t>http://www.forbes.com/companies/netapp/</t>
  </si>
  <si>
    <t>Computer Storage Devices</t>
  </si>
  <si>
    <t>NetApp</t>
  </si>
  <si>
    <t>http://www.forbes.com/companies/charter-communications/</t>
  </si>
  <si>
    <t>Charter Communications</t>
  </si>
  <si>
    <t>http://www.forbes.com/companies/general-growth-properties/</t>
  </si>
  <si>
    <t>General Growth Properties</t>
  </si>
  <si>
    <t>http://www.forbes.com/companies/zimmer-holdings/</t>
  </si>
  <si>
    <t>Zimmer Holdings</t>
  </si>
  <si>
    <t>http://www.forbes.com/companies/cms-energy/</t>
  </si>
  <si>
    <t>CMS Energy</t>
  </si>
  <si>
    <t>http://www.forbes.com/companies/quest-diagnostics/</t>
  </si>
  <si>
    <t>Quest Diagnostics</t>
  </si>
  <si>
    <t>http://www.forbes.com/companies/t-rowe-price/</t>
  </si>
  <si>
    <t>T Rowe Price</t>
  </si>
  <si>
    <t>http://www.forbes.com/companies/pultegroup/</t>
  </si>
  <si>
    <t>PulteGroup</t>
  </si>
  <si>
    <t>http://www.forbes.com/companies/boston-scientific/</t>
  </si>
  <si>
    <t>Boston Scientific</t>
  </si>
  <si>
    <t>http://www.forbes.com/companies/arrow-electronics/</t>
  </si>
  <si>
    <t>Arrow Electronics</t>
  </si>
  <si>
    <t>http://www.forbes.com/companies/alleghany/</t>
  </si>
  <si>
    <t>Alleghany</t>
  </si>
  <si>
    <t>http://www.forbes.com/companies/celanese/</t>
  </si>
  <si>
    <t>Celanese</t>
  </si>
  <si>
    <t>http://www.forbes.com/companies/prologis/</t>
  </si>
  <si>
    <t>Prologis</t>
  </si>
  <si>
    <t>http://www.forbes.com/companies/hormel-foods/</t>
  </si>
  <si>
    <t>Hormel Foods</t>
  </si>
  <si>
    <t>http://www.forbes.com/companies/ambac-financial-group/</t>
  </si>
  <si>
    <t>Ambac Financial Group</t>
  </si>
  <si>
    <t>http://www.forbes.com/companies/ashland/</t>
  </si>
  <si>
    <t>Ashland</t>
  </si>
  <si>
    <t>http://www.forbes.com/companies/borgwarner/</t>
  </si>
  <si>
    <t>BorgWarner</t>
  </si>
  <si>
    <t>http://www.forbes.com/companies/assurant/</t>
  </si>
  <si>
    <t>Assurant</t>
  </si>
  <si>
    <t>http://www.forbes.com/companies/mcgraw-hill-cos/</t>
  </si>
  <si>
    <t>McGraw-Hill Cos</t>
  </si>
  <si>
    <t>http://www.forbes.com/companies/newmont-mining/</t>
  </si>
  <si>
    <t>Newmont Mining</t>
  </si>
  <si>
    <t>http://www.forbes.com/companies/oreilly-automotive/</t>
  </si>
  <si>
    <t>O'Reilly Automotive</t>
  </si>
  <si>
    <t>http://www.forbes.com/companies/ventas/</t>
  </si>
  <si>
    <t>Ventas</t>
  </si>
  <si>
    <t>http://www.forbes.com/companies/harley-davidson/</t>
  </si>
  <si>
    <t>Harley-Davidson</t>
  </si>
  <si>
    <t>http://www.forbes.com/companies/centerpoint-energy/</t>
  </si>
  <si>
    <t>CenterPoint Energy</t>
  </si>
  <si>
    <t>http://www.forbes.com/companies/mattel/</t>
  </si>
  <si>
    <t>Mattel</t>
  </si>
  <si>
    <t>http://www.forbes.com/companies/rock-tenn/</t>
  </si>
  <si>
    <t>Rock-Tenn</t>
  </si>
  <si>
    <t>http://www.forbes.com/companies/intercontinentalexchange/</t>
  </si>
  <si>
    <t>IntercontinentalExchange</t>
  </si>
  <si>
    <t>http://www.forbes.com/companies/wynn-resorts/</t>
  </si>
  <si>
    <t>Wynn Resorts</t>
  </si>
  <si>
    <t>http://www.forbes.com/companies/ca/</t>
  </si>
  <si>
    <t>http://www.forbes.com/companies/continental-resources/</t>
  </si>
  <si>
    <t>Continental Resources</t>
  </si>
  <si>
    <t>http://www.forbes.com/companies/lorillard/</t>
  </si>
  <si>
    <t>Tobacco</t>
  </si>
  <si>
    <t>Lorillard</t>
  </si>
  <si>
    <t>http://www.forbes.com/companies/ralph-lauren/</t>
  </si>
  <si>
    <t>Ralph Lauren</t>
  </si>
  <si>
    <t>http://www.forbes.com/companies/avnet/</t>
  </si>
  <si>
    <t>Avnet</t>
  </si>
  <si>
    <t>http://www.forbes.com/companies/rockwell-automation/</t>
  </si>
  <si>
    <t>Rockwell Automation</t>
  </si>
  <si>
    <t>http://www.forbes.com/companies/coca-cola-enterprises/</t>
  </si>
  <si>
    <t>Coca-Cola Enterprises</t>
  </si>
  <si>
    <t>http://www.forbes.com/companies/public-storage/</t>
  </si>
  <si>
    <t>Public Storage</t>
  </si>
  <si>
    <t>http://www.forbes.com/companies/st-jude-medical/</t>
  </si>
  <si>
    <t>St Jude Medical</t>
  </si>
  <si>
    <t>http://www.forbes.com/companies/fidelity-national-information/</t>
  </si>
  <si>
    <t>Fidelity National Information</t>
  </si>
  <si>
    <t>http://www.forbes.com/companies/broadcom/</t>
  </si>
  <si>
    <t>Broadcom</t>
  </si>
  <si>
    <t>http://www.forbes.com/companies/mgm-resorts/</t>
  </si>
  <si>
    <t>MGM Resorts</t>
  </si>
  <si>
    <t>http://www.forbes.com/companies/reinsurance-group/</t>
  </si>
  <si>
    <t>Reinsurance Group of America</t>
  </si>
  <si>
    <t>http://www.forbes.com/companies/oneok/</t>
  </si>
  <si>
    <t>Oneok</t>
  </si>
  <si>
    <t>http://www.forbes.com/companies/comerica/</t>
  </si>
  <si>
    <t>Comerica</t>
  </si>
  <si>
    <t>http://www.forbes.com/companies/huntington-bancshares/</t>
  </si>
  <si>
    <t>Huntington Bancshares</t>
  </si>
  <si>
    <t>http://www.forbes.com/companies/nisource/</t>
  </si>
  <si>
    <t>NiSource</t>
  </si>
  <si>
    <t>http://www.forbes.com/companies/carmax/</t>
  </si>
  <si>
    <t>CarMax</t>
  </si>
  <si>
    <t>http://www.forbes.com/companies/nrg-energy/</t>
  </si>
  <si>
    <t>NRG Energy</t>
  </si>
  <si>
    <t>http://www.forbes.com/companies/tesoro/</t>
  </si>
  <si>
    <t>Tesoro</t>
  </si>
  <si>
    <t>http://www.forbes.com/companies/news-corp/</t>
  </si>
  <si>
    <t>News Corp</t>
  </si>
  <si>
    <t>http://www.forbes.com/companies/starbucks/</t>
  </si>
  <si>
    <t>Starbucks</t>
  </si>
  <si>
    <t>http://www.forbes.com/companies/boston-properties/</t>
  </si>
  <si>
    <t>Boston Properties</t>
  </si>
  <si>
    <t>http://www.forbes.com/companies/nordstrom/</t>
  </si>
  <si>
    <t>Nordstrom</t>
  </si>
  <si>
    <t>http://www.forbes.com/companies/cit-group/</t>
  </si>
  <si>
    <t>CIT Group</t>
  </si>
  <si>
    <t>http://www.forbes.com/companies/hershey/</t>
  </si>
  <si>
    <t>Hershey</t>
  </si>
  <si>
    <t>http://www.forbes.com/companies/cf-industries-holdings/</t>
  </si>
  <si>
    <t>CF Industries Holdings</t>
  </si>
  <si>
    <t>http://www.forbes.com/companies/computer-sciences/</t>
  </si>
  <si>
    <t>Computer Sciences</t>
  </si>
  <si>
    <t>http://www.forbes.com/companies/american-tower/</t>
  </si>
  <si>
    <t>American Tower</t>
  </si>
  <si>
    <t>http://www.forbes.com/companies/ww-grainger/</t>
  </si>
  <si>
    <t>WW Grainger</t>
  </si>
  <si>
    <t>http://www.forbes.com/companies/staples/</t>
  </si>
  <si>
    <t>Staples</t>
  </si>
  <si>
    <t>http://www.forbes.com/companies/textron/</t>
  </si>
  <si>
    <t>Conglomerates</t>
  </si>
  <si>
    <t>Textron</t>
  </si>
  <si>
    <t>http://www.forbes.com/companies/agilent-technologies/</t>
  </si>
  <si>
    <t>Agilent Technologies</t>
  </si>
  <si>
    <t>http://www.forbes.com/companies/ross-stores/</t>
  </si>
  <si>
    <t>Ross Stores</t>
  </si>
  <si>
    <t>http://www.forbes.com/companies/genuine-parts/</t>
  </si>
  <si>
    <t>Genuine Parts</t>
  </si>
  <si>
    <t>http://www.forbes.com/companies/marriott-international/</t>
  </si>
  <si>
    <t>Marriott International</t>
  </si>
  <si>
    <t>http://www.forbes.com/companies/td-ameritrade-holding/</t>
  </si>
  <si>
    <t>TD Ameritrade Holding</t>
  </si>
  <si>
    <t>http://www.forbes.com/companies/hcp/</t>
  </si>
  <si>
    <t>HCP</t>
  </si>
  <si>
    <t>http://www.forbes.com/companies/whole-foods-market/</t>
  </si>
  <si>
    <t>Whole Foods Market</t>
  </si>
  <si>
    <t>http://www.forbes.com/companies/applied-materials/</t>
  </si>
  <si>
    <t>Applied Materials</t>
  </si>
  <si>
    <t>http://www.forbes.com/companies/sandisk/</t>
  </si>
  <si>
    <t>SanDisk</t>
  </si>
  <si>
    <t>http://www.forbes.com/companies/constellation-brands/</t>
  </si>
  <si>
    <t>Constellation Brands</t>
  </si>
  <si>
    <t>http://www.forbes.com/companies/royal-caribbean-cruises/</t>
  </si>
  <si>
    <t>Royal Caribbean Cruises</t>
  </si>
  <si>
    <t>http://www.forbes.com/companies/sherwin-williams/</t>
  </si>
  <si>
    <t>Sherwin-Williams</t>
  </si>
  <si>
    <t>http://www.forbes.com/companies/l-brands/</t>
  </si>
  <si>
    <t>L Brands</t>
  </si>
  <si>
    <t>http://www.forbes.com/companies/nielsen-holdings/</t>
  </si>
  <si>
    <t>Nielsen Holdings</t>
  </si>
  <si>
    <t>http://www.forbes.com/companies/symantec/</t>
  </si>
  <si>
    <t>Symantec</t>
  </si>
  <si>
    <t>http://www.forbes.com/companies/autozone/</t>
  </si>
  <si>
    <t>AutoZone</t>
  </si>
  <si>
    <t>http://www.forbes.com/companies/hertz-global-holdings/</t>
  </si>
  <si>
    <t>Hertz Global Holdings</t>
  </si>
  <si>
    <t>http://www.forbes.com/companies/american-capital-agency/</t>
  </si>
  <si>
    <t>American Capital Agency</t>
  </si>
  <si>
    <t>http://www.forbes.com/companies/invesco/</t>
  </si>
  <si>
    <t>Invesco</t>
  </si>
  <si>
    <t>http://www.forbes.com/companies/waste-management/</t>
  </si>
  <si>
    <t>Environmental &amp; Waste</t>
  </si>
  <si>
    <t>Waste Management</t>
  </si>
  <si>
    <t>http://www.forbes.com/companies/bed-bath-beyond/</t>
  </si>
  <si>
    <t>Bed Bath &amp; Beyond</t>
  </si>
  <si>
    <t>http://www.forbes.com/companies/dover/</t>
  </si>
  <si>
    <t>Dover</t>
  </si>
  <si>
    <t>http://www.forbes.com/companies/stanley-black-decker/</t>
  </si>
  <si>
    <t>Stanley Black &amp; Decker</t>
  </si>
  <si>
    <t>http://www.forbes.com/companies/hollyfrontier/</t>
  </si>
  <si>
    <t>HollyFrontier</t>
  </si>
  <si>
    <t>http://www.forbes.com/companies/mylan/</t>
  </si>
  <si>
    <t>Mylan</t>
  </si>
  <si>
    <t>http://www.forbes.com/companies/weyerhaeuser/</t>
  </si>
  <si>
    <t>Weyerhaeuser</t>
  </si>
  <si>
    <t>http://www.forbes.com/companies/fluor/</t>
  </si>
  <si>
    <t>Fluor</t>
  </si>
  <si>
    <t>http://www.forbes.com/companies/aes/</t>
  </si>
  <si>
    <t>AES</t>
  </si>
  <si>
    <t>http://www.forbes.com/companies/goodyear/</t>
  </si>
  <si>
    <t>Goodyear</t>
  </si>
  <si>
    <t>http://www.forbes.com/companies/republic-services/</t>
  </si>
  <si>
    <t>Republic Services</t>
  </si>
  <si>
    <t>http://www.forbes.com/companies/discovery-communications/</t>
  </si>
  <si>
    <t>Discovery Communications</t>
  </si>
  <si>
    <t>http://www.forbes.com/companies/cameron-international/</t>
  </si>
  <si>
    <t>Cameron International</t>
  </si>
  <si>
    <t>http://www.forbes.com/companies/eastman-chemical/</t>
  </si>
  <si>
    <t>Eastman Chemical</t>
  </si>
  <si>
    <t>http://www.forbes.com/companies/vmware/</t>
  </si>
  <si>
    <t>VMware</t>
  </si>
  <si>
    <t>http://www.forbes.com/companies/leucadia-national/</t>
  </si>
  <si>
    <t>Leucadia National</t>
  </si>
  <si>
    <t>http://www.forbes.com/companies/l-3-communications/</t>
  </si>
  <si>
    <t>L-3 Communications</t>
  </si>
  <si>
    <t>http://www.forbes.com/companies/estee-lauder-cos/</t>
  </si>
  <si>
    <t>EstÃƒÂ©e Lauder Cos</t>
  </si>
  <si>
    <t>http://www.forbes.com/companies/cognizant-technology/</t>
  </si>
  <si>
    <t>Cognizant Technology</t>
  </si>
  <si>
    <t>http://www.forbes.com/companies/noble-energy/</t>
  </si>
  <si>
    <t>Noble Energy</t>
  </si>
  <si>
    <t>http://www.forbes.com/companies/motorola-solutions/</t>
  </si>
  <si>
    <t>Motorola Solutions</t>
  </si>
  <si>
    <t>http://www.forbes.com/companies/bunge/</t>
  </si>
  <si>
    <t>Bunge</t>
  </si>
  <si>
    <t>http://www.forbes.com/companies/trw-automotive-holdings/</t>
  </si>
  <si>
    <t>TRW Automotive Holdings</t>
  </si>
  <si>
    <t>http://www.forbes.com/companies/allergan/</t>
  </si>
  <si>
    <t>Allergan</t>
  </si>
  <si>
    <t>http://www.forbes.com/companies/best-buy/</t>
  </si>
  <si>
    <t>Best Buy</t>
  </si>
  <si>
    <t>http://www.forbes.com/companies/thomson-reuters/</t>
  </si>
  <si>
    <t>Thomson Reuters</t>
  </si>
  <si>
    <t>http://www.forbes.com/companies/alcoa/</t>
  </si>
  <si>
    <t>Aluminum</t>
  </si>
  <si>
    <t>Alcoa</t>
  </si>
  <si>
    <t>http://www.forbes.com/companies/becton-dickinson/</t>
  </si>
  <si>
    <t xml:space="preserve"> Dickinson</t>
  </si>
  <si>
    <t>Becton</t>
  </si>
  <si>
    <t>http://www.forbes.com/companies/devon-energy/</t>
  </si>
  <si>
    <t>Devon Energy</t>
  </si>
  <si>
    <t>http://www.forbes.com/companies/williams-cos/</t>
  </si>
  <si>
    <t>Williams Cos</t>
  </si>
  <si>
    <t>http://www.forbes.com/companies/american-airlines-group/</t>
  </si>
  <si>
    <t>American Airlines Group</t>
  </si>
  <si>
    <t>http://www.forbes.com/companies/northern-trust/</t>
  </si>
  <si>
    <t>Northern Trust</t>
  </si>
  <si>
    <t>http://www.forbes.com/companies/yahoo/</t>
  </si>
  <si>
    <t>Yahoo</t>
  </si>
  <si>
    <t>http://www.forbes.com/companies/davita/</t>
  </si>
  <si>
    <t>DaVita</t>
  </si>
  <si>
    <t>http://www.forbes.com/companies/keycorp/</t>
  </si>
  <si>
    <t>KeyCorp</t>
  </si>
  <si>
    <t>http://www.forbes.com/companies/gap/</t>
  </si>
  <si>
    <t>http://www.forbes.com/companies/hilton-worldwide/</t>
  </si>
  <si>
    <t>Hilton Worldwide Holdings</t>
  </si>
  <si>
    <t>http://www.forbes.com/companies/nucor/</t>
  </si>
  <si>
    <t>Nucor</t>
  </si>
  <si>
    <t>http://www.forbes.com/companies/liberty-interactive/</t>
  </si>
  <si>
    <t>Liberty Interactive</t>
  </si>
  <si>
    <t>http://www.forbes.com/companies/northeast-utilities/</t>
  </si>
  <si>
    <t>Northeast Utilities</t>
  </si>
  <si>
    <t>http://www.forbes.com/companies/dte-energy/</t>
  </si>
  <si>
    <t>DTE Energy</t>
  </si>
  <si>
    <t>http://www.forbes.com/companies/amerisourcebergen/</t>
  </si>
  <si>
    <t>AmerisourceBergen</t>
  </si>
  <si>
    <t>http://www.forbes.com/companies/yum-brands/</t>
  </si>
  <si>
    <t>Yum Brands</t>
  </si>
  <si>
    <t>http://www.forbes.com/companies/centurylink/</t>
  </si>
  <si>
    <t>CenturyLink</t>
  </si>
  <si>
    <t>http://www.forbes.com/companies/cme-group/</t>
  </si>
  <si>
    <t>CME Group</t>
  </si>
  <si>
    <t>http://www.forbes.com/companies/vf/</t>
  </si>
  <si>
    <t>VF</t>
  </si>
  <si>
    <t>http://www.forbes.com/companies/annaly-capital-management/</t>
  </si>
  <si>
    <t>Annaly Capital Management</t>
  </si>
  <si>
    <t>http://www.forbes.com/companies/priceline/</t>
  </si>
  <si>
    <t>Priceline.com</t>
  </si>
  <si>
    <t>http://www.forbes.com/companies/genworth-financial/</t>
  </si>
  <si>
    <t>Genworth Financial</t>
  </si>
  <si>
    <t>http://www.forbes.com/companies/kohls/</t>
  </si>
  <si>
    <t>Kohl's</t>
  </si>
  <si>
    <t>http://www.forbes.com/companies/liberty-media-1/</t>
  </si>
  <si>
    <t>Liberty Media</t>
  </si>
  <si>
    <t>http://www.forbes.com/companies/whirlpool/</t>
  </si>
  <si>
    <t>Household Appliances</t>
  </si>
  <si>
    <t>Whirlpool</t>
  </si>
  <si>
    <t>http://www.forbes.com/companies/parker-hannifin/</t>
  </si>
  <si>
    <t>Parker-Hannifin</t>
  </si>
  <si>
    <t>http://www.forbes.com/companies/dollar-general/</t>
  </si>
  <si>
    <t>Dollar General</t>
  </si>
  <si>
    <t>http://www.forbes.com/companies/celgene/</t>
  </si>
  <si>
    <t>Celgene</t>
  </si>
  <si>
    <t>http://www.forbes.com/companies/murphy-oil/</t>
  </si>
  <si>
    <t>Murphy Oil</t>
  </si>
  <si>
    <t>http://www.forbes.com/companies/mt-bank/</t>
  </si>
  <si>
    <t>M&amp;T Bank</t>
  </si>
  <si>
    <t>http://www.forbes.com/companies/biogen-idec/</t>
  </si>
  <si>
    <t>Biogen Idec</t>
  </si>
  <si>
    <t>http://www.forbes.com/companies/firstenergy/</t>
  </si>
  <si>
    <t>FirstEnergy</t>
  </si>
  <si>
    <t>http://www.forbes.com/companies/tyson-foods/</t>
  </si>
  <si>
    <t>Tyson Foods</t>
  </si>
  <si>
    <t>http://www.forbes.com/companies/spectra-energy/</t>
  </si>
  <si>
    <t>Spectra Energy</t>
  </si>
  <si>
    <t>http://www.forbes.com/companies/stryker/</t>
  </si>
  <si>
    <t>Stryker</t>
  </si>
  <si>
    <t>http://www.forbes.com/companies/mosaic/</t>
  </si>
  <si>
    <t>Mosaic</t>
  </si>
  <si>
    <t>http://www.forbes.com/companies/unum-group/</t>
  </si>
  <si>
    <t>Unum Group</t>
  </si>
  <si>
    <t>http://www.forbes.com/companies/reynolds-american/</t>
  </si>
  <si>
    <t>Reynolds American</t>
  </si>
  <si>
    <t>http://www.forbes.com/companies/conagra-foods/</t>
  </si>
  <si>
    <t>ConAgra Foods</t>
  </si>
  <si>
    <t>http://www.forbes.com/companies/slm/</t>
  </si>
  <si>
    <t>SLM</t>
  </si>
  <si>
    <t>http://www.forbes.com/companies/entergy/</t>
  </si>
  <si>
    <t>Entergy</t>
  </si>
  <si>
    <t>http://www.forbes.com/companies/air-products-chemicals/</t>
  </si>
  <si>
    <t>Air Products &amp; Chemicals</t>
  </si>
  <si>
    <t>http://www.forbes.com/companies/western-digital/</t>
  </si>
  <si>
    <t>Western Digital</t>
  </si>
  <si>
    <t>http://www.forbes.com/companies/southwest-airlines/</t>
  </si>
  <si>
    <t>Southwest Airlines</t>
  </si>
  <si>
    <t>http://www.forbes.com/companies/regions-financial/</t>
  </si>
  <si>
    <t>Regions Financial</t>
  </si>
  <si>
    <t>http://www.forbes.com/companies/simon-property-group/</t>
  </si>
  <si>
    <t>Simon Property Group</t>
  </si>
  <si>
    <t>http://www.forbes.com/companies/hartford-financial-services/</t>
  </si>
  <si>
    <t>Hartford Financial Services</t>
  </si>
  <si>
    <t>http://www.forbes.com/companies/franklin-resources/</t>
  </si>
  <si>
    <t>Franklin Resources</t>
  </si>
  <si>
    <t>http://www.forbes.com/companies/xcel-energy/</t>
  </si>
  <si>
    <t>Xcel Energy</t>
  </si>
  <si>
    <t>http://www.forbes.com/companies/marsh-mclennan/</t>
  </si>
  <si>
    <t>Insurance Brokers</t>
  </si>
  <si>
    <t>Marsh &amp; McLennan</t>
  </si>
  <si>
    <t>http://www.forbes.com/companies/cardinal-health/</t>
  </si>
  <si>
    <t>Cardinal Health</t>
  </si>
  <si>
    <t>http://www.forbes.com/companies/omnicom-group/</t>
  </si>
  <si>
    <t>Omnicom Group</t>
  </si>
  <si>
    <t>http://www.forbes.com/companies/safeway/</t>
  </si>
  <si>
    <t>Safeway</t>
  </si>
  <si>
    <t>http://www.forbes.com/companies/dish-network/</t>
  </si>
  <si>
    <t>DISH Network</t>
  </si>
  <si>
    <t>http://www.forbes.com/companies/sysco/</t>
  </si>
  <si>
    <t>Sysco</t>
  </si>
  <si>
    <t>http://www.forbes.com/companies/facebook/</t>
  </si>
  <si>
    <t>Facebook</t>
  </si>
  <si>
    <t>http://www.forbes.com/companies/kellogg/</t>
  </si>
  <si>
    <t>Kellogg</t>
  </si>
  <si>
    <t>http://www.forbes.com/companies/mastercard/</t>
  </si>
  <si>
    <t>MasterCard</t>
  </si>
  <si>
    <t>http://www.forbes.com/companies/precision-castparts/</t>
  </si>
  <si>
    <t>Precision Castparts</t>
  </si>
  <si>
    <t>http://www.forbes.com/companies/public-service-enterprise/</t>
  </si>
  <si>
    <t>Public Service Enterprise</t>
  </si>
  <si>
    <t>http://www.forbes.com/companies/ecolab/</t>
  </si>
  <si>
    <t>Ecolab</t>
  </si>
  <si>
    <t>http://www.forbes.com/companies/cummins/</t>
  </si>
  <si>
    <t>Cummins</t>
  </si>
  <si>
    <t>http://www.forbes.com/companies/progressive/</t>
  </si>
  <si>
    <t>Progressive</t>
  </si>
  <si>
    <t>http://www.forbes.com/companies/micron-technology/</t>
  </si>
  <si>
    <t>Micron Technology</t>
  </si>
  <si>
    <t>http://www.forbes.com/companies/consolidated-edison/</t>
  </si>
  <si>
    <t>Consolidated Edison</t>
  </si>
  <si>
    <t>http://www.forbes.com/companies/corning/</t>
  </si>
  <si>
    <t>Corning</t>
  </si>
  <si>
    <t>http://www.forbes.com/companies/sempra-energy/</t>
  </si>
  <si>
    <t>Sempra Energy</t>
  </si>
  <si>
    <t>http://www.forbes.com/companies/principal-financial-group/</t>
  </si>
  <si>
    <t>Principal Financial Group</t>
  </si>
  <si>
    <t>http://www.forbes.com/companies/charles-schwab/</t>
  </si>
  <si>
    <t>Charles Schwab</t>
  </si>
  <si>
    <t>http://www.forbes.com/companies/tjx-cos/</t>
  </si>
  <si>
    <t>TJX Cos</t>
  </si>
  <si>
    <t>http://www.forbes.com/companies/loews/</t>
  </si>
  <si>
    <t>Loews</t>
  </si>
  <si>
    <t>http://www.forbes.com/companies/xerox/</t>
  </si>
  <si>
    <t>Business Products &amp; Supplies</t>
  </si>
  <si>
    <t>Xerox</t>
  </si>
  <si>
    <t>http://www.forbes.com/companies/paccar/</t>
  </si>
  <si>
    <t>Paccar</t>
  </si>
  <si>
    <t>http://www.forbes.com/companies/amazon/</t>
  </si>
  <si>
    <t>Amazon.com</t>
  </si>
  <si>
    <t>http://www.forbes.com/companies/chesapeake-energy/</t>
  </si>
  <si>
    <t>Chesapeake Energy</t>
  </si>
  <si>
    <t>http://www.forbes.com/companies/united-continental-holdings/</t>
  </si>
  <si>
    <t>United Continental Holdings</t>
  </si>
  <si>
    <t>http://www.forbes.com/companies/fifth-third-bancorp/</t>
  </si>
  <si>
    <t>Fifth Third Bancorp</t>
  </si>
  <si>
    <t>http://www.forbes.com/companies/ppg-industries/</t>
  </si>
  <si>
    <t>PPG Industries</t>
  </si>
  <si>
    <t>http://www.forbes.com/companies/edison-international/</t>
  </si>
  <si>
    <t>Edison International</t>
  </si>
  <si>
    <t>http://www.forbes.com/companies/praxair/</t>
  </si>
  <si>
    <t>Praxair</t>
  </si>
  <si>
    <t>http://www.forbes.com/companies/prudential-financial/</t>
  </si>
  <si>
    <t>Prudential Financial</t>
  </si>
  <si>
    <t>http://www.forbes.com/companies/ppl/</t>
  </si>
  <si>
    <t>PPL</t>
  </si>
  <si>
    <t>http://www.forbes.com/companies/colgate-palmolive/</t>
  </si>
  <si>
    <t>Colgate-Palmolive</t>
  </si>
  <si>
    <t>http://www.forbes.com/companies/texas-instruments/</t>
  </si>
  <si>
    <t>Texas Instruments</t>
  </si>
  <si>
    <t>http://www.forbes.com/companies/humana/</t>
  </si>
  <si>
    <t>Managed Health Care</t>
  </si>
  <si>
    <t>Humana</t>
  </si>
  <si>
    <t>http://www.forbes.com/companies/illinois-tool-works/</t>
  </si>
  <si>
    <t>Illinois Tool Works</t>
  </si>
  <si>
    <t>http://www.forbes.com/companies/pge/</t>
  </si>
  <si>
    <t>PG&amp;E</t>
  </si>
  <si>
    <t>http://www.forbes.com/companies/suntrust-banks/</t>
  </si>
  <si>
    <t>SunTrust Banks</t>
  </si>
  <si>
    <t>http://www.forbes.com/companies/macys/</t>
  </si>
  <si>
    <t>Macy's</t>
  </si>
  <si>
    <t>http://www.forbes.com/companies/lincoln-national/</t>
  </si>
  <si>
    <t>Lincoln National</t>
  </si>
  <si>
    <t>http://www.forbes.com/companies/norfolk-southern/</t>
  </si>
  <si>
    <t>Norfolk Southern</t>
  </si>
  <si>
    <t>http://www.forbes.com/companies/csx/</t>
  </si>
  <si>
    <t>CSX</t>
  </si>
  <si>
    <t>http://www.forbes.com/companies/automatic-data/</t>
  </si>
  <si>
    <t>Automatic Data</t>
  </si>
  <si>
    <t>http://www.forbes.com/companies/baker-hughes/</t>
  </si>
  <si>
    <t>Baker Hughes</t>
  </si>
  <si>
    <t>http://www.forbes.com/companies/thermo-fisher-scientific/</t>
  </si>
  <si>
    <t>Thermo Fisher Scientific</t>
  </si>
  <si>
    <t>http://www.forbes.com/companies/viacom/</t>
  </si>
  <si>
    <t>Viacom</t>
  </si>
  <si>
    <t>http://www.forbes.com/companies/general-mills/</t>
  </si>
  <si>
    <t>General Mills</t>
  </si>
  <si>
    <t>http://www.forbes.com/companies/freddie-mac/</t>
  </si>
  <si>
    <t>Freddie Mac</t>
  </si>
  <si>
    <t>http://www.forbes.com/companies/carnival/</t>
  </si>
  <si>
    <t>Carnival</t>
  </si>
  <si>
    <t>http://www.forbes.com/companies/marathon-oil/</t>
  </si>
  <si>
    <t>Marathon Oil</t>
  </si>
  <si>
    <t>http://www.forbes.com/companies/cbs/</t>
  </si>
  <si>
    <t>CBS</t>
  </si>
  <si>
    <t>http://www.forbes.com/companies/kimberly-clark/</t>
  </si>
  <si>
    <t>Kimberly-Clark</t>
  </si>
  <si>
    <t>http://www.forbes.com/companies/gilead-sciences/</t>
  </si>
  <si>
    <t>Gilead Sciences</t>
  </si>
  <si>
    <t>http://www.forbes.com/companies/international-paper/</t>
  </si>
  <si>
    <t>International Paper</t>
  </si>
  <si>
    <t>http://www.forbes.com/companies/ameriprise-financial/</t>
  </si>
  <si>
    <t>Ameriprise Financial</t>
  </si>
  <si>
    <t>http://www.forbes.com/companies/anadarko-petroleum/</t>
  </si>
  <si>
    <t>Anadarko Petroleum</t>
  </si>
  <si>
    <t>http://www.forbes.com/companies/baxter-international/</t>
  </si>
  <si>
    <t>Baxter International</t>
  </si>
  <si>
    <t>http://www.forbes.com/companies/las-vegas-sands/</t>
  </si>
  <si>
    <t>Las Vegas Sands</t>
  </si>
  <si>
    <t>http://www.forbes.com/companies/fannie-mae/</t>
  </si>
  <si>
    <t>Fannie Mae</t>
  </si>
  <si>
    <t>http://www.forbes.com/companies/discover-financial-services/</t>
  </si>
  <si>
    <t>Discover Financial Services</t>
  </si>
  <si>
    <t>http://www.forbes.com/companies/kraft-foods-group/</t>
  </si>
  <si>
    <t>Kraft Foods Group</t>
  </si>
  <si>
    <t>http://www.forbes.com/companies/northrop-grumman/</t>
  </si>
  <si>
    <t>Northrop Grumman</t>
  </si>
  <si>
    <t>http://www.forbes.com/companies/hca-holdings/</t>
  </si>
  <si>
    <t>HCA Holdings</t>
  </si>
  <si>
    <t>http://www.forbes.com/companies/american-electric/</t>
  </si>
  <si>
    <t>American Electric</t>
  </si>
  <si>
    <t>http://www.forbes.com/companies/chubb/</t>
  </si>
  <si>
    <t>Chubb</t>
  </si>
  <si>
    <t>http://www.forbes.com/companies/raytheon/</t>
  </si>
  <si>
    <t>Raytheon</t>
  </si>
  <si>
    <t>http://www.forbes.com/companies/monsanto/</t>
  </si>
  <si>
    <t>Monsanto</t>
  </si>
  <si>
    <t>http://www.forbes.com/companies/eog-resources/</t>
  </si>
  <si>
    <t>EOG Resources</t>
  </si>
  <si>
    <t>http://www.forbes.com/companies/kinder-morgan/</t>
  </si>
  <si>
    <t>Kinder Morgan</t>
  </si>
  <si>
    <t>http://www.forbes.com/companies/nike/</t>
  </si>
  <si>
    <t>NIKE</t>
  </si>
  <si>
    <t>http://www.forbes.com/companies/bbt/</t>
  </si>
  <si>
    <t>BB&amp;T</t>
  </si>
  <si>
    <t>http://www.forbes.com/companies/dominion-resources/</t>
  </si>
  <si>
    <t>Dominion Resources</t>
  </si>
  <si>
    <t>http://www.forbes.com/companies/emerson-electric/</t>
  </si>
  <si>
    <t>Emerson Electric</t>
  </si>
  <si>
    <t>http://www.forbes.com/companies/johnson-controls/</t>
  </si>
  <si>
    <t>Johnson Controls</t>
  </si>
  <si>
    <t>http://www.forbes.com/companies/kroger/</t>
  </si>
  <si>
    <t>Kroger</t>
  </si>
  <si>
    <t>http://www.forbes.com/companies/state-street/</t>
  </si>
  <si>
    <t>State Street</t>
  </si>
  <si>
    <t>http://www.forbes.com/companies/directv/</t>
  </si>
  <si>
    <t>Directv</t>
  </si>
  <si>
    <t>http://www.forbes.com/companies/national-oilwell-varco/</t>
  </si>
  <si>
    <t>National Oilwell Varco</t>
  </si>
  <si>
    <t>http://www.forbes.com/companies/cigna/</t>
  </si>
  <si>
    <t>Cigna</t>
  </si>
  <si>
    <t>http://www.forbes.com/companies/visa/</t>
  </si>
  <si>
    <t>Visa</t>
  </si>
  <si>
    <t>http://www.forbes.com/companies/nextera-energy/</t>
  </si>
  <si>
    <t>NextEra Energy</t>
  </si>
  <si>
    <t>http://www.forbes.com/companies/southern-co/</t>
  </si>
  <si>
    <t>Southern Co</t>
  </si>
  <si>
    <t>http://www.forbes.com/companies/marathon-petroleum/</t>
  </si>
  <si>
    <t>Marathon Petroleum</t>
  </si>
  <si>
    <t>http://www.forbes.com/companies/apache/</t>
  </si>
  <si>
    <t>Apache</t>
  </si>
  <si>
    <t>http://www.forbes.com/companies/danaher/</t>
  </si>
  <si>
    <t>Danaher</t>
  </si>
  <si>
    <t>http://www.forbes.com/companies/halliburton/</t>
  </si>
  <si>
    <t>Halliburton</t>
  </si>
  <si>
    <t>http://www.forbes.com/companies/fedex/</t>
  </si>
  <si>
    <t>FedEx</t>
  </si>
  <si>
    <t>http://www.forbes.com/companies/bristol-myers-squibb/</t>
  </si>
  <si>
    <t>Bristol-Myers Squibb</t>
  </si>
  <si>
    <t>http://www.forbes.com/companies/medtronic/</t>
  </si>
  <si>
    <t>Medtronic</t>
  </si>
  <si>
    <t>http://www.forbes.com/companies/abbvie/</t>
  </si>
  <si>
    <t>AbbVie</t>
  </si>
  <si>
    <t>http://www.forbes.com/companies/general-dynamics/</t>
  </si>
  <si>
    <t>General Dynamics</t>
  </si>
  <si>
    <t>http://www.forbes.com/companies/time-warner-cable/</t>
  </si>
  <si>
    <t>Time Warner Cable</t>
  </si>
  <si>
    <t>http://www.forbes.com/companies/ebay/</t>
  </si>
  <si>
    <t>eBay</t>
  </si>
  <si>
    <t>http://www.forbes.com/companies/hess/</t>
  </si>
  <si>
    <t>Hess</t>
  </si>
  <si>
    <t>http://www.forbes.com/companies/mckesson/</t>
  </si>
  <si>
    <t>McKesson</t>
  </si>
  <si>
    <t>http://www.forbes.com/companies/archer-daniels-midland/</t>
  </si>
  <si>
    <t>Archer Daniels Midland</t>
  </si>
  <si>
    <t>http://www.forbes.com/companies/exelon/</t>
  </si>
  <si>
    <t>Exelon</t>
  </si>
  <si>
    <t>http://www.forbes.com/companies/blackrock/</t>
  </si>
  <si>
    <t>BlackRock</t>
  </si>
  <si>
    <t>http://www.forbes.com/companies/altria-group/</t>
  </si>
  <si>
    <t>Altria Group</t>
  </si>
  <si>
    <t>http://www.forbes.com/companies/aetna/</t>
  </si>
  <si>
    <t>Aetna</t>
  </si>
  <si>
    <t>http://www.forbes.com/companies/abbott-laboratories/</t>
  </si>
  <si>
    <t>Abbott Laboratories</t>
  </si>
  <si>
    <t>http://www.forbes.com/companies/freeport-mcmoran-copper/</t>
  </si>
  <si>
    <t>Freeport-McMoRan Copper</t>
  </si>
  <si>
    <t>http://www.forbes.com/companies/lowes-cos/</t>
  </si>
  <si>
    <t>Lowe's Cos</t>
  </si>
  <si>
    <t>http://www.forbes.com/companies/eli-lilly-co/</t>
  </si>
  <si>
    <t>Eli Lilly &amp; Co</t>
  </si>
  <si>
    <t>http://www.forbes.com/companies/costco-wholesale/</t>
  </si>
  <si>
    <t>Costco Wholesale</t>
  </si>
  <si>
    <t>http://www.forbes.com/companies/emc/</t>
  </si>
  <si>
    <t>EMC</t>
  </si>
  <si>
    <t>http://www.forbes.com/companies/bank-of-ny-mellon/</t>
  </si>
  <si>
    <t>Major Banks</t>
  </si>
  <si>
    <t>Bank of New York Mellon</t>
  </si>
  <si>
    <t>http://www.forbes.com/companies/target/</t>
  </si>
  <si>
    <t>Target</t>
  </si>
  <si>
    <t>http://www.forbes.com/companies/lockheed-martin/</t>
  </si>
  <si>
    <t>Lockheed Martin</t>
  </si>
  <si>
    <t>http://www.forbes.com/companies/allstate/</t>
  </si>
  <si>
    <t>Allstate</t>
  </si>
  <si>
    <t>http://www.forbes.com/companies/3m/</t>
  </si>
  <si>
    <t>3M</t>
  </si>
  <si>
    <t>http://www.forbes.com/companies/aflac/</t>
  </si>
  <si>
    <t>Aflac</t>
  </si>
  <si>
    <t>http://www.forbes.com/companies/wellpoint/</t>
  </si>
  <si>
    <t>WellPoint</t>
  </si>
  <si>
    <t>http://www.forbes.com/companies/mcdonalds/</t>
  </si>
  <si>
    <t>McDonald's</t>
  </si>
  <si>
    <t>http://www.forbes.com/companies/union-pacific/</t>
  </si>
  <si>
    <t>Union Pacific</t>
  </si>
  <si>
    <t>http://www.forbes.com/companies/deere-co/</t>
  </si>
  <si>
    <t>Deere &amp; Co</t>
  </si>
  <si>
    <t>http://www.forbes.com/companies/travelers-cos/</t>
  </si>
  <si>
    <t>Travelers Cos</t>
  </si>
  <si>
    <t>http://www.forbes.com/companies/valero-energy/</t>
  </si>
  <si>
    <t>Valero Energy</t>
  </si>
  <si>
    <t>http://www.forbes.com/companies/walgreen/</t>
  </si>
  <si>
    <t>Walgreen</t>
  </si>
  <si>
    <t>http://www.forbes.com/companies/ei-du-pont-de-nemours/</t>
  </si>
  <si>
    <t>EI du Pont de Nemours</t>
  </si>
  <si>
    <t>http://www.forbes.com/companies/amgen/</t>
  </si>
  <si>
    <t>Amgen</t>
  </si>
  <si>
    <t>http://www.forbes.com/companies/delta-air-lines/</t>
  </si>
  <si>
    <t>Delta Air Lines</t>
  </si>
  <si>
    <t>http://www.forbes.com/companies/duke-energy/</t>
  </si>
  <si>
    <t>Duke Energy</t>
  </si>
  <si>
    <t>http://www.forbes.com/companies/pnc-financial-services/</t>
  </si>
  <si>
    <t>PNC Financial Services</t>
  </si>
  <si>
    <t>http://www.forbes.com/companies/united-parcel-service/</t>
  </si>
  <si>
    <t>United Parcel Service</t>
  </si>
  <si>
    <t>http://www.forbes.com/companies/express-scripts/</t>
  </si>
  <si>
    <t>Express Scripts</t>
  </si>
  <si>
    <t>http://www.forbes.com/companies/honeywell-international/</t>
  </si>
  <si>
    <t>Honeywell International</t>
  </si>
  <si>
    <t>http://www.forbes.com/companies/philip-morris-international/</t>
  </si>
  <si>
    <t>Philip Morris International</t>
  </si>
  <si>
    <t>http://www.forbes.com/companies/time-warner/</t>
  </si>
  <si>
    <t>Time Warner</t>
  </si>
  <si>
    <t>http://www.forbes.com/companies/qualcomm/</t>
  </si>
  <si>
    <t>Qualcomm</t>
  </si>
  <si>
    <t>http://www.forbes.com/companies/twenty-first-century-fox-inc/</t>
  </si>
  <si>
    <t>Twenty-First Century Fox</t>
  </si>
  <si>
    <t>http://www.forbes.com/companies/occidental-petroleum/</t>
  </si>
  <si>
    <t>Occidental Petroleum</t>
  </si>
  <si>
    <t>http://www.forbes.com/companies/mondelez-international/</t>
  </si>
  <si>
    <t>MondelÃ„â€œz International</t>
  </si>
  <si>
    <t>http://www.forbes.com/companies/capital-one-financial/</t>
  </si>
  <si>
    <t>Capital One Financial</t>
  </si>
  <si>
    <t>http://www.forbes.com/companies/phillips-66/</t>
  </si>
  <si>
    <t>Phillips 66</t>
  </si>
  <si>
    <t>http://www.forbes.com/companies/home-depot/</t>
  </si>
  <si>
    <t>Home Depot</t>
  </si>
  <si>
    <t>http://www.forbes.com/companies/dow-chemical/</t>
  </si>
  <si>
    <t>Dow Chemical</t>
  </si>
  <si>
    <t>http://www.forbes.com/companies/us-bancorp/</t>
  </si>
  <si>
    <t>US Bancorp</t>
  </si>
  <si>
    <t>http://www.forbes.com/companies/caterpillar/</t>
  </si>
  <si>
    <t>Caterpillar</t>
  </si>
  <si>
    <t>http://www.forbes.com/companies/schlumberger/</t>
  </si>
  <si>
    <t>Schlumberger</t>
  </si>
  <si>
    <t>http://www.forbes.com/companies/morgan-stanley/</t>
  </si>
  <si>
    <t>Morgan Stanley</t>
  </si>
  <si>
    <t>http://www.forbes.com/companies/american-express/</t>
  </si>
  <si>
    <t>American Express</t>
  </si>
  <si>
    <t>http://www.forbes.com/companies/walt-disney/</t>
  </si>
  <si>
    <t>Walt Disney</t>
  </si>
  <si>
    <t>http://www.forbes.com/companies/merck-co/</t>
  </si>
  <si>
    <t>Merck &amp; Co</t>
  </si>
  <si>
    <t>http://www.forbes.com/companies/cvs-caremark/</t>
  </si>
  <si>
    <t>CVS Caremark</t>
  </si>
  <si>
    <t>http://www.forbes.com/companies/oracle/</t>
  </si>
  <si>
    <t>Oracle</t>
  </si>
  <si>
    <t>http://www.forbes.com/companies/pepsico/</t>
  </si>
  <si>
    <t>PepsiCo</t>
  </si>
  <si>
    <t>http://www.forbes.com/companies/united-technologies/</t>
  </si>
  <si>
    <t>United Technologies</t>
  </si>
  <si>
    <t>http://www.forbes.com/companies/unitedhealth-group/</t>
  </si>
  <si>
    <t>UnitedHealth Group</t>
  </si>
  <si>
    <t>http://www.forbes.com/companies/boeing/</t>
  </si>
  <si>
    <t>Boeing</t>
  </si>
  <si>
    <t>http://www.forbes.com/companies/cisco-systems/</t>
  </si>
  <si>
    <t>Cisco Systems</t>
  </si>
  <si>
    <t>http://www.forbes.com/companies/coca-cola/</t>
  </si>
  <si>
    <t>Coca-Cola</t>
  </si>
  <si>
    <t>http://www.forbes.com/companies/hewlett-packard/</t>
  </si>
  <si>
    <t>Hewlett-Packard</t>
  </si>
  <si>
    <t>http://www.forbes.com/companies/intel/</t>
  </si>
  <si>
    <t>Intel</t>
  </si>
  <si>
    <t>http://www.forbes.com/companies/conocophillips/</t>
  </si>
  <si>
    <t>ConocoPhillips</t>
  </si>
  <si>
    <t>http://www.forbes.com/companies/metlife/</t>
  </si>
  <si>
    <t>MetLife</t>
  </si>
  <si>
    <t>http://www.forbes.com/companies/general-motors/</t>
  </si>
  <si>
    <t>Auto &amp; Truck Manufacturers</t>
  </si>
  <si>
    <t>General Motors</t>
  </si>
  <si>
    <t>http://www.forbes.com/companies/goldman-sachs-group/</t>
  </si>
  <si>
    <t>Goldman Sachs Group</t>
  </si>
  <si>
    <t>http://www.forbes.com/companies/comcast/</t>
  </si>
  <si>
    <t>Comcast</t>
  </si>
  <si>
    <t>http://www.forbes.com/companies/google/</t>
  </si>
  <si>
    <t>Google</t>
  </si>
  <si>
    <t>http://www.forbes.com/companies/ford-motor/</t>
  </si>
  <si>
    <t>Ford Motor</t>
  </si>
  <si>
    <t>http://www.forbes.com/companies/pfizer/</t>
  </si>
  <si>
    <t>Pfizer</t>
  </si>
  <si>
    <t>http://www.forbes.com/companies/american-international-group/</t>
  </si>
  <si>
    <t>American International Group</t>
  </si>
  <si>
    <t>http://www.forbes.com/companies/johnson-johnson/</t>
  </si>
  <si>
    <t>Johnson &amp; Johnson</t>
  </si>
  <si>
    <t>http://www.forbes.com/companies/procter-gamble/</t>
  </si>
  <si>
    <t>Procter &amp; Gamble</t>
  </si>
  <si>
    <t>http://www.forbes.com/companies/ibm/</t>
  </si>
  <si>
    <t>IBM</t>
  </si>
  <si>
    <t>http://www.forbes.com/companies/microsoft/</t>
  </si>
  <si>
    <t>Microsoft</t>
  </si>
  <si>
    <t>http://www.forbes.com/companies/verizon-communications/</t>
  </si>
  <si>
    <t>Verizon Communications</t>
  </si>
  <si>
    <t>http://www.forbes.com/companies/att/</t>
  </si>
  <si>
    <t>AT&amp;T</t>
  </si>
  <si>
    <t>http://www.forbes.com/companies/wal-mart-stores/</t>
  </si>
  <si>
    <t>Wal-Mart Stores</t>
  </si>
  <si>
    <t>http://www.forbes.com/companies/chevron/</t>
  </si>
  <si>
    <t>Chevron</t>
  </si>
  <si>
    <t>http://www.forbes.com/companies/citigroup/</t>
  </si>
  <si>
    <t>Citigroup</t>
  </si>
  <si>
    <t>http://www.forbes.com/companies/apple/</t>
  </si>
  <si>
    <t>Apple</t>
  </si>
  <si>
    <t>http://www.forbes.com/companies/bank-of-america/</t>
  </si>
  <si>
    <t>Bank of America</t>
  </si>
  <si>
    <t>http://www.forbes.com/companies/wells-fargo/</t>
  </si>
  <si>
    <t>Wells Fargo</t>
  </si>
  <si>
    <t>http://www.forbes.com/companies/general-electric/</t>
  </si>
  <si>
    <t>General Electric</t>
  </si>
  <si>
    <t>http://www.forbes.com/companies/exxon-mobil/</t>
  </si>
  <si>
    <t>Exxon Mobil</t>
  </si>
  <si>
    <t>http://www.forbes.com/companies/berkshire-hathaway/</t>
  </si>
  <si>
    <t>Berkshire Hathaway</t>
  </si>
  <si>
    <t>http://www.forbes.com/companies/jpmorgan-chase/</t>
  </si>
  <si>
    <t>JPMorgan Chase</t>
  </si>
  <si>
    <t>http://www.forbes.com/companies/admiral-group/</t>
  </si>
  <si>
    <t>Admiral Group plc</t>
  </si>
  <si>
    <t>http://www.forbes.com/companies/intercontinental-hotels/</t>
  </si>
  <si>
    <t>InterContinental Hotels</t>
  </si>
  <si>
    <t>http://www.forbes.com/companies/dixons-retail/</t>
  </si>
  <si>
    <t>Dixons Retail</t>
  </si>
  <si>
    <t>http://www.forbes.com/companies/babcock-international-group/</t>
  </si>
  <si>
    <t>Babcock International Group</t>
  </si>
  <si>
    <t>http://www.forbes.com/companies/icap/</t>
  </si>
  <si>
    <t>ICAP</t>
  </si>
  <si>
    <t>http://www.forbes.com/companies/inchcape/</t>
  </si>
  <si>
    <t>Inchcape</t>
  </si>
  <si>
    <t>http://www.forbes.com/companies/tullow-oil/</t>
  </si>
  <si>
    <t>Tullow Oil</t>
  </si>
  <si>
    <t>http://www.forbes.com/companies/balfour-beatty/</t>
  </si>
  <si>
    <t>Balfour Beatty</t>
  </si>
  <si>
    <t>http://www.forbes.com/companies/polyus-gold-international/</t>
  </si>
  <si>
    <t>Polyus Gold International</t>
  </si>
  <si>
    <t>http://www.forbes.com/companies/arm-holdings/</t>
  </si>
  <si>
    <t>ARM Holdings</t>
  </si>
  <si>
    <t>http://www.forbes.com/companies/thomas-cook-group/</t>
  </si>
  <si>
    <t>Thomas Cook Group</t>
  </si>
  <si>
    <t>http://www.forbes.com/companies/g4s/</t>
  </si>
  <si>
    <t>Security Systems</t>
  </si>
  <si>
    <t>G4S</t>
  </si>
  <si>
    <t>http://www.forbes.com/companies/burberry-group/</t>
  </si>
  <si>
    <t>Burberry Group</t>
  </si>
  <si>
    <t>http://www.forbes.com/companies/subsea-7/</t>
  </si>
  <si>
    <t>Subsea 7</t>
  </si>
  <si>
    <t>http://www.forbes.com/companies/aberdeen-asset-management/</t>
  </si>
  <si>
    <t>Aberdeen Asset Management</t>
  </si>
  <si>
    <t>http://www.forbes.com/companies/weir-group/</t>
  </si>
  <si>
    <t>Weir Group</t>
  </si>
  <si>
    <t>http://www.forbes.com/companies/hammerson/</t>
  </si>
  <si>
    <t>Hammerson plc</t>
  </si>
  <si>
    <t>http://www.forbes.com/companies/capita/</t>
  </si>
  <si>
    <t>Capita</t>
  </si>
  <si>
    <t>http://www.forbes.com/companies/songbird-estates/</t>
  </si>
  <si>
    <t>Songbird Estates plc</t>
  </si>
  <si>
    <t>http://www.forbes.com/companies/smiths-group/</t>
  </si>
  <si>
    <t>Smiths Group</t>
  </si>
  <si>
    <t>http://www.forbes.com/companies/capital-shopping/</t>
  </si>
  <si>
    <t>Intu Properties plc</t>
  </si>
  <si>
    <t>http://www.forbes.com/companies/willis-group-holdings/</t>
  </si>
  <si>
    <t>Willis Group Holdings</t>
  </si>
  <si>
    <t>http://www.forbes.com/companies/whitbread/</t>
  </si>
  <si>
    <t>Whitbread</t>
  </si>
  <si>
    <t>http://www.forbes.com/companies/itv/</t>
  </si>
  <si>
    <t>ITV</t>
  </si>
  <si>
    <t>http://www.forbes.com/companies/travis-perkins/</t>
  </si>
  <si>
    <t>Travis Perkins</t>
  </si>
  <si>
    <t>http://www.forbes.com/companies/bunzl/</t>
  </si>
  <si>
    <t>Bunzl</t>
  </si>
  <si>
    <t>http://www.forbes.com/companies/smith-nephew/</t>
  </si>
  <si>
    <t>Smith &amp; Nephew</t>
  </si>
  <si>
    <t>http://www.forbes.com/companies/british-land/</t>
  </si>
  <si>
    <t>British Land</t>
  </si>
  <si>
    <t>http://www.forbes.com/companies/evraz-group/</t>
  </si>
  <si>
    <t>Evraz Group</t>
  </si>
  <si>
    <t>http://www.forbes.com/companies/severn-trent/</t>
  </si>
  <si>
    <t>Severn Trent</t>
  </si>
  <si>
    <t>http://www.forbes.com/companies/petrofac/</t>
  </si>
  <si>
    <t>Petrofac</t>
  </si>
  <si>
    <t>http://www.forbes.com/companies/mondi/</t>
  </si>
  <si>
    <t>Mondi</t>
  </si>
  <si>
    <t>http://www.forbes.com/companies/direct-line-insurance/</t>
  </si>
  <si>
    <t>Direct Line Insurance</t>
  </si>
  <si>
    <t>http://www.forbes.com/companies/easyjet/</t>
  </si>
  <si>
    <t>EasyJet</t>
  </si>
  <si>
    <t>http://www.forbes.com/companies/vedanta-resources/</t>
  </si>
  <si>
    <t>Vedanta Resources</t>
  </si>
  <si>
    <t>http://www.forbes.com/companies/london-stock-exchange/</t>
  </si>
  <si>
    <t>London Stock Exchange</t>
  </si>
  <si>
    <t>http://www.forbes.com/companies/united-utilities/</t>
  </si>
  <si>
    <t>United Utilities</t>
  </si>
  <si>
    <t>http://www.forbes.com/companies/next/</t>
  </si>
  <si>
    <t>Next</t>
  </si>
  <si>
    <t>http://www.forbes.com/companies/wm-morrison-supermarkets/</t>
  </si>
  <si>
    <t>Wm Morrison Supermarkets</t>
  </si>
  <si>
    <t>http://www.forbes.com/companies/schroders/</t>
  </si>
  <si>
    <t>Schroders</t>
  </si>
  <si>
    <t>http://www.forbes.com/companies/antofagasta/</t>
  </si>
  <si>
    <t>Antofagasta</t>
  </si>
  <si>
    <t>http://www.forbes.com/companies/johnson-matthey/</t>
  </si>
  <si>
    <t>Johnson Matthey</t>
  </si>
  <si>
    <t>http://www.forbes.com/companies/rsa-insurance-group/</t>
  </si>
  <si>
    <t>RSA Insurance Group</t>
  </si>
  <si>
    <t>http://www.forbes.com/companies/investec/</t>
  </si>
  <si>
    <t>Investec</t>
  </si>
  <si>
    <t>http://www.forbes.com/companies/gkn/</t>
  </si>
  <si>
    <t>GKN</t>
  </si>
  <si>
    <t>http://www.forbes.com/companies/phoenix-group-holdings/</t>
  </si>
  <si>
    <t>Phoenix Group Holdings</t>
  </si>
  <si>
    <t>http://www.forbes.com/companies/land-securities-group/</t>
  </si>
  <si>
    <t>Land Securities Group</t>
  </si>
  <si>
    <t>http://www.forbes.com/companies/reed-elsevier/</t>
  </si>
  <si>
    <t>Reed Elsevier</t>
  </si>
  <si>
    <t>http://www.forbes.com/companies/pearson/</t>
  </si>
  <si>
    <t>Pearson</t>
  </si>
  <si>
    <t>http://www.forbes.com/companies/ensco/</t>
  </si>
  <si>
    <t>Ensco</t>
  </si>
  <si>
    <t>http://www.forbes.com/companies/international-airlines/</t>
  </si>
  <si>
    <t>International Airlines</t>
  </si>
  <si>
    <t>http://www.forbes.com/companies/resolution/</t>
  </si>
  <si>
    <t>Resolution</t>
  </si>
  <si>
    <t>http://www.forbes.com/companies/marks-spencer/</t>
  </si>
  <si>
    <t>Marks &amp; Spencer</t>
  </si>
  <si>
    <t>http://www.forbes.com/companies/bae-systems/</t>
  </si>
  <si>
    <t>BAE Systems</t>
  </si>
  <si>
    <t>http://www.forbes.com/companies/british-sky-broadcasting/</t>
  </si>
  <si>
    <t>British Sky Broadcasting</t>
  </si>
  <si>
    <t>http://www.forbes.com/companies/liberty-global/</t>
  </si>
  <si>
    <t>Liberty Global</t>
  </si>
  <si>
    <t>http://www.forbes.com/companies/delphi-automotive/</t>
  </si>
  <si>
    <t>Delphi Automotive</t>
  </si>
  <si>
    <t>http://www.forbes.com/companies/kingfisher/</t>
  </si>
  <si>
    <t>Kingfisher</t>
  </si>
  <si>
    <t>http://www.forbes.com/companies/j-sainsbury/</t>
  </si>
  <si>
    <t>J Sainsbury</t>
  </si>
  <si>
    <t>http://www.forbes.com/companies/compass-group/</t>
  </si>
  <si>
    <t>Compass Group</t>
  </si>
  <si>
    <t>http://www.forbes.com/companies/anglo-american/</t>
  </si>
  <si>
    <t>Anglo American</t>
  </si>
  <si>
    <t>http://www.forbes.com/companies/tesco/</t>
  </si>
  <si>
    <t>Tesco</t>
  </si>
  <si>
    <t>http://www.forbes.com/companies/associated-british-foods/</t>
  </si>
  <si>
    <t>Associated British Foods</t>
  </si>
  <si>
    <t>http://www.forbes.com/companies/aon/</t>
  </si>
  <si>
    <t>Aon</t>
  </si>
  <si>
    <t>http://www.forbes.com/companies/royal-bank-of-scotland/</t>
  </si>
  <si>
    <t>Royal Bank of Scotland</t>
  </si>
  <si>
    <t>http://www.forbes.com/companies/lloyds-banking-group/</t>
  </si>
  <si>
    <t>Lloyds Banking Group</t>
  </si>
  <si>
    <t>http://www.forbes.com/companies/wpp/</t>
  </si>
  <si>
    <t>WPP</t>
  </si>
  <si>
    <t>http://www.forbes.com/companies/standard-life/</t>
  </si>
  <si>
    <t>Standard Life</t>
  </si>
  <si>
    <t>http://www.forbes.com/companies/sse/</t>
  </si>
  <si>
    <t>SSE</t>
  </si>
  <si>
    <t>http://www.forbes.com/companies/reckitt-benckiser-group/</t>
  </si>
  <si>
    <t>Reckitt Benckiser Group</t>
  </si>
  <si>
    <t>http://www.forbes.com/companies/old-mutual/</t>
  </si>
  <si>
    <t>Old Mutual</t>
  </si>
  <si>
    <t>http://www.forbes.com/companies/centrica/</t>
  </si>
  <si>
    <t>Centrica</t>
  </si>
  <si>
    <t>http://www.forbes.com/companies/imperial-tobacco-group/</t>
  </si>
  <si>
    <t>Imperial Tobacco Group</t>
  </si>
  <si>
    <t>http://www.forbes.com/companies/rolls-royce-holdings/</t>
  </si>
  <si>
    <t>Rolls-Royce Holdings</t>
  </si>
  <si>
    <t>http://www.forbes.com/companies/diageo/</t>
  </si>
  <si>
    <t>Diageo</t>
  </si>
  <si>
    <t>http://www.forbes.com/companies/bt-group/</t>
  </si>
  <si>
    <t>BT Group</t>
  </si>
  <si>
    <t>http://www.forbes.com/companies/sabmiller/</t>
  </si>
  <si>
    <t>SABMiller</t>
  </si>
  <si>
    <t>http://www.forbes.com/companies/bg-group/</t>
  </si>
  <si>
    <t>BG Group</t>
  </si>
  <si>
    <t>http://www.forbes.com/companies/legal-general-group/</t>
  </si>
  <si>
    <t>Legal &amp; General Group</t>
  </si>
  <si>
    <t>http://www.forbes.com/companies/astrazeneca/</t>
  </si>
  <si>
    <t>AstraZeneca</t>
  </si>
  <si>
    <t>http://www.forbes.com/companies/british-american-tobacco/</t>
  </si>
  <si>
    <t>British American Tobacco</t>
  </si>
  <si>
    <t>http://www.forbes.com/companies/national-grid/</t>
  </si>
  <si>
    <t>National Grid</t>
  </si>
  <si>
    <t>http://www.forbes.com/companies/barclays/</t>
  </si>
  <si>
    <t>Barclays</t>
  </si>
  <si>
    <t>http://www.forbes.com/companies/aviva/</t>
  </si>
  <si>
    <t>Aviva</t>
  </si>
  <si>
    <t>http://www.forbes.com/companies/standard-chartered/</t>
  </si>
  <si>
    <t>Standard Chartered</t>
  </si>
  <si>
    <t>http://www.forbes.com/companies/glaxosmithkline/</t>
  </si>
  <si>
    <t>GlaxoSmithKline</t>
  </si>
  <si>
    <t>http://www.forbes.com/companies/rio-tinto/</t>
  </si>
  <si>
    <t>Rio Tinto</t>
  </si>
  <si>
    <t>http://www.forbes.com/companies/prudential/</t>
  </si>
  <si>
    <t>Prudential</t>
  </si>
  <si>
    <t>http://www.forbes.com/companies/vodafone/</t>
  </si>
  <si>
    <t>Vodafone</t>
  </si>
  <si>
    <t>http://www.forbes.com/companies/bp/</t>
  </si>
  <si>
    <t>BP</t>
  </si>
  <si>
    <t>http://www.forbes.com/companies/hsbc-holdings/</t>
  </si>
  <si>
    <t>HSBC Holdings</t>
  </si>
  <si>
    <t>http://www.forbes.com/companies/abu-dhabi-islamic-bank/</t>
  </si>
  <si>
    <t>Abu Dhabi Islamic Bank</t>
  </si>
  <si>
    <t>http://www.forbes.com/companies/emirates-integrated-telecom/</t>
  </si>
  <si>
    <t>Emirates Integrated Telecom</t>
  </si>
  <si>
    <t>http://www.forbes.com/companies/union-national-bank/</t>
  </si>
  <si>
    <t>Union National Bank</t>
  </si>
  <si>
    <t>http://www.forbes.com/companies/taqa/</t>
  </si>
  <si>
    <t>TAQA</t>
  </si>
  <si>
    <t>http://www.forbes.com/companies/aldar-properties/</t>
  </si>
  <si>
    <t>Aldar Properties</t>
  </si>
  <si>
    <t>http://www.forbes.com/companies/mashreq-bank/</t>
  </si>
  <si>
    <t>Mashreq Bank</t>
  </si>
  <si>
    <t>http://www.forbes.com/companies/dubai-islamic-bank/</t>
  </si>
  <si>
    <t>Dubai Islamic Bank</t>
  </si>
  <si>
    <t>http://www.forbes.com/companies/dp-world/</t>
  </si>
  <si>
    <t>DP World</t>
  </si>
  <si>
    <t>http://www.forbes.com/companies/emaar-properties/</t>
  </si>
  <si>
    <t>Emaar Properties</t>
  </si>
  <si>
    <t>http://www.forbes.com/companies/abu-dhabi-commercial/</t>
  </si>
  <si>
    <t>Abu Dhabi Commercial Bank</t>
  </si>
  <si>
    <t>http://www.forbes.com/companies/emirates-nbd/</t>
  </si>
  <si>
    <t>Emirates NBD</t>
  </si>
  <si>
    <t>http://www.forbes.com/companies/first-gulf-bank/</t>
  </si>
  <si>
    <t>First Gulf Bank</t>
  </si>
  <si>
    <t>http://www.forbes.com/companies/national-bank-of-abu-dhabi/</t>
  </si>
  <si>
    <t>National Bank of Abu Dhabi</t>
  </si>
  <si>
    <t>http://www.forbes.com/companies/etisalat/</t>
  </si>
  <si>
    <t>Etisalat</t>
  </si>
  <si>
    <t>http://www.forbes.com/companies/turkish-airlines/</t>
  </si>
  <si>
    <t>Turkish Airlines</t>
  </si>
  <si>
    <t>http://www.forbes.com/companies/anadolu-efes/</t>
  </si>
  <si>
    <t>Anadolu Efes</t>
  </si>
  <si>
    <t>http://www.forbes.com/companies/enka/</t>
  </si>
  <si>
    <t>Enka</t>
  </si>
  <si>
    <t>http://www.forbes.com/companies/turk-telekom/</t>
  </si>
  <si>
    <t>Turk Telekom</t>
  </si>
  <si>
    <t>http://www.forbes.com/companies/turkcell/</t>
  </si>
  <si>
    <t>Turkcell</t>
  </si>
  <si>
    <t>http://www.forbes.com/companies/vakifbank/</t>
  </si>
  <si>
    <t>VakifBank</t>
  </si>
  <si>
    <t>http://www.forbes.com/companies/halkbank/</t>
  </si>
  <si>
    <t>Halkbank</t>
  </si>
  <si>
    <t>http://www.forbes.com/companies/sabanci-holding/</t>
  </si>
  <si>
    <t>Sabanci Holding</t>
  </si>
  <si>
    <t>http://www.forbes.com/companies/akbank/</t>
  </si>
  <si>
    <t>Akbank</t>
  </si>
  <si>
    <t>http://www.forbes.com/companies/koc-holding/</t>
  </si>
  <si>
    <t>KoÃƒÂ§ Holding</t>
  </si>
  <si>
    <t>http://www.forbes.com/companies/garanti-bank/</t>
  </si>
  <si>
    <t>Garanti Bank</t>
  </si>
  <si>
    <t>http://www.forbes.com/companies/isbank/</t>
  </si>
  <si>
    <t>Isbank</t>
  </si>
  <si>
    <t>http://www.forbes.com/companies/ecobank-transnational-incorporated/</t>
  </si>
  <si>
    <t>Ecobank Transnational Incorporated</t>
  </si>
  <si>
    <t>http://www.forbes.com/companies/total-access-communication/</t>
  </si>
  <si>
    <t>Total Access Communication</t>
  </si>
  <si>
    <t>http://www.forbes.com/companies/intouch-holdings/</t>
  </si>
  <si>
    <t>Intouch Holdings</t>
  </si>
  <si>
    <t>http://www.forbes.com/companies/thanachart-capital/</t>
  </si>
  <si>
    <t>Thanachart Capital</t>
  </si>
  <si>
    <t>http://www.forbes.com/companies/airports-of-thailand/</t>
  </si>
  <si>
    <t>Airports of Thailand</t>
  </si>
  <si>
    <t>http://www.forbes.com/companies/thai-oil/</t>
  </si>
  <si>
    <t>Thai Oil</t>
  </si>
  <si>
    <t>http://www.forbes.com/companies/charoen-pokphand-foods/</t>
  </si>
  <si>
    <t>Charoen Pokphand Foods</t>
  </si>
  <si>
    <t>http://www.forbes.com/companies/thai-beverage/</t>
  </si>
  <si>
    <t>Thai Beverage</t>
  </si>
  <si>
    <t>http://www.forbes.com/companies/bank-of-ayudhya/</t>
  </si>
  <si>
    <t>Bank of Ayudhya</t>
  </si>
  <si>
    <t>http://www.forbes.com/companies/cp-all/</t>
  </si>
  <si>
    <t>CP All</t>
  </si>
  <si>
    <t>http://www.forbes.com/companies/advanced-info-service/</t>
  </si>
  <si>
    <t>Advanced Info Service</t>
  </si>
  <si>
    <t>http://www.forbes.com/companies/krung-thai-bank/</t>
  </si>
  <si>
    <t>Krung Thai Bank</t>
  </si>
  <si>
    <t>http://www.forbes.com/companies/bangkok-bank/</t>
  </si>
  <si>
    <t>Bangkok Bank</t>
  </si>
  <si>
    <t>http://www.forbes.com/companies/ptt-global-chemical/</t>
  </si>
  <si>
    <t>PTT Global Chemical</t>
  </si>
  <si>
    <t>http://www.forbes.com/companies/siam-cement/</t>
  </si>
  <si>
    <t>Siam Cement</t>
  </si>
  <si>
    <t>http://www.forbes.com/companies/kasikornbank/</t>
  </si>
  <si>
    <t>Kasikornbank</t>
  </si>
  <si>
    <t>http://www.forbes.com/companies/siam-commercial-bank/</t>
  </si>
  <si>
    <t>Siam Commercial Bank</t>
  </si>
  <si>
    <t>http://www.forbes.com/companies/ptt-pcl/</t>
  </si>
  <si>
    <t>PTT PCL</t>
  </si>
  <si>
    <t>http://www.forbes.com/companies/inotera-memories/</t>
  </si>
  <si>
    <t>Inotera Memories</t>
  </si>
  <si>
    <t>http://www.forbes.com/companies/acer/</t>
  </si>
  <si>
    <t>Acer</t>
  </si>
  <si>
    <t>http://www.forbes.com/companies/yuanta-financial-holding/</t>
  </si>
  <si>
    <t>Yuanta Financial Holding</t>
  </si>
  <si>
    <t>http://www.forbes.com/companies/wpg-holdings/</t>
  </si>
  <si>
    <t>WPG Holdings</t>
  </si>
  <si>
    <t>http://www.forbes.com/companies/tpk-holding/</t>
  </si>
  <si>
    <t>TPK Holding</t>
  </si>
  <si>
    <t>http://www.forbes.com/companies/president-chain-store/</t>
  </si>
  <si>
    <t>President Chain Store</t>
  </si>
  <si>
    <t>http://www.forbes.com/companies/pou-chen/</t>
  </si>
  <si>
    <t>Pou Chen</t>
  </si>
  <si>
    <t>http://www.forbes.com/companies/inventec/</t>
  </si>
  <si>
    <t>Inventec</t>
  </si>
  <si>
    <t>http://www.forbes.com/companies/ruentex-development/</t>
  </si>
  <si>
    <t>Ruentex Development</t>
  </si>
  <si>
    <t>http://www.forbes.com/companies/mercuries-associates/</t>
  </si>
  <si>
    <t>Mercuries &amp; Associates</t>
  </si>
  <si>
    <t>http://www.forbes.com/companies/taiwan-business-bank/</t>
  </si>
  <si>
    <t>Taiwan Business Bank</t>
  </si>
  <si>
    <t>http://www.forbes.com/companies/far-eastern-new-century/</t>
  </si>
  <si>
    <t>Far Eastern New Century</t>
  </si>
  <si>
    <t>http://www.forbes.com/companies/ruentex-industries/</t>
  </si>
  <si>
    <t>Ruentex Industries</t>
  </si>
  <si>
    <t>http://www.forbes.com/companies/esun-financial/</t>
  </si>
  <si>
    <t>E.Sun Financial</t>
  </si>
  <si>
    <t>http://www.forbes.com/companies/chang-hwa-bank/</t>
  </si>
  <si>
    <t>Chang Hwa Bank</t>
  </si>
  <si>
    <t>http://www.forbes.com/companies/wistron/</t>
  </si>
  <si>
    <t>Wistron</t>
  </si>
  <si>
    <t>http://www.forbes.com/companies/taiwan-cooperative-financial/</t>
  </si>
  <si>
    <t>Taiwan Cooperative Financial</t>
  </si>
  <si>
    <t>http://www.forbes.com/companies/taiwan-mobile/</t>
  </si>
  <si>
    <t>Taiwan Mobile</t>
  </si>
  <si>
    <t>http://www.forbes.com/companies/compal-electronics/</t>
  </si>
  <si>
    <t>Compal Electronics</t>
  </si>
  <si>
    <t>http://www.forbes.com/companies/china-life-insurance-taiwan/</t>
  </si>
  <si>
    <t>China Life Insurance (Taiwan)</t>
  </si>
  <si>
    <t>http://www.forbes.com/companies/sinopac-financial/</t>
  </si>
  <si>
    <t>SinoPac Financial</t>
  </si>
  <si>
    <t>http://www.forbes.com/companies/hua-nan-financial/</t>
  </si>
  <si>
    <t>Hua Nan Financial</t>
  </si>
  <si>
    <t>http://www.forbes.com/companies/au-optronics/</t>
  </si>
  <si>
    <t>AU Optronics</t>
  </si>
  <si>
    <t>http://www.forbes.com/companies/innolux/</t>
  </si>
  <si>
    <t>Innolux</t>
  </si>
  <si>
    <t>http://www.forbes.com/companies/cheng-shin-rubber-industry/</t>
  </si>
  <si>
    <t>Cheng Shin Rubber Industry Co.</t>
  </si>
  <si>
    <t>http://www.forbes.com/companies/first-financial-holding/</t>
  </si>
  <si>
    <t>First Financial Holding</t>
  </si>
  <si>
    <t>http://www.forbes.com/companies/pegatron/</t>
  </si>
  <si>
    <t>Pegatron</t>
  </si>
  <si>
    <t>http://www.forbes.com/companies/advanced-semiconductor/</t>
  </si>
  <si>
    <t>Advanced Semiconductor</t>
  </si>
  <si>
    <t>http://www.forbes.com/companies/delta-electronics/</t>
  </si>
  <si>
    <t>Delta Electronics</t>
  </si>
  <si>
    <t>http://www.forbes.com/companies/taishin-financial-holdings/</t>
  </si>
  <si>
    <t>Taishin Financial Holdings</t>
  </si>
  <si>
    <t>http://www.forbes.com/companies/shin-kong-financial/</t>
  </si>
  <si>
    <t>Shin Kong Financial</t>
  </si>
  <si>
    <t>http://www.forbes.com/companies/mediatek/</t>
  </si>
  <si>
    <t>Mediatek</t>
  </si>
  <si>
    <t>http://www.forbes.com/companies/asustek-computer/</t>
  </si>
  <si>
    <t>Asustek Computer</t>
  </si>
  <si>
    <t>http://www.forbes.com/companies/uni-president/</t>
  </si>
  <si>
    <t>Uni-President</t>
  </si>
  <si>
    <t>http://www.forbes.com/companies/formosa-plastics/</t>
  </si>
  <si>
    <t>Formosa Plastics</t>
  </si>
  <si>
    <t>http://www.forbes.com/companies/mega-financial-holding/</t>
  </si>
  <si>
    <t>Mega Financial Holding</t>
  </si>
  <si>
    <t>http://www.forbes.com/companies/chinatrust-financial/</t>
  </si>
  <si>
    <t>Chinatrust Financial</t>
  </si>
  <si>
    <t>http://www.forbes.com/companies/nan-ya-plastics/</t>
  </si>
  <si>
    <t>Nan Ya Plastics</t>
  </si>
  <si>
    <t>http://www.forbes.com/companies/china-steel/</t>
  </si>
  <si>
    <t>China Steel</t>
  </si>
  <si>
    <t>http://www.forbes.com/companies/chunghwa-telecom/</t>
  </si>
  <si>
    <t>Chunghwa Telecom</t>
  </si>
  <si>
    <t>http://www.forbes.com/companies/quanta-computer/</t>
  </si>
  <si>
    <t>Quanta Computer</t>
  </si>
  <si>
    <t>http://www.forbes.com/companies/formosa-chemicals/</t>
  </si>
  <si>
    <t>Formosa Chemicals</t>
  </si>
  <si>
    <t>http://www.forbes.com/companies/formosa-petrochemical/</t>
  </si>
  <si>
    <t>Formosa Petrochemical</t>
  </si>
  <si>
    <t>http://www.forbes.com/companies/fubon-financial/</t>
  </si>
  <si>
    <t>Fubon Financial</t>
  </si>
  <si>
    <t>http://www.forbes.com/companies/cathay-financial/</t>
  </si>
  <si>
    <t>Cathay Financial</t>
  </si>
  <si>
    <t>http://www.forbes.com/companies/taiwan-semiconductor/</t>
  </si>
  <si>
    <t>Taiwan Semiconductor</t>
  </si>
  <si>
    <t>http://www.forbes.com/companies/hon-hai-precision/</t>
  </si>
  <si>
    <t>Hon Hai Precision</t>
  </si>
  <si>
    <t>http://www.forbes.com/companies/clariant/</t>
  </si>
  <si>
    <t>Clariant</t>
  </si>
  <si>
    <t>http://www.forbes.com/companies/valiant-holding/</t>
  </si>
  <si>
    <t>Valiant Holding</t>
  </si>
  <si>
    <t>http://www.forbes.com/companies/ems-chemie-holding/</t>
  </si>
  <si>
    <t>EMS-Chemie Holding</t>
  </si>
  <si>
    <t>http://www.forbes.com/companies/aryzta/</t>
  </si>
  <si>
    <t>Aryzta</t>
  </si>
  <si>
    <t>http://www.forbes.com/companies/bekb-bcbe/</t>
  </si>
  <si>
    <t>BEKB-BCBE</t>
  </si>
  <si>
    <t>http://www.forbes.com/companies/st-galler-kantonalbank/</t>
  </si>
  <si>
    <t>St Galler Kantonalbank</t>
  </si>
  <si>
    <t>http://www.forbes.com/companies/luzerner-kantonalbank/</t>
  </si>
  <si>
    <t>Luzerner Kantonalbank</t>
  </si>
  <si>
    <t>http://www.forbes.com/companies/basler-kantonalbank/</t>
  </si>
  <si>
    <t>Basler Kantonalbank</t>
  </si>
  <si>
    <t>http://www.forbes.com/companies/lindt-sprungli/</t>
  </si>
  <si>
    <t>Lindt &amp; Sprungli</t>
  </si>
  <si>
    <t>http://www.forbes.com/companies/stmicroelectronics/</t>
  </si>
  <si>
    <t>STMicroelectronics</t>
  </si>
  <si>
    <t>http://www.forbes.com/companies/bcv-group/</t>
  </si>
  <si>
    <t>BCV Group</t>
  </si>
  <si>
    <t>http://www.forbes.com/companies/alpiq-holding/</t>
  </si>
  <si>
    <t>Alpiq Holding</t>
  </si>
  <si>
    <t>http://www.forbes.com/companies/actelion/</t>
  </si>
  <si>
    <t>Actelion</t>
  </si>
  <si>
    <t>http://www.forbes.com/companies/geberit/</t>
  </si>
  <si>
    <t>Geberit</t>
  </si>
  <si>
    <t>http://www.forbes.com/companies/sika/</t>
  </si>
  <si>
    <t>Sika</t>
  </si>
  <si>
    <t>http://www.forbes.com/companies/garmin/</t>
  </si>
  <si>
    <t>Garmin</t>
  </si>
  <si>
    <t>http://www.forbes.com/companies/coca-cola-hbc/</t>
  </si>
  <si>
    <t>Coca-Cola HBC</t>
  </si>
  <si>
    <t>http://www.forbes.com/companies/givaudan/</t>
  </si>
  <si>
    <t>Givaudan</t>
  </si>
  <si>
    <t>http://www.forbes.com/companies/julius-baer-group/</t>
  </si>
  <si>
    <t>Julius Baer Group</t>
  </si>
  <si>
    <t>http://www.forbes.com/companies/noble/</t>
  </si>
  <si>
    <t>Noble</t>
  </si>
  <si>
    <t>http://www.forbes.com/companies/helvetia-holding/</t>
  </si>
  <si>
    <t>Helvetia Holding</t>
  </si>
  <si>
    <t>http://www.forbes.com/companies/sgs/</t>
  </si>
  <si>
    <t>SGS</t>
  </si>
  <si>
    <t>http://www.forbes.com/companies/schindler-holding/</t>
  </si>
  <si>
    <t>Schindler Holding</t>
  </si>
  <si>
    <t>http://www.forbes.com/companies/pentair/</t>
  </si>
  <si>
    <t>Pentair</t>
  </si>
  <si>
    <t>http://www.forbes.com/companies/weatherford-international/</t>
  </si>
  <si>
    <t>Weatherford International</t>
  </si>
  <si>
    <t>http://www.forbes.com/companies/baloise-group/</t>
  </si>
  <si>
    <t>BÃƒÂ¢loise Group</t>
  </si>
  <si>
    <t>http://www.forbes.com/companies/kuehne-plus-nagel/</t>
  </si>
  <si>
    <t>Kuehne + Nagel</t>
  </si>
  <si>
    <t>http://www.forbes.com/companies/tyco-international/</t>
  </si>
  <si>
    <t>Tyco International</t>
  </si>
  <si>
    <t>http://www.forbes.com/companies/wolseley/</t>
  </si>
  <si>
    <t>Wolseley</t>
  </si>
  <si>
    <t>http://www.forbes.com/companies/adecco/</t>
  </si>
  <si>
    <t>Adecco</t>
  </si>
  <si>
    <t>http://www.forbes.com/companies/swatch-group/</t>
  </si>
  <si>
    <t>Swatch Group</t>
  </si>
  <si>
    <t>http://www.forbes.com/companies/transocean/</t>
  </si>
  <si>
    <t>Transocean</t>
  </si>
  <si>
    <t>http://www.forbes.com/companies/te-connectivity/</t>
  </si>
  <si>
    <t>TE Connectivity</t>
  </si>
  <si>
    <t>http://www.forbes.com/companies/swiss-life-holding/</t>
  </si>
  <si>
    <t>Swiss Life Holding</t>
  </si>
  <si>
    <t>http://www.forbes.com/companies/swisscom/</t>
  </si>
  <si>
    <t>Swisscom</t>
  </si>
  <si>
    <t>http://www.forbes.com/companies/syngenta/</t>
  </si>
  <si>
    <t>Syngenta</t>
  </si>
  <si>
    <t>http://www.forbes.com/companies/glencore-international/</t>
  </si>
  <si>
    <t>Glencore International</t>
  </si>
  <si>
    <t>http://www.forbes.com/companies/richemont/</t>
  </si>
  <si>
    <t>Richemont</t>
  </si>
  <si>
    <t>http://www.forbes.com/companies/holcim/</t>
  </si>
  <si>
    <t>Holcim</t>
  </si>
  <si>
    <t>http://www.forbes.com/companies/ace/</t>
  </si>
  <si>
    <t>ACE</t>
  </si>
  <si>
    <t>http://www.forbes.com/companies/abb/</t>
  </si>
  <si>
    <t>ABB</t>
  </si>
  <si>
    <t>http://www.forbes.com/companies/swiss-re/</t>
  </si>
  <si>
    <t>Swiss Re</t>
  </si>
  <si>
    <t>http://www.forbes.com/companies/credit-suisse-group/</t>
  </si>
  <si>
    <t>Credit Suisse Group</t>
  </si>
  <si>
    <t>http://www.forbes.com/companies/roche-holding/</t>
  </si>
  <si>
    <t>Roche Holding</t>
  </si>
  <si>
    <t>http://www.forbes.com/companies/zurich-insurance-group/</t>
  </si>
  <si>
    <t>Zurich Insurance Group</t>
  </si>
  <si>
    <t>http://www.forbes.com/companies/ubs/</t>
  </si>
  <si>
    <t>UBS</t>
  </si>
  <si>
    <t>http://www.forbes.com/companies/novartis/</t>
  </si>
  <si>
    <t>Novartis</t>
  </si>
  <si>
    <t>http://www.forbes.com/companies/nestle/</t>
  </si>
  <si>
    <t>Nestle</t>
  </si>
  <si>
    <t>http://www.forbes.com/companies/ncc-group/</t>
  </si>
  <si>
    <t>NCC Group</t>
  </si>
  <si>
    <t>http://www.forbes.com/companies/securitas/</t>
  </si>
  <si>
    <t>Securitas</t>
  </si>
  <si>
    <t>http://www.forbes.com/companies/lundbergs/</t>
  </si>
  <si>
    <t>Lundbergs</t>
  </si>
  <si>
    <t>http://www.forbes.com/companies/hexagon/</t>
  </si>
  <si>
    <t>Hexagon</t>
  </si>
  <si>
    <t>http://www.forbes.com/companies/alfa-laval/</t>
  </si>
  <si>
    <t>Alfa Laval</t>
  </si>
  <si>
    <t>http://www.forbes.com/companies/tele2/</t>
  </si>
  <si>
    <t>Tele2</t>
  </si>
  <si>
    <t>http://www.forbes.com/companies/electrolux-group/</t>
  </si>
  <si>
    <t>Electrolux Group</t>
  </si>
  <si>
    <t>http://www.forbes.com/companies/skf-group/</t>
  </si>
  <si>
    <t>SKF Group</t>
  </si>
  <si>
    <t>http://www.forbes.com/companies/autoliv/</t>
  </si>
  <si>
    <t>Autoliv</t>
  </si>
  <si>
    <t>http://www.forbes.com/companies/kinnevik/</t>
  </si>
  <si>
    <t>Kinnevik</t>
  </si>
  <si>
    <t>http://www.forbes.com/companies/industrivarden/</t>
  </si>
  <si>
    <t>Industrivarden</t>
  </si>
  <si>
    <t>http://www.forbes.com/companies/ica-gruppen/</t>
  </si>
  <si>
    <t>ICA Gruppen</t>
  </si>
  <si>
    <t>http://www.forbes.com/companies/assa-abloy/</t>
  </si>
  <si>
    <t>Assa Abloy</t>
  </si>
  <si>
    <t>http://www.forbes.com/companies/skanska/</t>
  </si>
  <si>
    <t>Skanska</t>
  </si>
  <si>
    <t>http://www.forbes.com/companies/sandvik/</t>
  </si>
  <si>
    <t>Sandvik</t>
  </si>
  <si>
    <t>http://www.forbes.com/companies/sca/</t>
  </si>
  <si>
    <t>SCA</t>
  </si>
  <si>
    <t>http://www.forbes.com/companies/atlas-copco/</t>
  </si>
  <si>
    <t>Atlas Copco</t>
  </si>
  <si>
    <t>http://www.forbes.com/companies/hm/</t>
  </si>
  <si>
    <t>H&amp;M</t>
  </si>
  <si>
    <t>http://www.forbes.com/companies/investor/</t>
  </si>
  <si>
    <t>Investor</t>
  </si>
  <si>
    <t>http://www.forbes.com/companies/volvo-group/</t>
  </si>
  <si>
    <t>Volvo Group</t>
  </si>
  <si>
    <t>http://www.forbes.com/companies/teliasonera/</t>
  </si>
  <si>
    <t>Teliasonera</t>
  </si>
  <si>
    <t>http://www.forbes.com/companies/swedbank/</t>
  </si>
  <si>
    <t>Swedbank</t>
  </si>
  <si>
    <t>http://www.forbes.com/companies/svenska-handelsbanken/</t>
  </si>
  <si>
    <t>Svenska Handelsbanken</t>
  </si>
  <si>
    <t>http://www.forbes.com/companies/seb/</t>
  </si>
  <si>
    <t>SEB</t>
  </si>
  <si>
    <t>http://www.forbes.com/companies/ericsson/</t>
  </si>
  <si>
    <t>Ericsson</t>
  </si>
  <si>
    <t>http://www.forbes.com/companies/nordea-bank/</t>
  </si>
  <si>
    <t>Nordea Bank</t>
  </si>
  <si>
    <t>http://www.forbes.com/companies/bolsas-mercados/</t>
  </si>
  <si>
    <t>Bolsas &amp; Mercados</t>
  </si>
  <si>
    <t>http://www.forbes.com/companies/liberbank/</t>
  </si>
  <si>
    <t>Liberbank</t>
  </si>
  <si>
    <t>http://www.forbes.com/companies/ohl-group/</t>
  </si>
  <si>
    <t>OHL Group</t>
  </si>
  <si>
    <t>http://www.forbes.com/companies/dia/</t>
  </si>
  <si>
    <t>DIA</t>
  </si>
  <si>
    <t>http://www.forbes.com/companies/enagas/</t>
  </si>
  <si>
    <t>Enagas</t>
  </si>
  <si>
    <t>http://www.forbes.com/companies/grifols/</t>
  </si>
  <si>
    <t>Grifols</t>
  </si>
  <si>
    <t>http://www.forbes.com/companies/fcc/</t>
  </si>
  <si>
    <t>FCC</t>
  </si>
  <si>
    <t>http://www.forbes.com/companies/acciona/</t>
  </si>
  <si>
    <t>Acciona</t>
  </si>
  <si>
    <t>http://www.forbes.com/companies/abengoa/</t>
  </si>
  <si>
    <t>Abengoa</t>
  </si>
  <si>
    <t>http://www.forbes.com/companies/bankinter/</t>
  </si>
  <si>
    <t>Bankinter</t>
  </si>
  <si>
    <t>http://www.forbes.com/companies/amadeus-it-holdings/</t>
  </si>
  <si>
    <t>Amadeus IT Holdings</t>
  </si>
  <si>
    <t>http://www.forbes.com/companies/red-electrica/</t>
  </si>
  <si>
    <t>Red ElÃƒÂ©ctrica</t>
  </si>
  <si>
    <t>http://www.forbes.com/companies/banco-de-sabadell/</t>
  </si>
  <si>
    <t>Banco de Sabadell</t>
  </si>
  <si>
    <t>http://www.forbes.com/companies/abertis/</t>
  </si>
  <si>
    <t>Abertis</t>
  </si>
  <si>
    <t>http://www.forbes.com/companies/banco-popular-espanol/</t>
  </si>
  <si>
    <t>Banco Popular Espanol</t>
  </si>
  <si>
    <t>http://www.forbes.com/companies/bankia/</t>
  </si>
  <si>
    <t>Bankia</t>
  </si>
  <si>
    <t>http://www.forbes.com/companies/ferrovial/</t>
  </si>
  <si>
    <t>Ferrovial</t>
  </si>
  <si>
    <t>http://www.forbes.com/companies/repsol-ypf/</t>
  </si>
  <si>
    <t>Repsol YPF</t>
  </si>
  <si>
    <t>http://www.forbes.com/companies/grupo-acs/</t>
  </si>
  <si>
    <t>Grupo ACS</t>
  </si>
  <si>
    <t>http://www.forbes.com/companies/mapfre/</t>
  </si>
  <si>
    <t>Mapfre</t>
  </si>
  <si>
    <t>http://www.forbes.com/companies/caixabank/</t>
  </si>
  <si>
    <t>CaixaBank</t>
  </si>
  <si>
    <t>http://www.forbes.com/companies/inditex/</t>
  </si>
  <si>
    <t>Inditex</t>
  </si>
  <si>
    <t>http://www.forbes.com/companies/gas-natural-fenosa/</t>
  </si>
  <si>
    <t>Gas Natural Fenosa</t>
  </si>
  <si>
    <t>http://www.forbes.com/companies/iberdrola/</t>
  </si>
  <si>
    <t>Iberdrola</t>
  </si>
  <si>
    <t>http://www.forbes.com/companies/bbva-banco-bilbao-vizcaya/</t>
  </si>
  <si>
    <t>BBVA-Banco Bilbao Vizcaya</t>
  </si>
  <si>
    <t>http://www.forbes.com/companies/telefonica/</t>
  </si>
  <si>
    <t>TelefÃƒÂ³nica</t>
  </si>
  <si>
    <t>http://www.forbes.com/companies/banco-santander/</t>
  </si>
  <si>
    <t>Banco Santander</t>
  </si>
  <si>
    <t>http://www.forbes.com/companies/hyundai-wia/</t>
  </si>
  <si>
    <t>Hyundai Wia</t>
  </si>
  <si>
    <t>http://www.forbes.com/companies/hanwha-chemical/</t>
  </si>
  <si>
    <t>Hanwha Chemical</t>
  </si>
  <si>
    <t>http://www.forbes.com/companies/daelim-industrial/</t>
  </si>
  <si>
    <t>Daelim Industrial</t>
  </si>
  <si>
    <t>http://www.forbes.com/companies/hanjin-shipping/</t>
  </si>
  <si>
    <t>Hanjin Shipping</t>
  </si>
  <si>
    <t>http://www.forbes.com/companies/ls-corp/</t>
  </si>
  <si>
    <t>LS Corp</t>
  </si>
  <si>
    <t>http://www.forbes.com/companies/gs-engineering/</t>
  </si>
  <si>
    <t>GS Engineering</t>
  </si>
  <si>
    <t>http://www.forbes.com/companies/meritz-financial-group/</t>
  </si>
  <si>
    <t>Meritz Financial Group</t>
  </si>
  <si>
    <t>http://www.forbes.com/companies/dgb-financial-group/</t>
  </si>
  <si>
    <t>DGB Financial Group</t>
  </si>
  <si>
    <t>http://www.forbes.com/companies/lg-uplus/</t>
  </si>
  <si>
    <t>LG Uplus</t>
  </si>
  <si>
    <t>http://www.forbes.com/companies/cj-cheiljedang/</t>
  </si>
  <si>
    <t>CJ Cheiljedang</t>
  </si>
  <si>
    <t>http://www.forbes.com/companies/hyundai-hysco/</t>
  </si>
  <si>
    <t>Hyundai Hysco</t>
  </si>
  <si>
    <t>http://www.forbes.com/companies/bs-financial-group/</t>
  </si>
  <si>
    <t>BS Financial Group</t>
  </si>
  <si>
    <t>http://www.forbes.com/companies/sk-networks/</t>
  </si>
  <si>
    <t>Trading Companies</t>
  </si>
  <si>
    <t>SK Networks</t>
  </si>
  <si>
    <t>http://www.forbes.com/companies/hyosung/</t>
  </si>
  <si>
    <t>Hyosung</t>
  </si>
  <si>
    <t>http://www.forbes.com/companies/gs-holdings/</t>
  </si>
  <si>
    <t>GS Holdings</t>
  </si>
  <si>
    <t>http://www.forbes.com/companies/lig-insurance/</t>
  </si>
  <si>
    <t>LIG Insurance</t>
  </si>
  <si>
    <t>http://www.forbes.com/companies/ktg/</t>
  </si>
  <si>
    <t>KT&amp;G</t>
  </si>
  <si>
    <t>http://www.forbes.com/companies/lotte-chemical/</t>
  </si>
  <si>
    <t>Lotte Chemical</t>
  </si>
  <si>
    <t>http://www.forbes.com/companies/hyundai-marine-fire/</t>
  </si>
  <si>
    <t>Hyundai Marine &amp; Fire</t>
  </si>
  <si>
    <t>http://www.forbes.com/companies/korean-air/</t>
  </si>
  <si>
    <t>Korean Air</t>
  </si>
  <si>
    <t>http://www.forbes.com/companies/hankook-tire/</t>
  </si>
  <si>
    <t>Hankook Tire</t>
  </si>
  <si>
    <t>http://www.forbes.com/companies/dsme/</t>
  </si>
  <si>
    <t>DSME</t>
  </si>
  <si>
    <t>http://www.forbes.com/companies/cj-corp/</t>
  </si>
  <si>
    <t>CJ Corp</t>
  </si>
  <si>
    <t>http://www.forbes.com/companies/s-oil/</t>
  </si>
  <si>
    <t>S-Oil</t>
  </si>
  <si>
    <t>http://www.forbes.com/companies/doosan-heavy-industries/</t>
  </si>
  <si>
    <t>Doosan Heavy Industries</t>
  </si>
  <si>
    <t>http://www.forbes.com/companies/hyundai-glovis/</t>
  </si>
  <si>
    <t>Hyundai Glovis</t>
  </si>
  <si>
    <t>http://www.forbes.com/companies/e-mart/</t>
  </si>
  <si>
    <t>E-mart</t>
  </si>
  <si>
    <t>http://www.forbes.com/companies/dongbu-insurance/</t>
  </si>
  <si>
    <t>Dongbu Insurance</t>
  </si>
  <si>
    <t>http://www.forbes.com/companies/doosan/</t>
  </si>
  <si>
    <t>Doosan</t>
  </si>
  <si>
    <t>http://www.forbes.com/companies/hyundai-engineering/</t>
  </si>
  <si>
    <t>Hyundai Engineering</t>
  </si>
  <si>
    <t>http://www.forbes.com/companies/naver/</t>
  </si>
  <si>
    <t>NHN</t>
  </si>
  <si>
    <t>http://www.forbes.com/companies/korea-gas/</t>
  </si>
  <si>
    <t>Korea Gas</t>
  </si>
  <si>
    <t>http://www.forbes.com/companies/kt-corp/</t>
  </si>
  <si>
    <t>KT Corp</t>
  </si>
  <si>
    <t>http://www.forbes.com/companies/hanwha-corp/</t>
  </si>
  <si>
    <t>Hanwha Corp</t>
  </si>
  <si>
    <t>http://www.forbes.com/companies/samsung-heavy-inds/</t>
  </si>
  <si>
    <t>Samsung Heavy Industries</t>
  </si>
  <si>
    <t>http://www.forbes.com/companies/samsung-ct/</t>
  </si>
  <si>
    <t>Samsung C&amp;T</t>
  </si>
  <si>
    <t>http://www.forbes.com/companies/hanwha-life-insurance/</t>
  </si>
  <si>
    <t>Hanwha Life Insurance</t>
  </si>
  <si>
    <t>http://www.forbes.com/companies/lg-corp/</t>
  </si>
  <si>
    <t>LG Corp</t>
  </si>
  <si>
    <t>http://www.forbes.com/companies/woori-finance-holdings/</t>
  </si>
  <si>
    <t>Woori Finance Holdings</t>
  </si>
  <si>
    <t>http://www.forbes.com/companies/lg-display/</t>
  </si>
  <si>
    <t>LG Display</t>
  </si>
  <si>
    <t>http://www.forbes.com/companies/lg-electronics/</t>
  </si>
  <si>
    <t>LG Electronics</t>
  </si>
  <si>
    <t>http://www.forbes.com/companies/hyundai-steel/</t>
  </si>
  <si>
    <t>Hyundai Steel</t>
  </si>
  <si>
    <t>http://www.forbes.com/companies/industrial-bank-of-korea/</t>
  </si>
  <si>
    <t>Industrial Bank of Korea</t>
  </si>
  <si>
    <t>http://www.forbes.com/companies/sk-holdings/</t>
  </si>
  <si>
    <t>SK Holdings</t>
  </si>
  <si>
    <t>http://www.forbes.com/companies/hyundai-heavy-industries/</t>
  </si>
  <si>
    <t>Hyundai Heavy Industries</t>
  </si>
  <si>
    <t>http://www.forbes.com/companies/samsung-fire-marine/</t>
  </si>
  <si>
    <t>Samsung Fire &amp; Marine</t>
  </si>
  <si>
    <t>http://www.forbes.com/companies/lotte-shopping/</t>
  </si>
  <si>
    <t>Lotte Shopping</t>
  </si>
  <si>
    <t>http://www.forbes.com/companies/lg-chem/</t>
  </si>
  <si>
    <t>LG Chem</t>
  </si>
  <si>
    <t>http://www.forbes.com/companies/korea-electric-power/</t>
  </si>
  <si>
    <t>Korea Electric Power</t>
  </si>
  <si>
    <t>http://www.forbes.com/companies/sk-innovation/</t>
  </si>
  <si>
    <t>SK Innovation</t>
  </si>
  <si>
    <t>http://www.forbes.com/companies/sk-telecom/</t>
  </si>
  <si>
    <t>SK Telecom</t>
  </si>
  <si>
    <t>http://www.forbes.com/companies/hana-financial/</t>
  </si>
  <si>
    <t>Hana Financial Group</t>
  </si>
  <si>
    <t>http://www.forbes.com/companies/sk-hynix/</t>
  </si>
  <si>
    <t>SK Hynix</t>
  </si>
  <si>
    <t>http://www.forbes.com/companies/kb-financial-group/</t>
  </si>
  <si>
    <t>KB Financial Group</t>
  </si>
  <si>
    <t>http://www.forbes.com/companies/samsung-life-insurance/</t>
  </si>
  <si>
    <t>Samsung Life Insurance</t>
  </si>
  <si>
    <t>http://www.forbes.com/companies/hyundai-mobis/</t>
  </si>
  <si>
    <t>Hyundai Mobis</t>
  </si>
  <si>
    <t>http://www.forbes.com/companies/kia-motors/</t>
  </si>
  <si>
    <t>KIA Motors</t>
  </si>
  <si>
    <t>http://www.forbes.com/companies/shinhan-financial-group/</t>
  </si>
  <si>
    <t>Shinhan Financial Group</t>
  </si>
  <si>
    <t>http://www.forbes.com/companies/posco/</t>
  </si>
  <si>
    <t>Posco</t>
  </si>
  <si>
    <t>http://www.forbes.com/companies/hyundai-motor/</t>
  </si>
  <si>
    <t>Hyundai Motor</t>
  </si>
  <si>
    <t>http://www.forbes.com/companies/samsung-electronics/</t>
  </si>
  <si>
    <t>Samsung Electronics</t>
  </si>
  <si>
    <t>http://www.forbes.com/companies/hyprop-investments/</t>
  </si>
  <si>
    <t>Hyprop Investments</t>
  </si>
  <si>
    <t>http://www.forbes.com/companies/rmb-holdings/</t>
  </si>
  <si>
    <t>RMB Holdings</t>
  </si>
  <si>
    <t>http://www.forbes.com/companies/imperial-holdings/</t>
  </si>
  <si>
    <t>Imperial Holdings</t>
  </si>
  <si>
    <t>http://www.forbes.com/companies/aspen-pharmacare-holdings/</t>
  </si>
  <si>
    <t>Aspen Pharmacare Holdings</t>
  </si>
  <si>
    <t>http://www.forbes.com/companies/mmi-holdings/</t>
  </si>
  <si>
    <t>MMI Holdings</t>
  </si>
  <si>
    <t>http://www.forbes.com/companies/remgro/</t>
  </si>
  <si>
    <t>Remgro</t>
  </si>
  <si>
    <t>http://www.forbes.com/companies/shoprite-holdings/</t>
  </si>
  <si>
    <t>Shoprite Holdings</t>
  </si>
  <si>
    <t>http://www.forbes.com/companies/bidvest-group/</t>
  </si>
  <si>
    <t>Bidvest Group</t>
  </si>
  <si>
    <t>http://www.forbes.com/companies/naspers/</t>
  </si>
  <si>
    <t>Naspers</t>
  </si>
  <si>
    <t>http://www.forbes.com/companies/sanlam/</t>
  </si>
  <si>
    <t>Sanlam</t>
  </si>
  <si>
    <t>http://www.forbes.com/companies/steinhoff-international/</t>
  </si>
  <si>
    <t>Steinhoff International</t>
  </si>
  <si>
    <t>http://www.forbes.com/companies/firstrand/</t>
  </si>
  <si>
    <t>FirstRand</t>
  </si>
  <si>
    <t>http://www.forbes.com/companies/mtn-group/</t>
  </si>
  <si>
    <t>MTN Group</t>
  </si>
  <si>
    <t>http://www.forbes.com/companies/sasol/</t>
  </si>
  <si>
    <t>Sasol</t>
  </si>
  <si>
    <t>http://www.forbes.com/companies/standard-bank-group/</t>
  </si>
  <si>
    <t>Standard Bank Group</t>
  </si>
  <si>
    <t>http://www.forbes.com/companies/china-aviation-oil/</t>
  </si>
  <si>
    <t>China Aviation Oil</t>
  </si>
  <si>
    <t>http://www.forbes.com/companies/golden-agri-resources/</t>
  </si>
  <si>
    <t>Golden Agri-Resources</t>
  </si>
  <si>
    <t>http://www.forbes.com/companies/olam-international/</t>
  </si>
  <si>
    <t>Olam International</t>
  </si>
  <si>
    <t>http://www.forbes.com/companies/st-engineering/</t>
  </si>
  <si>
    <t>ST Engineering</t>
  </si>
  <si>
    <t>http://www.forbes.com/companies/city-developments/</t>
  </si>
  <si>
    <t>City Developments</t>
  </si>
  <si>
    <t>http://www.forbes.com/companies/avago-technologies/</t>
  </si>
  <si>
    <t>Avago Technologies</t>
  </si>
  <si>
    <t>http://www.forbes.com/companies/flextronics-international/</t>
  </si>
  <si>
    <t>Flextronics International</t>
  </si>
  <si>
    <t>http://www.forbes.com/companies/global-logistic-properties/</t>
  </si>
  <si>
    <t>Global Logistic Properties</t>
  </si>
  <si>
    <t>http://www.forbes.com/companies/sembcorp-industries/</t>
  </si>
  <si>
    <t>Sembcorp Industries</t>
  </si>
  <si>
    <t>http://www.forbes.com/companies/capitaland/</t>
  </si>
  <si>
    <t>CapitaLand</t>
  </si>
  <si>
    <t>http://www.forbes.com/companies/singapore-airlines/</t>
  </si>
  <si>
    <t>Singapore Airlines</t>
  </si>
  <si>
    <t>http://www.forbes.com/companies/keppel-corp/</t>
  </si>
  <si>
    <t>Keppel Corp</t>
  </si>
  <si>
    <t>http://www.forbes.com/companies/united-overseas-bank/</t>
  </si>
  <si>
    <t>United Overseas Bank</t>
  </si>
  <si>
    <t>http://www.forbes.com/companies/singtel/</t>
  </si>
  <si>
    <t>SingTel</t>
  </si>
  <si>
    <t>http://www.forbes.com/companies/wilmar-international/</t>
  </si>
  <si>
    <t>Wilmar International</t>
  </si>
  <si>
    <t>http://www.forbes.com/companies/oversea-chinese-banking/</t>
  </si>
  <si>
    <t>Oversea-Chinese Banking</t>
  </si>
  <si>
    <t>http://www.forbes.com/companies/dbs-group/</t>
  </si>
  <si>
    <t>DBS Group</t>
  </si>
  <si>
    <t>http://www.forbes.com/companies/tasnee/</t>
  </si>
  <si>
    <t>Tasnee</t>
  </si>
  <si>
    <t>http://www.forbes.com/companies/saudi-investment-bank/</t>
  </si>
  <si>
    <t>Saudi Investment Bank</t>
  </si>
  <si>
    <t>http://www.forbes.com/companies/alinma-bank/</t>
  </si>
  <si>
    <t>Alinma Bank</t>
  </si>
  <si>
    <t>http://www.forbes.com/companies/almarai/</t>
  </si>
  <si>
    <t>Almarai</t>
  </si>
  <si>
    <t>http://www.forbes.com/companies/saudi-hollandi-bank/</t>
  </si>
  <si>
    <t>Saudi Hollandi Bank</t>
  </si>
  <si>
    <t>http://www.forbes.com/companies/kingdom-holding/</t>
  </si>
  <si>
    <t>Kingdom Holding</t>
  </si>
  <si>
    <t>http://www.forbes.com/companies/petro-rabigh/</t>
  </si>
  <si>
    <t>Petro Rabigh</t>
  </si>
  <si>
    <t>http://www.forbes.com/companies/saudi-arabian-mining/</t>
  </si>
  <si>
    <t>Saudi Arabian Mining</t>
  </si>
  <si>
    <t>http://www.forbes.com/companies/savola-group/</t>
  </si>
  <si>
    <t>Savola Group</t>
  </si>
  <si>
    <t>http://www.forbes.com/companies/saudi-arabian-fertilizers/</t>
  </si>
  <si>
    <t>Saudi Arabian Fertilizers</t>
  </si>
  <si>
    <t>http://www.forbes.com/companies/arab-national-bank/</t>
  </si>
  <si>
    <t>Arab National Bank</t>
  </si>
  <si>
    <t>http://www.forbes.com/companies/banque-saudi-fransi/</t>
  </si>
  <si>
    <t>Banque Saudi Fransi</t>
  </si>
  <si>
    <t>http://www.forbes.com/companies/saudi-british-bank/</t>
  </si>
  <si>
    <t>Saudi British Bank</t>
  </si>
  <si>
    <t>http://www.forbes.com/companies/riyad-bank/</t>
  </si>
  <si>
    <t>Riyad Bank</t>
  </si>
  <si>
    <t>http://www.forbes.com/companies/samba-financial-group/</t>
  </si>
  <si>
    <t>Samba Financial Group</t>
  </si>
  <si>
    <t>http://www.forbes.com/companies/mobily/</t>
  </si>
  <si>
    <t>Mobily</t>
  </si>
  <si>
    <t>http://www.forbes.com/companies/al-rajhi-bank/</t>
  </si>
  <si>
    <t>Al Rajhi Bank</t>
  </si>
  <si>
    <t>http://www.forbes.com/companies/saudi-electricity/</t>
  </si>
  <si>
    <t>Saudi Electricity</t>
  </si>
  <si>
    <t>http://www.forbes.com/companies/saudi-telecom/</t>
  </si>
  <si>
    <t>Saudi Telecom</t>
  </si>
  <si>
    <t>http://www.forbes.com/companies/saudi-basic-industries/</t>
  </si>
  <si>
    <t>Saudi Basic Industries</t>
  </si>
  <si>
    <t>http://www.forbes.com/companies/magnitogorsk-iron/</t>
  </si>
  <si>
    <t>Magnitogorsk Iron &amp; Steel</t>
  </si>
  <si>
    <t>http://www.forbes.com/companies/federal-grid-of-ues/</t>
  </si>
  <si>
    <t>Federal Grid of UES</t>
  </si>
  <si>
    <t>http://www.forbes.com/companies/mechel/</t>
  </si>
  <si>
    <t>Mechel</t>
  </si>
  <si>
    <t>http://www.forbes.com/companies/x5-retail-group/</t>
  </si>
  <si>
    <t>X5 Retail Group</t>
  </si>
  <si>
    <t>http://www.forbes.com/companies/nomos-bank/</t>
  </si>
  <si>
    <t>Nomos Bank</t>
  </si>
  <si>
    <t>http://www.forbes.com/companies/mailru-group-ltd-sponsored-gdr-regs/</t>
  </si>
  <si>
    <t>Mail.ru Group Ltd. Sponsored GDR RegS</t>
  </si>
  <si>
    <t>http://www.forbes.com/companies/uc-rusal/</t>
  </si>
  <si>
    <t>UC Rusal</t>
  </si>
  <si>
    <t>http://www.forbes.com/companies/inter-rao/</t>
  </si>
  <si>
    <t>Inter Rao</t>
  </si>
  <si>
    <t>http://www.forbes.com/companies/severstal/</t>
  </si>
  <si>
    <t>Severstal</t>
  </si>
  <si>
    <t>http://www.forbes.com/companies/novolipetsk-steel/</t>
  </si>
  <si>
    <t>Novolipetsk Steel</t>
  </si>
  <si>
    <t>http://www.forbes.com/companies/alrosa/</t>
  </si>
  <si>
    <t>Alrosa</t>
  </si>
  <si>
    <t>http://www.forbes.com/companies/uralkali/</t>
  </si>
  <si>
    <t>Uralkali</t>
  </si>
  <si>
    <t>http://www.forbes.com/companies/rostelecom/</t>
  </si>
  <si>
    <t>Rostelecom</t>
  </si>
  <si>
    <t>http://www.forbes.com/companies/rushydro/</t>
  </si>
  <si>
    <t>RusHydro</t>
  </si>
  <si>
    <t>http://www.forbes.com/companies/idgc-holding/</t>
  </si>
  <si>
    <t>IDGC Holding</t>
  </si>
  <si>
    <t>http://www.forbes.com/companies/magnit/</t>
  </si>
  <si>
    <t>Magnit</t>
  </si>
  <si>
    <t>http://www.forbes.com/companies/megafon/</t>
  </si>
  <si>
    <t>MegaFon</t>
  </si>
  <si>
    <t>http://www.forbes.com/companies/tatneft/</t>
  </si>
  <si>
    <t>Tatneft</t>
  </si>
  <si>
    <t>http://www.forbes.com/companies/norilsk-nickel/</t>
  </si>
  <si>
    <t>Norilsk Nickel</t>
  </si>
  <si>
    <t>http://www.forbes.com/companies/novatek/</t>
  </si>
  <si>
    <t>Novatek</t>
  </si>
  <si>
    <t>http://www.forbes.com/companies/sistema/</t>
  </si>
  <si>
    <t>Sistema</t>
  </si>
  <si>
    <t>http://www.forbes.com/companies/transneft/</t>
  </si>
  <si>
    <t>Transneft</t>
  </si>
  <si>
    <t>http://www.forbes.com/companies/vtb-bank/</t>
  </si>
  <si>
    <t>VTB Bank</t>
  </si>
  <si>
    <t>http://www.forbes.com/companies/surgutneftegas/</t>
  </si>
  <si>
    <t>Surgutneftegas</t>
  </si>
  <si>
    <t>http://www.forbes.com/companies/lukoil/</t>
  </si>
  <si>
    <t>LukOil</t>
  </si>
  <si>
    <t>http://www.forbes.com/companies/sberbank/</t>
  </si>
  <si>
    <t>Sberbank</t>
  </si>
  <si>
    <t>http://www.forbes.com/companies/rosneft/</t>
  </si>
  <si>
    <t>Rosneft</t>
  </si>
  <si>
    <t>http://www.forbes.com/companies/gazprom/</t>
  </si>
  <si>
    <t>Gazprom</t>
  </si>
  <si>
    <t>http://www.forbes.com/companies/doha-bank/</t>
  </si>
  <si>
    <t>Doha Bank</t>
  </si>
  <si>
    <t>http://www.forbes.com/companies/qatar-islamic-bank/</t>
  </si>
  <si>
    <t>Qatar Islamic Bank</t>
  </si>
  <si>
    <t>http://www.forbes.com/companies/ezdan-holding-group/</t>
  </si>
  <si>
    <t>Ezdan Holding Group</t>
  </si>
  <si>
    <t>http://www.forbes.com/companies/commercial-bank-of-qatar/</t>
  </si>
  <si>
    <t>Commercial Bank of Qatar</t>
  </si>
  <si>
    <t>http://www.forbes.com/companies/masraf-al-rayan/</t>
  </si>
  <si>
    <t>Masraf Al Rayan</t>
  </si>
  <si>
    <t>http://www.forbes.com/companies/industries-qatar/</t>
  </si>
  <si>
    <t>Industries Qatar</t>
  </si>
  <si>
    <t>http://www.forbes.com/companies/ooredoo-telecom/</t>
  </si>
  <si>
    <t>Ooredoo Telecom</t>
  </si>
  <si>
    <t>http://www.forbes.com/companies/qatar-national-bank/</t>
  </si>
  <si>
    <t>Qatar National Bank</t>
  </si>
  <si>
    <t>http://www.forbes.com/companies/popular/</t>
  </si>
  <si>
    <t>Popular</t>
  </si>
  <si>
    <t>http://www.forbes.com/companies/caixa-economica-montepio-geral/</t>
  </si>
  <si>
    <t>Caixa Economica Montepio Geral</t>
  </si>
  <si>
    <t>http://www.forbes.com/companies/sonae/</t>
  </si>
  <si>
    <t>Sonae SGPS</t>
  </si>
  <si>
    <t>http://www.forbes.com/companies/banco-bpi/</t>
  </si>
  <si>
    <t>Banco BPI</t>
  </si>
  <si>
    <t>http://www.forbes.com/companies/portugal-telecom/</t>
  </si>
  <si>
    <t>Portugal Telecom</t>
  </si>
  <si>
    <t>http://www.forbes.com/companies/banco-comercial-portugues/</t>
  </si>
  <si>
    <t>Banco Comercial Portugues</t>
  </si>
  <si>
    <t>http://www.forbes.com/companies/jeronimo-martins/</t>
  </si>
  <si>
    <t>Jeronimo Martins</t>
  </si>
  <si>
    <t>http://www.forbes.com/companies/galp-energia/</t>
  </si>
  <si>
    <t>Galp Energia</t>
  </si>
  <si>
    <t>http://www.forbes.com/companies/edp-energias-de-portugal/</t>
  </si>
  <si>
    <t>EDP-Energias de Portugal</t>
  </si>
  <si>
    <t>http://www.forbes.com/companies/tauron-group/</t>
  </si>
  <si>
    <t>Tauron Group</t>
  </si>
  <si>
    <t>http://www.forbes.com/companies/pkn-orlen/</t>
  </si>
  <si>
    <t>PKN Orlen</t>
  </si>
  <si>
    <t>http://www.forbes.com/companies/kghm-polska-miedz/</t>
  </si>
  <si>
    <t>KGHM Polska Miedz</t>
  </si>
  <si>
    <t>http://www.forbes.com/companies/pgnig-group/</t>
  </si>
  <si>
    <t>Pgnig Group</t>
  </si>
  <si>
    <t>http://www.forbes.com/companies/grupa-pzu/</t>
  </si>
  <si>
    <t>Grupa PZU</t>
  </si>
  <si>
    <t>http://www.forbes.com/companies/pge-polska-grupa/</t>
  </si>
  <si>
    <t>PGE</t>
  </si>
  <si>
    <t>http://www.forbes.com/companies/pko-bank-polski/</t>
  </si>
  <si>
    <t>PKO Bank Polski</t>
  </si>
  <si>
    <t>http://www.forbes.com/companies/alliance-global-group/</t>
  </si>
  <si>
    <t>Alliance Global Group</t>
  </si>
  <si>
    <t>http://www.forbes.com/companies/aboitiz-equity-ventures/</t>
  </si>
  <si>
    <t>Aboitiz Equity Ventures</t>
  </si>
  <si>
    <t>http://www.forbes.com/companies/ayala/</t>
  </si>
  <si>
    <t>Ayala</t>
  </si>
  <si>
    <t>http://www.forbes.com/companies/manila-electric/</t>
  </si>
  <si>
    <t>Manila Electric</t>
  </si>
  <si>
    <t>http://www.forbes.com/companies/metropolitan-bank-trust/</t>
  </si>
  <si>
    <t>Metropolitan Bank &amp; Trust</t>
  </si>
  <si>
    <t>http://www.forbes.com/companies/pldt/</t>
  </si>
  <si>
    <t>PLDT</t>
  </si>
  <si>
    <t>http://www.forbes.com/companies/bpi/</t>
  </si>
  <si>
    <t>BPI</t>
  </si>
  <si>
    <t>http://www.forbes.com/companies/top-frontier-investment-holdings/</t>
  </si>
  <si>
    <t>Top Frontier Investment Holdings</t>
  </si>
  <si>
    <t>http://www.forbes.com/companies/sm-investments/</t>
  </si>
  <si>
    <t>SM Investments</t>
  </si>
  <si>
    <t>http://www.forbes.com/companies/san-miguel/</t>
  </si>
  <si>
    <t>San Miguel</t>
  </si>
  <si>
    <t>http://www.forbes.com/companies/credicorp/</t>
  </si>
  <si>
    <t>Credicorp</t>
  </si>
  <si>
    <t>http://www.forbes.com/companies/pakistan-state-oil/</t>
  </si>
  <si>
    <t>Pakistan State Oil</t>
  </si>
  <si>
    <t>http://www.forbes.com/companies/oil-gas-development/</t>
  </si>
  <si>
    <t>Oil &amp; Gas Development</t>
  </si>
  <si>
    <t>http://www.forbes.com/companies/bank-muscat/</t>
  </si>
  <si>
    <t>Bank Muscat</t>
  </si>
  <si>
    <t>http://www.forbes.com/companies/orkla/</t>
  </si>
  <si>
    <t>Orkla</t>
  </si>
  <si>
    <t>http://www.forbes.com/companies/sparebank-1-sr-bank/</t>
  </si>
  <si>
    <t>SpareBank 1 SR-Bank</t>
  </si>
  <si>
    <t>http://www.forbes.com/companies/gjensidige-forsikring/</t>
  </si>
  <si>
    <t>Gjensidige Forsikring</t>
  </si>
  <si>
    <t>http://www.forbes.com/companies/norsk-hydro/</t>
  </si>
  <si>
    <t>Norsk Hydro</t>
  </si>
  <si>
    <t>http://www.forbes.com/companies/storebrand/</t>
  </si>
  <si>
    <t>Storebrand</t>
  </si>
  <si>
    <t>http://www.forbes.com/companies/yara-international/</t>
  </si>
  <si>
    <t>Yara International</t>
  </si>
  <si>
    <t>http://www.forbes.com/companies/telenor/</t>
  </si>
  <si>
    <t>Telenor</t>
  </si>
  <si>
    <t>http://www.forbes.com/companies/dnb/</t>
  </si>
  <si>
    <t>DNB</t>
  </si>
  <si>
    <t>http://www.forbes.com/companies/statoil/</t>
  </si>
  <si>
    <t>Statoil</t>
  </si>
  <si>
    <t>http://www.forbes.com/companies/guaranty-trust-bank/</t>
  </si>
  <si>
    <t>Guaranty Trust Bank</t>
  </si>
  <si>
    <t>http://www.forbes.com/companies/equity-assurance/</t>
  </si>
  <si>
    <t>Equity Assurance</t>
  </si>
  <si>
    <t>http://www.forbes.com/companies/fbn-holdings/</t>
  </si>
  <si>
    <t>FBN Holdings</t>
  </si>
  <si>
    <t>http://www.forbes.com/companies/zenith-bank/</t>
  </si>
  <si>
    <t>Zenith Bank</t>
  </si>
  <si>
    <t>http://www.forbes.com/companies/dangote-cement/</t>
  </si>
  <si>
    <t>Dangote Cement</t>
  </si>
  <si>
    <t>http://www.forbes.com/companies/vopak/</t>
  </si>
  <si>
    <t>Vopak</t>
  </si>
  <si>
    <t>http://www.forbes.com/companies/gemalto/</t>
  </si>
  <si>
    <t>Gemalto</t>
  </si>
  <si>
    <t>http://www.forbes.com/companies/royal-boskalis/</t>
  </si>
  <si>
    <t>Royal Boskalis</t>
  </si>
  <si>
    <t>http://www.forbes.com/companies/asm-international-nv/</t>
  </si>
  <si>
    <t>ASM International N.V.</t>
  </si>
  <si>
    <t>http://www.forbes.com/companies/ziggo/</t>
  </si>
  <si>
    <t>Ziggo</t>
  </si>
  <si>
    <t>http://www.forbes.com/companies/yandex-nv/</t>
  </si>
  <si>
    <t>Yandex NV</t>
  </si>
  <si>
    <t>http://www.forbes.com/companies/oci/</t>
  </si>
  <si>
    <t>OCI</t>
  </si>
  <si>
    <t>http://www.forbes.com/companies/wolters-kluwer/</t>
  </si>
  <si>
    <t>Wolters Kluwer</t>
  </si>
  <si>
    <t>http://www.forbes.com/companies/nxp-semiconductors/</t>
  </si>
  <si>
    <t>NXP Semiconductors</t>
  </si>
  <si>
    <t>http://www.forbes.com/companies/hal-trust/</t>
  </si>
  <si>
    <t>HAL Trust</t>
  </si>
  <si>
    <t>http://www.forbes.com/companies/delta-lloyd/</t>
  </si>
  <si>
    <t>Delta Lloyd</t>
  </si>
  <si>
    <t>http://www.forbes.com/companies/chicago-bridge-iron/</t>
  </si>
  <si>
    <t>Chicago Bridge &amp; Iron</t>
  </si>
  <si>
    <t>http://www.forbes.com/companies/randstad-holding/</t>
  </si>
  <si>
    <t>Randstad Holding</t>
  </si>
  <si>
    <t>http://www.forbes.com/companies/dsm/</t>
  </si>
  <si>
    <t>DSM</t>
  </si>
  <si>
    <t>http://www.forbes.com/companies/kpn/</t>
  </si>
  <si>
    <t>KPN</t>
  </si>
  <si>
    <t>http://www.forbes.com/companies/vimpelcom/</t>
  </si>
  <si>
    <t>VimpelCom</t>
  </si>
  <si>
    <t>http://www.forbes.com/companies/asml-holding/</t>
  </si>
  <si>
    <t>ASML Holding</t>
  </si>
  <si>
    <t>http://www.forbes.com/companies/akzo-nobel/</t>
  </si>
  <si>
    <t>Akzo Nobel</t>
  </si>
  <si>
    <t>http://www.forbes.com/companies/ageas/</t>
  </si>
  <si>
    <t>Ageas</t>
  </si>
  <si>
    <t>http://www.forbes.com/companies/royal-ahold/</t>
  </si>
  <si>
    <t>Royal Ahold</t>
  </si>
  <si>
    <t>http://www.forbes.com/companies/philips/</t>
  </si>
  <si>
    <t>Philips</t>
  </si>
  <si>
    <t>http://www.forbes.com/companies/heineken-holding/</t>
  </si>
  <si>
    <t>Heineken Holding</t>
  </si>
  <si>
    <t>http://www.forbes.com/companies/aegon/</t>
  </si>
  <si>
    <t>Aegon</t>
  </si>
  <si>
    <t>http://www.forbes.com/companies/lyondellbasell-industries/</t>
  </si>
  <si>
    <t>LyondellBasell Industries</t>
  </si>
  <si>
    <t>http://www.forbes.com/companies/unilever/</t>
  </si>
  <si>
    <t>Unilever</t>
  </si>
  <si>
    <t>http://www.forbes.com/companies/ing-group/</t>
  </si>
  <si>
    <t>ING Group</t>
  </si>
  <si>
    <t>http://www.forbes.com/companies/royal-dutch-shell/</t>
  </si>
  <si>
    <t>Royal Dutch Shell</t>
  </si>
  <si>
    <t>http://www.forbes.com/companies/bmce-banque-marocaine/</t>
  </si>
  <si>
    <t>BMCE Bank</t>
  </si>
  <si>
    <t>http://www.forbes.com/companies/banque-centrale-populaire/</t>
  </si>
  <si>
    <t>Banque Centrale Populaire</t>
  </si>
  <si>
    <t>http://www.forbes.com/companies/attijariwafa-bank/</t>
  </si>
  <si>
    <t>Attijariwafa Bank</t>
  </si>
  <si>
    <t>http://www.forbes.com/companies/kimberly-clark-de-mexico/</t>
  </si>
  <si>
    <t>Kimberly-Clark de Mexico</t>
  </si>
  <si>
    <t>http://www.forbes.com/companies/grupo-elektra/</t>
  </si>
  <si>
    <t>Grupo Elektra</t>
  </si>
  <si>
    <t>http://www.forbes.com/companies/industrias-penoles/</t>
  </si>
  <si>
    <t>Industrias PeÃƒÂ±oles</t>
  </si>
  <si>
    <t>http://www.forbes.com/companies/arca-continental/</t>
  </si>
  <si>
    <t>Arca Continental</t>
  </si>
  <si>
    <t>http://www.forbes.com/companies/el-puerto-de-liverpool/</t>
  </si>
  <si>
    <t>El Puerto de Liverpool</t>
  </si>
  <si>
    <t>http://www.forbes.com/companies/grupo-bimbo/</t>
  </si>
  <si>
    <t>Grupo Bimbo</t>
  </si>
  <si>
    <t>http://www.forbes.com/companies/grupo-carso/</t>
  </si>
  <si>
    <t>Grupo Carso</t>
  </si>
  <si>
    <t>http://www.forbes.com/companies/grupo-televisa/</t>
  </si>
  <si>
    <t>Grupo Televisa</t>
  </si>
  <si>
    <t>http://www.forbes.com/companies/alfa/</t>
  </si>
  <si>
    <t>ALFA</t>
  </si>
  <si>
    <t>http://www.forbes.com/companies/cemex/</t>
  </si>
  <si>
    <t>Cemex</t>
  </si>
  <si>
    <t>http://www.forbes.com/companies/grupo-inbursa/</t>
  </si>
  <si>
    <t>Grupo Inbursa</t>
  </si>
  <si>
    <t>http://www.forbes.com/companies/grupo-modelo/</t>
  </si>
  <si>
    <t>Grupo Modelo</t>
  </si>
  <si>
    <t>http://www.forbes.com/companies/grupo-mexico/</t>
  </si>
  <si>
    <t>Grupo Mexico</t>
  </si>
  <si>
    <t>http://www.forbes.com/companies/gfnorte/</t>
  </si>
  <si>
    <t>GFNorte</t>
  </si>
  <si>
    <t>http://www.forbes.com/companies/femsa/</t>
  </si>
  <si>
    <t>Femsa</t>
  </si>
  <si>
    <t>http://www.forbes.com/companies/america-movil/</t>
  </si>
  <si>
    <t>AmÃƒÂ©rica MÃƒÂ³vil</t>
  </si>
  <si>
    <t>http://www.forbes.com/companies/essar-energy/</t>
  </si>
  <si>
    <t>Essar Energy</t>
  </si>
  <si>
    <t>http://www.forbes.com/companies/ioi-group/</t>
  </si>
  <si>
    <t>IOI Group</t>
  </si>
  <si>
    <t>http://www.forbes.com/companies/petronas-dagangan/</t>
  </si>
  <si>
    <t>Petronas Dagangan</t>
  </si>
  <si>
    <t>http://www.forbes.com/companies/maxis/</t>
  </si>
  <si>
    <t>Maxis</t>
  </si>
  <si>
    <t>http://www.forbes.com/companies/ytl/</t>
  </si>
  <si>
    <t>YTL</t>
  </si>
  <si>
    <t>http://www.forbes.com/companies/petronas-gas/</t>
  </si>
  <si>
    <t>Petronas Gas</t>
  </si>
  <si>
    <t>http://www.forbes.com/companies/misc/</t>
  </si>
  <si>
    <t>MISC</t>
  </si>
  <si>
    <t>http://www.forbes.com/companies/hong-leong-financial/</t>
  </si>
  <si>
    <t>Hong Leong Financial</t>
  </si>
  <si>
    <t>http://www.forbes.com/companies/ambank-group/</t>
  </si>
  <si>
    <t>AmBank Group</t>
  </si>
  <si>
    <t>http://www.forbes.com/companies/petronas-chemicals/</t>
  </si>
  <si>
    <t>Petronas Chemicals</t>
  </si>
  <si>
    <t>http://www.forbes.com/companies/rhb-capital/</t>
  </si>
  <si>
    <t>RHB Capital</t>
  </si>
  <si>
    <t>http://www.forbes.com/companies/genting/</t>
  </si>
  <si>
    <t>Genting</t>
  </si>
  <si>
    <t>http://www.forbes.com/companies/axiata-group/</t>
  </si>
  <si>
    <t>Axiata Group</t>
  </si>
  <si>
    <t>http://www.forbes.com/companies/sime-darby/</t>
  </si>
  <si>
    <t>Sime Darby</t>
  </si>
  <si>
    <t>http://www.forbes.com/companies/public-bank/</t>
  </si>
  <si>
    <t>Public Bank</t>
  </si>
  <si>
    <t>http://www.forbes.com/companies/cimb-group-holdings/</t>
  </si>
  <si>
    <t>CIMB Group Holdings</t>
  </si>
  <si>
    <t>http://www.forbes.com/companies/tenaga-nasional/</t>
  </si>
  <si>
    <t>Tenaga Nasional</t>
  </si>
  <si>
    <t>http://www.forbes.com/companies/maybank/</t>
  </si>
  <si>
    <t>Maybank</t>
  </si>
  <si>
    <t>http://www.forbes.com/companies/millicom-international/</t>
  </si>
  <si>
    <t>Millicom International</t>
  </si>
  <si>
    <t>http://www.forbes.com/companies/ternium/</t>
  </si>
  <si>
    <t>Ternium</t>
  </si>
  <si>
    <t>http://www.forbes.com/companies/espirito-santo-financial/</t>
  </si>
  <si>
    <t>Espirito Santo Financial</t>
  </si>
  <si>
    <t>http://www.forbes.com/companies/ses/</t>
  </si>
  <si>
    <t>SES</t>
  </si>
  <si>
    <t>http://www.forbes.com/companies/rtl-group/</t>
  </si>
  <si>
    <t>RTL Group</t>
  </si>
  <si>
    <t>http://www.forbes.com/companies/tenaris/</t>
  </si>
  <si>
    <t>Tenaris</t>
  </si>
  <si>
    <t>http://www.forbes.com/companies/arcelormittal/</t>
  </si>
  <si>
    <t>ArcelorMittal</t>
  </si>
  <si>
    <t>http://www.forbes.com/companies/blom-bank/</t>
  </si>
  <si>
    <t>Blom Bank</t>
  </si>
  <si>
    <t>http://www.forbes.com/companies/bank-audi/</t>
  </si>
  <si>
    <t>Bank Audi</t>
  </si>
  <si>
    <t>http://www.forbes.com/companies/kuwait-projects/</t>
  </si>
  <si>
    <t>Kuwait Projects</t>
  </si>
  <si>
    <t>http://www.forbes.com/companies/zain/</t>
  </si>
  <si>
    <t>Zain</t>
  </si>
  <si>
    <t>http://www.forbes.com/companies/kuwait-finance-house/</t>
  </si>
  <si>
    <t>Kuwait Finance House</t>
  </si>
  <si>
    <t>http://www.forbes.com/companies/national-bank-of-kuwait/</t>
  </si>
  <si>
    <t>National Bank of Kuwait</t>
  </si>
  <si>
    <t>http://www.forbes.com/companies/halyk-bank/</t>
  </si>
  <si>
    <t>Halyk Bank</t>
  </si>
  <si>
    <t>http://www.forbes.com/companies/bta-bank/</t>
  </si>
  <si>
    <t>Bta Bank</t>
  </si>
  <si>
    <t>http://www.forbes.com/companies/kazmunaigas-exploration/</t>
  </si>
  <si>
    <t>KazMunaiGas Exploration</t>
  </si>
  <si>
    <t>http://www.forbes.com/companies/arab-bank/</t>
  </si>
  <si>
    <t>Arab Bank</t>
  </si>
  <si>
    <t>http://www.forbes.com/companies/uny-group-holdings/</t>
  </si>
  <si>
    <t>UNY Group Holdings</t>
  </si>
  <si>
    <t>http://www.forbes.com/companies/shikoku-bank/</t>
  </si>
  <si>
    <t>Shikoku Bank</t>
  </si>
  <si>
    <t>http://www.forbes.com/companies/odakyu-electric-railway/</t>
  </si>
  <si>
    <t>Odakyu Electric Railway</t>
  </si>
  <si>
    <t>http://www.forbes.com/companies/meiji-holdings/</t>
  </si>
  <si>
    <t>Meiji Holdings</t>
  </si>
  <si>
    <t>http://www.forbes.com/companies/fuji-electric/</t>
  </si>
  <si>
    <t>Fuji Electric</t>
  </si>
  <si>
    <t>http://www.forbes.com/companies/tomony-holdings/</t>
  </si>
  <si>
    <t>Tomony Holdings</t>
  </si>
  <si>
    <t>http://www.forbes.com/companies/jaccs/</t>
  </si>
  <si>
    <t>Jaccs</t>
  </si>
  <si>
    <t>http://www.forbes.com/companies/konica-minolta/</t>
  </si>
  <si>
    <t>Konica Minolta</t>
  </si>
  <si>
    <t>http://www.forbes.com/companies/toyota-boshoku/</t>
  </si>
  <si>
    <t>Toyota Boshoku</t>
  </si>
  <si>
    <t>http://www.forbes.com/companies/toho-holdings/</t>
  </si>
  <si>
    <t>Toho Holdings</t>
  </si>
  <si>
    <t>http://www.forbes.com/companies/nippon-steel-trading/</t>
  </si>
  <si>
    <t>Nippon Steel Trading</t>
  </si>
  <si>
    <t>http://www.forbes.com/companies/makita/</t>
  </si>
  <si>
    <t>Makita</t>
  </si>
  <si>
    <t>http://www.forbes.com/companies/aichi-bank/</t>
  </si>
  <si>
    <t>Aichi Bank</t>
  </si>
  <si>
    <t>http://www.forbes.com/companies/awa-bank/</t>
  </si>
  <si>
    <t>Awa Bank</t>
  </si>
  <si>
    <t>http://www.forbes.com/companies/oita-bank/</t>
  </si>
  <si>
    <t>Oita Bank</t>
  </si>
  <si>
    <t>http://www.forbes.com/companies/yamanashi-chuo-bank/</t>
  </si>
  <si>
    <t>Yamanashi Chuo Bank</t>
  </si>
  <si>
    <t>http://www.forbes.com/companies/sbi-holdings/</t>
  </si>
  <si>
    <t>SBI Holdings</t>
  </si>
  <si>
    <t>http://www.forbes.com/companies/tosoh/</t>
  </si>
  <si>
    <t>Tosoh</t>
  </si>
  <si>
    <t>http://www.forbes.com/companies/nsk/</t>
  </si>
  <si>
    <t>NSK</t>
  </si>
  <si>
    <t>http://www.forbes.com/companies/bank-of-iwate/</t>
  </si>
  <si>
    <t>Bank of Iwate</t>
  </si>
  <si>
    <t>http://www.forbes.com/companies/taiheiyo-cement/</t>
  </si>
  <si>
    <t>Taiheiyo Cement</t>
  </si>
  <si>
    <t>http://www.forbes.com/companies/bank-of-nagoya/</t>
  </si>
  <si>
    <t>Bank of Nagoya</t>
  </si>
  <si>
    <t>http://www.forbes.com/companies/hokkoku-bank/</t>
  </si>
  <si>
    <t>Hokkoku Bank</t>
  </si>
  <si>
    <t>http://www.forbes.com/companies/shiseido/</t>
  </si>
  <si>
    <t>Shiseido</t>
  </si>
  <si>
    <t>http://www.forbes.com/companies/gungho-online-entertainment/</t>
  </si>
  <si>
    <t>Gungho Online Entertainment</t>
  </si>
  <si>
    <t>http://www.forbes.com/companies/japan-securities/</t>
  </si>
  <si>
    <t>Japan Securities</t>
  </si>
  <si>
    <t>http://www.forbes.com/companies/shimano/</t>
  </si>
  <si>
    <t>Shimano</t>
  </si>
  <si>
    <t>http://www.forbes.com/companies/lawson/</t>
  </si>
  <si>
    <t>Lawson</t>
  </si>
  <si>
    <t>http://www.forbes.com/companies/japan-exchange-group/</t>
  </si>
  <si>
    <t>Japan Exchange Group</t>
  </si>
  <si>
    <t>http://www.forbes.com/companies/kagoshima-bank/</t>
  </si>
  <si>
    <t>Kagoshima Bank</t>
  </si>
  <si>
    <t>http://www.forbes.com/companies/hokkaido-electric-power/</t>
  </si>
  <si>
    <t>Hokkaido Electric Power</t>
  </si>
  <si>
    <t>http://www.forbes.com/companies/musashino-bank/</t>
  </si>
  <si>
    <t>Musashino Bank</t>
  </si>
  <si>
    <t>http://www.forbes.com/companies/keiyo-bank/</t>
  </si>
  <si>
    <t>Keiyo Bank</t>
  </si>
  <si>
    <t>http://www.forbes.com/companies/hyakujushi-bank/</t>
  </si>
  <si>
    <t>Hyakujushi Bank</t>
  </si>
  <si>
    <t>http://www.forbes.com/companies/san-in-godo-bank/</t>
  </si>
  <si>
    <t>San-In Godo Bank</t>
  </si>
  <si>
    <t>http://www.forbes.com/companies/hanwa/</t>
  </si>
  <si>
    <t>Hanwa</t>
  </si>
  <si>
    <t>http://www.forbes.com/companies/higo-bank/</t>
  </si>
  <si>
    <t>Higo Bank</t>
  </si>
  <si>
    <t>http://www.forbes.com/companies/tokyo-electron/</t>
  </si>
  <si>
    <t>Tokyo Electron</t>
  </si>
  <si>
    <t>http://www.forbes.com/companies/credit-saison/</t>
  </si>
  <si>
    <t>Credit Saison</t>
  </si>
  <si>
    <t>http://www.forbes.com/companies/orient/</t>
  </si>
  <si>
    <t>Orient</t>
  </si>
  <si>
    <t>http://www.forbes.com/companies/toho-bank/</t>
  </si>
  <si>
    <t>Toho Bank</t>
  </si>
  <si>
    <t>http://www.forbes.com/companies/suruga-bank/</t>
  </si>
  <si>
    <t>Suruga Bank</t>
  </si>
  <si>
    <t>http://www.forbes.com/companies/shiga-bank/</t>
  </si>
  <si>
    <t>Shiga Bank</t>
  </si>
  <si>
    <t>http://www.forbes.com/companies/daishi-bank/</t>
  </si>
  <si>
    <t>Daishi Bank</t>
  </si>
  <si>
    <t>http://www.forbes.com/companies/ogaki-kyoritsu-bank/</t>
  </si>
  <si>
    <t>Ogaki Kyoritsu Bank</t>
  </si>
  <si>
    <t>http://www.forbes.com/companies/hyakugo-bank/</t>
  </si>
  <si>
    <t>Hyakugo Bank</t>
  </si>
  <si>
    <t>http://www.forbes.com/companies/nanto-bank/</t>
  </si>
  <si>
    <t>Nanto Bank</t>
  </si>
  <si>
    <t>http://www.forbes.com/companies/senshu-ikeda-holdings/</t>
  </si>
  <si>
    <t>Senshu Ikeda Holdings</t>
  </si>
  <si>
    <t>http://www.forbes.com/companies/sega-sammy-holdings/</t>
  </si>
  <si>
    <t>Sega Sammy Holdings</t>
  </si>
  <si>
    <t>http://www.forbes.com/companies/shionogi-co/</t>
  </si>
  <si>
    <t>Shionogi &amp; Co.</t>
  </si>
  <si>
    <t>http://www.forbes.com/companies/ashikaga-holdings/</t>
  </si>
  <si>
    <t>Ashikaga Holdings</t>
  </si>
  <si>
    <t>http://www.forbes.com/companies/juroku-bank/</t>
  </si>
  <si>
    <t>Juroku Bank</t>
  </si>
  <si>
    <t>http://www.forbes.com/companies/jtekt/</t>
  </si>
  <si>
    <t>JTEKT</t>
  </si>
  <si>
    <t>http://www.forbes.com/companies/sumitomo-rubber/</t>
  </si>
  <si>
    <t>Sumitomo Rubber</t>
  </si>
  <si>
    <t>http://www.forbes.com/companies/gunma-bank/</t>
  </si>
  <si>
    <t>Gunma Bank</t>
  </si>
  <si>
    <t>http://www.forbes.com/companies/tobu-railway/</t>
  </si>
  <si>
    <t>Tobu Railway</t>
  </si>
  <si>
    <t>http://www.forbes.com/companies/hiroshima-bank/</t>
  </si>
  <si>
    <t>Hiroshima Bank</t>
  </si>
  <si>
    <t>http://www.forbes.com/companies/bank-of-kyoto/</t>
  </si>
  <si>
    <t>Bank of Kyoto</t>
  </si>
  <si>
    <t>http://www.forbes.com/companies/north-pacific-bank/</t>
  </si>
  <si>
    <t>North Pacific Bank</t>
  </si>
  <si>
    <t>http://www.forbes.com/companies/chugoku-bank/</t>
  </si>
  <si>
    <t>Chugoku Bank</t>
  </si>
  <si>
    <t>http://www.forbes.com/companies/77-bank/</t>
  </si>
  <si>
    <t>77 Bank</t>
  </si>
  <si>
    <t>http://www.forbes.com/companies/nishi-nippon-city-bank/</t>
  </si>
  <si>
    <t>Nishi-Nippon City Bank</t>
  </si>
  <si>
    <t>http://www.forbes.com/companies/tdk/</t>
  </si>
  <si>
    <t>TDK</t>
  </si>
  <si>
    <t>http://www.forbes.com/companies/j-front-retailing/</t>
  </si>
  <si>
    <t>J Front Retailing</t>
  </si>
  <si>
    <t>http://www.forbes.com/companies/kawasaki-kisen-kaisha/</t>
  </si>
  <si>
    <t>Kawasaki Kisen Kaisha</t>
  </si>
  <si>
    <t>http://www.forbes.com/companies/iyo-bank/</t>
  </si>
  <si>
    <t>Iyo Bank</t>
  </si>
  <si>
    <t>http://www.forbes.com/companies/hokuhoku-financial-group/</t>
  </si>
  <si>
    <t>Hokuhoku Financial Group</t>
  </si>
  <si>
    <t>http://www.forbes.com/companies/joyo-bank/</t>
  </si>
  <si>
    <t>Joyo Bank</t>
  </si>
  <si>
    <t>http://www.forbes.com/companies/suzuken/</t>
  </si>
  <si>
    <t>Suzuken</t>
  </si>
  <si>
    <t>http://www.forbes.com/companies/nippon-paper-industries/</t>
  </si>
  <si>
    <t>Nippon Paper Industries</t>
  </si>
  <si>
    <t>http://www.forbes.com/companies/hachijuni-bank/</t>
  </si>
  <si>
    <t>Hachijuni Bank</t>
  </si>
  <si>
    <t>http://www.forbes.com/companies/isetan-mitsukoshi-holdings/</t>
  </si>
  <si>
    <t>Isetan Mitsukoshi Holdings</t>
  </si>
  <si>
    <t>http://www.forbes.com/companies/terumo/</t>
  </si>
  <si>
    <t>Terumo</t>
  </si>
  <si>
    <t>http://www.forbes.com/companies/yamada-denki/</t>
  </si>
  <si>
    <t>Yamada Denki</t>
  </si>
  <si>
    <t>http://www.forbes.com/companies/electric-power-development/</t>
  </si>
  <si>
    <t>Electric Power Development</t>
  </si>
  <si>
    <t>http://www.forbes.com/companies/olympus/</t>
  </si>
  <si>
    <t>Olympus</t>
  </si>
  <si>
    <t>http://www.forbes.com/companies/mitsui-chemicals/</t>
  </si>
  <si>
    <t>Mitsui Chemicals</t>
  </si>
  <si>
    <t>http://www.forbes.com/companies/renesas-electronics/</t>
  </si>
  <si>
    <t>Renesas Electronics</t>
  </si>
  <si>
    <t>http://www.forbes.com/companies/fukuoka-financial-group/</t>
  </si>
  <si>
    <t>Fukuoka Financial Group</t>
  </si>
  <si>
    <t>http://www.forbes.com/companies/alfresa-holdings/</t>
  </si>
  <si>
    <t>Alfresa Holdings</t>
  </si>
  <si>
    <t>http://www.forbes.com/companies/shimizu/</t>
  </si>
  <si>
    <t>Shimizu</t>
  </si>
  <si>
    <t>http://www.forbes.com/companies/nippon-express/</t>
  </si>
  <si>
    <t>Nippon Express</t>
  </si>
  <si>
    <t>http://www.forbes.com/companies/yamaguchi-financial/</t>
  </si>
  <si>
    <t>Yamaguchi Financial</t>
  </si>
  <si>
    <t>http://www.forbes.com/companies/sekisui-chemical/</t>
  </si>
  <si>
    <t>Sekisui Chemical</t>
  </si>
  <si>
    <t>http://www.forbes.com/companies/toppan-printing/</t>
  </si>
  <si>
    <t>Toppan Printing</t>
  </si>
  <si>
    <t>http://www.forbes.com/companies/unicharm/</t>
  </si>
  <si>
    <t>Unicharm</t>
  </si>
  <si>
    <t>http://www.forbes.com/companies/kajima/</t>
  </si>
  <si>
    <t>Kajima</t>
  </si>
  <si>
    <t>http://www.forbes.com/companies/aozora-bank/</t>
  </si>
  <si>
    <t>Aozora Bank</t>
  </si>
  <si>
    <t>http://www.forbes.com/companies/medipal-holdings/</t>
  </si>
  <si>
    <t>Medipal Holdings</t>
  </si>
  <si>
    <t>http://www.forbes.com/companies/jgc/</t>
  </si>
  <si>
    <t>JGC</t>
  </si>
  <si>
    <t>http://www.forbes.com/companies/obayashi/</t>
  </si>
  <si>
    <t>Obayashi</t>
  </si>
  <si>
    <t>http://www.forbes.com/companies/nitto-denko/</t>
  </si>
  <si>
    <t>Nitto Denko</t>
  </si>
  <si>
    <t>http://www.forbes.com/companies/hoya/</t>
  </si>
  <si>
    <t>Hoya</t>
  </si>
  <si>
    <t>http://www.forbes.com/companies/seiko-epson/</t>
  </si>
  <si>
    <t>Seiko Epson</t>
  </si>
  <si>
    <t>http://www.forbes.com/companies/omron/</t>
  </si>
  <si>
    <t>OMRON</t>
  </si>
  <si>
    <t>http://www.forbes.com/companies/taisei/</t>
  </si>
  <si>
    <t>Taisei</t>
  </si>
  <si>
    <t>http://www.forbes.com/companies/nikon/</t>
  </si>
  <si>
    <t>Nikon</t>
  </si>
  <si>
    <t>http://www.forbes.com/companies/eisai/</t>
  </si>
  <si>
    <t>Eisai</t>
  </si>
  <si>
    <t>http://www.forbes.com/companies/shinsei-bank/</t>
  </si>
  <si>
    <t>Shinsei Bank</t>
  </si>
  <si>
    <t>http://www.forbes.com/companies/chugoku-electric-power/</t>
  </si>
  <si>
    <t>Chugoku Electric Power</t>
  </si>
  <si>
    <t>http://www.forbes.com/companies/mitsui-osk-lines/</t>
  </si>
  <si>
    <t>Mitsui OSK Lines</t>
  </si>
  <si>
    <t>http://www.forbes.com/companies/century-tokyo-leasing/</t>
  </si>
  <si>
    <t>Century Tokyo Leasing</t>
  </si>
  <si>
    <t>http://www.forbes.com/companies/oji-holdings/</t>
  </si>
  <si>
    <t>Oji Holdings</t>
  </si>
  <si>
    <t>http://www.forbes.com/companies/ajinomoto/</t>
  </si>
  <si>
    <t>Ajinomoto</t>
  </si>
  <si>
    <t>http://www.forbes.com/companies/oriental-land/</t>
  </si>
  <si>
    <t>Oriental Land</t>
  </si>
  <si>
    <t>http://www.forbes.com/companies/cosmo-oil/</t>
  </si>
  <si>
    <t>Cosmo Oil</t>
  </si>
  <si>
    <t>http://www.forbes.com/companies/nintendo/</t>
  </si>
  <si>
    <t>Nintendo</t>
  </si>
  <si>
    <t>http://www.forbes.com/companies/yamaha-motor/</t>
  </si>
  <si>
    <t>Yamaha Motor</t>
  </si>
  <si>
    <t>http://www.forbes.com/companies/nidec/</t>
  </si>
  <si>
    <t>Nidec</t>
  </si>
  <si>
    <t>http://www.forbes.com/companies/sojitz/</t>
  </si>
  <si>
    <t>Sojitz</t>
  </si>
  <si>
    <t>http://www.forbes.com/companies/chiba-bank/</t>
  </si>
  <si>
    <t>Chiba Bank</t>
  </si>
  <si>
    <t>http://www.forbes.com/companies/mitsubishi-ufj-lease/</t>
  </si>
  <si>
    <t>Mitsubishi UFJ Lease</t>
  </si>
  <si>
    <t>http://www.forbes.com/companies/dai-nippon-printing/</t>
  </si>
  <si>
    <t>Dai Nippon Printing</t>
  </si>
  <si>
    <t>http://www.forbes.com/companies/kintetsu/</t>
  </si>
  <si>
    <t>Kintetsu</t>
  </si>
  <si>
    <t>http://www.forbes.com/companies/asahi-glass/</t>
  </si>
  <si>
    <t>Asahi Glass</t>
  </si>
  <si>
    <t>http://www.forbes.com/companies/osaka-gas/</t>
  </si>
  <si>
    <t>Osaka Gas</t>
  </si>
  <si>
    <t>http://www.forbes.com/companies/smc-corp/</t>
  </si>
  <si>
    <t>SMC Corp</t>
  </si>
  <si>
    <t>http://www.forbes.com/companies/sharp/</t>
  </si>
  <si>
    <t>Sharp</t>
  </si>
  <si>
    <t>http://www.forbes.com/companies/keyence/</t>
  </si>
  <si>
    <t>Keyence</t>
  </si>
  <si>
    <t>http://www.forbes.com/companies/kawasaki-heavy-industries/</t>
  </si>
  <si>
    <t>Kawasaki Heavy Industries</t>
  </si>
  <si>
    <t>http://www.forbes.com/companies/yamato-holdings/</t>
  </si>
  <si>
    <t>Yamato Holdings</t>
  </si>
  <si>
    <t>http://www.forbes.com/companies/daito-trust-construction/</t>
  </si>
  <si>
    <t>Daito Trust Construction</t>
  </si>
  <si>
    <t>http://www.forbes.com/companies/suntory-beverage-food/</t>
  </si>
  <si>
    <t>Suntory Beverage &amp; Food</t>
  </si>
  <si>
    <t>http://www.forbes.com/companies/shizuoka-bank/</t>
  </si>
  <si>
    <t>Shizuoka Bank</t>
  </si>
  <si>
    <t>http://www.forbes.com/companies/tohoku-electric-power/</t>
  </si>
  <si>
    <t>Tohoku Electric Power</t>
  </si>
  <si>
    <t>http://www.forbes.com/companies/mitsubishi-materials/</t>
  </si>
  <si>
    <t>Mitsubishi Materials</t>
  </si>
  <si>
    <t>http://www.forbes.com/companies/all-nippon-airways/</t>
  </si>
  <si>
    <t>All Nippon Airways</t>
  </si>
  <si>
    <t>http://www.forbes.com/companies/ihi/</t>
  </si>
  <si>
    <t>IHI</t>
  </si>
  <si>
    <t>http://www.forbes.com/companies/sumitomo-chemical/</t>
  </si>
  <si>
    <t>Sumitomo Chemical</t>
  </si>
  <si>
    <t>http://www.forbes.com/companies/kyushu-electric-power/</t>
  </si>
  <si>
    <t>Kyushu Electric Power</t>
  </si>
  <si>
    <t>http://www.forbes.com/companies/hankyu-hanshin-holdings/</t>
  </si>
  <si>
    <t>Hankyu Hanshin Holdings</t>
  </si>
  <si>
    <t>http://www.forbes.com/companies/bank-of-yokohama/</t>
  </si>
  <si>
    <t>Bank of Yokohama</t>
  </si>
  <si>
    <t>http://www.forbes.com/companies/showa-shell-sekiyu/</t>
  </si>
  <si>
    <t>Showa Shell Sekiyu</t>
  </si>
  <si>
    <t>http://www.forbes.com/companies/sumitomo-metal-mining/</t>
  </si>
  <si>
    <t>Sumitomo Metal Mining</t>
  </si>
  <si>
    <t>http://www.forbes.com/companies/nippon-yusen/</t>
  </si>
  <si>
    <t>Nippon Yusen</t>
  </si>
  <si>
    <t>http://www.forbes.com/companies/nec/</t>
  </si>
  <si>
    <t>NEC</t>
  </si>
  <si>
    <t>http://www.forbes.com/companies/kobe-steel/</t>
  </si>
  <si>
    <t>Kobe Steel</t>
  </si>
  <si>
    <t>http://www.forbes.com/companies/secom/</t>
  </si>
  <si>
    <t>Secom</t>
  </si>
  <si>
    <t>http://www.forbes.com/companies/tokyu/</t>
  </si>
  <si>
    <t>Tokyu</t>
  </si>
  <si>
    <t>http://www.forbes.com/companies/fanuc/</t>
  </si>
  <si>
    <t>Fanuc</t>
  </si>
  <si>
    <t>http://www.forbes.com/companies/rakuten/</t>
  </si>
  <si>
    <t>Rakuten</t>
  </si>
  <si>
    <t>http://www.forbes.com/companies/lixil-group/</t>
  </si>
  <si>
    <t>Lixil Group</t>
  </si>
  <si>
    <t>http://www.forbes.com/companies/chubu-electric-power/</t>
  </si>
  <si>
    <t>Chubu Electric Power</t>
  </si>
  <si>
    <t>http://www.forbes.com/companies/murata-manufacturing/</t>
  </si>
  <si>
    <t>Murata Manufacturing</t>
  </si>
  <si>
    <t>http://www.forbes.com/companies/kao-corp/</t>
  </si>
  <si>
    <t>Kao Corp</t>
  </si>
  <si>
    <t>http://www.forbes.com/companies/west-japan-railway/</t>
  </si>
  <si>
    <t>West Japan Railway</t>
  </si>
  <si>
    <t>http://www.forbes.com/companies/japan-airlines/</t>
  </si>
  <si>
    <t>Japan Airlines</t>
  </si>
  <si>
    <t>http://www.forbes.com/companies/mitsubishi-chemical/</t>
  </si>
  <si>
    <t>Mitsubishi Chemical</t>
  </si>
  <si>
    <t>http://www.forbes.com/companies/dentsu/</t>
  </si>
  <si>
    <t>Dentsu</t>
  </si>
  <si>
    <t>http://www.forbes.com/companies/fujitsu/</t>
  </si>
  <si>
    <t>Fujitsu</t>
  </si>
  <si>
    <t>http://www.forbes.com/companies/kansai-electric-power/</t>
  </si>
  <si>
    <t>Kansai Electric Power</t>
  </si>
  <si>
    <t>http://www.forbes.com/companies/idemitsu-kosan/</t>
  </si>
  <si>
    <t>Idemitsu Kosan</t>
  </si>
  <si>
    <t>http://www.forbes.com/companies/daiichi-sankyo/</t>
  </si>
  <si>
    <t>Daiichi Sankyo</t>
  </si>
  <si>
    <t>http://www.forbes.com/companies/sekisui-house/</t>
  </si>
  <si>
    <t>Sekisui House</t>
  </si>
  <si>
    <t>http://www.forbes.com/companies/toray-industries/</t>
  </si>
  <si>
    <t>Toray Industries</t>
  </si>
  <si>
    <t>http://www.forbes.com/companies/ricoh/</t>
  </si>
  <si>
    <t>Ricoh</t>
  </si>
  <si>
    <t>http://www.forbes.com/companies/isuzu-motors/</t>
  </si>
  <si>
    <t>Isuzu Motors</t>
  </si>
  <si>
    <t>http://www.forbes.com/companies/asahi-group-holdings/</t>
  </si>
  <si>
    <t>Asahi Group Holdings</t>
  </si>
  <si>
    <t>http://www.forbes.com/companies/fast-retailing/</t>
  </si>
  <si>
    <t>Fast Retailing</t>
  </si>
  <si>
    <t>http://www.forbes.com/companies/asahi-kasei/</t>
  </si>
  <si>
    <t>Asahi Kasei</t>
  </si>
  <si>
    <t>http://www.forbes.com/companies/mitsubishi-motors/</t>
  </si>
  <si>
    <t>Mitsubishi Motors</t>
  </si>
  <si>
    <t>http://www.forbes.com/companies/astellas-pharma/</t>
  </si>
  <si>
    <t>Astellas Pharma</t>
  </si>
  <si>
    <t>http://www.forbes.com/companies/sumitomo-realty/</t>
  </si>
  <si>
    <t>Sumitomo Realty</t>
  </si>
  <si>
    <t>http://www.forbes.com/companies/sumitomo-electric/</t>
  </si>
  <si>
    <t>Sumitomo Electric</t>
  </si>
  <si>
    <t>http://www.forbes.com/companies/tokyo-gas/</t>
  </si>
  <si>
    <t>Tokyo Gas</t>
  </si>
  <si>
    <t>http://www.forbes.com/companies/daiwa-house-industry/</t>
  </si>
  <si>
    <t>Daiwa House Industry</t>
  </si>
  <si>
    <t>http://www.forbes.com/companies/mazda-motor/</t>
  </si>
  <si>
    <t>Mazda Motor</t>
  </si>
  <si>
    <t>http://www.forbes.com/companies/daikin-industries/</t>
  </si>
  <si>
    <t>Daikin Industries</t>
  </si>
  <si>
    <t>http://www.forbes.com/companies/aisin-seiki/</t>
  </si>
  <si>
    <t>Aisin Seiki</t>
  </si>
  <si>
    <t>http://www.forbes.com/companies/kubota/</t>
  </si>
  <si>
    <t>Kubota</t>
  </si>
  <si>
    <t>http://www.forbes.com/companies/shin-etsu-chemical/</t>
  </si>
  <si>
    <t>Shin-Etsu Chemical</t>
  </si>
  <si>
    <t>http://www.forbes.com/companies/kyocera/</t>
  </si>
  <si>
    <t>Kyocera</t>
  </si>
  <si>
    <t>http://www.forbes.com/companies/otsuka-holding/</t>
  </si>
  <si>
    <t>Otsuka Holding</t>
  </si>
  <si>
    <t>http://www.forbes.com/companies/toyota-tsusho/</t>
  </si>
  <si>
    <t>Toyota Tsusho</t>
  </si>
  <si>
    <t>http://www.forbes.com/companies/kirin-holdings/</t>
  </si>
  <si>
    <t>Kirin Holdings</t>
  </si>
  <si>
    <t>http://www.forbes.com/companies/fujifilm-holdings/</t>
  </si>
  <si>
    <t>Fujifilm Holdings</t>
  </si>
  <si>
    <t>http://www.forbes.com/companies/aeon/</t>
  </si>
  <si>
    <t>Aeon</t>
  </si>
  <si>
    <t>http://www.forbes.com/companies/td-holdings/</t>
  </si>
  <si>
    <t>T&amp;D Holdings</t>
  </si>
  <si>
    <t>http://www.forbes.com/companies/mitsubishi-estate/</t>
  </si>
  <si>
    <t>Mitsubishi Estate</t>
  </si>
  <si>
    <t>http://www.forbes.com/companies/tokyo-electric-power/</t>
  </si>
  <si>
    <t>Tokyo Electric Power</t>
  </si>
  <si>
    <t>http://www.forbes.com/companies/daiwa-securities/</t>
  </si>
  <si>
    <t>Daiwa Securities</t>
  </si>
  <si>
    <t>http://www.forbes.com/companies/toyota-industries/</t>
  </si>
  <si>
    <t>Toyota Industries</t>
  </si>
  <si>
    <t>http://www.forbes.com/companies/resona-holdings/</t>
  </si>
  <si>
    <t>Resona Holdings</t>
  </si>
  <si>
    <t>http://www.forbes.com/companies/jfe-holdings/</t>
  </si>
  <si>
    <t>JFE Holdings</t>
  </si>
  <si>
    <t>http://www.forbes.com/companies/suzuki-motor/</t>
  </si>
  <si>
    <t>Suzuki Motor</t>
  </si>
  <si>
    <t>http://www.forbes.com/companies/fuji-heavy-industries/</t>
  </si>
  <si>
    <t>Fuji Heavy Industries</t>
  </si>
  <si>
    <t>http://www.forbes.com/companies/mitsui-fudosan/</t>
  </si>
  <si>
    <t>Mitsui Fudosan</t>
  </si>
  <si>
    <t>http://www.forbes.com/companies/inpex/</t>
  </si>
  <si>
    <t>Inpex</t>
  </si>
  <si>
    <t>http://www.forbes.com/companies/komatsu/</t>
  </si>
  <si>
    <t>Komatsu</t>
  </si>
  <si>
    <t>http://www.forbes.com/companies/nksj-holdings/</t>
  </si>
  <si>
    <t>NKSJ Holdings</t>
  </si>
  <si>
    <t>http://www.forbes.com/companies/orix/</t>
  </si>
  <si>
    <t>Orix</t>
  </si>
  <si>
    <t>http://www.forbes.com/companies/toshiba/</t>
  </si>
  <si>
    <t>Toshiba</t>
  </si>
  <si>
    <t>http://www.forbes.com/companies/sumitomo-mitsui-trust/</t>
  </si>
  <si>
    <t>Sumitomo Mitsui Trust</t>
  </si>
  <si>
    <t>http://www.forbes.com/companies/takeda-pharmaceutical/</t>
  </si>
  <si>
    <t>Takeda Pharmaceutical</t>
  </si>
  <si>
    <t>http://www.forbes.com/companies/mitsubishi-electric/</t>
  </si>
  <si>
    <t>Mitsubishi Electric</t>
  </si>
  <si>
    <t>http://www.forbes.com/companies/mitsubishi-heavy-industries/</t>
  </si>
  <si>
    <t>Mitsubishi Heavy Industries</t>
  </si>
  <si>
    <t>http://www.forbes.com/companies/central-japan-railway/</t>
  </si>
  <si>
    <t>Central Japan Railway</t>
  </si>
  <si>
    <t>http://www.forbes.com/companies/marubeni/</t>
  </si>
  <si>
    <t>Marubeni</t>
  </si>
  <si>
    <t>http://www.forbes.com/companies/dai-ichi-life-insurance/</t>
  </si>
  <si>
    <t>Dai-ichi Life Insurance</t>
  </si>
  <si>
    <t>http://www.forbes.com/companies/bridgestone/</t>
  </si>
  <si>
    <t>Bridgestone</t>
  </si>
  <si>
    <t>http://www.forbes.com/companies/jx-holdings/</t>
  </si>
  <si>
    <t>JX Holdings</t>
  </si>
  <si>
    <t>http://www.forbes.com/companies/msad-insurance/</t>
  </si>
  <si>
    <t>MS&amp;AD Insurance</t>
  </si>
  <si>
    <t>http://www.forbes.com/companies/sumitomo-corp/</t>
  </si>
  <si>
    <t>Sumitomo Corp</t>
  </si>
  <si>
    <t>http://www.forbes.com/companies/panasonic/</t>
  </si>
  <si>
    <t>Panasonic</t>
  </si>
  <si>
    <t>http://www.forbes.com/companies/east-japan-railway/</t>
  </si>
  <si>
    <t>East Japan Railway</t>
  </si>
  <si>
    <t>http://www.forbes.com/companies/sony/</t>
  </si>
  <si>
    <t>Sony</t>
  </si>
  <si>
    <t>http://www.forbes.com/companies/canon/</t>
  </si>
  <si>
    <t>Canon</t>
  </si>
  <si>
    <t>http://www.forbes.com/companies/seven-i-holdings/</t>
  </si>
  <si>
    <t>Seven &amp; I Holdings</t>
  </si>
  <si>
    <t>http://www.forbes.com/companies/itochu/</t>
  </si>
  <si>
    <t>Itochu</t>
  </si>
  <si>
    <t>http://www.forbes.com/companies/japan-tobacco/</t>
  </si>
  <si>
    <t>Japan Tobacco</t>
  </si>
  <si>
    <t>http://www.forbes.com/companies/nippon-steel-sumitomo-metal/</t>
  </si>
  <si>
    <t>Nippon Steel &amp; Sumitomo Metal</t>
  </si>
  <si>
    <t>http://www.forbes.com/companies/nomura-holdings/</t>
  </si>
  <si>
    <t>Nomura Holdings</t>
  </si>
  <si>
    <t>http://www.forbes.com/companies/denso/</t>
  </si>
  <si>
    <t>Denso</t>
  </si>
  <si>
    <t>http://www.forbes.com/companies/tokio-marine-holdings/</t>
  </si>
  <si>
    <t>Tokio Marine Holdings</t>
  </si>
  <si>
    <t>http://www.forbes.com/companies/kddi/</t>
  </si>
  <si>
    <t>KDDI</t>
  </si>
  <si>
    <t>http://www.forbes.com/companies/mitsui-co/</t>
  </si>
  <si>
    <t>Mitsui &amp; Co</t>
  </si>
  <si>
    <t>http://www.forbes.com/companies/hitachi/</t>
  </si>
  <si>
    <t>Hitachi</t>
  </si>
  <si>
    <t>http://www.forbes.com/companies/mitsubishi-corp/</t>
  </si>
  <si>
    <t>Mitsubishi Corp</t>
  </si>
  <si>
    <t>http://www.forbes.com/companies/nissan-motor/</t>
  </si>
  <si>
    <t>Nissan Motor</t>
  </si>
  <si>
    <t>http://www.forbes.com/companies/mizuho-financial/</t>
  </si>
  <si>
    <t>Mizuho Financial</t>
  </si>
  <si>
    <t>http://www.forbes.com/companies/softbank/</t>
  </si>
  <si>
    <t>Softbank</t>
  </si>
  <si>
    <t>http://www.forbes.com/companies/honda-motor/</t>
  </si>
  <si>
    <t>Honda Motor</t>
  </si>
  <si>
    <t>http://www.forbes.com/companies/nippon-tel-tel/</t>
  </si>
  <si>
    <t>Nippon Telegraph &amp; Tel</t>
  </si>
  <si>
    <t>http://www.forbes.com/companies/sumitomo-mitsui-financial/</t>
  </si>
  <si>
    <t>Sumitomo Mitsui Financial</t>
  </si>
  <si>
    <t>http://www.forbes.com/companies/mitsubishi-ufj-financial/</t>
  </si>
  <si>
    <t>Mitsubishi UFJ Financial</t>
  </si>
  <si>
    <t>http://www.forbes.com/companies/toyota-motor/</t>
  </si>
  <si>
    <t>Toyota Motor</t>
  </si>
  <si>
    <t>http://www.forbes.com/companies/prysmian/</t>
  </si>
  <si>
    <t>Prysmian</t>
  </si>
  <si>
    <t>http://www.forbes.com/companies/parmalat/</t>
  </si>
  <si>
    <t>Parmalat</t>
  </si>
  <si>
    <t>http://www.forbes.com/companies/saras/</t>
  </si>
  <si>
    <t>Saras</t>
  </si>
  <si>
    <t>http://www.forbes.com/companies/credito-valtellinese/</t>
  </si>
  <si>
    <t>Credito Valtellinese</t>
  </si>
  <si>
    <t>http://www.forbes.com/companies/credito-emiliano/</t>
  </si>
  <si>
    <t>Credito Emiliano</t>
  </si>
  <si>
    <t>http://www.forbes.com/companies/banca-popolare-di-sondrio/</t>
  </si>
  <si>
    <t>Banca Popolare di Sondrio</t>
  </si>
  <si>
    <t>http://www.forbes.com/companies/a2a/</t>
  </si>
  <si>
    <t>A2A</t>
  </si>
  <si>
    <t>http://www.forbes.com/companies/banca-carige/</t>
  </si>
  <si>
    <t>Banca CARIGE</t>
  </si>
  <si>
    <t>http://www.forbes.com/companies/banca-popolare-di-milano/</t>
  </si>
  <si>
    <t>Banca Popolare di Milano</t>
  </si>
  <si>
    <t>http://www.forbes.com/companies/cattolica-assicurazioni/</t>
  </si>
  <si>
    <t>Cattolica Assicurazioni</t>
  </si>
  <si>
    <t>http://www.forbes.com/companies/banca-popolare-dellemilia/</t>
  </si>
  <si>
    <t>Banca Popolare dell'Emilia</t>
  </si>
  <si>
    <t>http://www.forbes.com/companies/pirelli-c/</t>
  </si>
  <si>
    <t>Pirelli &amp; C</t>
  </si>
  <si>
    <t>http://www.forbes.com/companies/banca-mps/</t>
  </si>
  <si>
    <t>Banca MPS</t>
  </si>
  <si>
    <t>http://www.forbes.com/companies/mediobanca/</t>
  </si>
  <si>
    <t>Mediobanca</t>
  </si>
  <si>
    <t>http://www.forbes.com/companies/prada/</t>
  </si>
  <si>
    <t>Prada</t>
  </si>
  <si>
    <t>http://www.forbes.com/companies/terna/</t>
  </si>
  <si>
    <t>Terna</t>
  </si>
  <si>
    <t>http://www.forbes.com/companies/banco-popolare/</t>
  </si>
  <si>
    <t>Banco Popolare</t>
  </si>
  <si>
    <t>http://www.forbes.com/companies/finmeccanica/</t>
  </si>
  <si>
    <t>Finmeccanica</t>
  </si>
  <si>
    <t>http://www.forbes.com/companies/unipol-gruppo/</t>
  </si>
  <si>
    <t>Unipol Gruppo</t>
  </si>
  <si>
    <t>http://www.forbes.com/companies/ubi-banca/</t>
  </si>
  <si>
    <t>UBI Banca</t>
  </si>
  <si>
    <t>http://www.forbes.com/companies/mediolanum/</t>
  </si>
  <si>
    <t>Mediolanum</t>
  </si>
  <si>
    <t>http://www.forbes.com/companies/luxottica-group/</t>
  </si>
  <si>
    <t>Luxottica Group</t>
  </si>
  <si>
    <t>http://www.forbes.com/companies/atlantia/</t>
  </si>
  <si>
    <t>Atlantia</t>
  </si>
  <si>
    <t>http://www.forbes.com/companies/telecom-italia/</t>
  </si>
  <si>
    <t>Telecom Italia</t>
  </si>
  <si>
    <t>http://www.forbes.com/companies/intesa-sanpaolo/</t>
  </si>
  <si>
    <t>Intesa Sanpaolo</t>
  </si>
  <si>
    <t>http://www.forbes.com/companies/unicredit-group/</t>
  </si>
  <si>
    <t>UniCredit Group</t>
  </si>
  <si>
    <t>http://www.forbes.com/companies/exor/</t>
  </si>
  <si>
    <t>EXOR</t>
  </si>
  <si>
    <t>http://www.forbes.com/companies/generali-group/</t>
  </si>
  <si>
    <t>Generali Group</t>
  </si>
  <si>
    <t>http://www.forbes.com/companies/enel/</t>
  </si>
  <si>
    <t>Enel</t>
  </si>
  <si>
    <t>http://www.forbes.com/companies/eni/</t>
  </si>
  <si>
    <t>Eni</t>
  </si>
  <si>
    <t>http://www.forbes.com/companies/fibi-holdings/</t>
  </si>
  <si>
    <t>FIBI Holdings</t>
  </si>
  <si>
    <t>http://www.forbes.com/companies/idb-holding/</t>
  </si>
  <si>
    <t>IDB Holding</t>
  </si>
  <si>
    <t>http://www.forbes.com/companies/israel-discount-bank/</t>
  </si>
  <si>
    <t>Israel Discount Bank</t>
  </si>
  <si>
    <t>http://www.forbes.com/companies/mizrahi-tefahot-bank/</t>
  </si>
  <si>
    <t>Mizrahi Tefahot Bank</t>
  </si>
  <si>
    <t>http://www.forbes.com/companies/israel-corp/</t>
  </si>
  <si>
    <t>Israel Corp</t>
  </si>
  <si>
    <t>http://www.forbes.com/companies/check-point-software/</t>
  </si>
  <si>
    <t>Check Point Software</t>
  </si>
  <si>
    <t>http://www.forbes.com/companies/delek-group/</t>
  </si>
  <si>
    <t>Delek Group</t>
  </si>
  <si>
    <t>http://www.forbes.com/companies/bank-leumi/</t>
  </si>
  <si>
    <t>Bank Leumi</t>
  </si>
  <si>
    <t>http://www.forbes.com/companies/bank-hapoalim/</t>
  </si>
  <si>
    <t>Bank Hapoalim</t>
  </si>
  <si>
    <t>http://www.forbes.com/companies/teva-pharmaceutical/</t>
  </si>
  <si>
    <t>Teva Pharmaceutical Inds</t>
  </si>
  <si>
    <t>http://www.forbes.com/companies/king-digital-entertainment/</t>
  </si>
  <si>
    <t>King Digital Entertainment</t>
  </si>
  <si>
    <t>http://www.forbes.com/companies/dcc/</t>
  </si>
  <si>
    <t>DCC</t>
  </si>
  <si>
    <t>http://www.forbes.com/companies/smurfit-kappa-group/</t>
  </si>
  <si>
    <t>Smurfit Kappa Group</t>
  </si>
  <si>
    <t>http://www.forbes.com/companies/permanent-tsb-group/</t>
  </si>
  <si>
    <t>Permanent TSB Group</t>
  </si>
  <si>
    <t>http://www.forbes.com/companies/kerry-group/</t>
  </si>
  <si>
    <t>Kerry Group</t>
  </si>
  <si>
    <t>http://www.forbes.com/companies/perrigo/</t>
  </si>
  <si>
    <t>Perrigo</t>
  </si>
  <si>
    <t>http://www.forbes.com/companies/experian/</t>
  </si>
  <si>
    <t>Experian</t>
  </si>
  <si>
    <t>http://www.forbes.com/companies/shire/</t>
  </si>
  <si>
    <t>Shire</t>
  </si>
  <si>
    <t>http://www.forbes.com/companies/ryanair-holdings/</t>
  </si>
  <si>
    <t>Ryanair Holdings</t>
  </si>
  <si>
    <t>http://www.forbes.com/companies/bank-of-ireland/</t>
  </si>
  <si>
    <t>Bank of Ireland</t>
  </si>
  <si>
    <t>http://www.forbes.com/companies/actavis/</t>
  </si>
  <si>
    <t>Actavis</t>
  </si>
  <si>
    <t>http://www.forbes.com/companies/allied-irish-banks/</t>
  </si>
  <si>
    <t>Allied Irish Banks</t>
  </si>
  <si>
    <t>http://www.forbes.com/companies/crh/</t>
  </si>
  <si>
    <t>CRH</t>
  </si>
  <si>
    <t>http://www.forbes.com/companies/ingersoll-rand/</t>
  </si>
  <si>
    <t>Ingersoll-Rand</t>
  </si>
  <si>
    <t>http://www.forbes.com/companies/seagate-technology/</t>
  </si>
  <si>
    <t>Seagate Technology</t>
  </si>
  <si>
    <t>http://www.forbes.com/companies/xl-group/</t>
  </si>
  <si>
    <t>XL Group</t>
  </si>
  <si>
    <t>http://www.forbes.com/companies/covidien/</t>
  </si>
  <si>
    <t>Covidien</t>
  </si>
  <si>
    <t>http://www.forbes.com/companies/accenture/</t>
  </si>
  <si>
    <t>Accenture</t>
  </si>
  <si>
    <t>http://www.forbes.com/companies/eaton/</t>
  </si>
  <si>
    <t>Eaton</t>
  </si>
  <si>
    <t>http://www.forbes.com/companies/bank-danamon-indonesia/</t>
  </si>
  <si>
    <t>Bank Danamon Indonesia</t>
  </si>
  <si>
    <t>http://www.forbes.com/companies/semen-indonesia/</t>
  </si>
  <si>
    <t>Semen Indonesia</t>
  </si>
  <si>
    <t>http://www.forbes.com/companies/gudang-garam/</t>
  </si>
  <si>
    <t>Gudang Garam</t>
  </si>
  <si>
    <t>http://www.forbes.com/companies/pgn/</t>
  </si>
  <si>
    <t>PGN</t>
  </si>
  <si>
    <t>http://www.forbes.com/companies/bank-negara-indonesia/</t>
  </si>
  <si>
    <t>Bank Negara Indonesia</t>
  </si>
  <si>
    <t>http://www.forbes.com/companies/telekom-indonesia/</t>
  </si>
  <si>
    <t>Telekom Indonesia</t>
  </si>
  <si>
    <t>http://www.forbes.com/companies/bank-central-asia/</t>
  </si>
  <si>
    <t>Bank Central Asia</t>
  </si>
  <si>
    <t>http://www.forbes.com/companies/bank-rakyat-indonesia/</t>
  </si>
  <si>
    <t>Bank Rakyat Indonesia</t>
  </si>
  <si>
    <t>http://www.forbes.com/companies/bank-mandiri/</t>
  </si>
  <si>
    <t>Bank Mandiri</t>
  </si>
  <si>
    <t>http://www.forbes.com/companies/jsw-steel/</t>
  </si>
  <si>
    <t>JSW Steel</t>
  </si>
  <si>
    <t>http://www.forbes.com/companies/grasim-industries/</t>
  </si>
  <si>
    <t>Grasim Industries</t>
  </si>
  <si>
    <t>http://www.forbes.com/companies/andhra-bank/</t>
  </si>
  <si>
    <t>Andhra Bank</t>
  </si>
  <si>
    <t>http://www.forbes.com/companies/jindal-steel-power/</t>
  </si>
  <si>
    <t>Jindal Steel &amp; Power</t>
  </si>
  <si>
    <t>http://www.forbes.com/companies/hero-motocorp/</t>
  </si>
  <si>
    <t>Hero Motocorp</t>
  </si>
  <si>
    <t>http://www.forbes.com/companies/nhpc/</t>
  </si>
  <si>
    <t>NHPC</t>
  </si>
  <si>
    <t>http://www.forbes.com/companies/oriental-bank-of-commerce/</t>
  </si>
  <si>
    <t>Oriental Bank of Commerce</t>
  </si>
  <si>
    <t>http://www.forbes.com/companies/uco-bank/</t>
  </si>
  <si>
    <t>UCO Bank</t>
  </si>
  <si>
    <t>http://www.forbes.com/companies/allahabad-bank/</t>
  </si>
  <si>
    <t>Allahabad Bank</t>
  </si>
  <si>
    <t>http://www.forbes.com/companies/corporation-bank/</t>
  </si>
  <si>
    <t>Corporation Bank</t>
  </si>
  <si>
    <t>http://www.forbes.com/companies/indian-overseas-bank/</t>
  </si>
  <si>
    <t>Indian Overseas Bank</t>
  </si>
  <si>
    <t>http://www.forbes.com/companies/indian-bank/</t>
  </si>
  <si>
    <t>Indian Bank</t>
  </si>
  <si>
    <t>http://www.forbes.com/companies/central-bank-of-india/</t>
  </si>
  <si>
    <t>Central Bank of India</t>
  </si>
  <si>
    <t>http://www.forbes.com/companies/bajaj-auto/</t>
  </si>
  <si>
    <t>Bajaj Auto</t>
  </si>
  <si>
    <t>http://www.forbes.com/companies/syndicate-bank/</t>
  </si>
  <si>
    <t>Syndicate Bank</t>
  </si>
  <si>
    <t>http://www.forbes.com/companies/nmdc/</t>
  </si>
  <si>
    <t>NMDC</t>
  </si>
  <si>
    <t>http://www.forbes.com/companies/rural-electrification/</t>
  </si>
  <si>
    <t>Rural Electrification</t>
  </si>
  <si>
    <t>http://www.forbes.com/companies/steel-authority-of-india/</t>
  </si>
  <si>
    <t>Steel Authority of India</t>
  </si>
  <si>
    <t>http://www.forbes.com/companies/sun-pharma-industries/</t>
  </si>
  <si>
    <t>Sun Pharma Industries</t>
  </si>
  <si>
    <t>http://www.forbes.com/companies/idbi-bank/</t>
  </si>
  <si>
    <t>IDBI Bank</t>
  </si>
  <si>
    <t>http://www.forbes.com/companies/kotak-mahindra-bank/</t>
  </si>
  <si>
    <t>Kotak Mahindra Bank</t>
  </si>
  <si>
    <t>http://www.forbes.com/companies/adani-enterprises/</t>
  </si>
  <si>
    <t>Adani Enterprises</t>
  </si>
  <si>
    <t>http://www.forbes.com/companies/union-bank-of-india/</t>
  </si>
  <si>
    <t>Union Bank of India</t>
  </si>
  <si>
    <t>http://www.forbes.com/companies/power-finance/</t>
  </si>
  <si>
    <t>Power Finance</t>
  </si>
  <si>
    <t>http://www.forbes.com/companies/hindustan-petroleum/</t>
  </si>
  <si>
    <t>Hindustan Petroleum</t>
  </si>
  <si>
    <t>http://www.forbes.com/companies/hcl-technologies/</t>
  </si>
  <si>
    <t>HCL Technologies</t>
  </si>
  <si>
    <t>http://www.forbes.com/companies/bharat-petroleum/</t>
  </si>
  <si>
    <t>Bharat Petroleum</t>
  </si>
  <si>
    <t>http://www.forbes.com/companies/power-grid-of-india/</t>
  </si>
  <si>
    <t>Power Grid of India</t>
  </si>
  <si>
    <t>http://www.forbes.com/companies/tata-steel/</t>
  </si>
  <si>
    <t>Tata Steel</t>
  </si>
  <si>
    <t>http://www.forbes.com/companies/bank-of-india/</t>
  </si>
  <si>
    <t>Bank of India</t>
  </si>
  <si>
    <t>http://www.forbes.com/companies/canara-bank/</t>
  </si>
  <si>
    <t>Canara Bank</t>
  </si>
  <si>
    <t>http://www.forbes.com/companies/hindalco-industries/</t>
  </si>
  <si>
    <t>Hindalco Industries</t>
  </si>
  <si>
    <t>http://www.forbes.com/companies/gail-india/</t>
  </si>
  <si>
    <t>GAIL India</t>
  </si>
  <si>
    <t>http://www.forbes.com/companies/bharat-heavy-electricals/</t>
  </si>
  <si>
    <t>Bharat Heavy Electricals</t>
  </si>
  <si>
    <t>http://www.forbes.com/companies/wipro/</t>
  </si>
  <si>
    <t>Wipro</t>
  </si>
  <si>
    <t>http://www.forbes.com/companies/itc/</t>
  </si>
  <si>
    <t>ITC</t>
  </si>
  <si>
    <t>http://www.forbes.com/companies/mahindra-mahindra/</t>
  </si>
  <si>
    <t>Mahindra &amp; Mahindra</t>
  </si>
  <si>
    <t>http://www.forbes.com/companies/bank-of-baroda/</t>
  </si>
  <si>
    <t>Bank of Baroda</t>
  </si>
  <si>
    <t>http://www.forbes.com/companies/punjab-national-bank/</t>
  </si>
  <si>
    <t>Punjab National Bank</t>
  </si>
  <si>
    <t>http://www.forbes.com/companies/infosys/</t>
  </si>
  <si>
    <t>Infosys</t>
  </si>
  <si>
    <t>http://www.forbes.com/companies/axis-bank/</t>
  </si>
  <si>
    <t>Axis Bank</t>
  </si>
  <si>
    <t>http://www.forbes.com/companies/bharti-airtel/</t>
  </si>
  <si>
    <t>Bharti Airtel</t>
  </si>
  <si>
    <t>http://www.forbes.com/companies/tata-consultancy-services/</t>
  </si>
  <si>
    <t>Tata Consultancy Services</t>
  </si>
  <si>
    <t>http://www.forbes.com/companies/hdfc/</t>
  </si>
  <si>
    <t>HDFC</t>
  </si>
  <si>
    <t>http://www.forbes.com/companies/larsen-toubro/</t>
  </si>
  <si>
    <t>Larsen &amp; Toubro</t>
  </si>
  <si>
    <t>http://www.forbes.com/companies/coal-india/</t>
  </si>
  <si>
    <t>Coal India</t>
  </si>
  <si>
    <t>http://www.forbes.com/companies/ntpc/</t>
  </si>
  <si>
    <t>NTPC</t>
  </si>
  <si>
    <t>http://www.forbes.com/companies/hdfc-bank/</t>
  </si>
  <si>
    <t>HDFC Bank</t>
  </si>
  <si>
    <t>http://www.forbes.com/companies/indian-oil/</t>
  </si>
  <si>
    <t>Indian Oil</t>
  </si>
  <si>
    <t>http://www.forbes.com/companies/tata-motors/</t>
  </si>
  <si>
    <t>Tata Motors</t>
  </si>
  <si>
    <t>http://www.forbes.com/companies/icici-bank/</t>
  </si>
  <si>
    <t>ICICI Bank</t>
  </si>
  <si>
    <t>http://www.forbes.com/companies/oil-natural-gas/</t>
  </si>
  <si>
    <t>Oil &amp; Natural Gas</t>
  </si>
  <si>
    <t>http://www.forbes.com/companies/state-bank-of-india/</t>
  </si>
  <si>
    <t>State Bank of India</t>
  </si>
  <si>
    <t>http://www.forbes.com/companies/reliance-industries/</t>
  </si>
  <si>
    <t>Reliance Industries</t>
  </si>
  <si>
    <t>http://www.forbes.com/companies/otp-bank/</t>
  </si>
  <si>
    <t>OTP Bank</t>
  </si>
  <si>
    <t>http://www.forbes.com/companies/mol-hungarian-oil/</t>
  </si>
  <si>
    <t>MOL Hungarian Oil</t>
  </si>
  <si>
    <t>http://www.forbes.com/companies/tpv-technology/</t>
  </si>
  <si>
    <t>TPV Technology</t>
  </si>
  <si>
    <t>http://www.forbes.com/companies/shangri-la-asia/</t>
  </si>
  <si>
    <t>Shangri-La Asia</t>
  </si>
  <si>
    <t>http://www.forbes.com/companies/first-pacific/</t>
  </si>
  <si>
    <t>First Pacific</t>
  </si>
  <si>
    <t>http://www.forbes.com/companies/yuexiu-property/</t>
  </si>
  <si>
    <t>Yuexiu Property Co.</t>
  </si>
  <si>
    <t>http://www.forbes.com/companies/guangdong-investment/</t>
  </si>
  <si>
    <t>Guangdong Investment</t>
  </si>
  <si>
    <t>http://www.forbes.com/companies/wing-hang-bank/</t>
  </si>
  <si>
    <t>Wing Hang Bank</t>
  </si>
  <si>
    <t>http://www.forbes.com/companies/hysan-development/</t>
  </si>
  <si>
    <t>Hysan Development</t>
  </si>
  <si>
    <t>http://www.forbes.com/companies/chinese-estates/</t>
  </si>
  <si>
    <t>Chinese Estates</t>
  </si>
  <si>
    <t>http://www.forbes.com/companies/honbridge-holdings/</t>
  </si>
  <si>
    <t>Honbridge Holdings</t>
  </si>
  <si>
    <t>http://www.forbes.com/companies/china-agri-industries/</t>
  </si>
  <si>
    <t>China Agri-Industries</t>
  </si>
  <si>
    <t>http://www.forbes.com/companies/brilliance-china-automotive-holdings/</t>
  </si>
  <si>
    <t>Brilliance China Automotive Holdings</t>
  </si>
  <si>
    <t>http://www.forbes.com/companies/franshion-properties-china/</t>
  </si>
  <si>
    <t>Franshion Properties (China)</t>
  </si>
  <si>
    <t>http://www.forbes.com/companies/hopson-development/</t>
  </si>
  <si>
    <t>Hopson Development Holdings</t>
  </si>
  <si>
    <t>http://www.forbes.com/companies/china-mengniu-dairy/</t>
  </si>
  <si>
    <t>China Mengniu Dairy</t>
  </si>
  <si>
    <t>http://www.forbes.com/companies/sino-land/</t>
  </si>
  <si>
    <t>Sino Land</t>
  </si>
  <si>
    <t>http://www.forbes.com/companies/china-merchants-holdings/</t>
  </si>
  <si>
    <t>China Merchants Holdings</t>
  </si>
  <si>
    <t>http://www.forbes.com/companies/belle-international-holdings/</t>
  </si>
  <si>
    <t>Belle International Holdings</t>
  </si>
  <si>
    <t>http://www.forbes.com/companies/michael-kors-holdings/</t>
  </si>
  <si>
    <t>Michael Kors Holdings</t>
  </si>
  <si>
    <t>http://www.forbes.com/companies/agile-property-holdings/</t>
  </si>
  <si>
    <t>Agile Property Holdings</t>
  </si>
  <si>
    <t>http://www.forbes.com/companies/zte/</t>
  </si>
  <si>
    <t>ZTE</t>
  </si>
  <si>
    <t>http://www.forbes.com/companies/china-taiping-insurance/</t>
  </si>
  <si>
    <t>China Taiping Insurance</t>
  </si>
  <si>
    <t>http://www.forbes.com/companies/beijing-enterprises/</t>
  </si>
  <si>
    <t>Beijing Enterprises</t>
  </si>
  <si>
    <t>http://www.forbes.com/companies/hang-lung-group/</t>
  </si>
  <si>
    <t>Hang Lung Group</t>
  </si>
  <si>
    <t>http://www.forbes.com/companies/hong-kong-exchanges/</t>
  </si>
  <si>
    <t>Hong Kong Exchanges</t>
  </si>
  <si>
    <t>http://www.forbes.com/companies/china-resources-enterprise/</t>
  </si>
  <si>
    <t>China Resources Enterprise</t>
  </si>
  <si>
    <t>http://www.forbes.com/companies/melco-crown-entertainment/</t>
  </si>
  <si>
    <t>Melco Crown Entertainment</t>
  </si>
  <si>
    <t>http://www.forbes.com/companies/sun-art-retail-group/</t>
  </si>
  <si>
    <t>Sun Art Retail Group</t>
  </si>
  <si>
    <t>http://www.forbes.com/companies/noble-group/</t>
  </si>
  <si>
    <t>Noble Group</t>
  </si>
  <si>
    <t>http://www.forbes.com/companies/cathay-pacific/</t>
  </si>
  <si>
    <t>Cathay Pacific Airways</t>
  </si>
  <si>
    <t>http://www.forbes.com/companies/link-reit/</t>
  </si>
  <si>
    <t>Link REIT</t>
  </si>
  <si>
    <t>http://www.forbes.com/companies/hong-kong-china-gas/</t>
  </si>
  <si>
    <t>Hong Kong &amp; China Gas</t>
  </si>
  <si>
    <t>http://www.forbes.com/companies/power-assets-holdings/</t>
  </si>
  <si>
    <t>Power Assets Holdings</t>
  </si>
  <si>
    <t>http://www.forbes.com/companies/chow-tai-fook-jewellery/</t>
  </si>
  <si>
    <t>Chow Tai Fook Jewellery</t>
  </si>
  <si>
    <t>http://www.forbes.com/companies/sjm-holdings/</t>
  </si>
  <si>
    <t>SJM Holdings</t>
  </si>
  <si>
    <t>http://www.forbes.com/companies/bank-of-east-asia/</t>
  </si>
  <si>
    <t>Bank of East Asia</t>
  </si>
  <si>
    <t>http://www.forbes.com/companies/shimao-property-holdings/</t>
  </si>
  <si>
    <t>Shimao Property Holdings</t>
  </si>
  <si>
    <t>http://www.forbes.com/companies/citic-pacific/</t>
  </si>
  <si>
    <t>Citic Pacific</t>
  </si>
  <si>
    <t>http://www.forbes.com/companies/galaxy-entertainment/</t>
  </si>
  <si>
    <t>Galaxy Entertainment</t>
  </si>
  <si>
    <t>http://www.forbes.com/companies/wheelock-co/</t>
  </si>
  <si>
    <t>Wheelock &amp; Co</t>
  </si>
  <si>
    <t>http://www.forbes.com/companies/new-world-development/</t>
  </si>
  <si>
    <t>New World Development</t>
  </si>
  <si>
    <t>http://www.forbes.com/companies/henderson-land/</t>
  </si>
  <si>
    <t>Henderson Land</t>
  </si>
  <si>
    <t>http://www.forbes.com/companies/li-fung/</t>
  </si>
  <si>
    <t>Li &amp; Fung</t>
  </si>
  <si>
    <t>http://www.forbes.com/companies/country-garden-holdings/</t>
  </si>
  <si>
    <t>Country Garden Holdings</t>
  </si>
  <si>
    <t>http://www.forbes.com/companies/mtr/</t>
  </si>
  <si>
    <t>MTR</t>
  </si>
  <si>
    <t>http://www.forbes.com/companies/china-resources-power/</t>
  </si>
  <si>
    <t>China Resources Power</t>
  </si>
  <si>
    <t>http://www.forbes.com/companies/lenovo-group/</t>
  </si>
  <si>
    <t>Lenovo Group</t>
  </si>
  <si>
    <t>http://www.forbes.com/companies/china-resources-land/</t>
  </si>
  <si>
    <t>China Resources Land</t>
  </si>
  <si>
    <t>http://www.forbes.com/companies/swire-pacific/</t>
  </si>
  <si>
    <t>Swire Pacific</t>
  </si>
  <si>
    <t>http://www.forbes.com/companies/clp-holdings/</t>
  </si>
  <si>
    <t>CLP Holdings</t>
  </si>
  <si>
    <t>http://www.forbes.com/companies/cheung-kong-holdings/</t>
  </si>
  <si>
    <t>Cheung Kong Holdings</t>
  </si>
  <si>
    <t>http://www.forbes.com/companies/sun-hung-kai-properties/</t>
  </si>
  <si>
    <t>Sun Hung Kai Properties</t>
  </si>
  <si>
    <t>http://www.forbes.com/companies/china-railway-group/</t>
  </si>
  <si>
    <t>China Railway Group</t>
  </si>
  <si>
    <t>http://www.forbes.com/companies/jardine-matheson/</t>
  </si>
  <si>
    <t>Jardine Matheson</t>
  </si>
  <si>
    <t>http://www.forbes.com/companies/china-unicom/</t>
  </si>
  <si>
    <t>China Unicom</t>
  </si>
  <si>
    <t>http://www.forbes.com/companies/aia-group/</t>
  </si>
  <si>
    <t>AIA Group</t>
  </si>
  <si>
    <t>http://www.forbes.com/companies/hutchison-whampoa/</t>
  </si>
  <si>
    <t>Hutchison Whampoa</t>
  </si>
  <si>
    <t>http://www.forbes.com/companies/cnooc/</t>
  </si>
  <si>
    <t>CNOOC</t>
  </si>
  <si>
    <t>http://www.forbes.com/companies/china-mobile/</t>
  </si>
  <si>
    <t>China Mobile</t>
  </si>
  <si>
    <t>http://www.forbes.com/companies/motor-oil/</t>
  </si>
  <si>
    <t>Motor Oil</t>
  </si>
  <si>
    <t>http://www.forbes.com/companies/hellenic-petroleum/</t>
  </si>
  <si>
    <t>Hellenic Petroleum</t>
  </si>
  <si>
    <t>http://www.forbes.com/companies/public-power/</t>
  </si>
  <si>
    <t>Public Power</t>
  </si>
  <si>
    <t>http://www.forbes.com/companies/hellenic-telecom/</t>
  </si>
  <si>
    <t>Hellenic Telecom</t>
  </si>
  <si>
    <t>http://www.forbes.com/companies/bank-of-greece/</t>
  </si>
  <si>
    <t>Bank of Greece</t>
  </si>
  <si>
    <t>http://www.forbes.com/companies/national-bank-of-greece/</t>
  </si>
  <si>
    <t>National Bank of Greece</t>
  </si>
  <si>
    <t>http://www.forbes.com/companies/alpha-bank/</t>
  </si>
  <si>
    <t>Alpha Bank</t>
  </si>
  <si>
    <t>http://www.forbes.com/companies/piraeus-bank/</t>
  </si>
  <si>
    <t>Piraeus Bank</t>
  </si>
  <si>
    <t>http://www.forbes.com/companies/osram-licht/</t>
  </si>
  <si>
    <t>OSRAM Licht</t>
  </si>
  <si>
    <t>http://www.forbes.com/companies/dvb-bank/</t>
  </si>
  <si>
    <t>DVB Bank</t>
  </si>
  <si>
    <t>http://www.forbes.com/companies/fraport/</t>
  </si>
  <si>
    <t>Fraport</t>
  </si>
  <si>
    <t>http://www.forbes.com/companies/ikb-deutsche/</t>
  </si>
  <si>
    <t>IKB Deutsche</t>
  </si>
  <si>
    <t>http://www.forbes.com/companies/aurubis/</t>
  </si>
  <si>
    <t>Aurubis</t>
  </si>
  <si>
    <t>http://www.forbes.com/companies/bilfinger/</t>
  </si>
  <si>
    <t>Bilfinger</t>
  </si>
  <si>
    <t>http://www.forbes.com/companies/baywa/</t>
  </si>
  <si>
    <t>BayWa</t>
  </si>
  <si>
    <t>http://www.forbes.com/companies/hugo-boss/</t>
  </si>
  <si>
    <t>Hugo Boss</t>
  </si>
  <si>
    <t>http://www.forbes.com/companies/prosieben-sat1-media/</t>
  </si>
  <si>
    <t>ProSiebenSat1 Media</t>
  </si>
  <si>
    <t>http://www.forbes.com/companies/salzgitter/</t>
  </si>
  <si>
    <t>Salzgitter</t>
  </si>
  <si>
    <t>http://www.forbes.com/companies/aareal-bank/</t>
  </si>
  <si>
    <t>Aareal Bank</t>
  </si>
  <si>
    <t>http://www.forbes.com/companies/lanxess/</t>
  </si>
  <si>
    <t>Lanxess</t>
  </si>
  <si>
    <t>http://www.forbes.com/companies/k-plus-s/</t>
  </si>
  <si>
    <t>K+S</t>
  </si>
  <si>
    <t>http://www.forbes.com/companies/nurnberger/</t>
  </si>
  <si>
    <t>NÃƒÂ¼rnberger</t>
  </si>
  <si>
    <t>http://www.forbes.com/companies/gea-group/</t>
  </si>
  <si>
    <t>GEA Group</t>
  </si>
  <si>
    <t>http://www.forbes.com/companies/deutsche-annington-immobilien/</t>
  </si>
  <si>
    <t>Deutsche Annington Immobilien</t>
  </si>
  <si>
    <t>http://www.forbes.com/companies/infineon-technologies/</t>
  </si>
  <si>
    <t>Infineon Technologies</t>
  </si>
  <si>
    <t>http://www.forbes.com/companies/tui/</t>
  </si>
  <si>
    <t>TUI</t>
  </si>
  <si>
    <t>http://www.forbes.com/companies/ww-wustenrot/</t>
  </si>
  <si>
    <t>W&amp;W-WÃƒÂ¼stenrot</t>
  </si>
  <si>
    <t>http://www.forbes.com/companies/sudzucker/</t>
  </si>
  <si>
    <t>SÃƒÂ¼dzucker</t>
  </si>
  <si>
    <t>http://www.forbes.com/companies/brenntag/</t>
  </si>
  <si>
    <t>Brenntag</t>
  </si>
  <si>
    <t>http://www.forbes.com/companies/beiersdorf/</t>
  </si>
  <si>
    <t>Beiersdorf</t>
  </si>
  <si>
    <t>http://www.forbes.com/companies/enbw-energie-baden/</t>
  </si>
  <si>
    <t>EnBW-Energie Baden</t>
  </si>
  <si>
    <t>http://www.forbes.com/companies/deutsche-boerse/</t>
  </si>
  <si>
    <t>Deutsche Boerse</t>
  </si>
  <si>
    <t>http://www.forbes.com/companies/metro-group/</t>
  </si>
  <si>
    <t>Metro Group</t>
  </si>
  <si>
    <t>http://www.forbes.com/companies/thyssenkrupp-group/</t>
  </si>
  <si>
    <t>ThyssenKrupp Group</t>
  </si>
  <si>
    <t>http://www.forbes.com/companies/deutsche-lufthansa/</t>
  </si>
  <si>
    <t>Deutsche Lufthansa</t>
  </si>
  <si>
    <t>http://www.forbes.com/companies/porsche-automobil-holding/</t>
  </si>
  <si>
    <t>Porsche Automobil Holding</t>
  </si>
  <si>
    <t>http://www.forbes.com/companies/commerzbank/</t>
  </si>
  <si>
    <t>Commerzbank</t>
  </si>
  <si>
    <t>http://www.forbes.com/companies/evonik/</t>
  </si>
  <si>
    <t>Evonik</t>
  </si>
  <si>
    <t>http://www.forbes.com/companies/adidas/</t>
  </si>
  <si>
    <t>Adidas</t>
  </si>
  <si>
    <t>http://www.forbes.com/companies/rwe-group/</t>
  </si>
  <si>
    <t>RWE Group</t>
  </si>
  <si>
    <t>http://www.forbes.com/companies/heidelbergcement/</t>
  </si>
  <si>
    <t>HeidelbergCement</t>
  </si>
  <si>
    <t>http://www.forbes.com/companies/talanx/</t>
  </si>
  <si>
    <t>Talanx</t>
  </si>
  <si>
    <t>http://www.forbes.com/companies/merck/</t>
  </si>
  <si>
    <t>Merck</t>
  </si>
  <si>
    <t>http://www.forbes.com/companies/henkel/</t>
  </si>
  <si>
    <t>Henkel</t>
  </si>
  <si>
    <t>http://www.forbes.com/companies/fresenius/</t>
  </si>
  <si>
    <t>Fresenius</t>
  </si>
  <si>
    <t>http://www.forbes.com/companies/linde/</t>
  </si>
  <si>
    <t>Linde</t>
  </si>
  <si>
    <t>http://www.forbes.com/companies/continental/</t>
  </si>
  <si>
    <t>Continental</t>
  </si>
  <si>
    <t>http://www.forbes.com/companies/sap/</t>
  </si>
  <si>
    <t>SAP</t>
  </si>
  <si>
    <t>http://www.forbes.com/companies/deutsche-bank/</t>
  </si>
  <si>
    <t>Deutsche Bank</t>
  </si>
  <si>
    <t>http://www.forbes.com/companies/deutsche-post/</t>
  </si>
  <si>
    <t>Deutsche Post</t>
  </si>
  <si>
    <t>http://www.forbes.com/companies/deutsche-telekom/</t>
  </si>
  <si>
    <t>Deutsche Telekom</t>
  </si>
  <si>
    <t>http://www.forbes.com/companies/bayer/</t>
  </si>
  <si>
    <t>Bayer</t>
  </si>
  <si>
    <t>http://www.forbes.com/companies/eon/</t>
  </si>
  <si>
    <t>E.ON</t>
  </si>
  <si>
    <t>http://www.forbes.com/companies/munich-re/</t>
  </si>
  <si>
    <t>Munich Re</t>
  </si>
  <si>
    <t>http://www.forbes.com/companies/basf/</t>
  </si>
  <si>
    <t>BASF</t>
  </si>
  <si>
    <t>http://www.forbes.com/companies/siemens/</t>
  </si>
  <si>
    <t>Siemens</t>
  </si>
  <si>
    <t>http://www.forbes.com/companies/bmw-group/</t>
  </si>
  <si>
    <t>BMW Group</t>
  </si>
  <si>
    <t>http://www.forbes.com/companies/daimler/</t>
  </si>
  <si>
    <t>Daimler</t>
  </si>
  <si>
    <t>http://www.forbes.com/companies/allianz/</t>
  </si>
  <si>
    <t>Allianz</t>
  </si>
  <si>
    <t>http://www.forbes.com/companies/volkswagen-group/</t>
  </si>
  <si>
    <t>Volkswagen Group</t>
  </si>
  <si>
    <t>http://www.forbes.com/companies/icade/</t>
  </si>
  <si>
    <t>Icade</t>
  </si>
  <si>
    <t>http://www.forbes.com/companies/eutelsat-communications/</t>
  </si>
  <si>
    <t>Eutelsat Communications</t>
  </si>
  <si>
    <t>http://www.forbes.com/companies/arkema/</t>
  </si>
  <si>
    <t>Arkema</t>
  </si>
  <si>
    <t>http://www.forbes.com/companies/dassault-systemes/</t>
  </si>
  <si>
    <t>Dassault Systemes</t>
  </si>
  <si>
    <t>http://www.forbes.com/companies/gecina/</t>
  </si>
  <si>
    <t>Gecina</t>
  </si>
  <si>
    <t>http://www.forbes.com/companies/zodiac-aerospace/</t>
  </si>
  <si>
    <t>Zodiac Aerospace</t>
  </si>
  <si>
    <t>http://www.forbes.com/companies/accor/</t>
  </si>
  <si>
    <t>Accor</t>
  </si>
  <si>
    <t>http://www.forbes.com/companies/fonciere-des-regions/</t>
  </si>
  <si>
    <t>FonciÃƒÂ¨re des RÃƒÂ©gions</t>
  </si>
  <si>
    <t>http://www.forbes.com/companies/iliad/</t>
  </si>
  <si>
    <t>Iliad</t>
  </si>
  <si>
    <t>http://www.forbes.com/companies/vallourec/</t>
  </si>
  <si>
    <t>Vallourec</t>
  </si>
  <si>
    <t>http://www.forbes.com/companies/aeroports-de-paris/</t>
  </si>
  <si>
    <t>Aeroports de Paris</t>
  </si>
  <si>
    <t>http://www.forbes.com/companies/atos/</t>
  </si>
  <si>
    <t>ATOS</t>
  </si>
  <si>
    <t>http://www.forbes.com/companies/eurazeo/</t>
  </si>
  <si>
    <t>Eurazeo</t>
  </si>
  <si>
    <t>http://www.forbes.com/companies/rexel/</t>
  </si>
  <si>
    <t>Rexel</t>
  </si>
  <si>
    <t>http://www.forbes.com/companies/lagardere/</t>
  </si>
  <si>
    <t>LagardÃƒÂ¨re</t>
  </si>
  <si>
    <t>http://www.forbes.com/companies/air-france-klm/</t>
  </si>
  <si>
    <t>Air France-KLM</t>
  </si>
  <si>
    <t>http://www.forbes.com/companies/legrand/</t>
  </si>
  <si>
    <t>Legrand</t>
  </si>
  <si>
    <t>http://www.forbes.com/companies/wendel/</t>
  </si>
  <si>
    <t>Wendel</t>
  </si>
  <si>
    <t>http://www.forbes.com/companies/dassault-aviation/</t>
  </si>
  <si>
    <t>Dassault Aviation</t>
  </si>
  <si>
    <t>http://www.forbes.com/companies/hermes-international/</t>
  </si>
  <si>
    <t>HermÃƒÂ¨s International</t>
  </si>
  <si>
    <t>http://www.forbes.com/companies/finatis/</t>
  </si>
  <si>
    <t>Finatis</t>
  </si>
  <si>
    <t>http://www.forbes.com/companies/financiere-de-lodet/</t>
  </si>
  <si>
    <t>Financiere de l'Odet</t>
  </si>
  <si>
    <t>http://www.forbes.com/companies/areva/</t>
  </si>
  <si>
    <t>Areva</t>
  </si>
  <si>
    <t>http://www.forbes.com/companies/essilor-international/</t>
  </si>
  <si>
    <t>Essilor International</t>
  </si>
  <si>
    <t>http://www.forbes.com/companies/eiffage/</t>
  </si>
  <si>
    <t>Eiffage</t>
  </si>
  <si>
    <t>http://www.forbes.com/companies/alcatel-lucent/</t>
  </si>
  <si>
    <t>Alcatel-Lucent</t>
  </si>
  <si>
    <t>http://www.forbes.com/companies/valeo/</t>
  </si>
  <si>
    <t>Valeo</t>
  </si>
  <si>
    <t>http://www.forbes.com/companies/capgemini/</t>
  </si>
  <si>
    <t>Capgemini</t>
  </si>
  <si>
    <t>http://www.forbes.com/companies/peugeot/</t>
  </si>
  <si>
    <t>Peugeot</t>
  </si>
  <si>
    <t>http://www.forbes.com/companies/kering/</t>
  </si>
  <si>
    <t>Kering</t>
  </si>
  <si>
    <t>http://www.forbes.com/companies/veolia-environnement/</t>
  </si>
  <si>
    <t>Veolia Environnement</t>
  </si>
  <si>
    <t>http://www.forbes.com/companies/technip/</t>
  </si>
  <si>
    <t>Technip</t>
  </si>
  <si>
    <t>http://www.forbes.com/companies/scor/</t>
  </si>
  <si>
    <t>Scor</t>
  </si>
  <si>
    <t>http://www.forbes.com/companies/bouygues/</t>
  </si>
  <si>
    <t>Bouygues</t>
  </si>
  <si>
    <t>http://www.forbes.com/companies/unibail-rodamco/</t>
  </si>
  <si>
    <t>Unibail-Rodamco</t>
  </si>
  <si>
    <t>http://www.forbes.com/companies/sodexo/</t>
  </si>
  <si>
    <t>Sodexo</t>
  </si>
  <si>
    <t>http://www.forbes.com/companies/publicis-groupe/</t>
  </si>
  <si>
    <t>Publicis Groupe</t>
  </si>
  <si>
    <t>http://www.forbes.com/companies/vivendi/</t>
  </si>
  <si>
    <t>Vivendi</t>
  </si>
  <si>
    <t>http://www.forbes.com/companies/cic-group/</t>
  </si>
  <si>
    <t>CIC Group</t>
  </si>
  <si>
    <t>http://www.forbes.com/companies/thales/</t>
  </si>
  <si>
    <t>Thales</t>
  </si>
  <si>
    <t>http://www.forbes.com/companies/alstom/</t>
  </si>
  <si>
    <t>Alstom</t>
  </si>
  <si>
    <t>http://www.forbes.com/companies/gdf-suez/</t>
  </si>
  <si>
    <t>GDF SUEZ</t>
  </si>
  <si>
    <t>http://www.forbes.com/companies/pernod-ricard/</t>
  </si>
  <si>
    <t>Pernod Ricard</t>
  </si>
  <si>
    <t>http://www.forbes.com/companies/lafarge/</t>
  </si>
  <si>
    <t>Lafarge</t>
  </si>
  <si>
    <t>http://www.forbes.com/companies/michelin-group/</t>
  </si>
  <si>
    <t>Michelin Group</t>
  </si>
  <si>
    <t>http://www.forbes.com/companies/safran/</t>
  </si>
  <si>
    <t>Safran</t>
  </si>
  <si>
    <t>http://www.forbes.com/companies/air-liquide/</t>
  </si>
  <si>
    <t>Air Liquide</t>
  </si>
  <si>
    <t>http://www.forbes.com/companies/saint-gobain/</t>
  </si>
  <si>
    <t>Saint-Gobain</t>
  </si>
  <si>
    <t>http://www.forbes.com/companies/cnp-assurances/</t>
  </si>
  <si>
    <t>CNP Assurances</t>
  </si>
  <si>
    <t>http://www.forbes.com/companies/renault/</t>
  </si>
  <si>
    <t>Renault</t>
  </si>
  <si>
    <t>http://www.forbes.com/companies/natixis/</t>
  </si>
  <si>
    <t>Natixis</t>
  </si>
  <si>
    <t>http://www.forbes.com/companies/danone/</t>
  </si>
  <si>
    <t>Danone</t>
  </si>
  <si>
    <t>http://www.forbes.com/companies/carrefour/</t>
  </si>
  <si>
    <t>Carrefour</t>
  </si>
  <si>
    <t>http://www.forbes.com/companies/schneider-electric/</t>
  </si>
  <si>
    <t>Schneider Electric</t>
  </si>
  <si>
    <t>http://www.forbes.com/companies/christian-dior/</t>
  </si>
  <si>
    <t>Christian Dior</t>
  </si>
  <si>
    <t>http://www.forbes.com/companies/loreal-group/</t>
  </si>
  <si>
    <t>L'OrÃƒÂ©al Group</t>
  </si>
  <si>
    <t>http://www.forbes.com/companies/vinci/</t>
  </si>
  <si>
    <t>VINCI</t>
  </si>
  <si>
    <t>http://www.forbes.com/companies/france-telecom/</t>
  </si>
  <si>
    <t>France Telecom</t>
  </si>
  <si>
    <t>http://www.forbes.com/companies/eads/</t>
  </si>
  <si>
    <t>EADS</t>
  </si>
  <si>
    <t>http://www.forbes.com/companies/societe-generale/</t>
  </si>
  <si>
    <t>SociÃƒÂ©tÃƒÂ© GÃƒÂ©nÃƒÂ©rale</t>
  </si>
  <si>
    <t>http://www.forbes.com/companies/credit-agricole/</t>
  </si>
  <si>
    <t>Credit Agricole</t>
  </si>
  <si>
    <t>http://www.forbes.com/companies/sanofi/</t>
  </si>
  <si>
    <t>Sanofi</t>
  </si>
  <si>
    <t>http://www.forbes.com/companies/edf/</t>
  </si>
  <si>
    <t>EDF</t>
  </si>
  <si>
    <t>http://www.forbes.com/companies/axa-group/</t>
  </si>
  <si>
    <t>AXA Group</t>
  </si>
  <si>
    <t>http://www.forbes.com/companies/total/</t>
  </si>
  <si>
    <t>http://www.forbes.com/companies/bnp-paribas/</t>
  </si>
  <si>
    <t>BNP Paribas</t>
  </si>
  <si>
    <t>http://www.forbes.com/companies/kesko/</t>
  </si>
  <si>
    <t>Kesko</t>
  </si>
  <si>
    <t>http://www.forbes.com/companies/outokumpu/</t>
  </si>
  <si>
    <t>Outokumpu</t>
  </si>
  <si>
    <t>http://www.forbes.com/companies/metso/</t>
  </si>
  <si>
    <t>Metso</t>
  </si>
  <si>
    <t>http://www.forbes.com/companies/wartsila/</t>
  </si>
  <si>
    <t>WÃƒÂ¤rtsilÃƒÂ¤</t>
  </si>
  <si>
    <t>http://www.forbes.com/companies/stora-enso/</t>
  </si>
  <si>
    <t>Stora Enso</t>
  </si>
  <si>
    <t>http://www.forbes.com/companies/neste-oil/</t>
  </si>
  <si>
    <t>Neste Oil</t>
  </si>
  <si>
    <t>http://www.forbes.com/companies/pohjola-bank/</t>
  </si>
  <si>
    <t>Pohjola Bank</t>
  </si>
  <si>
    <t>http://www.forbes.com/companies/kone/</t>
  </si>
  <si>
    <t>Kone</t>
  </si>
  <si>
    <t>http://www.forbes.com/companies/upm-kymmene/</t>
  </si>
  <si>
    <t>UPM-Kymmene</t>
  </si>
  <si>
    <t>http://www.forbes.com/companies/nokia/</t>
  </si>
  <si>
    <t>Nokia</t>
  </si>
  <si>
    <t>http://www.forbes.com/companies/fortum/</t>
  </si>
  <si>
    <t>Fortum</t>
  </si>
  <si>
    <t>http://www.forbes.com/companies/sampo/</t>
  </si>
  <si>
    <t>Sampo</t>
  </si>
  <si>
    <t>http://www.forbes.com/companies/commercial-international-bank/</t>
  </si>
  <si>
    <t>Commercial International Bank</t>
  </si>
  <si>
    <t>http://www.forbes.com/companies/sydbank/</t>
  </si>
  <si>
    <t>Sydbank</t>
  </si>
  <si>
    <t>http://www.forbes.com/companies/dsv/</t>
  </si>
  <si>
    <t>DSV</t>
  </si>
  <si>
    <t>http://www.forbes.com/companies/pandora/</t>
  </si>
  <si>
    <t>Pandora</t>
  </si>
  <si>
    <t>http://www.forbes.com/companies/ow-bunker/</t>
  </si>
  <si>
    <t>OW Bunker</t>
  </si>
  <si>
    <t>http://www.forbes.com/companies/vestas-wind-systems/</t>
  </si>
  <si>
    <t>Vestas Wind Systems</t>
  </si>
  <si>
    <t>http://www.forbes.com/companies/novozymes/</t>
  </si>
  <si>
    <t>Novozymes</t>
  </si>
  <si>
    <t>http://www.forbes.com/companies/iss/</t>
  </si>
  <si>
    <t>ISS</t>
  </si>
  <si>
    <t>http://www.forbes.com/companies/jyske-bank/</t>
  </si>
  <si>
    <t>Jyske Bank</t>
  </si>
  <si>
    <t>http://www.forbes.com/companies/tdc/</t>
  </si>
  <si>
    <t>TDC</t>
  </si>
  <si>
    <t>http://www.forbes.com/companies/coloplast/</t>
  </si>
  <si>
    <t>Coloplast</t>
  </si>
  <si>
    <t>http://www.forbes.com/companies/carlsberg/</t>
  </si>
  <si>
    <t>Carlsberg</t>
  </si>
  <si>
    <t>http://www.forbes.com/companies/novo-nordisk/</t>
  </si>
  <si>
    <t>Novo Nordisk</t>
  </si>
  <si>
    <t>http://www.forbes.com/companies/danske-bank/</t>
  </si>
  <si>
    <t>Danske Bank</t>
  </si>
  <si>
    <t>http://www.forbes.com/companies/moller-maersk/</t>
  </si>
  <si>
    <t>MÃƒÂ¸ller-Maersk</t>
  </si>
  <si>
    <t>http://www.forbes.com/companies/cez-group/</t>
  </si>
  <si>
    <t>CEZ Group</t>
  </si>
  <si>
    <t>http://www.forbes.com/companies/empresa-de-energia-de-bogota/</t>
  </si>
  <si>
    <t>Empresa de Energia de Bogota</t>
  </si>
  <si>
    <t>http://www.forbes.com/companies/grupo-argos/</t>
  </si>
  <si>
    <t>Grupo Argos</t>
  </si>
  <si>
    <t>http://www.forbes.com/companies/banco-davivienda/</t>
  </si>
  <si>
    <t>Banco Davivienda</t>
  </si>
  <si>
    <t>http://www.forbes.com/companies/bancolombia/</t>
  </si>
  <si>
    <t>Bancolombia</t>
  </si>
  <si>
    <t>http://www.forbes.com/companies/grupo-aval/</t>
  </si>
  <si>
    <t>Grupo Aval</t>
  </si>
  <si>
    <t>http://www.forbes.com/companies/ecopetrol/</t>
  </si>
  <si>
    <t>Ecopetrol</t>
  </si>
  <si>
    <t>http://www.forbes.com/companies/yunnan-yuntianhua/</t>
  </si>
  <si>
    <t>Yunnan Yuntianhua</t>
  </si>
  <si>
    <t>http://www.forbes.com/companies/shandong-iron-and-steel/</t>
  </si>
  <si>
    <t>Shandong Iron and Steel</t>
  </si>
  <si>
    <t>http://www.forbes.com/companies/shui-on-land/</t>
  </si>
  <si>
    <t>Shui On Land</t>
  </si>
  <si>
    <t>http://www.forbes.com/companies/new-hope-liuhe/</t>
  </si>
  <si>
    <t>New Hope Liuhe</t>
  </si>
  <si>
    <t>http://www.forbes.com/companies/china-fortune-land-development/</t>
  </si>
  <si>
    <t>China Fortune Land Development</t>
  </si>
  <si>
    <t>http://www.forbes.com/companies/sichuan-changhong-electric/</t>
  </si>
  <si>
    <t>Sichuan Changhong Electric</t>
  </si>
  <si>
    <t>http://www.forbes.com/companies/sinomach-automobile/</t>
  </si>
  <si>
    <t>Sinomach Automobile</t>
  </si>
  <si>
    <t>http://www.forbes.com/companies/wanhua-chemical-group/</t>
  </si>
  <si>
    <t>Wanhua Chemical Group</t>
  </si>
  <si>
    <t>http://www.forbes.com/companies/tongling-nonferrous-metals/</t>
  </si>
  <si>
    <t>Tongling Nonferrous Metals</t>
  </si>
  <si>
    <t>http://www.forbes.com/companies/yang-quan-coal-industry/</t>
  </si>
  <si>
    <t>Yang Quan Coal Industry</t>
  </si>
  <si>
    <t>http://www.forbes.com/companies/financial-street-holdings/</t>
  </si>
  <si>
    <t>Financial Street Holdings</t>
  </si>
  <si>
    <t>http://www.forbes.com/companies/pang-da-automobile-trade/</t>
  </si>
  <si>
    <t>Pang Da Automobile Trade</t>
  </si>
  <si>
    <t>http://www.forbes.com/companies/tsingtao-brewery/</t>
  </si>
  <si>
    <t>Tsingtao Brewery</t>
  </si>
  <si>
    <t>http://www.forbes.com/companies/inner-mongolia-baotou-steel/</t>
  </si>
  <si>
    <t>Inner Mongolia Baotou Steel</t>
  </si>
  <si>
    <t>http://www.forbes.com/companies/netdragon-websoft/</t>
  </si>
  <si>
    <t>NetDragon Websoft</t>
  </si>
  <si>
    <t>http://www.forbes.com/companies/yunnan-baiyao-group/</t>
  </si>
  <si>
    <t>Yunnan Baiyao Group</t>
  </si>
  <si>
    <t>http://www.forbes.com/companies/hunan-valin-steel/</t>
  </si>
  <si>
    <t>Hunan Valin Steel</t>
  </si>
  <si>
    <t>http://www.forbes.com/companies/kaisa-group-holdings/</t>
  </si>
  <si>
    <t>Kaisa Group Holdings</t>
  </si>
  <si>
    <t>http://www.forbes.com/companies/shanghai-material-trading/</t>
  </si>
  <si>
    <t>Shanghai Material Trading</t>
  </si>
  <si>
    <t>http://www.forbes.com/companies/guangzhou-automobile/</t>
  </si>
  <si>
    <t>Guangzhou Automobile Group Co. Ltd.</t>
  </si>
  <si>
    <t>http://www.forbes.com/companies/great-wall-technology/</t>
  </si>
  <si>
    <t>Great Wall Technology</t>
  </si>
  <si>
    <t>http://www.forbes.com/companies/hainan-airlines/</t>
  </si>
  <si>
    <t>Hainan Airlines</t>
  </si>
  <si>
    <t>http://www.forbes.com/companies/gansu-jiu-steel-group-hongxing-iron-steel/</t>
  </si>
  <si>
    <t>Gansu Jiu Steel Group Hongxing Iron &amp; Steel</t>
  </si>
  <si>
    <t>http://www.forbes.com/companies/boe-technology-group/</t>
  </si>
  <si>
    <t>BOE Technology Group</t>
  </si>
  <si>
    <t>http://www.forbes.com/companies/china-gezhouba/</t>
  </si>
  <si>
    <t>China Gezhouba</t>
  </si>
  <si>
    <t>http://www.forbes.com/companies/maanshan-iron-steel/</t>
  </si>
  <si>
    <t>Maanshan Iron &amp; Steel</t>
  </si>
  <si>
    <t>http://www.forbes.com/companies/china-national-materials/</t>
  </si>
  <si>
    <t>China National Materials</t>
  </si>
  <si>
    <t>http://www.forbes.com/companies/china-communications-services/</t>
  </si>
  <si>
    <t>China Communications Services</t>
  </si>
  <si>
    <t>http://www.forbes.com/companies/minmetals-development/</t>
  </si>
  <si>
    <t>Minmetals Development</t>
  </si>
  <si>
    <t>http://www.forbes.com/companies/huatai-securities/</t>
  </si>
  <si>
    <t>Huatai Securities</t>
  </si>
  <si>
    <t>http://www.forbes.com/companies/hikvision/</t>
  </si>
  <si>
    <t>Hikvision</t>
  </si>
  <si>
    <t>http://www.forbes.com/companies/china-merchants-securities/</t>
  </si>
  <si>
    <t>China Merchants Securities</t>
  </si>
  <si>
    <t>http://www.forbes.com/companies/sinopec-engineering-group/</t>
  </si>
  <si>
    <t>SINOPEC Engineering (Group)</t>
  </si>
  <si>
    <t>http://www.forbes.com/companies/dongfang-electric/</t>
  </si>
  <si>
    <t>Dongfang Electric</t>
  </si>
  <si>
    <t>http://www.forbes.com/companies/bank-of-chongqing/</t>
  </si>
  <si>
    <t>Bank of Chongqing</t>
  </si>
  <si>
    <t>http://www.forbes.com/companies/china-hongqiao-group/</t>
  </si>
  <si>
    <t>China Hongqiao Group</t>
  </si>
  <si>
    <t>http://www.forbes.com/companies/shanxi-taigang-stainless/</t>
  </si>
  <si>
    <t>Shanxi Taigang Stainless</t>
  </si>
  <si>
    <t>http://www.forbes.com/companies/angang-steel/</t>
  </si>
  <si>
    <t>Angang Steel</t>
  </si>
  <si>
    <t>http://www.forbes.com/companies/hengan-international-group/</t>
  </si>
  <si>
    <t>Hengan International Group</t>
  </si>
  <si>
    <t>http://www.forbes.com/companies/sunac-china-holdings/</t>
  </si>
  <si>
    <t>Sunac China Holdings</t>
  </si>
  <si>
    <t>http://www.forbes.com/companies/yanzhou-coal-mining/</t>
  </si>
  <si>
    <t>Yanzhou Coal Mining</t>
  </si>
  <si>
    <t>http://www.forbes.com/companies/chongqing-changan-aut/</t>
  </si>
  <si>
    <t>Chongqing Changan Auto</t>
  </si>
  <si>
    <t>http://www.forbes.com/companies/china-longyuan-power/</t>
  </si>
  <si>
    <t>China Longyuan Power</t>
  </si>
  <si>
    <t>http://www.forbes.com/companies/soho-china/</t>
  </si>
  <si>
    <t>SOHO China</t>
  </si>
  <si>
    <t>http://www.forbes.com/companies/shenzhen-overseas/</t>
  </si>
  <si>
    <t>Shenzhen Overseas</t>
  </si>
  <si>
    <t>http://www.forbes.com/companies/sdic-power-holdings/</t>
  </si>
  <si>
    <t>SDIC Power Holdings</t>
  </si>
  <si>
    <t>http://www.forbes.com/companies/netease/</t>
  </si>
  <si>
    <t>Netease</t>
  </si>
  <si>
    <t>http://www.forbes.com/companies/shanghai-pharmaceuticals/</t>
  </si>
  <si>
    <t>Shanghai Pharmaceuticals</t>
  </si>
  <si>
    <t>http://www.forbes.com/companies/guangdong-electric/</t>
  </si>
  <si>
    <t>Guangdong Electric Power</t>
  </si>
  <si>
    <t>http://www.forbes.com/companies/wuhan-iron-steel/</t>
  </si>
  <si>
    <t>Wuhan Iron &amp; Steel</t>
  </si>
  <si>
    <t>http://www.forbes.com/companies/sany-heavy-industry/</t>
  </si>
  <si>
    <t>Sany Heavy Industry</t>
  </si>
  <si>
    <t>http://www.forbes.com/companies/zijin-mining-group/</t>
  </si>
  <si>
    <t>Zijin Mining Group</t>
  </si>
  <si>
    <t>http://www.forbes.com/companies/jiangsu-yanghe-brewery/</t>
  </si>
  <si>
    <t>Jiangsu Yanghe Brewery</t>
  </si>
  <si>
    <t>http://www.forbes.com/companies/shanghai-construction/</t>
  </si>
  <si>
    <t>Shanghai Construction</t>
  </si>
  <si>
    <t>http://www.forbes.com/companies/china-international-marine/</t>
  </si>
  <si>
    <t>China International Marine</t>
  </si>
  <si>
    <t>http://www.forbes.com/companies/tcl-corp/</t>
  </si>
  <si>
    <t>TCL Corp</t>
  </si>
  <si>
    <t>http://www.forbes.com/companies/china-national-chemical/</t>
  </si>
  <si>
    <t>China National Chemical</t>
  </si>
  <si>
    <t>http://www.forbes.com/companies/china-merchants-property/</t>
  </si>
  <si>
    <t>China Merchants Property</t>
  </si>
  <si>
    <t>http://www.forbes.com/companies/bbmg/</t>
  </si>
  <si>
    <t>BBMG</t>
  </si>
  <si>
    <t>http://www.forbes.com/companies/gf-securities/</t>
  </si>
  <si>
    <t>GF Securities</t>
  </si>
  <si>
    <t>http://www.forbes.com/companies/china-cosco-holdings/</t>
  </si>
  <si>
    <t>China Cosco Holdings</t>
  </si>
  <si>
    <t>http://www.forbes.com/companies/greentown-china-holdings/</t>
  </si>
  <si>
    <t>Greentown China Holdings</t>
  </si>
  <si>
    <t>http://www.forbes.com/companies/gemdale/</t>
  </si>
  <si>
    <t>Gemdale</t>
  </si>
  <si>
    <t>http://www.forbes.com/companies/harbin-bank/</t>
  </si>
  <si>
    <t>Harbin Bank</t>
  </si>
  <si>
    <t>http://www.forbes.com/companies/xiamen-cd/</t>
  </si>
  <si>
    <t>Xiamen C&amp;D</t>
  </si>
  <si>
    <t>http://www.forbes.com/companies/sino-ocean-land-holdings/</t>
  </si>
  <si>
    <t>Sino-Ocean Land Holdings</t>
  </si>
  <si>
    <t>http://www.forbes.com/companies/wuliangye-yibin/</t>
  </si>
  <si>
    <t>Wuliangye Yibin</t>
  </si>
  <si>
    <t>http://www.forbes.com/companies/want-want-china/</t>
  </si>
  <si>
    <t>Want Want China</t>
  </si>
  <si>
    <t>http://www.forbes.com/companies/hebei-iron-steel/</t>
  </si>
  <si>
    <t>Hebei Iron &amp; Steel</t>
  </si>
  <si>
    <t>http://www.forbes.com/companies/zoomlion-heavy-industry/</t>
  </si>
  <si>
    <t>Zoomlion Heavy Industry</t>
  </si>
  <si>
    <t>http://www.forbes.com/companies/inner-mongolia-yili/</t>
  </si>
  <si>
    <t>Inner Mongolia Yili</t>
  </si>
  <si>
    <t>http://www.forbes.com/companies/byd/</t>
  </si>
  <si>
    <t>BYD</t>
  </si>
  <si>
    <t>http://www.forbes.com/companies/suning-appliance/</t>
  </si>
  <si>
    <t>Suning Appliance</t>
  </si>
  <si>
    <t>http://www.forbes.com/companies/bank-of-nanjing/</t>
  </si>
  <si>
    <t>Bank of Nanjing</t>
  </si>
  <si>
    <t>http://www.forbes.com/companies/bank-of-ningbo/</t>
  </si>
  <si>
    <t>Bank of Ningbo</t>
  </si>
  <si>
    <t>http://www.forbes.com/companies/china-southern-airlines/</t>
  </si>
  <si>
    <t>China Southern Airlines</t>
  </si>
  <si>
    <t>http://www.forbes.com/companies/huishang-bank-corporation-limited/</t>
  </si>
  <si>
    <t>Huishang Bank Corporation Limited</t>
  </si>
  <si>
    <t>http://www.forbes.com/companies/china-eastern-airlines/</t>
  </si>
  <si>
    <t>China Eastern Airlines</t>
  </si>
  <si>
    <t>http://www.forbes.com/companies/henan-shuanghui-investment/</t>
  </si>
  <si>
    <t>Henan Shuanghui Investment</t>
  </si>
  <si>
    <t>http://www.forbes.com/companies/tingyi-holding/</t>
  </si>
  <si>
    <t>Tingyi Holding</t>
  </si>
  <si>
    <t>http://www.forbes.com/companies/guangzhou-rf/</t>
  </si>
  <si>
    <t>Guangzhou R&amp;F</t>
  </si>
  <si>
    <t>http://www.forbes.com/companies/chongqing-rural-bank/</t>
  </si>
  <si>
    <t>Chongqing Rural Bank</t>
  </si>
  <si>
    <t>http://www.forbes.com/companies/shaanxi-coal-industry/</t>
  </si>
  <si>
    <t>Shaanxi Coal Industry</t>
  </si>
  <si>
    <t>http://www.forbes.com/companies/qingdao-haier/</t>
  </si>
  <si>
    <t>Qingdao Haier</t>
  </si>
  <si>
    <t>http://www.forbes.com/companies/weichai-power/</t>
  </si>
  <si>
    <t>Weichai Power</t>
  </si>
  <si>
    <t>http://www.forbes.com/companies/china-oilfield-service/</t>
  </si>
  <si>
    <t>China Oilfield Services</t>
  </si>
  <si>
    <t>http://www.forbes.com/companies/haitong-securities/</t>
  </si>
  <si>
    <t>Haitong Securities</t>
  </si>
  <si>
    <t>http://www.forbes.com/companies/aluminum-corp-of-china/</t>
  </si>
  <si>
    <t>Aluminum Corp of China</t>
  </si>
  <si>
    <t>http://www.forbes.com/companies/shanghai-electric-group/</t>
  </si>
  <si>
    <t>Shanghai Electric Group</t>
  </si>
  <si>
    <t>http://www.forbes.com/companies/huadian-power-international/</t>
  </si>
  <si>
    <t>Huadian Power International</t>
  </si>
  <si>
    <t>http://www.forbes.com/companies/shanghai-international-port/</t>
  </si>
  <si>
    <t>Shanghai International Port</t>
  </si>
  <si>
    <t>http://www.forbes.com/companies/zhejiang-zheneng-electric-power/</t>
  </si>
  <si>
    <t>Zhejiang Zheneng Electric Power</t>
  </si>
  <si>
    <t>http://www.forbes.com/companies/sinopharm-group/</t>
  </si>
  <si>
    <t>Sinopharm Group</t>
  </si>
  <si>
    <t>http://www.forbes.com/companies/jiangxi-copper/</t>
  </si>
  <si>
    <t>Jiangxi Copper</t>
  </si>
  <si>
    <t>http://www.forbes.com/companies/kweichow-moutai/</t>
  </si>
  <si>
    <t>Kweichow Moutai</t>
  </si>
  <si>
    <t>http://www.forbes.com/companies/datang-international-power/</t>
  </si>
  <si>
    <t>Datang International Power</t>
  </si>
  <si>
    <t>http://www.forbes.com/companies/great-wall-motor/</t>
  </si>
  <si>
    <t>Great Wall Motor</t>
  </si>
  <si>
    <t>http://www.forbes.com/companies/china-shipbuilding-industry/</t>
  </si>
  <si>
    <t>China Shipbuilding Industry</t>
  </si>
  <si>
    <t>http://www.forbes.com/companies/longfor-properties/</t>
  </si>
  <si>
    <t>Longfor Properties</t>
  </si>
  <si>
    <t>http://www.forbes.com/companies/sinohydro-group/</t>
  </si>
  <si>
    <t>Sinohydro Group</t>
  </si>
  <si>
    <t>http://www.forbes.com/companies/china-cnr/</t>
  </si>
  <si>
    <t>China CNR</t>
  </si>
  <si>
    <t>http://www.forbes.com/companies/china-yangtze-power/</t>
  </si>
  <si>
    <t>China Yangtze Power</t>
  </si>
  <si>
    <t>http://www.forbes.com/companies/metallurgical-corp-of-china/</t>
  </si>
  <si>
    <t>Metallurgical Corp of China</t>
  </si>
  <si>
    <t>http://www.forbes.com/companies/fosun-international/</t>
  </si>
  <si>
    <t>Fosun International</t>
  </si>
  <si>
    <t>http://www.forbes.com/companies/dongfeng-motor-group/</t>
  </si>
  <si>
    <t>Dongfeng Motor Group</t>
  </si>
  <si>
    <t>http://www.forbes.com/companies/citic-securities/</t>
  </si>
  <si>
    <t>Citic Securities</t>
  </si>
  <si>
    <t>http://www.forbes.com/companies/baidu/</t>
  </si>
  <si>
    <t>Baidu</t>
  </si>
  <si>
    <t>http://www.forbes.com/companies/gd-midea-holding/</t>
  </si>
  <si>
    <t>Midea Group Co. Ltd.</t>
  </si>
  <si>
    <t>http://www.forbes.com/companies/china-coal-energy/</t>
  </si>
  <si>
    <t>China Coal Energy</t>
  </si>
  <si>
    <t>http://www.forbes.com/companies/gd-power-development/</t>
  </si>
  <si>
    <t>GD Power Development</t>
  </si>
  <si>
    <t>http://www.forbes.com/companies/csr/</t>
  </si>
  <si>
    <t>CSR</t>
  </si>
  <si>
    <t>http://www.forbes.com/companies/china-cinda-asset-management/</t>
  </si>
  <si>
    <t>China Cinda Asset Management</t>
  </si>
  <si>
    <t>http://www.forbes.com/companies/china-national-building/</t>
  </si>
  <si>
    <t>China National Building</t>
  </si>
  <si>
    <t>http://www.forbes.com/companies/daqin-railway/</t>
  </si>
  <si>
    <t>Daqin Railway</t>
  </si>
  <si>
    <t>http://www.forbes.com/companies/anhui-conch-cement/</t>
  </si>
  <si>
    <t>Anhui Conch Cement</t>
  </si>
  <si>
    <t>http://www.forbes.com/companies/evergrande-real-estate/</t>
  </si>
  <si>
    <t>Evergrande Real Estate</t>
  </si>
  <si>
    <t>http://www.forbes.com/companies/baoshan-iron-steel/</t>
  </si>
  <si>
    <t>Baoshan Iron &amp; Steel</t>
  </si>
  <si>
    <t>http://www.forbes.com/companies/poly-real-estate/</t>
  </si>
  <si>
    <t>Poly Real Estate</t>
  </si>
  <si>
    <t>http://www.forbes.com/companies/gree-electric-appliances/</t>
  </si>
  <si>
    <t>Gree Electric Appliances</t>
  </si>
  <si>
    <t>http://www.forbes.com/companies/new-china-life-insurance/</t>
  </si>
  <si>
    <t>New China Life Insurance</t>
  </si>
  <si>
    <t>http://www.forbes.com/companies/bank-of-beijing/</t>
  </si>
  <si>
    <t>Bank of Beijing</t>
  </si>
  <si>
    <t>http://www.forbes.com/companies/tencent-holdings/</t>
  </si>
  <si>
    <t>Tencent Holdings</t>
  </si>
  <si>
    <t>http://www.forbes.com/companies/huaneng-power-international/</t>
  </si>
  <si>
    <t>Huaneng Power International</t>
  </si>
  <si>
    <t>http://www.forbes.com/companies/huaxia-bank/</t>
  </si>
  <si>
    <t>Huaxia Bank</t>
  </si>
  <si>
    <t>http://www.forbes.com/companies/china-railway-construction/</t>
  </si>
  <si>
    <t>China Railway Construction</t>
  </si>
  <si>
    <t>http://www.forbes.com/companies/china-communications-construction/</t>
  </si>
  <si>
    <t>China Communications Construction</t>
  </si>
  <si>
    <t>http://www.forbes.com/companies/china-vanke/</t>
  </si>
  <si>
    <t>China Vanke</t>
  </si>
  <si>
    <t>http://www.forbes.com/companies/ping-an-bank/</t>
  </si>
  <si>
    <t>Ping An Bank</t>
  </si>
  <si>
    <t>http://www.forbes.com/companies/peoples-insurance-company/</t>
  </si>
  <si>
    <t>People's Insurance Company</t>
  </si>
  <si>
    <t>http://www.forbes.com/companies/china-pacific-insurance/</t>
  </si>
  <si>
    <t>China Pacific Insurance</t>
  </si>
  <si>
    <t>http://www.forbes.com/companies/china-state-construction/</t>
  </si>
  <si>
    <t>China State Construction</t>
  </si>
  <si>
    <t>http://www.forbes.com/companies/china-everbright-bank/</t>
  </si>
  <si>
    <t>China Everbright Bank</t>
  </si>
  <si>
    <t>http://www.forbes.com/companies/saic-motor/</t>
  </si>
  <si>
    <t>SAIC Motor</t>
  </si>
  <si>
    <t>http://www.forbes.com/companies/china-telecom/</t>
  </si>
  <si>
    <t>China Telecom</t>
  </si>
  <si>
    <t>http://www.forbes.com/companies/china-citic-bank/</t>
  </si>
  <si>
    <t>China Citic Bank</t>
  </si>
  <si>
    <t>http://www.forbes.com/companies/shanghai-pudong-development/</t>
  </si>
  <si>
    <t>Shanghai Pudong Development</t>
  </si>
  <si>
    <t>http://www.forbes.com/companies/industrial-bank/</t>
  </si>
  <si>
    <t>Industrial Bank</t>
  </si>
  <si>
    <t>http://www.forbes.com/companies/china-shenhua-energy/</t>
  </si>
  <si>
    <t>China Shenhua Energy</t>
  </si>
  <si>
    <t>http://www.forbes.com/companies/china-minsheng-banking/</t>
  </si>
  <si>
    <t>China Minsheng Banking</t>
  </si>
  <si>
    <t>http://www.forbes.com/companies/china-merchants-bank/</t>
  </si>
  <si>
    <t>China Merchants Bank</t>
  </si>
  <si>
    <t>http://www.forbes.com/companies/china-life-insurance/</t>
  </si>
  <si>
    <t>China Life Insurance</t>
  </si>
  <si>
    <t>http://www.forbes.com/companies/bank-of-communications/</t>
  </si>
  <si>
    <t>Bank of Communications</t>
  </si>
  <si>
    <t>http://www.forbes.com/companies/ping-an-insurance/</t>
  </si>
  <si>
    <t>Ping An Insurance Group</t>
  </si>
  <si>
    <t>http://www.forbes.com/companies/sinopec-china-petroleum/</t>
  </si>
  <si>
    <t>Sinopec-China Petroleum</t>
  </si>
  <si>
    <t>http://www.forbes.com/companies/petrochina/</t>
  </si>
  <si>
    <t>PetroChina</t>
  </si>
  <si>
    <t>http://www.forbes.com/companies/bank-of-china/</t>
  </si>
  <si>
    <t>Bank of China</t>
  </si>
  <si>
    <t>http://www.forbes.com/companies/agricultural-bank-of-china/</t>
  </si>
  <si>
    <t>Agricultural Bank of China</t>
  </si>
  <si>
    <t>http://www.forbes.com/companies/china-construction-bank/</t>
  </si>
  <si>
    <t>China Construction Bank</t>
  </si>
  <si>
    <t>http://www.forbes.com/companies/icbc/</t>
  </si>
  <si>
    <t>ICBC</t>
  </si>
  <si>
    <t>http://www.forbes.com/companies/sqm/</t>
  </si>
  <si>
    <t>SQM</t>
  </si>
  <si>
    <t>http://www.forbes.com/companies/corpbanca/</t>
  </si>
  <si>
    <t>CorpBanca</t>
  </si>
  <si>
    <t>http://www.forbes.com/companies/quinenco/</t>
  </si>
  <si>
    <t>Quinenco</t>
  </si>
  <si>
    <t>http://www.forbes.com/companies/bci-banco-credito/</t>
  </si>
  <si>
    <t>BCI-Banco Credito</t>
  </si>
  <si>
    <t>http://www.forbes.com/companies/latam-airlines/</t>
  </si>
  <si>
    <t>Latam Airlines</t>
  </si>
  <si>
    <t>http://www.forbes.com/companies/antarchile/</t>
  </si>
  <si>
    <t>AntarChile</t>
  </si>
  <si>
    <t>http://www.forbes.com/companies/cencosud/</t>
  </si>
  <si>
    <t>Cencosud</t>
  </si>
  <si>
    <t>http://www.forbes.com/companies/falabella/</t>
  </si>
  <si>
    <t>Falabella</t>
  </si>
  <si>
    <t>http://www.forbes.com/companies/herbalife/</t>
  </si>
  <si>
    <t>Herbalife</t>
  </si>
  <si>
    <t>http://www.forbes.com/companies/cameco/</t>
  </si>
  <si>
    <t>Cameco</t>
  </si>
  <si>
    <t>http://www.forbes.com/companies/silver-wheaton/</t>
  </si>
  <si>
    <t>Silver Wheaton</t>
  </si>
  <si>
    <t>http://www.forbes.com/companies/laurentian-bank/</t>
  </si>
  <si>
    <t>Laurentian Bank</t>
  </si>
  <si>
    <t>http://www.forbes.com/companies/tim-hortons/</t>
  </si>
  <si>
    <t>Tim Hortons</t>
  </si>
  <si>
    <t>http://www.forbes.com/companies/air-canada/</t>
  </si>
  <si>
    <t>Air Canada</t>
  </si>
  <si>
    <t>http://www.forbes.com/companies/pacific-rubiales-energy/</t>
  </si>
  <si>
    <t>Pacific Rubiales Energy</t>
  </si>
  <si>
    <t>http://www.forbes.com/companies/atco/</t>
  </si>
  <si>
    <t>Atco</t>
  </si>
  <si>
    <t>http://www.forbes.com/companies/snc-lavalin-group/</t>
  </si>
  <si>
    <t>SNC-Lavalin Group</t>
  </si>
  <si>
    <t>http://www.forbes.com/companies/crescent-point-energy/</t>
  </si>
  <si>
    <t>Crescent Point Energy</t>
  </si>
  <si>
    <t>http://www.forbes.com/companies/fortis-canada/</t>
  </si>
  <si>
    <t>Fortis (Canada)</t>
  </si>
  <si>
    <t>http://www.forbes.com/companies/pembina-pipeline/</t>
  </si>
  <si>
    <t>Pembina Pipeline</t>
  </si>
  <si>
    <t>http://www.forbes.com/companies/e-l-financial/</t>
  </si>
  <si>
    <t>E-L Financial</t>
  </si>
  <si>
    <t>http://www.forbes.com/companies/talisman-energy/</t>
  </si>
  <si>
    <t>Talisman Energy</t>
  </si>
  <si>
    <t>http://www.forbes.com/companies/metro-inc/</t>
  </si>
  <si>
    <t>Metro Inc</t>
  </si>
  <si>
    <t>http://www.forbes.com/companies/canadian-oil-sands/</t>
  </si>
  <si>
    <t>Canadian Oil Sands</t>
  </si>
  <si>
    <t>http://www.forbes.com/companies/empire/</t>
  </si>
  <si>
    <t>Empire</t>
  </si>
  <si>
    <t>http://www.forbes.com/companies/first-quantum-minerals/</t>
  </si>
  <si>
    <t>First Quantum Minerals</t>
  </si>
  <si>
    <t>http://www.forbes.com/companies/industrial-alliance-insurance/</t>
  </si>
  <si>
    <t>Industrial Alliance Insurance</t>
  </si>
  <si>
    <t>http://www.forbes.com/companies/encana/</t>
  </si>
  <si>
    <t>Encana</t>
  </si>
  <si>
    <t>http://www.forbes.com/companies/saputo/</t>
  </si>
  <si>
    <t>Saputo</t>
  </si>
  <si>
    <t>http://www.forbes.com/companies/goldcorp/</t>
  </si>
  <si>
    <t>Goldcorp</t>
  </si>
  <si>
    <t>http://www.forbes.com/companies/fairfax-financial/</t>
  </si>
  <si>
    <t>Fairfax Financial</t>
  </si>
  <si>
    <t>http://www.forbes.com/companies/shaw-communications/</t>
  </si>
  <si>
    <t>Shaw Communications</t>
  </si>
  <si>
    <t>http://www.forbes.com/companies/intact-financial/</t>
  </si>
  <si>
    <t>Intact Financial</t>
  </si>
  <si>
    <t>http://www.forbes.com/companies/canadian-tire/</t>
  </si>
  <si>
    <t>Canadian Tire</t>
  </si>
  <si>
    <t>http://www.forbes.com/companies/cgi-group/</t>
  </si>
  <si>
    <t>CGI Group</t>
  </si>
  <si>
    <t>http://www.forbes.com/companies/onex/</t>
  </si>
  <si>
    <t>Onex</t>
  </si>
  <si>
    <t>http://www.forbes.com/companies/valeant-pharmaceuticals/</t>
  </si>
  <si>
    <t>Valeant Pharmaceuticals</t>
  </si>
  <si>
    <t>http://www.forbes.com/companies/barrick-gold/</t>
  </si>
  <si>
    <t>Barrick Gold</t>
  </si>
  <si>
    <t>http://www.forbes.com/companies/canadian-pacific-railway/</t>
  </si>
  <si>
    <t>Canadian Pacific Railway</t>
  </si>
  <si>
    <t>http://www.forbes.com/companies/bombardier/</t>
  </si>
  <si>
    <t>Bombardier</t>
  </si>
  <si>
    <t>http://www.forbes.com/companies/couche-tard/</t>
  </si>
  <si>
    <t>Couche Tard</t>
  </si>
  <si>
    <t>http://www.forbes.com/companies/teck-resources/</t>
  </si>
  <si>
    <t>Teck Resources</t>
  </si>
  <si>
    <t>http://www.forbes.com/companies/agrium/</t>
  </si>
  <si>
    <t>Agrium</t>
  </si>
  <si>
    <t>http://www.forbes.com/companies/george-weston/</t>
  </si>
  <si>
    <t>George Weston</t>
  </si>
  <si>
    <t>http://www.forbes.com/companies/potash-of-saskatchewan/</t>
  </si>
  <si>
    <t>Potash of Saskatchewan</t>
  </si>
  <si>
    <t>http://www.forbes.com/companies/telus/</t>
  </si>
  <si>
    <t>TELUS</t>
  </si>
  <si>
    <t>http://www.forbes.com/companies/cenovus-energy/</t>
  </si>
  <si>
    <t>Cenovus Energy</t>
  </si>
  <si>
    <t>http://www.forbes.com/companies/national-bank-of-canada/</t>
  </si>
  <si>
    <t>National Bank of Canada</t>
  </si>
  <si>
    <t>http://www.forbes.com/companies/rogers-communications/</t>
  </si>
  <si>
    <t>Rogers Communications</t>
  </si>
  <si>
    <t>http://www.forbes.com/companies/magna-international/</t>
  </si>
  <si>
    <t>Magna International</t>
  </si>
  <si>
    <t>http://www.forbes.com/companies/transcanada/</t>
  </si>
  <si>
    <t>TransCanada</t>
  </si>
  <si>
    <t>http://www.forbes.com/companies/canadian-national-railway/</t>
  </si>
  <si>
    <t>Canadian National Railway</t>
  </si>
  <si>
    <t>http://www.forbes.com/companies/enbridge/</t>
  </si>
  <si>
    <t>Enbridge</t>
  </si>
  <si>
    <t>http://www.forbes.com/companies/power-corp-of-canada/</t>
  </si>
  <si>
    <t>Power Corp of Canada</t>
  </si>
  <si>
    <t>http://www.forbes.com/companies/husky-energy/</t>
  </si>
  <si>
    <t>Husky Energy</t>
  </si>
  <si>
    <t>http://www.forbes.com/companies/bce/</t>
  </si>
  <si>
    <t>BCE</t>
  </si>
  <si>
    <t>http://www.forbes.com/companies/canadian-natural-resources/</t>
  </si>
  <si>
    <t>Canadian Natural Resources</t>
  </si>
  <si>
    <t>http://www.forbes.com/companies/sun-life-financial/</t>
  </si>
  <si>
    <t>Sun Life Financial</t>
  </si>
  <si>
    <t>http://www.forbes.com/companies/brookfield-asset-management/</t>
  </si>
  <si>
    <t>Brookfield Asset Management</t>
  </si>
  <si>
    <t>http://www.forbes.com/companies/canadian-imperial-bank/</t>
  </si>
  <si>
    <t>Canadian Imperial Bank</t>
  </si>
  <si>
    <t>http://www.forbes.com/companies/manulife-financial/</t>
  </si>
  <si>
    <t>Manulife Financial</t>
  </si>
  <si>
    <t>http://www.forbes.com/companies/suncor-energy/</t>
  </si>
  <si>
    <t>Suncor Energy</t>
  </si>
  <si>
    <t>http://www.forbes.com/companies/bank-of-montreal/</t>
  </si>
  <si>
    <t>Bank of Montreal</t>
  </si>
  <si>
    <t>http://www.forbes.com/companies/bank-of-nova-scotia/</t>
  </si>
  <si>
    <t>Bank of Nova Scotia</t>
  </si>
  <si>
    <t>http://www.forbes.com/companies/td-bank-group/</t>
  </si>
  <si>
    <t>TD Bank Group</t>
  </si>
  <si>
    <t>http://www.forbes.com/companies/royal-bank-of-canada/</t>
  </si>
  <si>
    <t>Royal Bank of Canada</t>
  </si>
  <si>
    <t>http://www.forbes.com/companies/weg/</t>
  </si>
  <si>
    <t>WEG</t>
  </si>
  <si>
    <t>http://www.forbes.com/companies/banrisul/</t>
  </si>
  <si>
    <t>Banrisul</t>
  </si>
  <si>
    <t>http://www.forbes.com/companies/porto-seguro/</t>
  </si>
  <si>
    <t>Porto Seguro</t>
  </si>
  <si>
    <t>http://www.forbes.com/companies/embraer/</t>
  </si>
  <si>
    <t>Embraer</t>
  </si>
  <si>
    <t>http://www.forbes.com/companies/cosan/</t>
  </si>
  <si>
    <t>Cosan</t>
  </si>
  <si>
    <t>http://www.forbes.com/companies/bmf-bovespa/</t>
  </si>
  <si>
    <t>BM&amp;F Bovespa</t>
  </si>
  <si>
    <t>http://www.forbes.com/companies/ccr/</t>
  </si>
  <si>
    <t>CCR</t>
  </si>
  <si>
    <t>http://www.forbes.com/companies/csn/</t>
  </si>
  <si>
    <t>CSN</t>
  </si>
  <si>
    <t>http://www.forbes.com/companies/metalurgica-gerdau/</t>
  </si>
  <si>
    <t>Metalurgica Gerdau</t>
  </si>
  <si>
    <t>http://www.forbes.com/companies/braskem/</t>
  </si>
  <si>
    <t>Braskem</t>
  </si>
  <si>
    <t>http://www.forbes.com/companies/cpfl-energia/</t>
  </si>
  <si>
    <t>CPFL Energia</t>
  </si>
  <si>
    <t>http://www.forbes.com/companies/sabesp/</t>
  </si>
  <si>
    <t>Sabesp</t>
  </si>
  <si>
    <t>http://www.forbes.com/companies/eletrobras/</t>
  </si>
  <si>
    <t>EletrobrÃƒÂ¡s</t>
  </si>
  <si>
    <t>http://www.forbes.com/companies/cielo/</t>
  </si>
  <si>
    <t>Cielo</t>
  </si>
  <si>
    <t>http://www.forbes.com/companies/cemig/</t>
  </si>
  <si>
    <t>Cemig</t>
  </si>
  <si>
    <t>http://www.forbes.com/companies/oi/</t>
  </si>
  <si>
    <t>Oi</t>
  </si>
  <si>
    <t>http://www.forbes.com/companies/itausa/</t>
  </si>
  <si>
    <t>ItaÃƒÂºsa</t>
  </si>
  <si>
    <t>http://www.forbes.com/companies/brf-brasil-foods/</t>
  </si>
  <si>
    <t>BRF-Brasil Foods</t>
  </si>
  <si>
    <t>http://www.forbes.com/companies/grupo-pao-de-acucar/</t>
  </si>
  <si>
    <t>Grupo PÃƒÂ£o de AÃƒÂ§ÃƒÂºcar</t>
  </si>
  <si>
    <t>http://www.forbes.com/companies/jbs/</t>
  </si>
  <si>
    <t>JBS</t>
  </si>
  <si>
    <t>http://www.forbes.com/companies/vale/</t>
  </si>
  <si>
    <t>Vale</t>
  </si>
  <si>
    <t>http://www.forbes.com/companies/banco-do-brasil/</t>
  </si>
  <si>
    <t>Banco do Brasil</t>
  </si>
  <si>
    <t>http://www.forbes.com/companies/banco-bradesco/</t>
  </si>
  <si>
    <t>Banco Bradesco</t>
  </si>
  <si>
    <t>http://www.forbes.com/companies/itau-unibanco-holding/</t>
  </si>
  <si>
    <t>ItaÃƒÂº Unibanco Holding</t>
  </si>
  <si>
    <t>http://www.forbes.com/companies/petrobras/</t>
  </si>
  <si>
    <t>Petrobras</t>
  </si>
  <si>
    <t>http://www.forbes.com/companies/signet-jewelers/</t>
  </si>
  <si>
    <t>Signet Jewelers</t>
  </si>
  <si>
    <t>http://www.forbes.com/companies/catlin-group/</t>
  </si>
  <si>
    <t>Catlin Group</t>
  </si>
  <si>
    <t>http://www.forbes.com/companies/nabors-industries/</t>
  </si>
  <si>
    <t>Nabors Industries</t>
  </si>
  <si>
    <t>http://www.forbes.com/companies/assured-guaranty/</t>
  </si>
  <si>
    <t>Assured Guaranty</t>
  </si>
  <si>
    <t>http://www.forbes.com/companies/axis-capital-holdings/</t>
  </si>
  <si>
    <t>Axis Capital Holdings</t>
  </si>
  <si>
    <t>http://www.forbes.com/companies/arch-capital-group/</t>
  </si>
  <si>
    <t>Arch Capital Group</t>
  </si>
  <si>
    <t>http://www.forbes.com/companies/partnerre/</t>
  </si>
  <si>
    <t>PartnerRe</t>
  </si>
  <si>
    <t>http://www.forbes.com/companies/everest-re-group/</t>
  </si>
  <si>
    <t>Everest Re Group</t>
  </si>
  <si>
    <t>http://www.forbes.com/companies/seadrill/</t>
  </si>
  <si>
    <t>Seadrill</t>
  </si>
  <si>
    <t>http://www.forbes.com/companies/ackermans-van-haaren/</t>
  </si>
  <si>
    <t>Ackermans &amp; van Haaren</t>
  </si>
  <si>
    <t>http://www.forbes.com/companies/umicore/</t>
  </si>
  <si>
    <t>Umicore</t>
  </si>
  <si>
    <t>http://www.forbes.com/companies/ucb/</t>
  </si>
  <si>
    <t>UCB</t>
  </si>
  <si>
    <t>http://www.forbes.com/companies/colruyt/</t>
  </si>
  <si>
    <t>Colruyt</t>
  </si>
  <si>
    <t>http://www.forbes.com/companies/delhaize-group/</t>
  </si>
  <si>
    <t>Delhaize Group</t>
  </si>
  <si>
    <t>http://www.forbes.com/companies/banque-nationale-de-belgique/</t>
  </si>
  <si>
    <t>Banque nationale de Belgique</t>
  </si>
  <si>
    <t>http://www.forbes.com/companies/dexia/</t>
  </si>
  <si>
    <t>Dexia</t>
  </si>
  <si>
    <t>http://www.forbes.com/companies/belgacom/</t>
  </si>
  <si>
    <t>Belgacom</t>
  </si>
  <si>
    <t>http://www.forbes.com/companies/solvay/</t>
  </si>
  <si>
    <t>Solvay</t>
  </si>
  <si>
    <t>http://www.forbes.com/companies/kbc-group/</t>
  </si>
  <si>
    <t>KBC Group</t>
  </si>
  <si>
    <t>http://www.forbes.com/companies/anheuser-busch-inbev/</t>
  </si>
  <si>
    <t>Anheuser-Busch InBev</t>
  </si>
  <si>
    <t>http://www.forbes.com/companies/arab-banking/</t>
  </si>
  <si>
    <t>Arab Banking</t>
  </si>
  <si>
    <t>http://www.forbes.com/companies/ahli-united-bank/</t>
  </si>
  <si>
    <t>Ahli United Bank</t>
  </si>
  <si>
    <t>http://www.forbes.com/companies/andritz/</t>
  </si>
  <si>
    <t>Andritz</t>
  </si>
  <si>
    <t>http://www.forbes.com/companies/volksbank/</t>
  </si>
  <si>
    <t>Volksbank</t>
  </si>
  <si>
    <t>http://www.forbes.com/companies/strabag/</t>
  </si>
  <si>
    <t>STRABAG</t>
  </si>
  <si>
    <t>http://www.forbes.com/companies/verbund/</t>
  </si>
  <si>
    <t>Verbund</t>
  </si>
  <si>
    <t>http://www.forbes.com/companies/uniqa/</t>
  </si>
  <si>
    <t>Uniqa</t>
  </si>
  <si>
    <t>http://www.forbes.com/companies/voestalpine/</t>
  </si>
  <si>
    <t>Voestalpine</t>
  </si>
  <si>
    <t>http://www.forbes.com/companies/vienna-insurance-group/</t>
  </si>
  <si>
    <t>Vienna Insurance Group</t>
  </si>
  <si>
    <t>http://www.forbes.com/companies/erste-group-bank/</t>
  </si>
  <si>
    <t>Erste Group Bank</t>
  </si>
  <si>
    <t>http://www.forbes.com/companies/raiffeisen-bank-international/</t>
  </si>
  <si>
    <t>Raiffeisen Bank International</t>
  </si>
  <si>
    <t>http://www.forbes.com/companies/omv-group/</t>
  </si>
  <si>
    <t>OMV Group</t>
  </si>
  <si>
    <t>http://www.forbes.com/companies/gpt-group/</t>
  </si>
  <si>
    <t>GPT Group</t>
  </si>
  <si>
    <t>http://www.forbes.com/companies/newcrest-mining/</t>
  </si>
  <si>
    <t>Newcrest Mining</t>
  </si>
  <si>
    <t>http://www.forbes.com/companies/metcash/</t>
  </si>
  <si>
    <t>Metcash</t>
  </si>
  <si>
    <t>http://www.forbes.com/companies/bank-of-queensland/</t>
  </si>
  <si>
    <t>Bank of Queensland</t>
  </si>
  <si>
    <t>http://www.forbes.com/companies/nine-entertainment/</t>
  </si>
  <si>
    <t>Nine Entertainment Co. Holdings Pty</t>
  </si>
  <si>
    <t>http://www.forbes.com/companies/aurizon-holdings/</t>
  </si>
  <si>
    <t>Aurizon Holdings</t>
  </si>
  <si>
    <t>http://www.forbes.com/companies/bendigo-adelaide-bank/</t>
  </si>
  <si>
    <t>Bendigo &amp; Adelaide Bank</t>
  </si>
  <si>
    <t>http://www.forbes.com/companies/crown-resorts/</t>
  </si>
  <si>
    <t>Crown Resorts</t>
  </si>
  <si>
    <t>http://www.forbes.com/companies/stockland-australia/</t>
  </si>
  <si>
    <t>Stockland Australia</t>
  </si>
  <si>
    <t>http://www.forbes.com/companies/qantas-airways/</t>
  </si>
  <si>
    <t>Qantas Airways</t>
  </si>
  <si>
    <t>http://www.forbes.com/companies/agl-energy/</t>
  </si>
  <si>
    <t>AGL Energy</t>
  </si>
  <si>
    <t>http://www.forbes.com/companies/orica/</t>
  </si>
  <si>
    <t>Orica</t>
  </si>
  <si>
    <t>http://www.forbes.com/companies/westfield-retail-trust/</t>
  </si>
  <si>
    <t>Westfield Retail Trust</t>
  </si>
  <si>
    <t>http://www.forbes.com/companies/caltex-australia/</t>
  </si>
  <si>
    <t>Caltex Australia</t>
  </si>
  <si>
    <t>http://www.forbes.com/companies/santos/</t>
  </si>
  <si>
    <t>Santos</t>
  </si>
  <si>
    <t>http://www.forbes.com/companies/lend-lease-group/</t>
  </si>
  <si>
    <t>Lend Lease Group</t>
  </si>
  <si>
    <t>http://www.forbes.com/companies/brambles/</t>
  </si>
  <si>
    <t>Brambles</t>
  </si>
  <si>
    <t>http://www.forbes.com/companies/amcor/</t>
  </si>
  <si>
    <t>Amcor</t>
  </si>
  <si>
    <t>http://www.forbes.com/companies/csl/</t>
  </si>
  <si>
    <t>CSL</t>
  </si>
  <si>
    <t>http://www.forbes.com/companies/origin-energy/</t>
  </si>
  <si>
    <t>Origin Energy</t>
  </si>
  <si>
    <t>http://www.forbes.com/companies/qbe-insurance-group/</t>
  </si>
  <si>
    <t>QBE Insurance Group</t>
  </si>
  <si>
    <t>http://www.forbes.com/companies/westfield-group/</t>
  </si>
  <si>
    <t>Westfield Group</t>
  </si>
  <si>
    <t>http://www.forbes.com/companies/insurance-australia-group/</t>
  </si>
  <si>
    <t>Insurance Australia Group</t>
  </si>
  <si>
    <t>http://www.forbes.com/companies/woodside-petroleum/</t>
  </si>
  <si>
    <t>Woodside Petroleum</t>
  </si>
  <si>
    <t>http://www.forbes.com/companies/suncorp-group/</t>
  </si>
  <si>
    <t>Suncorp Group</t>
  </si>
  <si>
    <t>http://www.forbes.com/companies/fortescue-metals-group/</t>
  </si>
  <si>
    <t>Fortescue Metals Group</t>
  </si>
  <si>
    <t>http://www.forbes.com/companies/macquarie-group/</t>
  </si>
  <si>
    <t>Macquarie Group</t>
  </si>
  <si>
    <t>http://www.forbes.com/companies/amp/</t>
  </si>
  <si>
    <t>AMP</t>
  </si>
  <si>
    <t>http://www.forbes.com/companies/woolworths/</t>
  </si>
  <si>
    <t>Woolworths</t>
  </si>
  <si>
    <t>http://www.forbes.com/companies/telstra/</t>
  </si>
  <si>
    <t>Telstra</t>
  </si>
  <si>
    <t>http://www.forbes.com/companies/wesfarmers/</t>
  </si>
  <si>
    <t>Wesfarmers</t>
  </si>
  <si>
    <t>http://www.forbes.com/companies/anz/</t>
  </si>
  <si>
    <t>ANZ</t>
  </si>
  <si>
    <t>http://www.forbes.com/companies/national-australia-bank/</t>
  </si>
  <si>
    <t>National Australia Bank</t>
  </si>
  <si>
    <t>http://www.forbes.com/companies/westpac-banking/</t>
  </si>
  <si>
    <t>Westpac Banking Group</t>
  </si>
  <si>
    <t>http://www.forbes.com/companies/commonwealth-bank/</t>
  </si>
  <si>
    <t>Commonwealth Bank</t>
  </si>
  <si>
    <t>http://www.forbes.com/companies/bhp-billiton/</t>
  </si>
  <si>
    <t>BHP Billiton</t>
  </si>
  <si>
    <t>Forbes Webpage</t>
  </si>
  <si>
    <t>Rank</t>
  </si>
  <si>
    <t>Assets</t>
  </si>
  <si>
    <t>Profits</t>
  </si>
  <si>
    <t>Market Value</t>
  </si>
  <si>
    <t>Continent</t>
  </si>
  <si>
    <t>Industry</t>
  </si>
  <si>
    <t>Sector</t>
  </si>
  <si>
    <t>Company</t>
  </si>
  <si>
    <t>Benchmarked to TWZ 2015 total</t>
  </si>
  <si>
    <t>Total haven profits</t>
  </si>
  <si>
    <t>Adding PR (from SZ 2019)</t>
  </si>
  <si>
    <t>GBJZ US haven profits excl. PR</t>
  </si>
  <si>
    <t>Note that haven profits in GBJZ only include main havens; exclude Jersey, other Europe, Hong Kong, etc -- likely explanation for the small ~10% gap with TWZ in 2015)</t>
  </si>
  <si>
    <t>Other multinationals computed as a residual.</t>
  </si>
  <si>
    <t>Wright-Zucman Table A.1 shows that USDIA income is 10% larger than MOFA profit (10% vs. 50% ownership threshold). Using MOFA income as denominator increases share of profits booked in havens to 59% for US multinationals (and reduces to 26% for non-havens)</t>
  </si>
  <si>
    <t>Foreign profits of US multinationals computed as USDIA income + imputed foreign taxes ($100 billion), see Wright-Zucman Table A1, plus pre-tax profits booked in Puerto Rico from 2016 CbC tabulations ($39.5b)</t>
  </si>
  <si>
    <t>Totals</t>
  </si>
  <si>
    <t>Other multinationas</t>
  </si>
  <si>
    <t>US multinationals</t>
  </si>
  <si>
    <t>Share booked in havens</t>
  </si>
  <si>
    <t>Of which: booked in havens</t>
  </si>
  <si>
    <t>Foreign profits</t>
  </si>
  <si>
    <t>Fraction of foreign profits shifted to tax havens: US multinationals vs. other multinationals</t>
  </si>
  <si>
    <t>Table E3: Shifted profits (2015) - Robustness of estimates to differing assumptions on capital intensity</t>
  </si>
  <si>
    <t>Table E4: Shifted profits (2015) - Robustness of estimates</t>
  </si>
  <si>
    <t>:</t>
  </si>
  <si>
    <t>Cayman Isl</t>
  </si>
  <si>
    <t>China except Hong Kong</t>
  </si>
  <si>
    <t>Anguilla (UK)</t>
  </si>
  <si>
    <t>Aruba (NL)</t>
  </si>
  <si>
    <t>Bermuda (UK)</t>
  </si>
  <si>
    <t>Bonaire, Saint Eustatius and Saba</t>
  </si>
  <si>
    <t>British Virgin Islands (UK)</t>
  </si>
  <si>
    <t>Cayman Islands (UK)</t>
  </si>
  <si>
    <t>Gibraltar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</si>
</sst>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 #,##0.00_ ;_ * \-#,##0.00_ ;_ * &quot;-&quot;??_ ;_ @_ "/>
    <numFmt numFmtId="166" formatCode="_-* #,##0.00\ _k_r_._-;\-* #,##0.00\ _k_r_._-;_-* &quot;-&quot;??\ _k_r_._-;_-@_-"/>
    <numFmt numFmtId="167" formatCode="0.0"/>
    <numFmt numFmtId="168" formatCode="_ * #,##0_ ;_ * \-#,##0_ ;_ * &quot;-&quot;??_ ;_ @_ "/>
    <numFmt numFmtId="169" formatCode="#,##0.0"/>
    <numFmt numFmtId="170" formatCode="_ * #,##0.0_ ;_ * \-#,##0.0_ ;_ * &quot;-&quot;??_ ;_ @_ "/>
    <numFmt numFmtId="171" formatCode="0.0%"/>
    <numFmt numFmtId="172" formatCode="#,##0.00000"/>
    <numFmt numFmtId="173" formatCode="\$#,##0\ ;\(\$#,##0\)"/>
    <numFmt numFmtId="174" formatCode="_-* #,##0.00\ _z_ł_-;\-* #,##0.00\ _z_ł_-;_-* &quot;-&quot;??\ _z_ł_-;_-@_-"/>
    <numFmt numFmtId="175" formatCode="#,##0;[Red]#,##0"/>
    <numFmt numFmtId="176" formatCode="0.00000000000"/>
    <numFmt numFmtId="177" formatCode="0.000"/>
    <numFmt numFmtId="178" formatCode="_-* #,##0.0\ _z_ł_-;\-* #,##0.0\ _z_ł_-;_-* &quot;-&quot;??\ _z_ł_-;_-@_-"/>
    <numFmt numFmtId="179" formatCode="_-* #,##0\ _z_ł_-;\-* #,##0\ _z_ł_-;_-* &quot;-&quot;??\ _z_ł_-;_-@_-"/>
    <numFmt numFmtId="180" formatCode="_-* #,##0_-;\-* #,##0_-;_-* &quot;-&quot;??_-;_-@_-"/>
    <numFmt numFmtId="181" formatCode="#,###\ ;[Black]General"/>
    <numFmt numFmtId="182" formatCode="#,##0.000"/>
  </numFmts>
  <fonts count="139" x14ac:knownFonts="1">
    <font>
      <sz val="12"/>
      <color theme="1"/>
      <name val="Garamond"/>
      <family val="2"/>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Arial"/>
      <family val="2"/>
    </font>
    <font>
      <sz val="12"/>
      <color theme="1"/>
      <name val="Arial"/>
      <family val="2"/>
      <charset val="204"/>
    </font>
    <font>
      <sz val="12"/>
      <color theme="1"/>
      <name val="Arial"/>
      <family val="2"/>
      <charset val="204"/>
    </font>
    <font>
      <sz val="12"/>
      <color theme="1"/>
      <name val="Arial"/>
      <family val="2"/>
      <charset val="204"/>
    </font>
    <font>
      <sz val="12"/>
      <name val="Arial"/>
      <family val="2"/>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charset val="204"/>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2"/>
      <color theme="1"/>
      <name val="Garamond"/>
      <family val="2"/>
    </font>
    <font>
      <sz val="12"/>
      <color theme="1"/>
      <name val="Arial"/>
      <family val="2"/>
    </font>
    <font>
      <sz val="10"/>
      <name val="Arial"/>
      <family val="2"/>
    </font>
    <font>
      <u/>
      <sz val="12"/>
      <color theme="10"/>
      <name val="Garamond"/>
      <family val="2"/>
    </font>
    <font>
      <u/>
      <sz val="12"/>
      <color theme="11"/>
      <name val="Garamond"/>
      <family val="2"/>
    </font>
    <font>
      <b/>
      <sz val="12"/>
      <color theme="1"/>
      <name val="Arial"/>
      <family val="2"/>
    </font>
    <font>
      <b/>
      <sz val="16"/>
      <color theme="1"/>
      <name val="Arial"/>
      <family val="2"/>
    </font>
    <font>
      <i/>
      <sz val="12"/>
      <color theme="1"/>
      <name val="Arial"/>
      <family val="2"/>
    </font>
    <font>
      <sz val="12"/>
      <color theme="1"/>
      <name val="Arial Narrow"/>
      <family val="2"/>
    </font>
    <font>
      <sz val="10"/>
      <color theme="1"/>
      <name val="Arial"/>
      <family val="2"/>
    </font>
    <font>
      <u/>
      <sz val="12"/>
      <color theme="1"/>
      <name val="Arial"/>
      <family val="2"/>
    </font>
    <font>
      <sz val="8"/>
      <name val="Garamond"/>
      <family val="2"/>
    </font>
    <font>
      <sz val="12"/>
      <color rgb="FFFF0000"/>
      <name val="Arial"/>
      <family val="2"/>
    </font>
    <font>
      <b/>
      <sz val="12"/>
      <color rgb="FF000000"/>
      <name val="Arial"/>
      <family val="2"/>
    </font>
    <font>
      <sz val="12"/>
      <name val="Arial"/>
      <family val="2"/>
    </font>
    <font>
      <b/>
      <sz val="12"/>
      <color theme="1"/>
      <name val="Arial Narrow"/>
      <family val="2"/>
    </font>
    <font>
      <vertAlign val="subscript"/>
      <sz val="12"/>
      <color theme="1"/>
      <name val="Arial"/>
      <family val="2"/>
    </font>
    <font>
      <b/>
      <vertAlign val="subscript"/>
      <sz val="12"/>
      <color theme="1"/>
      <name val="Arial"/>
      <family val="2"/>
    </font>
    <font>
      <b/>
      <sz val="12"/>
      <name val="Arial"/>
      <family val="2"/>
    </font>
    <font>
      <b/>
      <u/>
      <sz val="12"/>
      <color theme="1"/>
      <name val="Arial"/>
      <family val="2"/>
    </font>
    <font>
      <i/>
      <sz val="11"/>
      <name val="Arial"/>
      <family val="2"/>
    </font>
    <font>
      <sz val="11"/>
      <name val="Arial"/>
      <family val="2"/>
    </font>
    <font>
      <b/>
      <i/>
      <sz val="11"/>
      <name val="Arial"/>
      <family val="2"/>
    </font>
    <font>
      <b/>
      <sz val="11"/>
      <name val="Arial"/>
      <family val="2"/>
    </font>
    <font>
      <b/>
      <sz val="10"/>
      <name val="Arial"/>
      <family val="2"/>
    </font>
    <font>
      <i/>
      <sz val="10"/>
      <name val="Arial"/>
      <family val="2"/>
    </font>
    <font>
      <sz val="10"/>
      <name val="Verdana"/>
      <family val="2"/>
    </font>
    <font>
      <sz val="8"/>
      <name val="Arial"/>
      <family val="2"/>
    </font>
    <font>
      <sz val="12"/>
      <color indexed="24"/>
      <name val="Arial"/>
      <family val="2"/>
    </font>
    <font>
      <b/>
      <sz val="8"/>
      <color indexed="24"/>
      <name val="Times New Roman"/>
      <family val="1"/>
    </font>
    <font>
      <sz val="8"/>
      <color indexed="24"/>
      <name val="Times New Roman"/>
      <family val="1"/>
    </font>
    <font>
      <sz val="12"/>
      <color theme="1"/>
      <name val="Calibri"/>
      <family val="2"/>
      <scheme val="minor"/>
    </font>
    <font>
      <sz val="7"/>
      <name val="Helvetica"/>
      <family val="2"/>
    </font>
    <font>
      <sz val="9"/>
      <color indexed="81"/>
      <name val="Garamond"/>
      <family val="2"/>
    </font>
    <font>
      <b/>
      <sz val="9"/>
      <color indexed="81"/>
      <name val="Garamond"/>
      <family val="2"/>
    </font>
    <font>
      <b/>
      <sz val="14"/>
      <name val="Arial"/>
      <family val="2"/>
    </font>
    <font>
      <sz val="14"/>
      <name val="Arial"/>
      <family val="2"/>
    </font>
    <font>
      <sz val="12"/>
      <name val="Arial Narrow"/>
      <family val="2"/>
    </font>
    <font>
      <b/>
      <sz val="16"/>
      <name val="Arial"/>
      <family val="2"/>
    </font>
    <font>
      <sz val="16"/>
      <name val="Arial"/>
      <family val="2"/>
    </font>
    <font>
      <sz val="10"/>
      <name val="Verdana"/>
      <family val="2"/>
    </font>
    <font>
      <u/>
      <sz val="10"/>
      <color indexed="12"/>
      <name val="Verdana"/>
      <family val="2"/>
    </font>
    <font>
      <sz val="12"/>
      <color indexed="24"/>
      <name val="Arial"/>
      <family val="2"/>
    </font>
    <font>
      <b/>
      <sz val="8"/>
      <color indexed="24"/>
      <name val="Times New Roman"/>
      <family val="1"/>
    </font>
    <font>
      <sz val="8"/>
      <color indexed="24"/>
      <name val="Times New Roman"/>
      <family val="1"/>
    </font>
    <font>
      <sz val="12"/>
      <color rgb="FF000000"/>
      <name val="Arial"/>
      <family val="2"/>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sz val="10"/>
      <color rgb="FF3F3F76"/>
      <name val="Arial"/>
      <family val="2"/>
    </font>
    <font>
      <u/>
      <sz val="12"/>
      <color theme="10"/>
      <name val="Calibri"/>
      <family val="2"/>
      <scheme val="minor"/>
    </font>
    <font>
      <sz val="10"/>
      <color rgb="FFFA7D00"/>
      <name val="Arial"/>
      <family val="2"/>
    </font>
    <font>
      <sz val="10"/>
      <color rgb="FF9C6500"/>
      <name val="Arial"/>
      <family val="2"/>
    </font>
    <font>
      <sz val="11"/>
      <color indexed="8"/>
      <name val="Calibri"/>
      <family val="2"/>
      <scheme val="minor"/>
    </font>
    <font>
      <sz val="11"/>
      <color rgb="FF000000"/>
      <name val="Calibri"/>
      <family val="2"/>
    </font>
    <font>
      <b/>
      <sz val="10"/>
      <color rgb="FF3F3F3F"/>
      <name val="Arial"/>
      <family val="2"/>
    </font>
    <font>
      <sz val="11"/>
      <color indexed="17"/>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b/>
      <sz val="12"/>
      <color rgb="FFFF0000"/>
      <name val="Arial"/>
      <family val="2"/>
    </font>
    <font>
      <sz val="12"/>
      <color theme="1"/>
      <name val="Garamond"/>
      <family val="1"/>
    </font>
    <font>
      <b/>
      <sz val="12"/>
      <color theme="1"/>
      <name val="Garamond"/>
      <family val="1"/>
    </font>
    <font>
      <b/>
      <sz val="12"/>
      <name val="Arial Narrow"/>
      <family val="2"/>
    </font>
    <font>
      <i/>
      <sz val="12"/>
      <name val="Arial"/>
      <family val="2"/>
    </font>
    <font>
      <b/>
      <i/>
      <sz val="12"/>
      <color theme="1"/>
      <name val="Arial"/>
      <family val="2"/>
    </font>
    <font>
      <sz val="10"/>
      <color theme="1"/>
      <name val="Garamond"/>
      <family val="2"/>
    </font>
    <font>
      <sz val="9"/>
      <name val="Times New Roman"/>
      <family val="1"/>
    </font>
    <font>
      <sz val="12"/>
      <color theme="0"/>
      <name val="Arial"/>
      <family val="2"/>
      <charset val="204"/>
    </font>
    <font>
      <i/>
      <sz val="12"/>
      <name val="Arial Narrow"/>
      <family val="2"/>
    </font>
    <font>
      <b/>
      <sz val="12"/>
      <color theme="0"/>
      <name val="Arial"/>
      <family val="2"/>
      <charset val="204"/>
    </font>
    <font>
      <sz val="16"/>
      <color theme="1"/>
      <name val="Arial"/>
      <family val="2"/>
    </font>
    <font>
      <sz val="11"/>
      <color theme="1"/>
      <name val="Garamond"/>
      <family val="1"/>
    </font>
    <font>
      <b/>
      <sz val="11"/>
      <color theme="1"/>
      <name val="Garamond"/>
      <family val="1"/>
    </font>
    <font>
      <sz val="14"/>
      <color theme="1"/>
      <name val="Arial"/>
      <family val="2"/>
    </font>
    <font>
      <sz val="11"/>
      <color theme="1"/>
      <name val="Arial"/>
      <family val="2"/>
    </font>
    <font>
      <b/>
      <sz val="16"/>
      <color theme="1"/>
      <name val="Calibri"/>
      <family val="2"/>
      <scheme val="minor"/>
    </font>
    <font>
      <i/>
      <sz val="11"/>
      <color theme="1"/>
      <name val="Arial"/>
      <family val="2"/>
    </font>
    <font>
      <b/>
      <sz val="11"/>
      <color theme="1"/>
      <name val="Arial"/>
      <family val="2"/>
    </font>
    <font>
      <sz val="14"/>
      <color rgb="FFFF0000"/>
      <name val="Arial"/>
      <family val="2"/>
    </font>
    <font>
      <u/>
      <sz val="10"/>
      <name val="Arial"/>
      <family val="2"/>
    </font>
    <font>
      <u/>
      <sz val="11"/>
      <color theme="1"/>
      <name val="Arial"/>
      <family val="2"/>
    </font>
    <font>
      <sz val="11"/>
      <name val="Garamond"/>
      <family val="1"/>
    </font>
    <font>
      <b/>
      <sz val="11"/>
      <name val="Garamond"/>
      <family val="1"/>
    </font>
    <font>
      <b/>
      <i/>
      <sz val="12"/>
      <name val="Arial"/>
      <family val="2"/>
    </font>
    <font>
      <sz val="12"/>
      <name val="Arial"/>
      <family val="2"/>
      <charset val="204"/>
    </font>
    <font>
      <u/>
      <sz val="12"/>
      <name val="Arial"/>
      <family val="2"/>
    </font>
    <font>
      <b/>
      <sz val="14"/>
      <color theme="1"/>
      <name val="Arial"/>
      <family val="2"/>
    </font>
    <font>
      <b/>
      <sz val="10"/>
      <name val="Arial Narrow"/>
      <family val="2"/>
    </font>
    <font>
      <sz val="12"/>
      <name val="Garamond"/>
      <family val="2"/>
    </font>
    <font>
      <b/>
      <sz val="12"/>
      <color theme="1"/>
      <name val="Calibri"/>
      <family val="2"/>
      <scheme val="minor"/>
    </font>
    <font>
      <b/>
      <i/>
      <sz val="12"/>
      <color theme="1"/>
      <name val="Calibri"/>
      <family val="2"/>
      <scheme val="minor"/>
    </font>
    <font>
      <b/>
      <sz val="20"/>
      <color theme="1"/>
      <name val="Calibri"/>
      <family val="2"/>
      <scheme val="minor"/>
    </font>
    <font>
      <b/>
      <vertAlign val="subscript"/>
      <sz val="12"/>
      <color rgb="FF000000"/>
      <name val="Arial"/>
      <family val="2"/>
    </font>
    <font>
      <b/>
      <sz val="11"/>
      <color theme="1"/>
      <name val="Calibri"/>
      <family val="2"/>
      <scheme val="minor"/>
    </font>
    <font>
      <sz val="26"/>
      <color theme="1"/>
      <name val="Arial"/>
      <family val="2"/>
    </font>
    <font>
      <b/>
      <sz val="26"/>
      <color theme="1"/>
      <name val="Arial"/>
      <family val="2"/>
    </font>
    <font>
      <b/>
      <sz val="24"/>
      <color theme="1"/>
      <name val="Arial"/>
      <family val="2"/>
    </font>
    <font>
      <b/>
      <sz val="30"/>
      <color theme="1"/>
      <name val="Arial"/>
      <family val="2"/>
    </font>
    <font>
      <sz val="24"/>
      <color theme="1"/>
      <name val="Arial"/>
      <family val="2"/>
    </font>
    <font>
      <i/>
      <sz val="24"/>
      <color theme="1"/>
      <name val="Arial"/>
      <family val="2"/>
    </font>
    <font>
      <sz val="10"/>
      <name val="Arial"/>
      <family val="2"/>
    </font>
  </fonts>
  <fills count="4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
      <patternFill patternType="solid">
        <fgColor rgb="FFC4D8ED"/>
        <bgColor indexed="64"/>
      </patternFill>
    </fill>
    <fill>
      <patternFill patternType="solid">
        <fgColor indexed="44"/>
        <bgColor indexed="64"/>
      </patternFill>
    </fill>
    <fill>
      <patternFill patternType="solid">
        <fgColor rgb="FFEEEEEE"/>
      </patternFill>
    </fill>
    <fill>
      <patternFill patternType="solid">
        <fgColor theme="4" tint="0.79998168889431442"/>
        <bgColor theme="4" tint="0.79998168889431442"/>
      </patternFill>
    </fill>
  </fills>
  <borders count="209">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style="thick">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ck">
        <color auto="1"/>
      </bottom>
      <diagonal/>
    </border>
    <border>
      <left/>
      <right style="medium">
        <color auto="1"/>
      </right>
      <top/>
      <bottom style="thick">
        <color auto="1"/>
      </bottom>
      <diagonal/>
    </border>
    <border>
      <left/>
      <right style="thick">
        <color auto="1"/>
      </right>
      <top style="medium">
        <color auto="1"/>
      </top>
      <bottom/>
      <diagonal/>
    </border>
    <border>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bottom style="thick">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ck">
        <color auto="1"/>
      </right>
      <top style="medium">
        <color auto="1"/>
      </top>
      <bottom style="thin">
        <color auto="1"/>
      </bottom>
      <diagonal/>
    </border>
    <border>
      <left style="medium">
        <color auto="1"/>
      </left>
      <right/>
      <top style="thin">
        <color auto="1"/>
      </top>
      <bottom style="thin">
        <color auto="1"/>
      </bottom>
      <diagonal/>
    </border>
    <border>
      <left/>
      <right style="thick">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style="thick">
        <color auto="1"/>
      </right>
      <top style="thin">
        <color auto="1"/>
      </top>
      <bottom/>
      <diagonal/>
    </border>
    <border>
      <left style="thick">
        <color auto="1"/>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thick">
        <color auto="1"/>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style="thin">
        <color auto="1"/>
      </right>
      <top/>
      <bottom style="medium">
        <color auto="1"/>
      </bottom>
      <diagonal/>
    </border>
    <border>
      <left/>
      <right style="thick">
        <color auto="1"/>
      </right>
      <top/>
      <bottom style="medium">
        <color auto="1"/>
      </bottom>
      <diagonal/>
    </border>
    <border>
      <left style="medium">
        <color auto="1"/>
      </left>
      <right style="thick">
        <color auto="1"/>
      </right>
      <top/>
      <bottom style="thick">
        <color auto="1"/>
      </bottom>
      <diagonal/>
    </border>
    <border>
      <left style="medium">
        <color auto="1"/>
      </left>
      <right style="thick">
        <color auto="1"/>
      </right>
      <top style="thin">
        <color auto="1"/>
      </top>
      <bottom/>
      <diagonal/>
    </border>
    <border>
      <left/>
      <right style="medium">
        <color auto="1"/>
      </right>
      <top style="thin">
        <color auto="1"/>
      </top>
      <bottom style="thin">
        <color auto="1"/>
      </bottom>
      <diagonal/>
    </border>
    <border>
      <left style="thin">
        <color indexed="8"/>
      </left>
      <right/>
      <top/>
      <bottom/>
      <diagonal/>
    </border>
    <border>
      <left style="mediumDashed">
        <color auto="1"/>
      </left>
      <right/>
      <top/>
      <bottom/>
      <diagonal/>
    </border>
    <border>
      <left/>
      <right/>
      <top style="dashed">
        <color auto="1"/>
      </top>
      <bottom/>
      <diagonal/>
    </border>
    <border>
      <left style="thick">
        <color auto="1"/>
      </left>
      <right/>
      <top style="dashed">
        <color auto="1"/>
      </top>
      <bottom/>
      <diagonal/>
    </border>
    <border>
      <left/>
      <right style="thick">
        <color auto="1"/>
      </right>
      <top/>
      <bottom style="dashed">
        <color auto="1"/>
      </bottom>
      <diagonal/>
    </border>
    <border>
      <left/>
      <right/>
      <top/>
      <bottom style="dashed">
        <color auto="1"/>
      </bottom>
      <diagonal/>
    </border>
    <border>
      <left/>
      <right style="thin">
        <color auto="1"/>
      </right>
      <top/>
      <bottom style="dashed">
        <color auto="1"/>
      </bottom>
      <diagonal/>
    </border>
    <border>
      <left style="thick">
        <color auto="1"/>
      </left>
      <right/>
      <top/>
      <bottom style="dashed">
        <color auto="1"/>
      </bottom>
      <diagonal/>
    </border>
    <border>
      <left/>
      <right style="mediumDashed">
        <color auto="1"/>
      </right>
      <top/>
      <bottom/>
      <diagonal/>
    </border>
    <border>
      <left style="thick">
        <color auto="1"/>
      </left>
      <right/>
      <top/>
      <bottom style="medium">
        <color auto="1"/>
      </bottom>
      <diagonal/>
    </border>
    <border>
      <left/>
      <right/>
      <top style="thin">
        <color auto="1"/>
      </top>
      <bottom style="mediumDashed">
        <color auto="1"/>
      </bottom>
      <diagonal/>
    </border>
    <border>
      <left/>
      <right/>
      <top style="medium">
        <color auto="1"/>
      </top>
      <bottom style="thick">
        <color auto="1"/>
      </bottom>
      <diagonal/>
    </border>
    <border>
      <left style="medium">
        <color auto="1"/>
      </left>
      <right/>
      <top style="medium">
        <color auto="1"/>
      </top>
      <bottom style="thick">
        <color auto="1"/>
      </bottom>
      <diagonal/>
    </border>
    <border>
      <left/>
      <right style="mediumDashed">
        <color auto="1"/>
      </right>
      <top/>
      <bottom style="dashed">
        <color auto="1"/>
      </bottom>
      <diagonal/>
    </border>
    <border>
      <left style="medium">
        <color auto="1"/>
      </left>
      <right/>
      <top style="dashed">
        <color auto="1"/>
      </top>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mediumDashed">
        <color auto="1"/>
      </left>
      <right/>
      <top style="mediumDashed">
        <color auto="1"/>
      </top>
      <bottom style="medium">
        <color auto="1"/>
      </bottom>
      <diagonal/>
    </border>
    <border>
      <left/>
      <right style="mediumDashed">
        <color auto="1"/>
      </right>
      <top style="mediumDashed">
        <color auto="1"/>
      </top>
      <bottom style="medium">
        <color auto="1"/>
      </bottom>
      <diagonal/>
    </border>
    <border>
      <left style="mediumDashed">
        <color auto="1"/>
      </left>
      <right/>
      <top/>
      <bottom style="thick">
        <color auto="1"/>
      </bottom>
      <diagonal/>
    </border>
    <border>
      <left/>
      <right style="mediumDashed">
        <color auto="1"/>
      </right>
      <top/>
      <bottom style="thick">
        <color auto="1"/>
      </bottom>
      <diagonal/>
    </border>
    <border>
      <left style="mediumDashed">
        <color auto="1"/>
      </left>
      <right/>
      <top/>
      <bottom style="dashed">
        <color auto="1"/>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bottom style="thick">
        <color indexed="8"/>
      </bottom>
      <diagonal/>
    </border>
    <border>
      <left style="thin">
        <color indexed="8"/>
      </left>
      <right/>
      <top style="thin">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thick">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bottom style="thick">
        <color indexed="8"/>
      </bottom>
      <diagonal/>
    </border>
    <border>
      <left/>
      <right/>
      <top style="thin">
        <color indexed="8"/>
      </top>
      <bottom/>
      <diagonal/>
    </border>
    <border>
      <left/>
      <right/>
      <top/>
      <bottom style="thick">
        <color indexed="8"/>
      </bottom>
      <diagonal/>
    </border>
    <border>
      <left style="medium">
        <color indexed="8"/>
      </left>
      <right style="medium">
        <color indexed="8"/>
      </right>
      <top style="thin">
        <color indexed="8"/>
      </top>
      <bottom/>
      <diagonal/>
    </border>
    <border>
      <left/>
      <right style="thick">
        <color indexed="8"/>
      </right>
      <top/>
      <bottom style="thick">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style="medium">
        <color indexed="8"/>
      </left>
      <right/>
      <top/>
      <bottom style="thick">
        <color indexed="8"/>
      </bottom>
      <diagonal/>
    </border>
    <border>
      <left/>
      <right style="medium">
        <color indexed="8"/>
      </right>
      <top/>
      <bottom/>
      <diagonal/>
    </border>
    <border>
      <left/>
      <right style="medium">
        <color indexed="8"/>
      </right>
      <top/>
      <bottom style="thick">
        <color indexed="8"/>
      </bottom>
      <diagonal/>
    </border>
    <border>
      <left style="thick">
        <color indexed="8"/>
      </left>
      <right style="medium">
        <color indexed="8"/>
      </right>
      <top/>
      <bottom/>
      <diagonal/>
    </border>
    <border>
      <left style="thin">
        <color auto="1"/>
      </left>
      <right/>
      <top/>
      <bottom style="dashed">
        <color auto="1"/>
      </bottom>
      <diagonal/>
    </border>
    <border>
      <left style="medium">
        <color auto="1"/>
      </left>
      <right/>
      <top/>
      <bottom style="dashed">
        <color auto="1"/>
      </bottom>
      <diagonal/>
    </border>
    <border>
      <left style="thin">
        <color indexed="22"/>
      </left>
      <right style="thin">
        <color indexed="22"/>
      </right>
      <top style="thin">
        <color indexed="22"/>
      </top>
      <bottom style="thin">
        <color indexed="22"/>
      </bottom>
      <diagonal/>
    </border>
    <border>
      <left style="medium">
        <color auto="1"/>
      </left>
      <right/>
      <top/>
      <bottom/>
      <diagonal/>
    </border>
    <border>
      <left style="medium">
        <color auto="1"/>
      </left>
      <right style="thick">
        <color auto="1"/>
      </right>
      <top/>
      <bottom/>
      <diagonal/>
    </border>
    <border>
      <left style="medium">
        <color auto="1"/>
      </left>
      <right style="medium">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medium">
        <color auto="1"/>
      </top>
      <bottom/>
      <diagonal/>
    </border>
    <border>
      <left/>
      <right style="thin">
        <color auto="1"/>
      </right>
      <top/>
      <bottom style="medium">
        <color auto="1"/>
      </bottom>
      <diagonal/>
    </border>
    <border>
      <left style="thin">
        <color rgb="FFC0C0C0"/>
      </left>
      <right style="thin">
        <color rgb="FFC0C0C0"/>
      </right>
      <top style="thin">
        <color rgb="FFC0C0C0"/>
      </top>
      <bottom style="thin">
        <color rgb="FFC0C0C0"/>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top style="thin">
        <color auto="1"/>
      </top>
      <bottom style="thick">
        <color auto="1"/>
      </bottom>
      <diagonal/>
    </border>
    <border>
      <left style="thick">
        <color auto="1"/>
      </left>
      <right/>
      <top style="thin">
        <color auto="1"/>
      </top>
      <bottom style="thick">
        <color auto="1"/>
      </bottom>
      <diagonal/>
    </border>
    <border>
      <left style="medium">
        <color auto="1"/>
      </left>
      <right/>
      <top style="thin">
        <color auto="1"/>
      </top>
      <bottom style="thick">
        <color auto="1"/>
      </bottom>
      <diagonal/>
    </border>
    <border>
      <left/>
      <right/>
      <top style="thin">
        <color auto="1"/>
      </top>
      <bottom style="thick">
        <color auto="1"/>
      </bottom>
      <diagonal/>
    </border>
    <border>
      <left/>
      <right style="medium">
        <color auto="1"/>
      </right>
      <top style="thin">
        <color auto="1"/>
      </top>
      <bottom style="thick">
        <color auto="1"/>
      </bottom>
      <diagonal/>
    </border>
    <border>
      <left/>
      <right style="thick">
        <color auto="1"/>
      </right>
      <top style="thin">
        <color auto="1"/>
      </top>
      <bottom style="thick">
        <color auto="1"/>
      </bottom>
      <diagonal/>
    </border>
    <border>
      <left style="thin">
        <color auto="1"/>
      </left>
      <right style="medium">
        <color auto="1"/>
      </right>
      <top/>
      <bottom style="thick">
        <color auto="1"/>
      </bottom>
      <diagonal/>
    </border>
    <border>
      <left style="medium">
        <color auto="1"/>
      </left>
      <right style="thin">
        <color auto="1"/>
      </right>
      <top style="thin">
        <color auto="1"/>
      </top>
      <bottom style="thick">
        <color auto="1"/>
      </bottom>
      <diagonal/>
    </border>
    <border>
      <left/>
      <right/>
      <top style="thin">
        <color rgb="FFFFFFFF"/>
      </top>
      <bottom style="thin">
        <color rgb="FFFFFFFF"/>
      </bottom>
      <diagonal/>
    </border>
    <border>
      <left style="medium">
        <color auto="1"/>
      </left>
      <right/>
      <top/>
      <bottom style="medium">
        <color auto="1"/>
      </bottom>
      <diagonal/>
    </border>
    <border>
      <left/>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thick">
        <color auto="1"/>
      </bottom>
      <diagonal/>
    </border>
    <border>
      <left style="thick">
        <color auto="1"/>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style="dashed">
        <color auto="1"/>
      </bottom>
      <diagonal/>
    </border>
    <border>
      <left style="mediumDashed">
        <color auto="1"/>
      </left>
      <right/>
      <top style="thin">
        <color auto="1"/>
      </top>
      <bottom/>
      <diagonal/>
    </border>
    <border>
      <left/>
      <right style="mediumDashed">
        <color auto="1"/>
      </right>
      <top style="thin">
        <color auto="1"/>
      </top>
      <bottom/>
      <diagonal/>
    </border>
    <border>
      <left style="thin">
        <color auto="1"/>
      </left>
      <right style="thick">
        <color auto="1"/>
      </right>
      <top style="medium">
        <color auto="1"/>
      </top>
      <bottom style="thin">
        <color auto="1"/>
      </bottom>
      <diagonal/>
    </border>
    <border>
      <left style="thick">
        <color auto="1"/>
      </left>
      <right/>
      <top style="medium">
        <color auto="1"/>
      </top>
      <bottom/>
      <diagonal/>
    </border>
    <border>
      <left style="thin">
        <color auto="1"/>
      </left>
      <right style="medium">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right/>
      <top/>
      <bottom style="double">
        <color auto="1"/>
      </bottom>
      <diagonal/>
    </border>
    <border>
      <left/>
      <right/>
      <top style="double">
        <color auto="1"/>
      </top>
      <bottom style="thin">
        <color auto="1"/>
      </bottom>
      <diagonal/>
    </border>
    <border>
      <left/>
      <right/>
      <top style="thin">
        <color auto="1"/>
      </top>
      <bottom style="double">
        <color auto="1"/>
      </bottom>
      <diagonal/>
    </border>
    <border>
      <left/>
      <right/>
      <top style="mediumDashed">
        <color auto="1"/>
      </top>
      <bottom/>
      <diagonal/>
    </border>
    <border>
      <left style="medium">
        <color auto="1"/>
      </left>
      <right style="medium">
        <color auto="1"/>
      </right>
      <top/>
      <bottom style="thick">
        <color auto="1"/>
      </bottom>
      <diagonal/>
    </border>
    <border>
      <left style="mediumDashed">
        <color auto="1"/>
      </left>
      <right/>
      <top style="mediumDashed">
        <color auto="1"/>
      </top>
      <bottom/>
      <diagonal/>
    </border>
    <border>
      <left/>
      <right style="thin">
        <color auto="1"/>
      </right>
      <top style="mediumDashed">
        <color auto="1"/>
      </top>
      <bottom/>
      <diagonal/>
    </border>
    <border>
      <left style="thin">
        <color auto="1"/>
      </left>
      <right style="thin">
        <color auto="1"/>
      </right>
      <top/>
      <bottom style="thick">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ck">
        <color auto="1"/>
      </left>
      <right style="medium">
        <color auto="1"/>
      </right>
      <top/>
      <bottom style="thick">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medium">
        <color indexed="8"/>
      </left>
      <right style="thick">
        <color indexed="8"/>
      </right>
      <top style="thin">
        <color indexed="8"/>
      </top>
      <bottom/>
      <diagonal/>
    </border>
    <border>
      <left style="medium">
        <color indexed="8"/>
      </left>
      <right style="thick">
        <color indexed="8"/>
      </right>
      <top/>
      <bottom/>
      <diagonal/>
    </border>
    <border>
      <left style="medium">
        <color indexed="8"/>
      </left>
      <right/>
      <top style="thin">
        <color indexed="8"/>
      </top>
      <bottom style="thin">
        <color auto="1"/>
      </bottom>
      <diagonal/>
    </border>
    <border>
      <left/>
      <right/>
      <top style="thin">
        <color indexed="8"/>
      </top>
      <bottom style="thin">
        <color auto="1"/>
      </bottom>
      <diagonal/>
    </border>
    <border>
      <left/>
      <right style="medium">
        <color indexed="8"/>
      </right>
      <top style="thin">
        <color indexed="8"/>
      </top>
      <bottom style="thin">
        <color auto="1"/>
      </bottom>
      <diagonal/>
    </border>
    <border>
      <left style="thin">
        <color auto="1"/>
      </left>
      <right style="medium">
        <color auto="1"/>
      </right>
      <top/>
      <bottom style="medium">
        <color indexed="64"/>
      </bottom>
      <diagonal/>
    </border>
    <border>
      <left style="thin">
        <color indexed="8"/>
      </left>
      <right style="thin">
        <color indexed="8"/>
      </right>
      <top/>
      <bottom/>
      <diagonal/>
    </border>
    <border>
      <left style="thin">
        <color indexed="64"/>
      </left>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auto="1"/>
      </left>
      <right style="thin">
        <color auto="1"/>
      </right>
      <top/>
      <bottom/>
      <diagonal/>
    </border>
    <border>
      <left style="thin">
        <color indexed="64"/>
      </left>
      <right style="thin">
        <color indexed="64"/>
      </right>
      <top/>
      <bottom/>
      <diagonal/>
    </border>
    <border>
      <left style="thin">
        <color auto="1"/>
      </left>
      <right style="medium">
        <color auto="1"/>
      </right>
      <top/>
      <bottom/>
      <diagonal/>
    </border>
    <border>
      <left style="medium">
        <color indexed="8"/>
      </left>
      <right style="thick">
        <color indexed="8"/>
      </right>
      <top/>
      <bottom style="thin">
        <color auto="1"/>
      </bottom>
      <diagonal/>
    </border>
    <border>
      <left/>
      <right/>
      <top/>
      <bottom style="thin">
        <color auto="1"/>
      </bottom>
      <diagonal/>
    </border>
    <border>
      <left style="thick">
        <color auto="1"/>
      </left>
      <right/>
      <top/>
      <bottom style="thin">
        <color auto="1"/>
      </bottom>
      <diagonal/>
    </border>
    <border>
      <left style="medium">
        <color auto="1"/>
      </left>
      <right/>
      <top/>
      <bottom style="thin">
        <color auto="1"/>
      </bottom>
      <diagonal/>
    </border>
    <border>
      <left style="thin">
        <color auto="1"/>
      </left>
      <right/>
      <top/>
      <bottom style="thin">
        <color auto="1"/>
      </bottom>
      <diagonal/>
    </border>
    <border>
      <left/>
      <right style="mediumDashed">
        <color auto="1"/>
      </right>
      <top/>
      <bottom style="thin">
        <color auto="1"/>
      </bottom>
      <diagonal/>
    </border>
    <border>
      <left/>
      <right style="thin">
        <color auto="1"/>
      </right>
      <top/>
      <bottom style="thin">
        <color auto="1"/>
      </bottom>
      <diagonal/>
    </border>
    <border>
      <left/>
      <right style="thick">
        <color auto="1"/>
      </right>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style="thick">
        <color auto="1"/>
      </right>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ck">
        <color auto="1"/>
      </right>
      <top/>
      <bottom style="thin">
        <color auto="1"/>
      </bottom>
      <diagonal/>
    </border>
    <border>
      <left style="thick">
        <color indexed="8"/>
      </left>
      <right style="medium">
        <color indexed="8"/>
      </right>
      <top/>
      <bottom style="thin">
        <color indexed="8"/>
      </bottom>
      <diagonal/>
    </border>
    <border>
      <left/>
      <right style="thick">
        <color indexed="8"/>
      </right>
      <top/>
      <bottom style="thin">
        <color indexed="8"/>
      </bottom>
      <diagonal/>
    </border>
    <border>
      <left style="thick">
        <color indexed="8"/>
      </left>
      <right/>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Dashed">
        <color auto="1"/>
      </left>
      <right/>
      <top/>
      <bottom style="thin">
        <color auto="1"/>
      </bottom>
      <diagonal/>
    </border>
    <border>
      <left style="thick">
        <color auto="1"/>
      </left>
      <right style="medium">
        <color auto="1"/>
      </right>
      <top/>
      <bottom style="thin">
        <color auto="1"/>
      </bottom>
      <diagonal/>
    </border>
    <border>
      <left/>
      <right/>
      <top/>
      <bottom style="thin">
        <color auto="1"/>
      </bottom>
      <diagonal/>
    </border>
    <border>
      <left/>
      <right/>
      <top style="double">
        <color auto="1"/>
      </top>
      <bottom/>
      <diagonal/>
    </border>
    <border>
      <left/>
      <right/>
      <top style="thin">
        <color theme="4" tint="0.39997558519241921"/>
      </top>
      <bottom/>
      <diagonal/>
    </border>
  </borders>
  <cellStyleXfs count="1236">
    <xf numFmtId="0" fontId="0" fillId="0" borderId="0"/>
    <xf numFmtId="9" fontId="26" fillId="0" borderId="0" applyFont="0" applyFill="0" applyBorder="0" applyAlignment="0" applyProtection="0"/>
    <xf numFmtId="0" fontId="27" fillId="0" borderId="0"/>
    <xf numFmtId="0" fontId="28" fillId="0" borderId="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5" fillId="0" borderId="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165" fontId="26"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9" fontId="2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8" fillId="0" borderId="0"/>
    <xf numFmtId="0" fontId="52" fillId="0" borderId="0"/>
    <xf numFmtId="0" fontId="54"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3" fontId="54" fillId="0" borderId="0" applyFont="0" applyFill="0" applyBorder="0" applyAlignment="0" applyProtection="0"/>
    <xf numFmtId="173" fontId="54" fillId="0" borderId="0" applyFont="0" applyFill="0" applyBorder="0" applyAlignment="0" applyProtection="0"/>
    <xf numFmtId="0" fontId="52"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28" fillId="0" borderId="0"/>
    <xf numFmtId="0" fontId="58" fillId="0" borderId="1">
      <alignment horizontal="center"/>
    </xf>
    <xf numFmtId="2" fontId="54"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6" fillId="0" borderId="0"/>
    <xf numFmtId="0" fontId="68"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68" fillId="0" borderId="0" applyFont="0" applyFill="0" applyBorder="0" applyAlignment="0" applyProtection="0"/>
    <xf numFmtId="0" fontId="67" fillId="0" borderId="0" applyNumberFormat="0" applyFill="0" applyBorder="0" applyAlignment="0" applyProtection="0">
      <alignment vertical="top"/>
      <protection locked="0"/>
    </xf>
    <xf numFmtId="173" fontId="68" fillId="0" borderId="0" applyFont="0" applyFill="0" applyBorder="0" applyAlignment="0" applyProtection="0"/>
    <xf numFmtId="0" fontId="57" fillId="0" borderId="0"/>
    <xf numFmtId="9" fontId="66" fillId="0" borderId="0" applyFont="0" applyFill="0" applyBorder="0" applyAlignment="0" applyProtection="0"/>
    <xf numFmtId="2" fontId="68" fillId="0" borderId="0" applyFont="0" applyFill="0" applyBorder="0" applyAlignment="0" applyProtection="0"/>
    <xf numFmtId="0" fontId="57" fillId="0" borderId="0"/>
    <xf numFmtId="0" fontId="66" fillId="0" borderId="0"/>
    <xf numFmtId="0" fontId="24"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11"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25" borderId="0" applyNumberFormat="0" applyBorder="0" applyAlignment="0" applyProtection="0"/>
    <xf numFmtId="0" fontId="75" fillId="29" borderId="0" applyNumberFormat="0" applyBorder="0" applyAlignment="0" applyProtection="0"/>
    <xf numFmtId="0" fontId="75" fillId="33" borderId="0" applyNumberFormat="0" applyBorder="0" applyAlignment="0" applyProtection="0"/>
    <xf numFmtId="0" fontId="75" fillId="10" borderId="0" applyNumberFormat="0" applyBorder="0" applyAlignment="0" applyProtection="0"/>
    <xf numFmtId="0" fontId="75" fillId="14" borderId="0" applyNumberFormat="0" applyBorder="0" applyAlignment="0" applyProtection="0"/>
    <xf numFmtId="0" fontId="75" fillId="18" borderId="0" applyNumberFormat="0" applyBorder="0" applyAlignment="0" applyProtection="0"/>
    <xf numFmtId="0" fontId="75" fillId="22" borderId="0" applyNumberFormat="0" applyBorder="0" applyAlignment="0" applyProtection="0"/>
    <xf numFmtId="0" fontId="75" fillId="26" borderId="0" applyNumberFormat="0" applyBorder="0" applyAlignment="0" applyProtection="0"/>
    <xf numFmtId="0" fontId="75" fillId="30" borderId="0" applyNumberFormat="0" applyBorder="0" applyAlignment="0" applyProtection="0"/>
    <xf numFmtId="0" fontId="76" fillId="4" borderId="0" applyNumberFormat="0" applyBorder="0" applyAlignment="0" applyProtection="0"/>
    <xf numFmtId="0" fontId="77" fillId="7" borderId="104" applyNumberFormat="0" applyAlignment="0" applyProtection="0"/>
    <xf numFmtId="0" fontId="78" fillId="8" borderId="107"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174" fontId="4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74" fontId="47" fillId="0" borderId="0" applyFont="0" applyFill="0" applyBorder="0" applyAlignment="0" applyProtection="0"/>
    <xf numFmtId="165" fontId="24" fillId="0" borderId="0" applyFont="0" applyFill="0" applyBorder="0" applyAlignment="0" applyProtection="0"/>
    <xf numFmtId="3" fontId="40" fillId="0" borderId="0" applyFont="0" applyFill="0" applyBorder="0" applyAlignment="0" applyProtection="0"/>
    <xf numFmtId="0" fontId="79" fillId="34" borderId="97" applyNumberFormat="0" applyFont="0" applyAlignment="0" applyProtection="0"/>
    <xf numFmtId="0" fontId="80" fillId="0" borderId="0" applyNumberFormat="0" applyFill="0" applyBorder="0" applyAlignment="0" applyProtection="0"/>
    <xf numFmtId="0" fontId="81" fillId="3" borderId="0" applyNumberFormat="0" applyBorder="0" applyAlignment="0" applyProtection="0"/>
    <xf numFmtId="0" fontId="72" fillId="0" borderId="101" applyNumberFormat="0" applyFill="0" applyAlignment="0" applyProtection="0"/>
    <xf numFmtId="0" fontId="73" fillId="0" borderId="102" applyNumberFormat="0" applyFill="0" applyAlignment="0" applyProtection="0"/>
    <xf numFmtId="0" fontId="74" fillId="0" borderId="103" applyNumberFormat="0" applyFill="0" applyAlignment="0" applyProtection="0"/>
    <xf numFmtId="0" fontId="74" fillId="0" borderId="0" applyNumberFormat="0" applyFill="0" applyBorder="0" applyAlignment="0" applyProtection="0"/>
    <xf numFmtId="0" fontId="82" fillId="6" borderId="104" applyNumberFormat="0" applyAlignment="0" applyProtection="0"/>
    <xf numFmtId="0" fontId="83" fillId="0" borderId="0" applyNumberFormat="0" applyFill="0" applyBorder="0" applyAlignment="0" applyProtection="0"/>
    <xf numFmtId="0" fontId="84" fillId="0" borderId="106" applyNumberFormat="0" applyFill="0" applyAlignment="0" applyProtection="0"/>
    <xf numFmtId="0" fontId="85" fillId="5" borderId="0" applyNumberFormat="0" applyBorder="0" applyAlignment="0" applyProtection="0"/>
    <xf numFmtId="0" fontId="24" fillId="0" borderId="0"/>
    <xf numFmtId="0" fontId="28" fillId="0" borderId="0"/>
    <xf numFmtId="0" fontId="24" fillId="0" borderId="0"/>
    <xf numFmtId="0" fontId="24" fillId="0" borderId="0"/>
    <xf numFmtId="0" fontId="52" fillId="0" borderId="0"/>
    <xf numFmtId="0" fontId="24" fillId="0" borderId="0"/>
    <xf numFmtId="0" fontId="47" fillId="0" borderId="0"/>
    <xf numFmtId="0" fontId="28" fillId="0" borderId="0"/>
    <xf numFmtId="0" fontId="24" fillId="0" borderId="0"/>
    <xf numFmtId="0" fontId="24" fillId="0" borderId="0"/>
    <xf numFmtId="0" fontId="47" fillId="0" borderId="0"/>
    <xf numFmtId="0" fontId="86"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applyFill="0" applyProtection="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47" fillId="0" borderId="0"/>
    <xf numFmtId="0" fontId="24" fillId="0" borderId="0"/>
    <xf numFmtId="0" fontId="24" fillId="0" borderId="0"/>
    <xf numFmtId="0" fontId="57"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57" fillId="0" borderId="0"/>
    <xf numFmtId="0" fontId="87" fillId="0" borderId="0" applyNumberFormat="0" applyBorder="0" applyAlignment="0"/>
    <xf numFmtId="0" fontId="57" fillId="0" borderId="0"/>
    <xf numFmtId="0" fontId="57" fillId="0" borderId="0"/>
    <xf numFmtId="0" fontId="57" fillId="0" borderId="0"/>
    <xf numFmtId="0" fontId="57" fillId="0" borderId="0"/>
    <xf numFmtId="0" fontId="35" fillId="9" borderId="108" applyNumberFormat="0" applyFont="0" applyAlignment="0" applyProtection="0"/>
    <xf numFmtId="0" fontId="24" fillId="9" borderId="108" applyNumberFormat="0" applyFont="0" applyAlignment="0" applyProtection="0"/>
    <xf numFmtId="0" fontId="88" fillId="7" borderId="105" applyNumberFormat="0" applyAlignment="0" applyProtection="0"/>
    <xf numFmtId="9" fontId="24" fillId="0" borderId="0" applyFont="0" applyFill="0" applyBorder="0" applyAlignment="0" applyProtection="0"/>
    <xf numFmtId="9" fontId="5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3" fillId="0" borderId="0" applyFont="0" applyFill="0" applyBorder="0" applyAlignment="0" applyProtection="0"/>
    <xf numFmtId="9" fontId="4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0" fontId="89" fillId="35" borderId="0" applyNumberFormat="0" applyBorder="0" applyAlignment="0" applyProtection="0"/>
    <xf numFmtId="0" fontId="90" fillId="0" borderId="0" applyNumberFormat="0" applyFill="0" applyBorder="0" applyAlignment="0" applyProtection="0"/>
    <xf numFmtId="0" fontId="91" fillId="0" borderId="110" applyNumberFormat="0" applyFill="0" applyAlignment="0" applyProtection="0"/>
    <xf numFmtId="0" fontId="92" fillId="0" borderId="111" applyNumberFormat="0" applyFill="0" applyAlignment="0" applyProtection="0"/>
    <xf numFmtId="0" fontId="93" fillId="0" borderId="112" applyNumberFormat="0" applyFill="0" applyAlignment="0" applyProtection="0"/>
    <xf numFmtId="0" fontId="93" fillId="0" borderId="0" applyNumberFormat="0" applyFill="0" applyBorder="0" applyAlignment="0" applyProtection="0"/>
    <xf numFmtId="0" fontId="94" fillId="0" borderId="109" applyNumberFormat="0" applyFill="0" applyAlignment="0" applyProtection="0"/>
    <xf numFmtId="0" fontId="95" fillId="36" borderId="113" applyNumberFormat="0" applyAlignment="0" applyProtection="0"/>
    <xf numFmtId="0" fontId="96" fillId="0" borderId="0" applyNumberFormat="0" applyFill="0" applyBorder="0" applyAlignment="0" applyProtection="0"/>
    <xf numFmtId="0" fontId="30" fillId="0" borderId="0" applyNumberFormat="0" applyFill="0" applyBorder="0" applyAlignment="0" applyProtection="0"/>
    <xf numFmtId="0" fontId="22" fillId="0" borderId="0"/>
    <xf numFmtId="9" fontId="2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5" fontId="20" fillId="0" borderId="0" applyFont="0" applyFill="0" applyBorder="0" applyAlignment="0" applyProtection="0"/>
    <xf numFmtId="0" fontId="20" fillId="0" borderId="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75" fontId="28" fillId="0" borderId="0" applyNumberFormat="0" applyFont="0" applyFill="0" applyBorder="0" applyAlignment="0" applyProtection="0"/>
    <xf numFmtId="0" fontId="28"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75" fontId="28" fillId="0" borderId="0" applyNumberFormat="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8" fillId="0" borderId="0"/>
    <xf numFmtId="9" fontId="18" fillId="0" borderId="0" applyFont="0" applyFill="0" applyBorder="0" applyAlignment="0" applyProtection="0"/>
    <xf numFmtId="0" fontId="19" fillId="0" borderId="0"/>
    <xf numFmtId="165" fontId="19" fillId="0" borderId="0" applyFont="0" applyFill="0" applyBorder="0" applyAlignment="0" applyProtection="0"/>
    <xf numFmtId="0" fontId="19" fillId="0" borderId="0"/>
    <xf numFmtId="0" fontId="26" fillId="0" borderId="0"/>
    <xf numFmtId="9" fontId="26"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9" fillId="0" borderId="0"/>
    <xf numFmtId="9" fontId="19" fillId="0" borderId="0" applyFont="0" applyFill="0" applyBorder="0" applyAlignment="0" applyProtection="0"/>
    <xf numFmtId="9" fontId="19"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7"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6" fillId="0" borderId="0"/>
    <xf numFmtId="165" fontId="57"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5" fillId="0" borderId="0"/>
    <xf numFmtId="9" fontId="15"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0" borderId="0"/>
    <xf numFmtId="0" fontId="14" fillId="0" borderId="0"/>
    <xf numFmtId="9" fontId="14"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3" fillId="0" borderId="0"/>
    <xf numFmtId="0" fontId="12" fillId="0" borderId="0"/>
    <xf numFmtId="9" fontId="12" fillId="0" borderId="0" applyFont="0" applyFill="0" applyBorder="0" applyAlignment="0" applyProtection="0"/>
    <xf numFmtId="165" fontId="1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1" fillId="0" borderId="0"/>
    <xf numFmtId="9" fontId="11"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65" fontId="28" fillId="0" borderId="0" applyFont="0" applyFill="0" applyBorder="0" applyAlignment="0" applyProtection="0"/>
    <xf numFmtId="166" fontId="2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9" fillId="0" borderId="0"/>
    <xf numFmtId="0" fontId="8"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 fillId="0" borderId="0"/>
    <xf numFmtId="9" fontId="5" fillId="0" borderId="0" applyFont="0" applyFill="0" applyBorder="0" applyAlignment="0" applyProtection="0"/>
    <xf numFmtId="0" fontId="26" fillId="0" borderId="0"/>
    <xf numFmtId="165" fontId="26"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0" fontId="28" fillId="0" borderId="0"/>
    <xf numFmtId="0" fontId="12" fillId="0" borderId="0"/>
    <xf numFmtId="0" fontId="2" fillId="0" borderId="0"/>
    <xf numFmtId="9" fontId="2" fillId="0" borderId="0" applyFont="0" applyFill="0" applyBorder="0" applyAlignment="0" applyProtection="0"/>
    <xf numFmtId="0" fontId="138" fillId="0" borderId="0"/>
    <xf numFmtId="0" fontId="3" fillId="0" borderId="0"/>
    <xf numFmtId="0" fontId="1" fillId="0" borderId="0"/>
    <xf numFmtId="9" fontId="1" fillId="0" borderId="0" applyFont="0" applyFill="0" applyBorder="0" applyAlignment="0" applyProtection="0"/>
  </cellStyleXfs>
  <cellXfs count="2464">
    <xf numFmtId="0" fontId="0" fillId="0" borderId="0" xfId="0"/>
    <xf numFmtId="0" fontId="27" fillId="0" borderId="0" xfId="0" applyFont="1"/>
    <xf numFmtId="0" fontId="31" fillId="0" borderId="0" xfId="0" applyFont="1"/>
    <xf numFmtId="0" fontId="35" fillId="0" borderId="0" xfId="0" applyFont="1" applyBorder="1" applyAlignment="1">
      <alignment horizontal="center"/>
    </xf>
    <xf numFmtId="0" fontId="32" fillId="0" borderId="7" xfId="0" applyFont="1" applyBorder="1" applyAlignment="1">
      <alignment horizontal="center" vertical="center"/>
    </xf>
    <xf numFmtId="0" fontId="32" fillId="0" borderId="8" xfId="0" applyFont="1" applyBorder="1" applyAlignment="1">
      <alignment horizontal="center" vertical="center"/>
    </xf>
    <xf numFmtId="0" fontId="35" fillId="0" borderId="8" xfId="0" applyFont="1" applyBorder="1" applyAlignment="1">
      <alignment horizontal="center"/>
    </xf>
    <xf numFmtId="0" fontId="31" fillId="0" borderId="7" xfId="0" applyFont="1" applyBorder="1" applyAlignment="1">
      <alignment horizontal="center" vertical="center" wrapText="1"/>
    </xf>
    <xf numFmtId="0" fontId="31" fillId="0" borderId="33" xfId="0" applyFont="1" applyBorder="1" applyAlignment="1">
      <alignment horizontal="center" vertical="center"/>
    </xf>
    <xf numFmtId="9" fontId="31" fillId="0" borderId="0" xfId="1" applyFont="1" applyBorder="1" applyAlignment="1">
      <alignment horizontal="center"/>
    </xf>
    <xf numFmtId="0" fontId="35" fillId="0" borderId="0" xfId="0" applyFont="1" applyAlignment="1">
      <alignment horizontal="center"/>
    </xf>
    <xf numFmtId="165" fontId="0" fillId="0" borderId="0" xfId="0" applyNumberFormat="1"/>
    <xf numFmtId="167" fontId="31" fillId="0" borderId="1" xfId="0" applyNumberFormat="1" applyFont="1" applyBorder="1" applyAlignment="1">
      <alignment horizontal="center" vertical="center" wrapText="1"/>
    </xf>
    <xf numFmtId="3" fontId="31" fillId="0" borderId="0" xfId="0" applyNumberFormat="1" applyFont="1" applyBorder="1" applyAlignment="1">
      <alignment horizontal="center" vertical="center" wrapText="1"/>
    </xf>
    <xf numFmtId="3" fontId="31" fillId="0" borderId="8" xfId="0" applyNumberFormat="1" applyFont="1" applyBorder="1" applyAlignment="1">
      <alignment horizontal="center" vertical="center" wrapText="1"/>
    </xf>
    <xf numFmtId="167" fontId="31" fillId="0" borderId="22" xfId="0" applyNumberFormat="1" applyFont="1" applyBorder="1" applyAlignment="1">
      <alignment horizontal="center" vertical="center" wrapText="1"/>
    </xf>
    <xf numFmtId="167" fontId="31" fillId="0" borderId="30" xfId="0" applyNumberFormat="1" applyFont="1" applyBorder="1" applyAlignment="1">
      <alignment horizontal="center" vertical="center" wrapText="1"/>
    </xf>
    <xf numFmtId="167" fontId="31" fillId="0" borderId="18" xfId="0" applyNumberFormat="1" applyFont="1" applyBorder="1" applyAlignment="1">
      <alignment horizontal="center"/>
    </xf>
    <xf numFmtId="167" fontId="31" fillId="0" borderId="23" xfId="0" applyNumberFormat="1" applyFont="1" applyBorder="1" applyAlignment="1">
      <alignment horizontal="center" vertical="center" wrapText="1"/>
    </xf>
    <xf numFmtId="0" fontId="31" fillId="0" borderId="1" xfId="0" applyFont="1" applyBorder="1" applyAlignment="1">
      <alignment vertical="center" wrapText="1"/>
    </xf>
    <xf numFmtId="167" fontId="31" fillId="0" borderId="11" xfId="0" applyNumberFormat="1" applyFont="1" applyBorder="1" applyAlignment="1">
      <alignment horizontal="center" vertical="center" wrapText="1"/>
    </xf>
    <xf numFmtId="9" fontId="31" fillId="0" borderId="30" xfId="1" applyFont="1" applyBorder="1" applyAlignment="1">
      <alignment horizontal="center" vertical="center" wrapText="1"/>
    </xf>
    <xf numFmtId="9" fontId="31" fillId="0" borderId="1" xfId="1" applyFont="1" applyBorder="1" applyAlignment="1">
      <alignment horizontal="center" vertical="center" wrapText="1"/>
    </xf>
    <xf numFmtId="0" fontId="38" fillId="0" borderId="0" xfId="0" applyFont="1"/>
    <xf numFmtId="9" fontId="31" fillId="0" borderId="0" xfId="1" applyFont="1" applyFill="1" applyBorder="1" applyAlignment="1">
      <alignment horizontal="center"/>
    </xf>
    <xf numFmtId="0" fontId="27" fillId="0" borderId="0" xfId="0" applyFont="1" applyFill="1"/>
    <xf numFmtId="167" fontId="31" fillId="0" borderId="0" xfId="0" applyNumberFormat="1" applyFont="1" applyBorder="1" applyAlignment="1">
      <alignment horizontal="center" vertical="center" wrapText="1"/>
    </xf>
    <xf numFmtId="167" fontId="38" fillId="0" borderId="0" xfId="0" applyNumberFormat="1" applyFont="1" applyBorder="1" applyAlignment="1">
      <alignment horizontal="center" vertical="center" wrapText="1"/>
    </xf>
    <xf numFmtId="9" fontId="44" fillId="0" borderId="0" xfId="1" applyFont="1" applyBorder="1" applyAlignment="1">
      <alignment horizontal="center"/>
    </xf>
    <xf numFmtId="0" fontId="28" fillId="0" borderId="0" xfId="341"/>
    <xf numFmtId="3" fontId="28" fillId="0" borderId="0" xfId="341" applyNumberFormat="1"/>
    <xf numFmtId="172" fontId="28" fillId="0" borderId="0" xfId="341" applyNumberFormat="1"/>
    <xf numFmtId="10" fontId="28" fillId="0" borderId="0" xfId="341" applyNumberFormat="1"/>
    <xf numFmtId="0" fontId="47" fillId="0" borderId="9" xfId="341" applyFont="1" applyBorder="1" applyAlignment="1">
      <alignment horizontal="center" vertical="center"/>
    </xf>
    <xf numFmtId="0" fontId="28" fillId="0" borderId="8" xfId="341" applyBorder="1"/>
    <xf numFmtId="3" fontId="48" fillId="0" borderId="2" xfId="341" applyNumberFormat="1" applyFont="1" applyBorder="1" applyAlignment="1">
      <alignment horizontal="center" vertical="center"/>
    </xf>
    <xf numFmtId="3" fontId="47" fillId="0" borderId="0" xfId="341" applyNumberFormat="1" applyFont="1" applyBorder="1" applyAlignment="1">
      <alignment horizontal="center" vertical="center"/>
    </xf>
    <xf numFmtId="3" fontId="47" fillId="0" borderId="1" xfId="341" applyNumberFormat="1" applyFont="1" applyBorder="1" applyAlignment="1">
      <alignment horizontal="center" vertical="center"/>
    </xf>
    <xf numFmtId="0" fontId="47" fillId="0" borderId="7" xfId="341" applyFont="1" applyBorder="1" applyAlignment="1">
      <alignment horizontal="center" vertical="center"/>
    </xf>
    <xf numFmtId="10" fontId="28" fillId="0" borderId="0" xfId="341" applyNumberFormat="1" applyFill="1"/>
    <xf numFmtId="3" fontId="28" fillId="0" borderId="0" xfId="341" applyNumberFormat="1" applyFill="1"/>
    <xf numFmtId="0" fontId="28" fillId="0" borderId="0" xfId="341" applyFill="1"/>
    <xf numFmtId="0" fontId="47" fillId="0" borderId="47" xfId="341" applyFont="1" applyBorder="1" applyAlignment="1">
      <alignment horizontal="center" vertical="center"/>
    </xf>
    <xf numFmtId="0" fontId="47" fillId="0" borderId="51" xfId="341" applyFont="1" applyBorder="1" applyAlignment="1">
      <alignment horizontal="center" vertical="center"/>
    </xf>
    <xf numFmtId="3" fontId="47" fillId="0" borderId="0" xfId="341" applyNumberFormat="1" applyFont="1" applyFill="1" applyBorder="1" applyAlignment="1">
      <alignment horizontal="center" vertical="center"/>
    </xf>
    <xf numFmtId="3" fontId="47" fillId="0" borderId="1" xfId="341" applyNumberFormat="1" applyFont="1" applyFill="1" applyBorder="1" applyAlignment="1">
      <alignment horizontal="center" vertical="center"/>
    </xf>
    <xf numFmtId="0" fontId="47" fillId="0" borderId="7" xfId="341" applyFont="1" applyFill="1" applyBorder="1" applyAlignment="1">
      <alignment horizontal="center" vertical="center"/>
    </xf>
    <xf numFmtId="0" fontId="28" fillId="0" borderId="8" xfId="341" applyFill="1" applyBorder="1"/>
    <xf numFmtId="0" fontId="53" fillId="0" borderId="8" xfId="341" applyFont="1" applyBorder="1" applyAlignment="1">
      <alignment horizontal="center" vertical="center" wrapText="1"/>
    </xf>
    <xf numFmtId="0" fontId="28" fillId="0" borderId="0" xfId="341" applyBorder="1"/>
    <xf numFmtId="0" fontId="52" fillId="0" borderId="0" xfId="342"/>
    <xf numFmtId="0" fontId="44" fillId="0" borderId="0" xfId="342" applyFont="1" applyBorder="1" applyAlignment="1">
      <alignment horizontal="center" vertical="center" wrapText="1"/>
    </xf>
    <xf numFmtId="0" fontId="50" fillId="0" borderId="55" xfId="341" applyFont="1" applyBorder="1"/>
    <xf numFmtId="0" fontId="28" fillId="0" borderId="55" xfId="341" applyBorder="1"/>
    <xf numFmtId="0" fontId="28" fillId="0" borderId="56" xfId="341" applyBorder="1"/>
    <xf numFmtId="4" fontId="28" fillId="0" borderId="0" xfId="341" applyNumberFormat="1"/>
    <xf numFmtId="3" fontId="47" fillId="0" borderId="8" xfId="341" applyNumberFormat="1" applyFont="1" applyBorder="1" applyAlignment="1">
      <alignment horizontal="center" vertical="center"/>
    </xf>
    <xf numFmtId="0" fontId="52" fillId="0" borderId="0" xfId="348"/>
    <xf numFmtId="0" fontId="44" fillId="0" borderId="0" xfId="348" applyFont="1" applyBorder="1" applyAlignment="1">
      <alignment horizontal="center" vertical="center" wrapText="1"/>
    </xf>
    <xf numFmtId="3" fontId="49" fillId="0" borderId="58" xfId="341" applyNumberFormat="1" applyFont="1" applyBorder="1" applyAlignment="1">
      <alignment horizontal="center" vertical="center"/>
    </xf>
    <xf numFmtId="3" fontId="47" fillId="0" borderId="8" xfId="341" applyNumberFormat="1" applyFont="1" applyFill="1" applyBorder="1" applyAlignment="1">
      <alignment horizontal="center" vertical="center"/>
    </xf>
    <xf numFmtId="3" fontId="46" fillId="2" borderId="45" xfId="341" applyNumberFormat="1" applyFont="1" applyFill="1" applyBorder="1" applyAlignment="1">
      <alignment horizontal="center" vertical="center"/>
    </xf>
    <xf numFmtId="0" fontId="28" fillId="0" borderId="0" xfId="3" applyFont="1"/>
    <xf numFmtId="0" fontId="31" fillId="0" borderId="24" xfId="0" applyFont="1" applyBorder="1" applyAlignment="1">
      <alignment horizontal="center" vertical="center"/>
    </xf>
    <xf numFmtId="3" fontId="46" fillId="0" borderId="45" xfId="341" applyNumberFormat="1" applyFont="1" applyBorder="1" applyAlignment="1">
      <alignment horizontal="center" vertical="center"/>
    </xf>
    <xf numFmtId="3" fontId="46" fillId="0" borderId="52" xfId="341" applyNumberFormat="1" applyFont="1" applyBorder="1" applyAlignment="1">
      <alignment horizontal="center" vertical="center"/>
    </xf>
    <xf numFmtId="3" fontId="46" fillId="0" borderId="52" xfId="341" applyNumberFormat="1" applyFont="1" applyFill="1" applyBorder="1" applyAlignment="1">
      <alignment horizontal="center" vertical="center"/>
    </xf>
    <xf numFmtId="0" fontId="28" fillId="0" borderId="0" xfId="341" applyAlignment="1">
      <alignment horizontal="center"/>
    </xf>
    <xf numFmtId="0" fontId="61" fillId="0" borderId="70" xfId="3" applyFont="1" applyBorder="1" applyAlignment="1">
      <alignment horizontal="center" vertical="center"/>
    </xf>
    <xf numFmtId="0" fontId="62" fillId="0" borderId="0" xfId="3" applyFont="1" applyBorder="1" applyAlignment="1">
      <alignment vertical="center"/>
    </xf>
    <xf numFmtId="0" fontId="62" fillId="0" borderId="71" xfId="3" applyFont="1" applyBorder="1" applyAlignment="1">
      <alignment vertical="center"/>
    </xf>
    <xf numFmtId="0" fontId="28" fillId="0" borderId="70" xfId="3" applyFont="1" applyBorder="1" applyAlignment="1">
      <alignment wrapText="1"/>
    </xf>
    <xf numFmtId="3" fontId="44" fillId="0" borderId="90" xfId="3" applyNumberFormat="1" applyFont="1" applyBorder="1" applyAlignment="1">
      <alignment horizontal="center"/>
    </xf>
    <xf numFmtId="3" fontId="44" fillId="0" borderId="44" xfId="3" applyNumberFormat="1" applyFont="1" applyBorder="1" applyAlignment="1">
      <alignment horizontal="center"/>
    </xf>
    <xf numFmtId="3" fontId="44" fillId="0" borderId="0" xfId="3" applyNumberFormat="1" applyFont="1" applyBorder="1" applyAlignment="1">
      <alignment horizontal="center"/>
    </xf>
    <xf numFmtId="3" fontId="44" fillId="0" borderId="92" xfId="3" applyNumberFormat="1" applyFont="1" applyBorder="1" applyAlignment="1">
      <alignment horizontal="center"/>
    </xf>
    <xf numFmtId="3" fontId="44" fillId="0" borderId="76" xfId="3" applyNumberFormat="1" applyFont="1" applyBorder="1" applyAlignment="1">
      <alignment horizontal="center"/>
    </xf>
    <xf numFmtId="0" fontId="63" fillId="0" borderId="73" xfId="3" applyFont="1" applyBorder="1" applyAlignment="1">
      <alignment horizontal="center" vertical="center" wrapText="1"/>
    </xf>
    <xf numFmtId="3" fontId="44" fillId="0" borderId="71" xfId="3" applyNumberFormat="1" applyFont="1" applyBorder="1" applyAlignment="1">
      <alignment horizontal="center"/>
    </xf>
    <xf numFmtId="0" fontId="28" fillId="0" borderId="94" xfId="3" applyFont="1" applyBorder="1"/>
    <xf numFmtId="0" fontId="40" fillId="0" borderId="0" xfId="3" applyFont="1"/>
    <xf numFmtId="0" fontId="44" fillId="0" borderId="70" xfId="3" applyFont="1" applyBorder="1" applyAlignment="1">
      <alignment horizontal="center" vertical="center"/>
    </xf>
    <xf numFmtId="0" fontId="44" fillId="0" borderId="0" xfId="3" applyFont="1" applyBorder="1" applyAlignment="1">
      <alignment horizontal="center" vertical="center"/>
    </xf>
    <xf numFmtId="3" fontId="44" fillId="0" borderId="82" xfId="3" applyNumberFormat="1" applyFont="1" applyBorder="1" applyAlignment="1">
      <alignment horizontal="center"/>
    </xf>
    <xf numFmtId="0" fontId="35" fillId="0" borderId="0" xfId="0" applyFont="1" applyBorder="1" applyAlignment="1">
      <alignment horizontal="center" vertical="center"/>
    </xf>
    <xf numFmtId="43" fontId="0" fillId="0" borderId="0" xfId="0" applyNumberFormat="1"/>
    <xf numFmtId="3" fontId="47" fillId="0" borderId="13" xfId="341" applyNumberFormat="1" applyFont="1" applyFill="1" applyBorder="1" applyAlignment="1">
      <alignment horizontal="center" vertical="center"/>
    </xf>
    <xf numFmtId="3" fontId="48" fillId="0" borderId="12" xfId="341" applyNumberFormat="1" applyFont="1" applyFill="1" applyBorder="1" applyAlignment="1">
      <alignment horizontal="center" vertical="center"/>
    </xf>
    <xf numFmtId="3" fontId="46" fillId="0" borderId="65" xfId="341" applyNumberFormat="1" applyFont="1" applyFill="1" applyBorder="1" applyAlignment="1">
      <alignment horizontal="center" vertical="center"/>
    </xf>
    <xf numFmtId="3" fontId="46" fillId="0" borderId="64" xfId="341" applyNumberFormat="1" applyFont="1" applyFill="1" applyBorder="1" applyAlignment="1">
      <alignment horizontal="center" vertical="center"/>
    </xf>
    <xf numFmtId="3" fontId="47" fillId="0" borderId="11" xfId="341" applyNumberFormat="1" applyFont="1" applyFill="1" applyBorder="1" applyAlignment="1">
      <alignment horizontal="center" vertical="center"/>
    </xf>
    <xf numFmtId="3" fontId="49" fillId="0" borderId="18" xfId="341" applyNumberFormat="1" applyFont="1" applyBorder="1" applyAlignment="1">
      <alignment horizontal="center" vertical="center"/>
    </xf>
    <xf numFmtId="3" fontId="47" fillId="0" borderId="48" xfId="341" applyNumberFormat="1" applyFont="1" applyFill="1" applyBorder="1" applyAlignment="1">
      <alignment horizontal="center" vertical="center"/>
    </xf>
    <xf numFmtId="3" fontId="46" fillId="0" borderId="48" xfId="341" applyNumberFormat="1" applyFont="1" applyFill="1" applyBorder="1" applyAlignment="1">
      <alignment horizontal="center" vertical="center"/>
    </xf>
    <xf numFmtId="3" fontId="48" fillId="0" borderId="50" xfId="341" applyNumberFormat="1" applyFont="1" applyFill="1" applyBorder="1" applyAlignment="1">
      <alignment horizontal="center" vertical="center"/>
    </xf>
    <xf numFmtId="3" fontId="46" fillId="0" borderId="57" xfId="341" applyNumberFormat="1" applyFont="1" applyFill="1" applyBorder="1" applyAlignment="1">
      <alignment horizontal="center" vertical="center"/>
    </xf>
    <xf numFmtId="3" fontId="46" fillId="0" borderId="66" xfId="341" applyNumberFormat="1" applyFont="1" applyFill="1" applyBorder="1" applyAlignment="1">
      <alignment horizontal="center" vertical="center"/>
    </xf>
    <xf numFmtId="3" fontId="47" fillId="0" borderId="95" xfId="341" applyNumberFormat="1" applyFont="1" applyFill="1" applyBorder="1" applyAlignment="1">
      <alignment horizontal="center" vertical="center"/>
    </xf>
    <xf numFmtId="3" fontId="46" fillId="0" borderId="8" xfId="341" applyNumberFormat="1" applyFont="1" applyFill="1" applyBorder="1" applyAlignment="1">
      <alignment horizontal="center" vertical="center"/>
    </xf>
    <xf numFmtId="3" fontId="48" fillId="0" borderId="2" xfId="341" applyNumberFormat="1" applyFont="1" applyFill="1" applyBorder="1" applyAlignment="1">
      <alignment horizontal="center" vertical="center"/>
    </xf>
    <xf numFmtId="3" fontId="46" fillId="0" borderId="45" xfId="341" applyNumberFormat="1" applyFont="1" applyFill="1" applyBorder="1" applyAlignment="1">
      <alignment horizontal="center" vertical="center"/>
    </xf>
    <xf numFmtId="3" fontId="49" fillId="0" borderId="96" xfId="341" applyNumberFormat="1" applyFont="1" applyBorder="1" applyAlignment="1">
      <alignment horizontal="center" vertical="center"/>
    </xf>
    <xf numFmtId="0" fontId="28" fillId="0" borderId="7" xfId="341" applyFont="1" applyBorder="1"/>
    <xf numFmtId="0" fontId="28" fillId="0" borderId="53" xfId="341" applyFont="1" applyBorder="1"/>
    <xf numFmtId="0" fontId="28" fillId="0" borderId="8" xfId="341" applyBorder="1" applyAlignment="1">
      <alignment horizontal="center"/>
    </xf>
    <xf numFmtId="3" fontId="0" fillId="0" borderId="0" xfId="0" applyNumberFormat="1"/>
    <xf numFmtId="9" fontId="0" fillId="0" borderId="0" xfId="1" applyFont="1"/>
    <xf numFmtId="0" fontId="31" fillId="0" borderId="30" xfId="0" applyFont="1" applyBorder="1" applyAlignment="1">
      <alignment horizontal="center" vertical="center"/>
    </xf>
    <xf numFmtId="9" fontId="0" fillId="0" borderId="0" xfId="1" applyNumberFormat="1" applyFont="1"/>
    <xf numFmtId="1" fontId="0" fillId="0" borderId="0" xfId="0" applyNumberFormat="1"/>
    <xf numFmtId="3" fontId="31" fillId="0" borderId="18" xfId="0" applyNumberFormat="1" applyFont="1" applyBorder="1" applyAlignment="1">
      <alignment horizontal="center"/>
    </xf>
    <xf numFmtId="170" fontId="31" fillId="0" borderId="0" xfId="139" applyNumberFormat="1" applyFont="1" applyBorder="1" applyAlignment="1">
      <alignment horizontal="center" vertical="center" wrapText="1"/>
    </xf>
    <xf numFmtId="0" fontId="39" fillId="0" borderId="7" xfId="0" applyFont="1" applyBorder="1" applyAlignment="1">
      <alignment horizontal="center" vertical="center" wrapText="1"/>
    </xf>
    <xf numFmtId="0" fontId="71" fillId="0" borderId="7" xfId="0" applyFont="1" applyBorder="1"/>
    <xf numFmtId="0" fontId="71" fillId="0" borderId="9" xfId="0" applyFont="1" applyBorder="1"/>
    <xf numFmtId="9" fontId="38" fillId="0" borderId="0" xfId="1" applyFont="1" applyBorder="1" applyAlignment="1">
      <alignment horizontal="center"/>
    </xf>
    <xf numFmtId="3" fontId="38" fillId="0" borderId="0" xfId="3" applyNumberFormat="1" applyFont="1" applyBorder="1" applyAlignment="1">
      <alignment horizontal="center"/>
    </xf>
    <xf numFmtId="9" fontId="28" fillId="0" borderId="0" xfId="1" applyFont="1"/>
    <xf numFmtId="0" fontId="32" fillId="0" borderId="98" xfId="0" applyFont="1" applyBorder="1" applyAlignment="1">
      <alignment horizontal="center" vertical="center"/>
    </xf>
    <xf numFmtId="9" fontId="31" fillId="0" borderId="98" xfId="1" applyFont="1" applyBorder="1" applyAlignment="1">
      <alignment horizontal="center"/>
    </xf>
    <xf numFmtId="167" fontId="31" fillId="0" borderId="98" xfId="0" applyNumberFormat="1" applyFont="1" applyBorder="1" applyAlignment="1">
      <alignment horizontal="center" vertical="center" wrapText="1"/>
    </xf>
    <xf numFmtId="167" fontId="31" fillId="0" borderId="98" xfId="0" applyNumberFormat="1" applyFont="1" applyBorder="1" applyAlignment="1">
      <alignment horizontal="center"/>
    </xf>
    <xf numFmtId="167" fontId="31" fillId="0" borderId="98" xfId="0" applyNumberFormat="1" applyFont="1" applyFill="1" applyBorder="1" applyAlignment="1">
      <alignment horizontal="center"/>
    </xf>
    <xf numFmtId="0" fontId="71" fillId="0" borderId="98" xfId="0" applyFont="1" applyBorder="1"/>
    <xf numFmtId="9" fontId="31" fillId="0" borderId="71" xfId="263" applyFont="1" applyBorder="1" applyAlignment="1">
      <alignment horizontal="center"/>
    </xf>
    <xf numFmtId="169" fontId="44" fillId="0" borderId="98" xfId="0" applyNumberFormat="1" applyFont="1" applyFill="1" applyBorder="1" applyAlignment="1">
      <alignment horizontal="center" vertical="center" wrapText="1"/>
    </xf>
    <xf numFmtId="0" fontId="35" fillId="0" borderId="0" xfId="0" applyFont="1" applyFill="1" applyBorder="1" applyAlignment="1">
      <alignment horizontal="center"/>
    </xf>
    <xf numFmtId="0" fontId="33" fillId="0" borderId="0" xfId="0" applyFont="1" applyFill="1" applyBorder="1" applyAlignment="1">
      <alignment horizontal="center" vertical="center" wrapText="1"/>
    </xf>
    <xf numFmtId="0" fontId="98" fillId="0" borderId="0" xfId="0" applyFont="1"/>
    <xf numFmtId="0" fontId="99" fillId="0" borderId="0" xfId="0" applyFont="1"/>
    <xf numFmtId="9" fontId="98" fillId="0" borderId="0" xfId="1" applyNumberFormat="1" applyFont="1"/>
    <xf numFmtId="171" fontId="98" fillId="0" borderId="0" xfId="1" applyNumberFormat="1" applyFont="1"/>
    <xf numFmtId="9" fontId="98" fillId="0" borderId="0" xfId="1" applyFont="1"/>
    <xf numFmtId="3" fontId="98" fillId="0" borderId="0" xfId="0" applyNumberFormat="1" applyFont="1"/>
    <xf numFmtId="0" fontId="28" fillId="0" borderId="0" xfId="0" applyFont="1" applyFill="1" applyBorder="1" applyAlignment="1">
      <alignment horizontal="center"/>
    </xf>
    <xf numFmtId="0" fontId="28" fillId="0" borderId="8" xfId="0" applyFont="1" applyFill="1" applyBorder="1" applyAlignment="1">
      <alignment horizontal="center"/>
    </xf>
    <xf numFmtId="0" fontId="101" fillId="0" borderId="0" xfId="0" applyFont="1" applyFill="1" applyBorder="1" applyAlignment="1">
      <alignment horizontal="center" vertical="center" wrapText="1"/>
    </xf>
    <xf numFmtId="0" fontId="44" fillId="0" borderId="33" xfId="0" applyFont="1" applyFill="1" applyBorder="1" applyAlignment="1">
      <alignment horizontal="center" vertical="center"/>
    </xf>
    <xf numFmtId="9" fontId="44" fillId="0" borderId="0" xfId="1" applyFont="1" applyFill="1" applyBorder="1" applyAlignment="1">
      <alignment horizontal="center"/>
    </xf>
    <xf numFmtId="9" fontId="44" fillId="0" borderId="8" xfId="1" applyFont="1" applyFill="1" applyBorder="1" applyAlignment="1">
      <alignment horizontal="center"/>
    </xf>
    <xf numFmtId="0" fontId="44" fillId="0" borderId="7" xfId="0" applyFont="1" applyFill="1" applyBorder="1" applyAlignment="1">
      <alignment horizontal="center" vertical="center" wrapText="1"/>
    </xf>
    <xf numFmtId="9" fontId="44" fillId="0" borderId="10" xfId="1" applyFont="1" applyFill="1" applyBorder="1" applyAlignment="1">
      <alignment horizontal="center"/>
    </xf>
    <xf numFmtId="9" fontId="44" fillId="0" borderId="13" xfId="1" applyFont="1" applyFill="1" applyBorder="1" applyAlignment="1">
      <alignment horizontal="center"/>
    </xf>
    <xf numFmtId="0" fontId="21" fillId="0" borderId="0" xfId="0" applyFont="1"/>
    <xf numFmtId="167" fontId="44" fillId="0" borderId="98" xfId="0" applyNumberFormat="1" applyFont="1" applyFill="1" applyBorder="1" applyAlignment="1">
      <alignment horizontal="center"/>
    </xf>
    <xf numFmtId="0" fontId="28" fillId="0" borderId="0" xfId="592"/>
    <xf numFmtId="0" fontId="28" fillId="0" borderId="0" xfId="592" applyFont="1"/>
    <xf numFmtId="0" fontId="28" fillId="38" borderId="117" xfId="592" applyNumberFormat="1" applyFont="1" applyFill="1" applyBorder="1" applyAlignment="1"/>
    <xf numFmtId="0" fontId="28" fillId="0" borderId="0" xfId="592" applyAlignment="1">
      <alignment horizontal="center" vertical="center" wrapText="1"/>
    </xf>
    <xf numFmtId="0" fontId="28" fillId="0" borderId="0" xfId="592" applyFont="1" applyAlignment="1">
      <alignment horizontal="center" vertical="center" wrapText="1"/>
    </xf>
    <xf numFmtId="1" fontId="44" fillId="0" borderId="98" xfId="0" applyNumberFormat="1" applyFont="1" applyFill="1" applyBorder="1" applyAlignment="1">
      <alignment horizontal="center"/>
    </xf>
    <xf numFmtId="3" fontId="44" fillId="0" borderId="98" xfId="0" applyNumberFormat="1" applyFont="1" applyFill="1" applyBorder="1" applyAlignment="1">
      <alignment horizontal="center"/>
    </xf>
    <xf numFmtId="168" fontId="33" fillId="0" borderId="0" xfId="139" applyNumberFormat="1" applyFont="1" applyFill="1" applyBorder="1" applyAlignment="1">
      <alignment horizontal="center"/>
    </xf>
    <xf numFmtId="168" fontId="101" fillId="0" borderId="0" xfId="139" applyNumberFormat="1" applyFont="1" applyFill="1" applyBorder="1" applyAlignment="1">
      <alignment horizontal="center"/>
    </xf>
    <xf numFmtId="9" fontId="102" fillId="0" borderId="0" xfId="1" applyFont="1" applyFill="1" applyBorder="1" applyAlignment="1">
      <alignment horizontal="center"/>
    </xf>
    <xf numFmtId="9" fontId="33" fillId="0" borderId="0" xfId="1" applyFont="1" applyFill="1" applyBorder="1" applyAlignment="1">
      <alignment horizontal="center"/>
    </xf>
    <xf numFmtId="3" fontId="31" fillId="0" borderId="98" xfId="0" applyNumberFormat="1" applyFont="1" applyBorder="1" applyAlignment="1">
      <alignment horizontal="center"/>
    </xf>
    <xf numFmtId="9" fontId="31" fillId="0" borderId="98" xfId="1" applyFont="1" applyBorder="1" applyAlignment="1">
      <alignment horizontal="center" vertical="center" wrapText="1"/>
    </xf>
    <xf numFmtId="0" fontId="61" fillId="0" borderId="0" xfId="592" applyFont="1" applyBorder="1" applyAlignment="1">
      <alignment horizontal="center"/>
    </xf>
    <xf numFmtId="0" fontId="28" fillId="0" borderId="0" xfId="592" applyFont="1" applyBorder="1"/>
    <xf numFmtId="0" fontId="28" fillId="0" borderId="0" xfId="341" applyFont="1" applyBorder="1" applyAlignment="1">
      <alignment horizontal="center"/>
    </xf>
    <xf numFmtId="0" fontId="62" fillId="0" borderId="0" xfId="592" applyFont="1" applyBorder="1"/>
    <xf numFmtId="0" fontId="53" fillId="37" borderId="116" xfId="592" applyFont="1" applyFill="1" applyBorder="1" applyAlignment="1">
      <alignment vertical="top" wrapText="1"/>
    </xf>
    <xf numFmtId="168" fontId="28" fillId="0" borderId="0" xfId="592" applyNumberFormat="1" applyFont="1" applyBorder="1"/>
    <xf numFmtId="168" fontId="28" fillId="0" borderId="0" xfId="592" applyNumberFormat="1" applyFont="1"/>
    <xf numFmtId="3" fontId="44" fillId="0" borderId="18" xfId="0" applyNumberFormat="1" applyFont="1" applyFill="1" applyBorder="1" applyAlignment="1">
      <alignment horizontal="center" vertical="center" wrapText="1"/>
    </xf>
    <xf numFmtId="3" fontId="31" fillId="0" borderId="19" xfId="0" applyNumberFormat="1" applyFont="1" applyFill="1" applyBorder="1" applyAlignment="1">
      <alignment horizontal="center" vertical="center"/>
    </xf>
    <xf numFmtId="9" fontId="31" fillId="0" borderId="10" xfId="1" applyFont="1" applyFill="1" applyBorder="1" applyAlignment="1">
      <alignment horizontal="center" vertical="center"/>
    </xf>
    <xf numFmtId="3" fontId="44" fillId="0" borderId="98" xfId="0" applyNumberFormat="1" applyFont="1" applyFill="1" applyBorder="1" applyAlignment="1">
      <alignment horizontal="center" vertical="center" wrapText="1"/>
    </xf>
    <xf numFmtId="0" fontId="0" fillId="0" borderId="0" xfId="0" applyAlignment="1">
      <alignment horizontal="center"/>
    </xf>
    <xf numFmtId="3" fontId="31" fillId="0" borderId="10" xfId="0" applyNumberFormat="1" applyFont="1" applyFill="1" applyBorder="1" applyAlignment="1">
      <alignment horizontal="center" vertical="center"/>
    </xf>
    <xf numFmtId="169" fontId="35" fillId="0" borderId="0" xfId="1" applyNumberFormat="1" applyFont="1" applyAlignment="1">
      <alignment horizontal="center" vertical="center"/>
    </xf>
    <xf numFmtId="0" fontId="35" fillId="0" borderId="0" xfId="0" applyFont="1"/>
    <xf numFmtId="0" fontId="35" fillId="0" borderId="0" xfId="0" applyFont="1" applyAlignment="1">
      <alignment horizontal="center" vertical="center"/>
    </xf>
    <xf numFmtId="3" fontId="31" fillId="0" borderId="30" xfId="0" applyNumberFormat="1" applyFont="1" applyFill="1" applyBorder="1" applyAlignment="1">
      <alignment horizontal="center" vertical="center" wrapText="1"/>
    </xf>
    <xf numFmtId="3" fontId="31" fillId="0" borderId="0" xfId="0" applyNumberFormat="1" applyFont="1" applyFill="1" applyBorder="1" applyAlignment="1">
      <alignment horizontal="center" vertical="center"/>
    </xf>
    <xf numFmtId="9" fontId="31" fillId="0" borderId="0" xfId="1" applyFont="1" applyFill="1" applyBorder="1" applyAlignment="1">
      <alignment horizontal="center" vertical="center"/>
    </xf>
    <xf numFmtId="3" fontId="31" fillId="0" borderId="31" xfId="0" applyNumberFormat="1" applyFont="1" applyFill="1" applyBorder="1" applyAlignment="1">
      <alignment horizontal="center" vertical="center"/>
    </xf>
    <xf numFmtId="3" fontId="31" fillId="0" borderId="30" xfId="0" applyNumberFormat="1" applyFont="1" applyFill="1" applyBorder="1" applyAlignment="1">
      <alignment horizontal="center" vertical="center"/>
    </xf>
    <xf numFmtId="3" fontId="44" fillId="0" borderId="3" xfId="0" applyNumberFormat="1" applyFont="1" applyFill="1" applyBorder="1" applyAlignment="1">
      <alignment horizontal="center" vertical="center"/>
    </xf>
    <xf numFmtId="3" fontId="31" fillId="0" borderId="24" xfId="0" applyNumberFormat="1" applyFont="1" applyFill="1" applyBorder="1" applyAlignment="1">
      <alignment horizontal="center" vertical="center"/>
    </xf>
    <xf numFmtId="9" fontId="31" fillId="0" borderId="30" xfId="1" applyNumberFormat="1" applyFont="1" applyFill="1" applyBorder="1" applyAlignment="1">
      <alignment horizontal="center" vertical="center"/>
    </xf>
    <xf numFmtId="3" fontId="35" fillId="0" borderId="0" xfId="0" applyNumberFormat="1" applyFont="1"/>
    <xf numFmtId="3" fontId="31" fillId="0" borderId="18" xfId="0" applyNumberFormat="1" applyFont="1" applyFill="1" applyBorder="1" applyAlignment="1">
      <alignment horizontal="center" vertical="center"/>
    </xf>
    <xf numFmtId="3" fontId="31" fillId="0" borderId="121" xfId="0" applyNumberFormat="1" applyFont="1" applyFill="1" applyBorder="1" applyAlignment="1">
      <alignment horizontal="center" vertical="center"/>
    </xf>
    <xf numFmtId="0" fontId="35" fillId="0" borderId="8" xfId="0" applyFont="1" applyFill="1" applyBorder="1" applyAlignment="1">
      <alignment horizontal="center"/>
    </xf>
    <xf numFmtId="9" fontId="31" fillId="0" borderId="8" xfId="1" applyFont="1" applyFill="1" applyBorder="1" applyAlignment="1">
      <alignment horizontal="center" vertical="center"/>
    </xf>
    <xf numFmtId="0" fontId="31" fillId="0" borderId="7" xfId="0" applyFont="1" applyFill="1" applyBorder="1" applyAlignment="1">
      <alignment horizontal="center" vertical="center" wrapText="1"/>
    </xf>
    <xf numFmtId="9" fontId="31" fillId="0" borderId="24" xfId="1" applyNumberFormat="1" applyFont="1" applyFill="1" applyBorder="1" applyAlignment="1">
      <alignment horizontal="center" vertical="center"/>
    </xf>
    <xf numFmtId="9" fontId="31" fillId="0" borderId="0" xfId="1" applyNumberFormat="1" applyFont="1" applyFill="1" applyBorder="1" applyAlignment="1">
      <alignment horizontal="center" vertical="center"/>
    </xf>
    <xf numFmtId="0" fontId="31" fillId="0" borderId="33" xfId="0" applyFont="1" applyFill="1" applyBorder="1" applyAlignment="1">
      <alignment horizontal="center" vertical="center"/>
    </xf>
    <xf numFmtId="9" fontId="31" fillId="0" borderId="8" xfId="1" applyFont="1" applyFill="1" applyBorder="1" applyAlignment="1">
      <alignment horizontal="center"/>
    </xf>
    <xf numFmtId="0" fontId="33" fillId="0" borderId="0" xfId="0" applyFont="1" applyFill="1" applyBorder="1"/>
    <xf numFmtId="168" fontId="102" fillId="0" borderId="0" xfId="139" applyNumberFormat="1" applyFont="1" applyFill="1" applyBorder="1" applyAlignment="1">
      <alignment horizontal="center"/>
    </xf>
    <xf numFmtId="1" fontId="101" fillId="0" borderId="0" xfId="0" applyNumberFormat="1" applyFont="1" applyFill="1" applyBorder="1" applyAlignment="1">
      <alignment horizontal="center"/>
    </xf>
    <xf numFmtId="9" fontId="31" fillId="0" borderId="98" xfId="1" applyFont="1" applyFill="1" applyBorder="1" applyAlignment="1">
      <alignment horizontal="center" vertical="center"/>
    </xf>
    <xf numFmtId="9" fontId="31" fillId="0" borderId="2" xfId="1" applyFont="1" applyFill="1" applyBorder="1" applyAlignment="1">
      <alignment horizontal="center" vertical="center"/>
    </xf>
    <xf numFmtId="9" fontId="31" fillId="0" borderId="18" xfId="1" applyFont="1" applyFill="1" applyBorder="1" applyAlignment="1">
      <alignment horizontal="center" vertical="center"/>
    </xf>
    <xf numFmtId="9" fontId="31" fillId="0" borderId="12" xfId="1" applyFont="1" applyFill="1" applyBorder="1" applyAlignment="1">
      <alignment horizontal="center" vertical="center"/>
    </xf>
    <xf numFmtId="9" fontId="31" fillId="0" borderId="13" xfId="1" applyFont="1" applyFill="1" applyBorder="1" applyAlignment="1">
      <alignment horizontal="center" vertical="center"/>
    </xf>
    <xf numFmtId="0" fontId="31" fillId="0" borderId="9" xfId="0" applyFont="1" applyFill="1" applyBorder="1" applyAlignment="1">
      <alignment horizontal="center" vertical="center"/>
    </xf>
    <xf numFmtId="3" fontId="31" fillId="0" borderId="3" xfId="0" applyNumberFormat="1" applyFont="1" applyFill="1" applyBorder="1" applyAlignment="1">
      <alignment horizontal="center" vertical="center" wrapText="1"/>
    </xf>
    <xf numFmtId="3" fontId="31" fillId="0" borderId="24" xfId="0" applyNumberFormat="1" applyFont="1" applyFill="1" applyBorder="1" applyAlignment="1">
      <alignment horizontal="center" vertical="center" wrapText="1"/>
    </xf>
    <xf numFmtId="3" fontId="31" fillId="0" borderId="31" xfId="0" applyNumberFormat="1" applyFont="1" applyFill="1" applyBorder="1" applyAlignment="1">
      <alignment horizontal="center" vertical="center" wrapText="1"/>
    </xf>
    <xf numFmtId="9" fontId="31" fillId="0" borderId="24" xfId="1" applyFont="1" applyFill="1" applyBorder="1" applyAlignment="1">
      <alignment horizontal="center" vertical="center"/>
    </xf>
    <xf numFmtId="9" fontId="31" fillId="0" borderId="34" xfId="1" applyFont="1" applyFill="1" applyBorder="1" applyAlignment="1">
      <alignment horizontal="center" vertical="center"/>
    </xf>
    <xf numFmtId="9" fontId="31" fillId="0" borderId="32" xfId="1" applyFont="1" applyFill="1" applyBorder="1" applyAlignment="1">
      <alignment horizontal="center" vertical="center"/>
    </xf>
    <xf numFmtId="3" fontId="44" fillId="0" borderId="1" xfId="0" applyNumberFormat="1" applyFont="1" applyFill="1" applyBorder="1" applyAlignment="1">
      <alignment horizontal="center" vertical="center" wrapText="1"/>
    </xf>
    <xf numFmtId="3" fontId="44" fillId="0" borderId="0" xfId="139" applyNumberFormat="1" applyFont="1" applyFill="1" applyBorder="1" applyAlignment="1">
      <alignment horizontal="center" vertical="center"/>
    </xf>
    <xf numFmtId="3" fontId="31" fillId="0" borderId="0" xfId="0" applyNumberFormat="1" applyFont="1" applyFill="1" applyBorder="1" applyAlignment="1">
      <alignment horizontal="center" vertical="center" wrapText="1"/>
    </xf>
    <xf numFmtId="0" fontId="31" fillId="0" borderId="9" xfId="0" applyFont="1" applyFill="1" applyBorder="1" applyAlignment="1">
      <alignment horizontal="center" vertical="center" wrapText="1"/>
    </xf>
    <xf numFmtId="3" fontId="44" fillId="0" borderId="11" xfId="0" applyNumberFormat="1" applyFont="1" applyFill="1" applyBorder="1" applyAlignment="1">
      <alignment horizontal="center" vertical="center" wrapText="1"/>
    </xf>
    <xf numFmtId="3" fontId="44" fillId="0" borderId="10" xfId="139" applyNumberFormat="1" applyFont="1" applyFill="1" applyBorder="1" applyAlignment="1">
      <alignment horizontal="center" vertical="center"/>
    </xf>
    <xf numFmtId="3" fontId="31" fillId="0" borderId="10" xfId="0" applyNumberFormat="1" applyFont="1" applyFill="1" applyBorder="1" applyAlignment="1">
      <alignment horizontal="center" vertical="center" wrapText="1"/>
    </xf>
    <xf numFmtId="3" fontId="44" fillId="0" borderId="30" xfId="0" applyNumberFormat="1" applyFont="1" applyFill="1" applyBorder="1" applyAlignment="1">
      <alignment horizontal="center" vertical="center" wrapText="1"/>
    </xf>
    <xf numFmtId="9" fontId="44" fillId="0" borderId="0" xfId="1" applyFont="1" applyFill="1" applyBorder="1" applyAlignment="1">
      <alignment horizontal="center" vertical="center"/>
    </xf>
    <xf numFmtId="9" fontId="44" fillId="0" borderId="8" xfId="1" applyFont="1" applyFill="1" applyBorder="1" applyAlignment="1">
      <alignment horizontal="center" vertical="center"/>
    </xf>
    <xf numFmtId="9" fontId="44" fillId="0" borderId="24" xfId="1" applyFont="1" applyFill="1" applyBorder="1" applyAlignment="1">
      <alignment horizontal="center" vertical="center"/>
    </xf>
    <xf numFmtId="9" fontId="44" fillId="0" borderId="32" xfId="1" applyFont="1" applyFill="1" applyBorder="1" applyAlignment="1">
      <alignment horizontal="center" vertical="center"/>
    </xf>
    <xf numFmtId="3" fontId="44" fillId="0" borderId="3" xfId="0" applyNumberFormat="1" applyFont="1" applyFill="1" applyBorder="1" applyAlignment="1">
      <alignment horizontal="center" vertical="center" wrapText="1"/>
    </xf>
    <xf numFmtId="3" fontId="44" fillId="0" borderId="31" xfId="0" applyNumberFormat="1" applyFont="1" applyFill="1" applyBorder="1" applyAlignment="1">
      <alignment horizontal="center" vertical="center"/>
    </xf>
    <xf numFmtId="9" fontId="44" fillId="0" borderId="30" xfId="1" applyFont="1" applyFill="1" applyBorder="1" applyAlignment="1">
      <alignment horizontal="center" vertical="center"/>
    </xf>
    <xf numFmtId="9" fontId="44" fillId="0" borderId="34" xfId="1" applyFont="1" applyFill="1" applyBorder="1" applyAlignment="1">
      <alignment horizontal="center" vertical="center"/>
    </xf>
    <xf numFmtId="3" fontId="44" fillId="0" borderId="0" xfId="0" applyNumberFormat="1" applyFont="1" applyFill="1" applyBorder="1" applyAlignment="1">
      <alignment horizontal="center" vertical="center"/>
    </xf>
    <xf numFmtId="9" fontId="44" fillId="0" borderId="2" xfId="1" applyFont="1" applyFill="1" applyBorder="1" applyAlignment="1">
      <alignment horizontal="center" vertical="center"/>
    </xf>
    <xf numFmtId="3" fontId="0" fillId="0" borderId="0" xfId="0" applyNumberFormat="1" applyAlignment="1">
      <alignment horizontal="center"/>
    </xf>
    <xf numFmtId="3" fontId="44" fillId="0" borderId="24" xfId="0" applyNumberFormat="1" applyFont="1" applyFill="1" applyBorder="1" applyAlignment="1">
      <alignment horizontal="center" vertical="center"/>
    </xf>
    <xf numFmtId="3" fontId="44" fillId="0" borderId="24" xfId="0" applyNumberFormat="1" applyFont="1" applyFill="1" applyBorder="1" applyAlignment="1">
      <alignment horizontal="center" vertical="center" wrapText="1"/>
    </xf>
    <xf numFmtId="169" fontId="35" fillId="0" borderId="0" xfId="1" applyNumberFormat="1" applyFont="1" applyAlignment="1">
      <alignment horizontal="center"/>
    </xf>
    <xf numFmtId="9" fontId="44" fillId="0" borderId="24" xfId="1" applyFont="1" applyFill="1" applyBorder="1" applyAlignment="1">
      <alignment horizontal="center" vertical="center" wrapText="1"/>
    </xf>
    <xf numFmtId="3" fontId="44" fillId="0" borderId="25" xfId="0" applyNumberFormat="1" applyFont="1" applyFill="1" applyBorder="1" applyAlignment="1">
      <alignment horizontal="center" vertical="center" wrapText="1"/>
    </xf>
    <xf numFmtId="9" fontId="44" fillId="0" borderId="32" xfId="1" applyFont="1" applyFill="1" applyBorder="1" applyAlignment="1">
      <alignment horizontal="center" vertical="center" wrapText="1"/>
    </xf>
    <xf numFmtId="3" fontId="44" fillId="0" borderId="98" xfId="0" applyNumberFormat="1" applyFont="1" applyFill="1" applyBorder="1" applyAlignment="1">
      <alignment horizontal="center" vertical="center"/>
    </xf>
    <xf numFmtId="3" fontId="44" fillId="0" borderId="0" xfId="0" applyNumberFormat="1" applyFont="1" applyFill="1" applyBorder="1" applyAlignment="1">
      <alignment horizontal="center" vertical="center" wrapText="1"/>
    </xf>
    <xf numFmtId="0" fontId="44" fillId="0" borderId="122" xfId="0" applyFont="1" applyFill="1" applyBorder="1" applyAlignment="1">
      <alignment horizontal="center" vertical="center" wrapText="1"/>
    </xf>
    <xf numFmtId="3" fontId="44" fillId="0" borderId="123" xfId="0" applyNumberFormat="1" applyFont="1" applyFill="1" applyBorder="1" applyAlignment="1">
      <alignment horizontal="center" vertical="center"/>
    </xf>
    <xf numFmtId="3" fontId="44" fillId="0" borderId="121" xfId="0" applyNumberFormat="1" applyFont="1" applyFill="1" applyBorder="1" applyAlignment="1">
      <alignment horizontal="center" vertical="center"/>
    </xf>
    <xf numFmtId="3" fontId="44" fillId="0" borderId="124" xfId="0" applyNumberFormat="1" applyFont="1" applyFill="1" applyBorder="1" applyAlignment="1">
      <alignment horizontal="center" vertical="center"/>
    </xf>
    <xf numFmtId="3" fontId="44" fillId="0" borderId="125" xfId="0" applyNumberFormat="1" applyFont="1" applyFill="1" applyBorder="1" applyAlignment="1">
      <alignment horizontal="center" vertical="center"/>
    </xf>
    <xf numFmtId="9" fontId="44" fillId="0" borderId="126" xfId="1" applyFont="1" applyFill="1" applyBorder="1" applyAlignment="1">
      <alignment horizontal="center" vertical="center"/>
    </xf>
    <xf numFmtId="3" fontId="44" fillId="0" borderId="0" xfId="0" applyNumberFormat="1" applyFont="1" applyFill="1" applyBorder="1" applyAlignment="1">
      <alignment horizontal="center"/>
    </xf>
    <xf numFmtId="9" fontId="44" fillId="0" borderId="124" xfId="1" applyNumberFormat="1" applyFont="1" applyFill="1" applyBorder="1" applyAlignment="1">
      <alignment horizontal="center" vertical="center"/>
    </xf>
    <xf numFmtId="9" fontId="44" fillId="0" borderId="0" xfId="1" applyNumberFormat="1" applyFont="1" applyFill="1" applyBorder="1" applyAlignment="1">
      <alignment horizontal="center" vertical="center"/>
    </xf>
    <xf numFmtId="169" fontId="44" fillId="0" borderId="31" xfId="0" applyNumberFormat="1" applyFont="1" applyFill="1" applyBorder="1" applyAlignment="1">
      <alignment horizontal="center" vertical="center" wrapText="1"/>
    </xf>
    <xf numFmtId="3" fontId="31" fillId="0" borderId="1" xfId="0" applyNumberFormat="1" applyFont="1" applyBorder="1" applyAlignment="1">
      <alignment horizontal="center" vertical="center"/>
    </xf>
    <xf numFmtId="3" fontId="31" fillId="0" borderId="0" xfId="0" applyNumberFormat="1" applyFont="1" applyBorder="1" applyAlignment="1">
      <alignment horizontal="center" vertical="center"/>
    </xf>
    <xf numFmtId="9" fontId="31" fillId="0" borderId="0" xfId="1" applyFont="1" applyBorder="1" applyAlignment="1">
      <alignment horizontal="center" vertical="center" wrapText="1"/>
    </xf>
    <xf numFmtId="0" fontId="31" fillId="0" borderId="122" xfId="0" applyFont="1" applyBorder="1" applyAlignment="1">
      <alignment horizontal="center" vertical="center" wrapText="1"/>
    </xf>
    <xf numFmtId="3" fontId="31" fillId="0" borderId="123" xfId="0" applyNumberFormat="1" applyFont="1" applyBorder="1" applyAlignment="1">
      <alignment horizontal="center" vertical="center"/>
    </xf>
    <xf numFmtId="3" fontId="31" fillId="0" borderId="121" xfId="0" applyNumberFormat="1" applyFont="1" applyBorder="1" applyAlignment="1">
      <alignment horizontal="center" vertical="center"/>
    </xf>
    <xf numFmtId="3" fontId="31" fillId="0" borderId="124" xfId="0" applyNumberFormat="1" applyFont="1" applyFill="1" applyBorder="1" applyAlignment="1">
      <alignment horizontal="center" vertical="center"/>
    </xf>
    <xf numFmtId="3" fontId="31" fillId="0" borderId="124" xfId="0" applyNumberFormat="1" applyFont="1" applyBorder="1" applyAlignment="1">
      <alignment horizontal="center" vertical="center"/>
    </xf>
    <xf numFmtId="3" fontId="31" fillId="0" borderId="125" xfId="0" applyNumberFormat="1" applyFont="1" applyBorder="1" applyAlignment="1">
      <alignment horizontal="center" vertical="center"/>
    </xf>
    <xf numFmtId="9" fontId="31" fillId="0" borderId="124" xfId="1" applyFont="1" applyFill="1" applyBorder="1" applyAlignment="1">
      <alignment horizontal="center" vertical="center"/>
    </xf>
    <xf numFmtId="9" fontId="31" fillId="0" borderId="124" xfId="1" applyFont="1" applyBorder="1" applyAlignment="1">
      <alignment horizontal="center" vertical="center" wrapText="1"/>
    </xf>
    <xf numFmtId="9" fontId="31" fillId="0" borderId="126" xfId="1" applyFont="1" applyFill="1" applyBorder="1" applyAlignment="1">
      <alignment horizontal="center" vertical="center"/>
    </xf>
    <xf numFmtId="3" fontId="31" fillId="0" borderId="30" xfId="0" applyNumberFormat="1" applyFont="1" applyBorder="1" applyAlignment="1">
      <alignment horizontal="center" vertical="center" wrapText="1"/>
    </xf>
    <xf numFmtId="3" fontId="31" fillId="0" borderId="3" xfId="0" applyNumberFormat="1" applyFont="1" applyBorder="1" applyAlignment="1">
      <alignment horizontal="center" vertical="center" wrapText="1"/>
    </xf>
    <xf numFmtId="3" fontId="31" fillId="0" borderId="24" xfId="0" applyNumberFormat="1" applyFont="1" applyBorder="1" applyAlignment="1">
      <alignment horizontal="center" vertical="center" wrapText="1"/>
    </xf>
    <xf numFmtId="3" fontId="31" fillId="0" borderId="31" xfId="0" applyNumberFormat="1" applyFont="1" applyBorder="1" applyAlignment="1">
      <alignment horizontal="center" vertical="center" wrapText="1"/>
    </xf>
    <xf numFmtId="9" fontId="31" fillId="0" borderId="24" xfId="1" applyFont="1" applyBorder="1" applyAlignment="1">
      <alignment horizontal="center" vertical="center" wrapText="1"/>
    </xf>
    <xf numFmtId="9" fontId="31" fillId="0" borderId="32" xfId="1" applyFont="1" applyBorder="1" applyAlignment="1">
      <alignment horizontal="center" vertical="center"/>
    </xf>
    <xf numFmtId="9" fontId="38" fillId="0" borderId="0" xfId="1" applyFont="1" applyBorder="1" applyAlignment="1">
      <alignment horizontal="center" vertical="center" wrapText="1"/>
    </xf>
    <xf numFmtId="0" fontId="31" fillId="0" borderId="9" xfId="0" applyFont="1" applyBorder="1" applyAlignment="1">
      <alignment horizontal="center" vertical="center"/>
    </xf>
    <xf numFmtId="3" fontId="31" fillId="0" borderId="22" xfId="0" applyNumberFormat="1" applyFont="1" applyBorder="1" applyAlignment="1">
      <alignment horizontal="center" vertical="center" wrapText="1"/>
    </xf>
    <xf numFmtId="9" fontId="31" fillId="0" borderId="98" xfId="1" applyFont="1" applyBorder="1" applyAlignment="1">
      <alignment horizontal="center" vertical="center"/>
    </xf>
    <xf numFmtId="9" fontId="31" fillId="0" borderId="0" xfId="1" applyFont="1" applyBorder="1" applyAlignment="1">
      <alignment horizontal="center" vertical="center"/>
    </xf>
    <xf numFmtId="0" fontId="39" fillId="0" borderId="33" xfId="0" applyFont="1" applyBorder="1" applyAlignment="1">
      <alignment horizontal="center" vertical="center"/>
    </xf>
    <xf numFmtId="3" fontId="35" fillId="0" borderId="0" xfId="0" applyNumberFormat="1" applyFont="1" applyAlignment="1">
      <alignment horizontal="center"/>
    </xf>
    <xf numFmtId="9" fontId="31" fillId="0" borderId="8" xfId="1" applyFont="1" applyBorder="1" applyAlignment="1">
      <alignment horizontal="center" vertical="center" wrapText="1"/>
    </xf>
    <xf numFmtId="167" fontId="35" fillId="0" borderId="0" xfId="0" applyNumberFormat="1" applyFont="1" applyAlignment="1">
      <alignment horizontal="center" vertical="center"/>
    </xf>
    <xf numFmtId="0" fontId="35" fillId="0" borderId="0" xfId="0" applyFont="1" applyFill="1" applyAlignment="1">
      <alignment horizontal="center" vertical="center"/>
    </xf>
    <xf numFmtId="0" fontId="103" fillId="0" borderId="0" xfId="0" applyFont="1" applyAlignment="1">
      <alignment horizontal="center" vertical="center"/>
    </xf>
    <xf numFmtId="3" fontId="35" fillId="0" borderId="0" xfId="0" applyNumberFormat="1" applyFont="1" applyAlignment="1">
      <alignment horizontal="center" vertical="center"/>
    </xf>
    <xf numFmtId="169" fontId="35" fillId="0" borderId="0" xfId="0" applyNumberFormat="1" applyFont="1" applyAlignment="1">
      <alignment horizontal="center" vertical="center"/>
    </xf>
    <xf numFmtId="1" fontId="31" fillId="0" borderId="0" xfId="0" applyNumberFormat="1" applyFont="1" applyBorder="1" applyAlignment="1">
      <alignment horizontal="center" vertical="center"/>
    </xf>
    <xf numFmtId="1" fontId="31" fillId="0" borderId="98" xfId="0" applyNumberFormat="1" applyFont="1" applyBorder="1" applyAlignment="1">
      <alignment horizontal="center" vertical="center"/>
    </xf>
    <xf numFmtId="167" fontId="31" fillId="0" borderId="0" xfId="0" applyNumberFormat="1" applyFont="1" applyBorder="1" applyAlignment="1">
      <alignment horizontal="center" vertical="center"/>
    </xf>
    <xf numFmtId="167" fontId="31" fillId="0" borderId="98" xfId="0" applyNumberFormat="1" applyFont="1" applyFill="1" applyBorder="1" applyAlignment="1">
      <alignment horizontal="center" vertical="center" wrapText="1"/>
    </xf>
    <xf numFmtId="1" fontId="31" fillId="0" borderId="123" xfId="0" applyNumberFormat="1" applyFont="1" applyBorder="1" applyAlignment="1">
      <alignment horizontal="center" vertical="center"/>
    </xf>
    <xf numFmtId="3" fontId="31" fillId="0" borderId="23" xfId="0" applyNumberFormat="1" applyFont="1" applyBorder="1" applyAlignment="1">
      <alignment horizontal="center" vertical="center" wrapText="1"/>
    </xf>
    <xf numFmtId="1" fontId="31" fillId="0" borderId="10" xfId="0" applyNumberFormat="1" applyFont="1" applyBorder="1" applyAlignment="1">
      <alignment horizontal="center" vertical="center" wrapText="1"/>
    </xf>
    <xf numFmtId="9" fontId="31" fillId="0" borderId="18" xfId="1" applyFont="1" applyBorder="1" applyAlignment="1">
      <alignment horizontal="center" vertical="center"/>
    </xf>
    <xf numFmtId="9" fontId="31" fillId="0" borderId="10" xfId="1" applyFont="1" applyBorder="1" applyAlignment="1">
      <alignment horizontal="center" vertical="center"/>
    </xf>
    <xf numFmtId="9" fontId="44" fillId="0" borderId="10" xfId="1" applyFont="1" applyBorder="1" applyAlignment="1">
      <alignment horizontal="center" vertical="center"/>
    </xf>
    <xf numFmtId="9" fontId="31" fillId="0" borderId="30" xfId="1" applyFont="1" applyBorder="1" applyAlignment="1">
      <alignment horizontal="center" vertical="center"/>
    </xf>
    <xf numFmtId="9" fontId="31" fillId="0" borderId="24" xfId="1" applyFont="1" applyBorder="1" applyAlignment="1">
      <alignment horizontal="center" vertical="center"/>
    </xf>
    <xf numFmtId="9" fontId="31" fillId="0" borderId="32" xfId="1" applyFont="1" applyBorder="1" applyAlignment="1">
      <alignment horizontal="center" vertical="center" wrapText="1"/>
    </xf>
    <xf numFmtId="9" fontId="31" fillId="0" borderId="13" xfId="1" applyFont="1" applyBorder="1" applyAlignment="1">
      <alignment horizontal="center" vertical="center"/>
    </xf>
    <xf numFmtId="9" fontId="31" fillId="0" borderId="10" xfId="1" applyFont="1" applyBorder="1" applyAlignment="1">
      <alignment horizontal="center" vertical="center" wrapText="1"/>
    </xf>
    <xf numFmtId="9" fontId="44" fillId="0" borderId="18" xfId="1" applyFont="1" applyBorder="1" applyAlignment="1">
      <alignment horizontal="center" vertical="center" wrapText="1"/>
    </xf>
    <xf numFmtId="0" fontId="31" fillId="0" borderId="9" xfId="0" applyFont="1" applyBorder="1" applyAlignment="1">
      <alignment horizontal="center" vertical="center" wrapText="1"/>
    </xf>
    <xf numFmtId="3" fontId="31" fillId="0" borderId="18" xfId="0" applyNumberFormat="1" applyFont="1" applyBorder="1" applyAlignment="1">
      <alignment horizontal="center" vertical="center"/>
    </xf>
    <xf numFmtId="3" fontId="31" fillId="0" borderId="10" xfId="0" applyNumberFormat="1" applyFont="1" applyBorder="1" applyAlignment="1">
      <alignment horizontal="center" vertical="center"/>
    </xf>
    <xf numFmtId="1" fontId="31" fillId="0" borderId="11" xfId="0" applyNumberFormat="1" applyFont="1" applyBorder="1" applyAlignment="1">
      <alignment horizontal="center" vertical="center"/>
    </xf>
    <xf numFmtId="1" fontId="31" fillId="0" borderId="24" xfId="0" applyNumberFormat="1" applyFont="1" applyBorder="1" applyAlignment="1">
      <alignment horizontal="center" vertical="center" wrapText="1"/>
    </xf>
    <xf numFmtId="1" fontId="31" fillId="0" borderId="22" xfId="0" applyNumberFormat="1" applyFont="1" applyBorder="1" applyAlignment="1">
      <alignment horizontal="center" vertical="center" wrapText="1"/>
    </xf>
    <xf numFmtId="1" fontId="31" fillId="0" borderId="0" xfId="0" applyNumberFormat="1" applyFont="1" applyBorder="1" applyAlignment="1">
      <alignment horizontal="center" vertical="center" wrapText="1"/>
    </xf>
    <xf numFmtId="3" fontId="31" fillId="0" borderId="24" xfId="0" applyNumberFormat="1" applyFont="1" applyBorder="1" applyAlignment="1">
      <alignment horizontal="center" vertical="center"/>
    </xf>
    <xf numFmtId="3" fontId="31" fillId="0" borderId="98" xfId="0" applyNumberFormat="1" applyFont="1" applyBorder="1" applyAlignment="1">
      <alignment horizontal="center" vertical="center" wrapText="1"/>
    </xf>
    <xf numFmtId="3" fontId="31" fillId="0" borderId="124" xfId="0" applyNumberFormat="1" applyFont="1" applyBorder="1" applyAlignment="1">
      <alignment horizontal="center" vertical="center" wrapText="1"/>
    </xf>
    <xf numFmtId="3" fontId="44" fillId="0" borderId="128" xfId="0" applyNumberFormat="1" applyFont="1" applyBorder="1" applyAlignment="1">
      <alignment horizontal="center" vertical="center"/>
    </xf>
    <xf numFmtId="3" fontId="35" fillId="0" borderId="0" xfId="0" applyNumberFormat="1" applyFont="1" applyFill="1" applyAlignment="1">
      <alignment horizontal="center"/>
    </xf>
    <xf numFmtId="171" fontId="31" fillId="0" borderId="10" xfId="1" applyNumberFormat="1" applyFont="1" applyFill="1" applyBorder="1" applyAlignment="1">
      <alignment horizontal="center" vertical="center"/>
    </xf>
    <xf numFmtId="3" fontId="31" fillId="0" borderId="98" xfId="0" applyNumberFormat="1" applyFont="1" applyBorder="1" applyAlignment="1">
      <alignment horizontal="center" vertical="center"/>
    </xf>
    <xf numFmtId="167" fontId="31" fillId="0" borderId="98" xfId="0" applyNumberFormat="1" applyFont="1" applyBorder="1" applyAlignment="1">
      <alignment horizontal="center" vertical="center"/>
    </xf>
    <xf numFmtId="3" fontId="31" fillId="0" borderId="22" xfId="0" applyNumberFormat="1" applyFont="1" applyBorder="1" applyAlignment="1">
      <alignment horizontal="center" vertical="center"/>
    </xf>
    <xf numFmtId="3" fontId="31" fillId="0" borderId="128" xfId="0" applyNumberFormat="1" applyFont="1" applyBorder="1" applyAlignment="1">
      <alignment horizontal="center" vertical="center" wrapText="1"/>
    </xf>
    <xf numFmtId="9" fontId="31" fillId="0" borderId="38" xfId="1" applyFont="1" applyBorder="1" applyAlignment="1">
      <alignment horizontal="center" vertical="center"/>
    </xf>
    <xf numFmtId="9" fontId="31" fillId="0" borderId="0" xfId="1" applyNumberFormat="1" applyFont="1" applyBorder="1" applyAlignment="1">
      <alignment horizontal="center" vertical="center"/>
    </xf>
    <xf numFmtId="0" fontId="31" fillId="0" borderId="98" xfId="0" applyFont="1" applyBorder="1" applyAlignment="1">
      <alignment horizontal="center" vertical="center"/>
    </xf>
    <xf numFmtId="9" fontId="31" fillId="0" borderId="38" xfId="1" applyFont="1" applyBorder="1" applyAlignment="1">
      <alignment horizontal="center"/>
    </xf>
    <xf numFmtId="9" fontId="31" fillId="0" borderId="38" xfId="1" applyFont="1" applyFill="1" applyBorder="1" applyAlignment="1">
      <alignment horizontal="center"/>
    </xf>
    <xf numFmtId="1" fontId="35" fillId="0" borderId="0" xfId="0" applyNumberFormat="1" applyFont="1"/>
    <xf numFmtId="0" fontId="94" fillId="0" borderId="0" xfId="0" applyFont="1"/>
    <xf numFmtId="3" fontId="31" fillId="0" borderId="13" xfId="0" applyNumberFormat="1" applyFont="1" applyBorder="1" applyAlignment="1">
      <alignment vertical="center"/>
    </xf>
    <xf numFmtId="9" fontId="31" fillId="0" borderId="127" xfId="1" applyFont="1" applyBorder="1" applyAlignment="1">
      <alignment horizontal="center" vertical="center"/>
    </xf>
    <xf numFmtId="0" fontId="35" fillId="0" borderId="0" xfId="0" applyFont="1" applyAlignment="1">
      <alignment horizontal="center" vertical="center" wrapText="1"/>
    </xf>
    <xf numFmtId="9" fontId="35" fillId="0" borderId="0" xfId="1" applyFont="1" applyAlignment="1">
      <alignment horizontal="center"/>
    </xf>
    <xf numFmtId="9" fontId="35" fillId="0" borderId="0" xfId="0" applyNumberFormat="1" applyFont="1" applyAlignment="1">
      <alignment horizontal="center"/>
    </xf>
    <xf numFmtId="171" fontId="35" fillId="0" borderId="0" xfId="0" applyNumberFormat="1" applyFont="1" applyAlignment="1">
      <alignment horizontal="center"/>
    </xf>
    <xf numFmtId="0" fontId="31" fillId="0" borderId="98" xfId="0" applyFont="1" applyBorder="1" applyAlignment="1">
      <alignment horizontal="center"/>
    </xf>
    <xf numFmtId="0" fontId="31" fillId="0" borderId="2" xfId="0" applyFont="1" applyBorder="1" applyAlignment="1">
      <alignment horizontal="center" vertical="center" wrapText="1"/>
    </xf>
    <xf numFmtId="0" fontId="31" fillId="0" borderId="99" xfId="0" applyFont="1" applyBorder="1" applyAlignment="1">
      <alignment horizontal="center" vertical="center" wrapText="1"/>
    </xf>
    <xf numFmtId="3" fontId="44" fillId="0" borderId="98" xfId="0" applyNumberFormat="1" applyFont="1" applyBorder="1" applyAlignment="1">
      <alignment horizontal="center"/>
    </xf>
    <xf numFmtId="3" fontId="44" fillId="0" borderId="18" xfId="0" applyNumberFormat="1" applyFont="1" applyBorder="1" applyAlignment="1">
      <alignment horizontal="center"/>
    </xf>
    <xf numFmtId="3" fontId="31" fillId="0" borderId="18" xfId="0" applyNumberFormat="1" applyFont="1" applyBorder="1" applyAlignment="1">
      <alignment horizontal="center" vertical="center" wrapText="1"/>
    </xf>
    <xf numFmtId="0" fontId="24" fillId="0" borderId="0" xfId="605"/>
    <xf numFmtId="1" fontId="27" fillId="0" borderId="0" xfId="0" applyNumberFormat="1" applyFont="1"/>
    <xf numFmtId="0" fontId="104" fillId="39" borderId="129" xfId="0" applyFont="1" applyFill="1" applyBorder="1" applyAlignment="1" applyProtection="1">
      <alignment horizontal="left" vertical="center" wrapText="1"/>
      <protection locked="0"/>
    </xf>
    <xf numFmtId="0" fontId="31" fillId="0" borderId="130" xfId="0" applyFont="1" applyBorder="1" applyAlignment="1">
      <alignment horizontal="center" vertical="center"/>
    </xf>
    <xf numFmtId="0" fontId="24" fillId="0" borderId="0" xfId="612"/>
    <xf numFmtId="3" fontId="31" fillId="0" borderId="3" xfId="0" applyNumberFormat="1" applyFont="1" applyBorder="1" applyAlignment="1">
      <alignment horizontal="center" vertical="center"/>
    </xf>
    <xf numFmtId="0" fontId="61" fillId="0" borderId="7" xfId="592" applyFont="1" applyBorder="1" applyAlignment="1">
      <alignment horizontal="center"/>
    </xf>
    <xf numFmtId="0" fontId="61" fillId="0" borderId="8" xfId="592" applyFont="1" applyBorder="1" applyAlignment="1">
      <alignment horizontal="center"/>
    </xf>
    <xf numFmtId="0" fontId="62" fillId="0" borderId="7" xfId="592" applyFont="1" applyBorder="1"/>
    <xf numFmtId="0" fontId="62" fillId="0" borderId="7" xfId="592" applyFont="1" applyBorder="1" applyAlignment="1">
      <alignment horizontal="center" vertical="center" wrapText="1"/>
    </xf>
    <xf numFmtId="0" fontId="101" fillId="0" borderId="24" xfId="592" applyFont="1" applyBorder="1" applyAlignment="1">
      <alignment horizontal="center" vertical="center" wrapText="1"/>
    </xf>
    <xf numFmtId="0" fontId="28" fillId="0" borderId="5" xfId="592" applyFont="1" applyBorder="1"/>
    <xf numFmtId="0" fontId="44" fillId="0" borderId="137" xfId="592" applyFont="1" applyBorder="1" applyAlignment="1">
      <alignment horizontal="center" vertical="center" wrapText="1"/>
    </xf>
    <xf numFmtId="0" fontId="44" fillId="0" borderId="7" xfId="592" applyFont="1" applyBorder="1" applyAlignment="1">
      <alignment vertical="center" wrapText="1"/>
    </xf>
    <xf numFmtId="0" fontId="44" fillId="0" borderId="9" xfId="592" applyFont="1" applyBorder="1" applyAlignment="1">
      <alignment horizontal="center" vertical="center"/>
    </xf>
    <xf numFmtId="3" fontId="44" fillId="0" borderId="18" xfId="592" applyNumberFormat="1" applyFont="1" applyBorder="1" applyAlignment="1">
      <alignment horizontal="center" vertical="center"/>
    </xf>
    <xf numFmtId="3" fontId="44" fillId="0" borderId="10" xfId="592" applyNumberFormat="1" applyFont="1" applyBorder="1" applyAlignment="1">
      <alignment horizontal="center" vertical="center"/>
    </xf>
    <xf numFmtId="3" fontId="44" fillId="0" borderId="11" xfId="592" applyNumberFormat="1" applyFont="1" applyBorder="1" applyAlignment="1">
      <alignment horizontal="center" vertical="center"/>
    </xf>
    <xf numFmtId="3" fontId="44" fillId="0" borderId="98" xfId="592" applyNumberFormat="1" applyFont="1" applyBorder="1" applyAlignment="1">
      <alignment horizontal="center" vertical="center"/>
    </xf>
    <xf numFmtId="3" fontId="44" fillId="0" borderId="0" xfId="592" applyNumberFormat="1" applyFont="1" applyBorder="1" applyAlignment="1">
      <alignment horizontal="center" vertical="center"/>
    </xf>
    <xf numFmtId="3" fontId="44" fillId="0" borderId="1" xfId="592" applyNumberFormat="1" applyFont="1" applyBorder="1" applyAlignment="1">
      <alignment horizontal="center" vertical="center"/>
    </xf>
    <xf numFmtId="0" fontId="64" fillId="0" borderId="7" xfId="348" applyFont="1" applyBorder="1" applyAlignment="1">
      <alignment horizontal="center" vertical="center"/>
    </xf>
    <xf numFmtId="0" fontId="64" fillId="0" borderId="0" xfId="348" applyFont="1" applyBorder="1" applyAlignment="1">
      <alignment horizontal="center" vertical="center"/>
    </xf>
    <xf numFmtId="0" fontId="64" fillId="0" borderId="8" xfId="348" applyFont="1" applyBorder="1" applyAlignment="1">
      <alignment horizontal="center" vertical="center"/>
    </xf>
    <xf numFmtId="0" fontId="28" fillId="0" borderId="30" xfId="341" applyFont="1" applyBorder="1"/>
    <xf numFmtId="0" fontId="51" fillId="0" borderId="98" xfId="341" applyFont="1" applyBorder="1" applyAlignment="1">
      <alignment horizontal="center" vertical="center"/>
    </xf>
    <xf numFmtId="0" fontId="46" fillId="0" borderId="98" xfId="341" applyFont="1" applyBorder="1" applyAlignment="1">
      <alignment horizontal="center" vertical="center"/>
    </xf>
    <xf numFmtId="0" fontId="46" fillId="0" borderId="58" xfId="341" applyFont="1" applyBorder="1" applyAlignment="1">
      <alignment horizontal="center" vertical="center"/>
    </xf>
    <xf numFmtId="0" fontId="46" fillId="0" borderId="98" xfId="341" applyFont="1" applyFill="1" applyBorder="1" applyAlignment="1">
      <alignment horizontal="center" vertical="center"/>
    </xf>
    <xf numFmtId="0" fontId="46" fillId="0" borderId="139" xfId="341" applyFont="1" applyBorder="1" applyAlignment="1">
      <alignment horizontal="center" vertical="center"/>
    </xf>
    <xf numFmtId="0" fontId="47" fillId="0" borderId="33" xfId="341" applyFont="1" applyBorder="1" applyAlignment="1">
      <alignment horizontal="center" vertical="center"/>
    </xf>
    <xf numFmtId="0" fontId="46" fillId="0" borderId="30" xfId="341" applyFont="1" applyBorder="1" applyAlignment="1">
      <alignment horizontal="center" vertical="center"/>
    </xf>
    <xf numFmtId="3" fontId="49" fillId="0" borderId="30" xfId="341" applyNumberFormat="1" applyFont="1" applyBorder="1" applyAlignment="1">
      <alignment horizontal="center" vertical="center"/>
    </xf>
    <xf numFmtId="3" fontId="47" fillId="0" borderId="3" xfId="341" applyNumberFormat="1" applyFont="1" applyFill="1" applyBorder="1" applyAlignment="1">
      <alignment horizontal="center" vertical="center"/>
    </xf>
    <xf numFmtId="3" fontId="46" fillId="0" borderId="140" xfId="341" applyNumberFormat="1" applyFont="1" applyFill="1" applyBorder="1" applyAlignment="1">
      <alignment horizontal="center" vertical="center"/>
    </xf>
    <xf numFmtId="3" fontId="46" fillId="0" borderId="141" xfId="341" applyNumberFormat="1" applyFont="1" applyFill="1" applyBorder="1" applyAlignment="1">
      <alignment horizontal="center" vertical="center"/>
    </xf>
    <xf numFmtId="3" fontId="48" fillId="0" borderId="34" xfId="341" applyNumberFormat="1" applyFont="1" applyFill="1" applyBorder="1" applyAlignment="1">
      <alignment horizontal="center" vertical="center"/>
    </xf>
    <xf numFmtId="3" fontId="46" fillId="0" borderId="32" xfId="341" applyNumberFormat="1" applyFont="1" applyFill="1" applyBorder="1" applyAlignment="1">
      <alignment horizontal="center" vertical="center"/>
    </xf>
    <xf numFmtId="3" fontId="44" fillId="0" borderId="135" xfId="592" applyNumberFormat="1" applyFont="1" applyBorder="1" applyAlignment="1">
      <alignment horizontal="center" vertical="center"/>
    </xf>
    <xf numFmtId="3" fontId="44" fillId="0" borderId="136" xfId="592" applyNumberFormat="1" applyFont="1" applyBorder="1" applyAlignment="1">
      <alignment horizontal="center" vertical="center"/>
    </xf>
    <xf numFmtId="3" fontId="44" fillId="0" borderId="30" xfId="592" applyNumberFormat="1" applyFont="1" applyBorder="1" applyAlignment="1">
      <alignment horizontal="center" vertical="center" wrapText="1"/>
    </xf>
    <xf numFmtId="3" fontId="44" fillId="0" borderId="24" xfId="592" applyNumberFormat="1" applyFont="1" applyBorder="1" applyAlignment="1">
      <alignment horizontal="center" vertical="center" wrapText="1"/>
    </xf>
    <xf numFmtId="3" fontId="44" fillId="0" borderId="3" xfId="592" applyNumberFormat="1" applyFont="1" applyBorder="1" applyAlignment="1">
      <alignment horizontal="center" vertical="center" wrapText="1"/>
    </xf>
    <xf numFmtId="3" fontId="44" fillId="0" borderId="134" xfId="592" applyNumberFormat="1" applyFont="1" applyBorder="1" applyAlignment="1">
      <alignment horizontal="center" vertical="center" wrapText="1"/>
    </xf>
    <xf numFmtId="0" fontId="100" fillId="0" borderId="142" xfId="592" applyFont="1" applyBorder="1" applyAlignment="1">
      <alignment horizontal="center" vertical="center" wrapText="1"/>
    </xf>
    <xf numFmtId="0" fontId="44" fillId="0" borderId="7" xfId="592" applyFont="1" applyBorder="1" applyAlignment="1">
      <alignment horizontal="center" vertical="center"/>
    </xf>
    <xf numFmtId="0" fontId="28" fillId="0" borderId="0" xfId="592" applyAlignment="1">
      <alignment vertical="center"/>
    </xf>
    <xf numFmtId="0" fontId="64" fillId="0" borderId="0" xfId="592" applyFont="1" applyBorder="1" applyAlignment="1">
      <alignment horizontal="center"/>
    </xf>
    <xf numFmtId="0" fontId="28" fillId="0" borderId="7" xfId="592" applyBorder="1" applyAlignment="1">
      <alignment vertical="center"/>
    </xf>
    <xf numFmtId="0" fontId="28" fillId="0" borderId="0" xfId="592" applyBorder="1"/>
    <xf numFmtId="0" fontId="28" fillId="0" borderId="8" xfId="341" applyFont="1" applyBorder="1" applyAlignment="1">
      <alignment horizontal="center"/>
    </xf>
    <xf numFmtId="0" fontId="44" fillId="0" borderId="38" xfId="592" applyFont="1" applyBorder="1" applyAlignment="1">
      <alignment horizontal="center" vertical="center" wrapText="1"/>
    </xf>
    <xf numFmtId="169" fontId="44" fillId="0" borderId="37" xfId="592" applyNumberFormat="1" applyFont="1" applyBorder="1" applyAlignment="1">
      <alignment horizontal="center" vertical="center"/>
    </xf>
    <xf numFmtId="169" fontId="44" fillId="0" borderId="38" xfId="592" applyNumberFormat="1" applyFont="1" applyBorder="1" applyAlignment="1">
      <alignment horizontal="center" vertical="center"/>
    </xf>
    <xf numFmtId="4" fontId="44" fillId="0" borderId="38" xfId="592" applyNumberFormat="1" applyFont="1" applyBorder="1" applyAlignment="1">
      <alignment horizontal="center" vertical="center"/>
    </xf>
    <xf numFmtId="0" fontId="44" fillId="0" borderId="135" xfId="592" applyFont="1" applyBorder="1" applyAlignment="1">
      <alignment horizontal="center" vertical="center" wrapText="1"/>
    </xf>
    <xf numFmtId="169" fontId="44" fillId="0" borderId="134" xfId="592" applyNumberFormat="1" applyFont="1" applyBorder="1" applyAlignment="1">
      <alignment horizontal="center" vertical="center"/>
    </xf>
    <xf numFmtId="169" fontId="44" fillId="0" borderId="135" xfId="592" applyNumberFormat="1" applyFont="1" applyBorder="1" applyAlignment="1">
      <alignment horizontal="center" vertical="center"/>
    </xf>
    <xf numFmtId="0" fontId="44" fillId="0" borderId="38" xfId="592" applyFont="1" applyBorder="1" applyAlignment="1">
      <alignment horizontal="center" vertical="center"/>
    </xf>
    <xf numFmtId="169" fontId="44" fillId="0" borderId="144" xfId="592" applyNumberFormat="1" applyFont="1" applyBorder="1" applyAlignment="1">
      <alignment horizontal="center" vertical="center"/>
    </xf>
    <xf numFmtId="169" fontId="44" fillId="0" borderId="145" xfId="592" applyNumberFormat="1" applyFont="1" applyBorder="1" applyAlignment="1">
      <alignment horizontal="center" vertical="center"/>
    </xf>
    <xf numFmtId="169" fontId="44" fillId="0" borderId="122" xfId="592" applyNumberFormat="1" applyFont="1" applyBorder="1" applyAlignment="1">
      <alignment vertical="center"/>
    </xf>
    <xf numFmtId="169" fontId="44" fillId="0" borderId="121" xfId="592" applyNumberFormat="1" applyFont="1" applyBorder="1" applyAlignment="1">
      <alignment horizontal="center" vertical="center"/>
    </xf>
    <xf numFmtId="169" fontId="44" fillId="0" borderId="124" xfId="592" applyNumberFormat="1" applyFont="1" applyBorder="1" applyAlignment="1">
      <alignment horizontal="center" vertical="center"/>
    </xf>
    <xf numFmtId="169" fontId="44" fillId="0" borderId="123" xfId="592" applyNumberFormat="1" applyFont="1" applyBorder="1" applyAlignment="1">
      <alignment horizontal="left" vertical="center"/>
    </xf>
    <xf numFmtId="169" fontId="28" fillId="0" borderId="0" xfId="592" applyNumberFormat="1"/>
    <xf numFmtId="1" fontId="31" fillId="0" borderId="124" xfId="0" applyNumberFormat="1" applyFont="1" applyBorder="1" applyAlignment="1">
      <alignment horizontal="center" vertical="center" wrapText="1"/>
    </xf>
    <xf numFmtId="3" fontId="31" fillId="0" borderId="0" xfId="0" applyNumberFormat="1" applyFont="1"/>
    <xf numFmtId="0" fontId="28" fillId="0" borderId="7" xfId="592" applyFont="1" applyBorder="1"/>
    <xf numFmtId="0" fontId="28" fillId="0" borderId="7" xfId="592" applyFont="1" applyBorder="1" applyAlignment="1">
      <alignment horizontal="center" vertical="center" wrapText="1"/>
    </xf>
    <xf numFmtId="0" fontId="101" fillId="0" borderId="62" xfId="341" applyFont="1" applyBorder="1" applyAlignment="1">
      <alignment horizontal="center" vertical="center" wrapText="1"/>
    </xf>
    <xf numFmtId="0" fontId="101" fillId="0" borderId="63" xfId="341" applyFont="1" applyBorder="1" applyAlignment="1">
      <alignment horizontal="center" vertical="center" wrapText="1"/>
    </xf>
    <xf numFmtId="169" fontId="105" fillId="0" borderId="0" xfId="592" applyNumberFormat="1" applyFont="1" applyBorder="1" applyAlignment="1">
      <alignment horizontal="center"/>
    </xf>
    <xf numFmtId="169" fontId="105" fillId="0" borderId="1" xfId="139" applyNumberFormat="1" applyFont="1" applyBorder="1" applyAlignment="1">
      <alignment horizontal="center"/>
    </xf>
    <xf numFmtId="169" fontId="105" fillId="0" borderId="45" xfId="139" applyNumberFormat="1" applyFont="1" applyBorder="1" applyAlignment="1">
      <alignment horizontal="center"/>
    </xf>
    <xf numFmtId="169" fontId="105" fillId="0" borderId="52" xfId="592" applyNumberFormat="1" applyFont="1" applyBorder="1" applyAlignment="1">
      <alignment horizontal="center"/>
    </xf>
    <xf numFmtId="169" fontId="105" fillId="0" borderId="2" xfId="592" applyNumberFormat="1" applyFont="1" applyBorder="1" applyAlignment="1">
      <alignment horizontal="center"/>
    </xf>
    <xf numFmtId="169" fontId="105" fillId="0" borderId="8" xfId="139" applyNumberFormat="1" applyFont="1" applyBorder="1" applyAlignment="1">
      <alignment horizontal="center"/>
    </xf>
    <xf numFmtId="169" fontId="105" fillId="0" borderId="8" xfId="592" applyNumberFormat="1" applyFont="1" applyBorder="1" applyAlignment="1">
      <alignment horizontal="center"/>
    </xf>
    <xf numFmtId="169" fontId="107" fillId="0" borderId="98" xfId="139" applyNumberFormat="1" applyFont="1" applyBorder="1" applyAlignment="1">
      <alignment horizontal="center"/>
    </xf>
    <xf numFmtId="169" fontId="107" fillId="0" borderId="0" xfId="592" applyNumberFormat="1" applyFont="1" applyBorder="1" applyAlignment="1">
      <alignment horizontal="center"/>
    </xf>
    <xf numFmtId="169" fontId="31" fillId="0" borderId="98" xfId="0" applyNumberFormat="1" applyFont="1" applyBorder="1" applyAlignment="1">
      <alignment horizontal="center" vertical="center" wrapText="1"/>
    </xf>
    <xf numFmtId="169" fontId="31" fillId="0" borderId="98" xfId="0" applyNumberFormat="1" applyFont="1" applyBorder="1" applyAlignment="1">
      <alignment horizontal="center"/>
    </xf>
    <xf numFmtId="169" fontId="31" fillId="0" borderId="1" xfId="0" applyNumberFormat="1" applyFont="1" applyBorder="1" applyAlignment="1">
      <alignment horizontal="center" vertical="center" wrapText="1"/>
    </xf>
    <xf numFmtId="169" fontId="44" fillId="0" borderId="98" xfId="0" applyNumberFormat="1" applyFont="1" applyBorder="1" applyAlignment="1">
      <alignment horizontal="center" vertical="center" wrapText="1"/>
    </xf>
    <xf numFmtId="169" fontId="44" fillId="0" borderId="98" xfId="0" applyNumberFormat="1" applyFont="1" applyBorder="1" applyAlignment="1">
      <alignment horizontal="center"/>
    </xf>
    <xf numFmtId="0" fontId="31" fillId="0" borderId="0" xfId="0" applyFont="1" applyBorder="1" applyAlignment="1">
      <alignment horizontal="center" vertical="center"/>
    </xf>
    <xf numFmtId="169" fontId="31" fillId="0" borderId="0" xfId="0" applyNumberFormat="1" applyFont="1" applyBorder="1" applyAlignment="1">
      <alignment horizontal="center" vertical="center"/>
    </xf>
    <xf numFmtId="169" fontId="44" fillId="0" borderId="0" xfId="0" applyNumberFormat="1" applyFont="1" applyFill="1" applyBorder="1" applyAlignment="1">
      <alignment horizontal="center" vertical="center" wrapText="1"/>
    </xf>
    <xf numFmtId="0" fontId="63" fillId="0" borderId="72" xfId="3" applyFont="1" applyBorder="1" applyAlignment="1">
      <alignment horizontal="center" vertical="center" wrapText="1"/>
    </xf>
    <xf numFmtId="167" fontId="31" fillId="0" borderId="18" xfId="0" applyNumberFormat="1" applyFont="1" applyBorder="1" applyAlignment="1">
      <alignment horizontal="center" vertical="center" wrapText="1"/>
    </xf>
    <xf numFmtId="0" fontId="35" fillId="0" borderId="40" xfId="0" applyFont="1" applyBorder="1" applyAlignment="1">
      <alignment horizontal="center"/>
    </xf>
    <xf numFmtId="3" fontId="49" fillId="0" borderId="98" xfId="341" applyNumberFormat="1" applyFont="1" applyBorder="1" applyAlignment="1">
      <alignment horizontal="center" vertical="center"/>
    </xf>
    <xf numFmtId="3" fontId="49" fillId="0" borderId="98" xfId="341" applyNumberFormat="1" applyFont="1" applyFill="1" applyBorder="1" applyAlignment="1">
      <alignment horizontal="center" vertical="center"/>
    </xf>
    <xf numFmtId="0" fontId="28" fillId="0" borderId="146" xfId="341" applyFont="1" applyBorder="1"/>
    <xf numFmtId="171" fontId="31" fillId="0" borderId="0" xfId="1" applyNumberFormat="1" applyFont="1" applyFill="1" applyBorder="1" applyAlignment="1">
      <alignment horizontal="center"/>
    </xf>
    <xf numFmtId="171" fontId="31" fillId="0" borderId="24" xfId="1" applyNumberFormat="1" applyFont="1" applyFill="1" applyBorder="1" applyAlignment="1">
      <alignment horizontal="center" vertical="center"/>
    </xf>
    <xf numFmtId="9" fontId="31" fillId="0" borderId="131" xfId="1" applyFont="1" applyBorder="1" applyAlignment="1">
      <alignment horizontal="center" vertical="center" wrapText="1"/>
    </xf>
    <xf numFmtId="1" fontId="31" fillId="0" borderId="22" xfId="1" applyNumberFormat="1" applyFont="1" applyBorder="1" applyAlignment="1">
      <alignment horizontal="center" vertical="center" wrapText="1"/>
    </xf>
    <xf numFmtId="9" fontId="31" fillId="0" borderId="34" xfId="1" applyFont="1" applyBorder="1" applyAlignment="1">
      <alignment horizontal="center" vertical="center" wrapText="1"/>
    </xf>
    <xf numFmtId="9" fontId="31" fillId="0" borderId="2" xfId="1" applyFont="1" applyBorder="1" applyAlignment="1">
      <alignment horizontal="center" vertical="center"/>
    </xf>
    <xf numFmtId="9" fontId="31" fillId="0" borderId="133" xfId="1" applyFont="1" applyBorder="1" applyAlignment="1">
      <alignment horizontal="center" vertical="center" wrapText="1"/>
    </xf>
    <xf numFmtId="167" fontId="31" fillId="0" borderId="34" xfId="1" applyNumberFormat="1" applyFont="1" applyBorder="1" applyAlignment="1">
      <alignment horizontal="center" vertical="center" wrapText="1"/>
    </xf>
    <xf numFmtId="1" fontId="31" fillId="0" borderId="34" xfId="1" applyNumberFormat="1" applyFont="1" applyBorder="1" applyAlignment="1">
      <alignment horizontal="center" vertical="center" wrapText="1"/>
    </xf>
    <xf numFmtId="167" fontId="31" fillId="0" borderId="31" xfId="1" applyNumberFormat="1" applyFont="1" applyBorder="1" applyAlignment="1">
      <alignment horizontal="center" vertical="center" wrapText="1"/>
    </xf>
    <xf numFmtId="1" fontId="31" fillId="0" borderId="2" xfId="1" applyNumberFormat="1" applyFont="1" applyBorder="1" applyAlignment="1">
      <alignment horizontal="center" vertical="center"/>
    </xf>
    <xf numFmtId="0" fontId="71" fillId="0" borderId="0" xfId="0" applyFont="1" applyBorder="1"/>
    <xf numFmtId="0" fontId="109" fillId="0" borderId="0" xfId="930" applyFont="1"/>
    <xf numFmtId="9" fontId="31" fillId="0" borderId="31" xfId="1" applyFont="1" applyFill="1" applyBorder="1" applyAlignment="1">
      <alignment horizontal="center" vertical="center"/>
    </xf>
    <xf numFmtId="9" fontId="31" fillId="0" borderId="19" xfId="1" applyFont="1" applyFill="1" applyBorder="1" applyAlignment="1">
      <alignment horizontal="center" vertical="center"/>
    </xf>
    <xf numFmtId="0" fontId="35" fillId="0" borderId="131" xfId="0" applyFont="1" applyBorder="1" applyAlignment="1">
      <alignment horizontal="center" vertical="center"/>
    </xf>
    <xf numFmtId="0" fontId="35" fillId="0" borderId="8" xfId="0" applyFont="1" applyBorder="1" applyAlignment="1">
      <alignment horizontal="center" vertical="center"/>
    </xf>
    <xf numFmtId="3" fontId="44" fillId="0" borderId="123" xfId="0" applyNumberFormat="1" applyFont="1" applyFill="1" applyBorder="1" applyAlignment="1">
      <alignment horizontal="center" vertical="center" wrapText="1"/>
    </xf>
    <xf numFmtId="9" fontId="35" fillId="0" borderId="0" xfId="0" applyNumberFormat="1" applyFont="1" applyAlignment="1">
      <alignment horizontal="center" vertical="center" wrapText="1"/>
    </xf>
    <xf numFmtId="9" fontId="35" fillId="0" borderId="0" xfId="1" applyNumberFormat="1" applyFont="1" applyAlignment="1">
      <alignment horizontal="center" vertical="center" wrapText="1"/>
    </xf>
    <xf numFmtId="3" fontId="31" fillId="0" borderId="24" xfId="1" applyNumberFormat="1" applyFont="1" applyFill="1" applyBorder="1" applyAlignment="1">
      <alignment horizontal="center" vertical="center"/>
    </xf>
    <xf numFmtId="3" fontId="31" fillId="0" borderId="32" xfId="1" applyNumberFormat="1" applyFont="1" applyFill="1" applyBorder="1" applyAlignment="1">
      <alignment horizontal="center" vertical="center"/>
    </xf>
    <xf numFmtId="3" fontId="31" fillId="0" borderId="8" xfId="1" applyNumberFormat="1" applyFont="1" applyFill="1" applyBorder="1" applyAlignment="1">
      <alignment horizontal="center"/>
    </xf>
    <xf numFmtId="3" fontId="31" fillId="0" borderId="0" xfId="1" applyNumberFormat="1" applyFont="1" applyFill="1" applyBorder="1" applyAlignment="1">
      <alignment horizontal="center" vertical="center"/>
    </xf>
    <xf numFmtId="3" fontId="31" fillId="0" borderId="8" xfId="1" applyNumberFormat="1" applyFont="1" applyFill="1" applyBorder="1" applyAlignment="1">
      <alignment horizontal="center" vertical="center"/>
    </xf>
    <xf numFmtId="3" fontId="31" fillId="0" borderId="10" xfId="1" applyNumberFormat="1" applyFont="1" applyFill="1" applyBorder="1" applyAlignment="1">
      <alignment horizontal="center" vertical="center"/>
    </xf>
    <xf numFmtId="3" fontId="31" fillId="0" borderId="13" xfId="1" applyNumberFormat="1" applyFont="1" applyFill="1" applyBorder="1" applyAlignment="1">
      <alignment horizontal="center" vertical="center"/>
    </xf>
    <xf numFmtId="3" fontId="44" fillId="0" borderId="128" xfId="0" applyNumberFormat="1" applyFont="1" applyFill="1" applyBorder="1" applyAlignment="1">
      <alignment horizontal="center" vertical="center" wrapText="1"/>
    </xf>
    <xf numFmtId="0" fontId="109" fillId="0" borderId="0" xfId="930" applyFont="1" applyBorder="1"/>
    <xf numFmtId="169" fontId="105" fillId="0" borderId="0" xfId="139" applyNumberFormat="1" applyFont="1" applyBorder="1" applyAlignment="1">
      <alignment horizontal="center"/>
    </xf>
    <xf numFmtId="3" fontId="107" fillId="0" borderId="0" xfId="592" applyNumberFormat="1" applyFont="1" applyBorder="1" applyAlignment="1">
      <alignment horizontal="center"/>
    </xf>
    <xf numFmtId="9" fontId="105" fillId="0" borderId="0" xfId="1" applyFont="1" applyBorder="1" applyAlignment="1">
      <alignment horizontal="center"/>
    </xf>
    <xf numFmtId="0" fontId="109" fillId="0" borderId="8" xfId="930" applyFont="1" applyBorder="1"/>
    <xf numFmtId="9" fontId="107" fillId="0" borderId="98" xfId="1" applyFont="1" applyBorder="1" applyAlignment="1">
      <alignment horizontal="center"/>
    </xf>
    <xf numFmtId="169" fontId="107" fillId="0" borderId="98" xfId="592" applyNumberFormat="1" applyFont="1" applyBorder="1" applyAlignment="1">
      <alignment horizontal="center"/>
    </xf>
    <xf numFmtId="169" fontId="105" fillId="0" borderId="11" xfId="139" applyNumberFormat="1" applyFont="1" applyBorder="1" applyAlignment="1">
      <alignment horizontal="center"/>
    </xf>
    <xf numFmtId="169" fontId="107" fillId="0" borderId="120" xfId="139" applyNumberFormat="1" applyFont="1" applyBorder="1" applyAlignment="1">
      <alignment horizontal="center"/>
    </xf>
    <xf numFmtId="0" fontId="109" fillId="0" borderId="120" xfId="930" applyFont="1" applyBorder="1"/>
    <xf numFmtId="0" fontId="109" fillId="0" borderId="45" xfId="930" applyFont="1" applyBorder="1"/>
    <xf numFmtId="169" fontId="105" fillId="0" borderId="2" xfId="139" applyNumberFormat="1" applyFont="1" applyBorder="1" applyAlignment="1">
      <alignment horizontal="center"/>
    </xf>
    <xf numFmtId="0" fontId="109" fillId="0" borderId="24" xfId="930" applyFont="1" applyBorder="1"/>
    <xf numFmtId="169" fontId="105" fillId="0" borderId="26" xfId="592" applyNumberFormat="1" applyFont="1" applyBorder="1" applyAlignment="1">
      <alignment horizontal="center"/>
    </xf>
    <xf numFmtId="169" fontId="105" fillId="0" borderId="38" xfId="592" applyNumberFormat="1" applyFont="1" applyBorder="1" applyAlignment="1">
      <alignment horizontal="center"/>
    </xf>
    <xf numFmtId="3" fontId="44" fillId="0" borderId="10" xfId="0" applyNumberFormat="1" applyFont="1" applyFill="1" applyBorder="1" applyAlignment="1">
      <alignment horizontal="center" vertical="center" wrapText="1"/>
    </xf>
    <xf numFmtId="3" fontId="31" fillId="0" borderId="13" xfId="0" applyNumberFormat="1" applyFont="1" applyBorder="1" applyAlignment="1">
      <alignment horizontal="center" vertical="center"/>
    </xf>
    <xf numFmtId="169" fontId="107" fillId="0" borderId="100" xfId="139" applyNumberFormat="1" applyFont="1" applyBorder="1" applyAlignment="1">
      <alignment horizontal="center"/>
    </xf>
    <xf numFmtId="169" fontId="107" fillId="0" borderId="22" xfId="139" applyNumberFormat="1" applyFont="1" applyBorder="1" applyAlignment="1">
      <alignment horizontal="center"/>
    </xf>
    <xf numFmtId="169" fontId="105" fillId="0" borderId="24" xfId="139" applyNumberFormat="1" applyFont="1" applyBorder="1" applyAlignment="1">
      <alignment horizontal="center"/>
    </xf>
    <xf numFmtId="169" fontId="105" fillId="0" borderId="140" xfId="139" applyNumberFormat="1" applyFont="1" applyBorder="1" applyAlignment="1">
      <alignment horizontal="center"/>
    </xf>
    <xf numFmtId="169" fontId="105" fillId="0" borderId="34" xfId="139" applyNumberFormat="1" applyFont="1" applyBorder="1" applyAlignment="1">
      <alignment horizontal="center"/>
    </xf>
    <xf numFmtId="169" fontId="105" fillId="0" borderId="24" xfId="592" applyNumberFormat="1" applyFont="1" applyBorder="1" applyAlignment="1">
      <alignment horizontal="center"/>
    </xf>
    <xf numFmtId="169" fontId="105" fillId="0" borderId="25" xfId="592" applyNumberFormat="1" applyFont="1" applyBorder="1" applyAlignment="1">
      <alignment horizontal="center"/>
    </xf>
    <xf numFmtId="169" fontId="105" fillId="0" borderId="37" xfId="592" applyNumberFormat="1" applyFont="1" applyBorder="1" applyAlignment="1">
      <alignment horizontal="center"/>
    </xf>
    <xf numFmtId="3" fontId="107" fillId="0" borderId="24" xfId="592" applyNumberFormat="1" applyFont="1" applyBorder="1" applyAlignment="1">
      <alignment horizontal="center"/>
    </xf>
    <xf numFmtId="9" fontId="107" fillId="0" borderId="30" xfId="1" applyFont="1" applyBorder="1" applyAlignment="1">
      <alignment horizontal="center"/>
    </xf>
    <xf numFmtId="9" fontId="105" fillId="0" borderId="24" xfId="1" applyFont="1" applyBorder="1" applyAlignment="1">
      <alignment horizontal="center"/>
    </xf>
    <xf numFmtId="0" fontId="35" fillId="0" borderId="0" xfId="0" applyFont="1" applyFill="1" applyAlignment="1">
      <alignment horizontal="center"/>
    </xf>
    <xf numFmtId="167" fontId="35" fillId="0" borderId="0" xfId="0" applyNumberFormat="1" applyFont="1" applyAlignment="1">
      <alignment horizontal="center"/>
    </xf>
    <xf numFmtId="167" fontId="35" fillId="0" borderId="0" xfId="0" applyNumberFormat="1" applyFont="1" applyFill="1" applyAlignment="1">
      <alignment horizontal="center"/>
    </xf>
    <xf numFmtId="0" fontId="94" fillId="0" borderId="0" xfId="0" applyFont="1" applyAlignment="1">
      <alignment horizontal="center"/>
    </xf>
    <xf numFmtId="0" fontId="94" fillId="0" borderId="0" xfId="0" applyFont="1" applyFill="1" applyAlignment="1">
      <alignment horizontal="center"/>
    </xf>
    <xf numFmtId="169" fontId="107" fillId="0" borderId="152" xfId="139" applyNumberFormat="1" applyFont="1" applyFill="1" applyBorder="1" applyAlignment="1">
      <alignment horizontal="center"/>
    </xf>
    <xf numFmtId="169" fontId="107" fillId="0" borderId="23" xfId="139" applyNumberFormat="1" applyFont="1" applyFill="1" applyBorder="1" applyAlignment="1">
      <alignment horizontal="center"/>
    </xf>
    <xf numFmtId="169" fontId="105" fillId="0" borderId="10" xfId="139" applyNumberFormat="1" applyFont="1" applyFill="1" applyBorder="1" applyAlignment="1">
      <alignment horizontal="center"/>
    </xf>
    <xf numFmtId="169" fontId="105" fillId="0" borderId="64" xfId="139" applyNumberFormat="1" applyFont="1" applyFill="1" applyBorder="1" applyAlignment="1">
      <alignment horizontal="center"/>
    </xf>
    <xf numFmtId="169" fontId="105" fillId="0" borderId="12" xfId="139" applyNumberFormat="1" applyFont="1" applyFill="1" applyBorder="1" applyAlignment="1">
      <alignment horizontal="center"/>
    </xf>
    <xf numFmtId="169" fontId="105" fillId="0" borderId="10" xfId="592" applyNumberFormat="1" applyFont="1" applyBorder="1" applyAlignment="1">
      <alignment horizontal="center"/>
    </xf>
    <xf numFmtId="169" fontId="105" fillId="0" borderId="155" xfId="592" applyNumberFormat="1" applyFont="1" applyFill="1" applyBorder="1" applyAlignment="1">
      <alignment horizontal="center"/>
    </xf>
    <xf numFmtId="169" fontId="105" fillId="0" borderId="127" xfId="592" applyNumberFormat="1" applyFont="1" applyBorder="1" applyAlignment="1">
      <alignment horizontal="center"/>
    </xf>
    <xf numFmtId="3" fontId="107" fillId="0" borderId="10" xfId="592" applyNumberFormat="1" applyFont="1" applyFill="1" applyBorder="1" applyAlignment="1">
      <alignment horizontal="center"/>
    </xf>
    <xf numFmtId="9" fontId="107" fillId="0" borderId="18" xfId="1" applyFont="1" applyBorder="1" applyAlignment="1">
      <alignment horizontal="center"/>
    </xf>
    <xf numFmtId="9" fontId="105" fillId="0" borderId="10" xfId="1" applyFont="1" applyBorder="1" applyAlignment="1">
      <alignment horizontal="center"/>
    </xf>
    <xf numFmtId="0" fontId="110" fillId="0" borderId="0" xfId="930" applyFont="1"/>
    <xf numFmtId="3" fontId="31" fillId="0" borderId="123" xfId="0" applyNumberFormat="1" applyFont="1" applyBorder="1" applyAlignment="1">
      <alignment horizontal="center" vertical="center" wrapText="1"/>
    </xf>
    <xf numFmtId="9" fontId="31" fillId="0" borderId="99" xfId="1" applyNumberFormat="1" applyFont="1" applyBorder="1" applyAlignment="1">
      <alignment horizontal="center" vertical="center"/>
    </xf>
    <xf numFmtId="9" fontId="31" fillId="0" borderId="41" xfId="1" applyNumberFormat="1" applyFont="1" applyBorder="1" applyAlignment="1">
      <alignment horizontal="center" vertical="center"/>
    </xf>
    <xf numFmtId="0" fontId="109" fillId="0" borderId="6" xfId="930" applyFont="1" applyBorder="1"/>
    <xf numFmtId="0" fontId="35" fillId="0" borderId="8" xfId="930" applyFont="1" applyBorder="1" applyAlignment="1">
      <alignment horizontal="center"/>
    </xf>
    <xf numFmtId="169" fontId="105" fillId="0" borderId="3" xfId="139" applyNumberFormat="1" applyFont="1" applyBorder="1" applyAlignment="1">
      <alignment horizontal="center"/>
    </xf>
    <xf numFmtId="169" fontId="107" fillId="0" borderId="120" xfId="139" applyNumberFormat="1" applyFont="1" applyFill="1" applyBorder="1" applyAlignment="1">
      <alignment horizontal="center"/>
    </xf>
    <xf numFmtId="169" fontId="105" fillId="0" borderId="0" xfId="139" applyNumberFormat="1" applyFont="1" applyFill="1" applyBorder="1" applyAlignment="1">
      <alignment horizontal="center"/>
    </xf>
    <xf numFmtId="169" fontId="105" fillId="0" borderId="45" xfId="139" applyNumberFormat="1" applyFont="1" applyFill="1" applyBorder="1" applyAlignment="1">
      <alignment horizontal="center"/>
    </xf>
    <xf numFmtId="169" fontId="105" fillId="0" borderId="1" xfId="139" applyNumberFormat="1" applyFont="1" applyFill="1" applyBorder="1" applyAlignment="1">
      <alignment horizontal="center"/>
    </xf>
    <xf numFmtId="169" fontId="105" fillId="0" borderId="2" xfId="139" applyNumberFormat="1" applyFont="1" applyFill="1" applyBorder="1" applyAlignment="1">
      <alignment horizontal="center"/>
    </xf>
    <xf numFmtId="169" fontId="105" fillId="0" borderId="0" xfId="592" applyNumberFormat="1" applyFont="1" applyFill="1" applyBorder="1" applyAlignment="1">
      <alignment horizontal="center"/>
    </xf>
    <xf numFmtId="169" fontId="105" fillId="0" borderId="26" xfId="592" applyNumberFormat="1" applyFont="1" applyFill="1" applyBorder="1" applyAlignment="1">
      <alignment horizontal="center"/>
    </xf>
    <xf numFmtId="169" fontId="105" fillId="0" borderId="38" xfId="592" applyNumberFormat="1" applyFont="1" applyFill="1" applyBorder="1" applyAlignment="1">
      <alignment horizontal="center"/>
    </xf>
    <xf numFmtId="3" fontId="107" fillId="0" borderId="0" xfId="592" applyNumberFormat="1" applyFont="1" applyFill="1" applyBorder="1" applyAlignment="1">
      <alignment horizontal="center"/>
    </xf>
    <xf numFmtId="9" fontId="107" fillId="0" borderId="98" xfId="1" applyFont="1" applyFill="1" applyBorder="1" applyAlignment="1">
      <alignment horizontal="center"/>
    </xf>
    <xf numFmtId="9" fontId="105" fillId="0" borderId="0" xfId="1" applyFont="1" applyFill="1" applyBorder="1" applyAlignment="1">
      <alignment horizontal="center"/>
    </xf>
    <xf numFmtId="0" fontId="109" fillId="0" borderId="0" xfId="930" applyFont="1" applyFill="1"/>
    <xf numFmtId="0" fontId="71" fillId="0" borderId="7" xfId="0" applyFont="1" applyFill="1" applyBorder="1"/>
    <xf numFmtId="9" fontId="44" fillId="0" borderId="0" xfId="1" applyFont="1" applyBorder="1" applyAlignment="1">
      <alignment horizontal="center" vertical="center"/>
    </xf>
    <xf numFmtId="3" fontId="38" fillId="0" borderId="0" xfId="0" applyNumberFormat="1" applyFont="1" applyBorder="1" applyAlignment="1">
      <alignment horizontal="center"/>
    </xf>
    <xf numFmtId="1" fontId="31" fillId="0" borderId="0" xfId="1" applyNumberFormat="1" applyFont="1" applyBorder="1" applyAlignment="1">
      <alignment horizontal="center" vertical="center" wrapText="1"/>
    </xf>
    <xf numFmtId="167" fontId="31" fillId="0" borderId="0" xfId="1" applyNumberFormat="1" applyFont="1" applyBorder="1" applyAlignment="1">
      <alignment horizontal="center" vertical="center" wrapText="1"/>
    </xf>
    <xf numFmtId="2" fontId="31" fillId="0" borderId="0" xfId="1" applyNumberFormat="1" applyFont="1" applyBorder="1" applyAlignment="1">
      <alignment horizontal="center"/>
    </xf>
    <xf numFmtId="167" fontId="31" fillId="0" borderId="0" xfId="1" applyNumberFormat="1" applyFont="1" applyBorder="1" applyAlignment="1">
      <alignment horizontal="center"/>
    </xf>
    <xf numFmtId="9" fontId="71" fillId="0" borderId="0" xfId="1" applyFont="1" applyBorder="1"/>
    <xf numFmtId="1" fontId="31" fillId="0" borderId="98" xfId="1" applyNumberFormat="1" applyFont="1" applyBorder="1" applyAlignment="1">
      <alignment horizontal="center" vertical="center" wrapText="1"/>
    </xf>
    <xf numFmtId="167" fontId="31" fillId="0" borderId="98" xfId="1" applyNumberFormat="1" applyFont="1" applyBorder="1" applyAlignment="1">
      <alignment horizontal="center" vertical="center"/>
    </xf>
    <xf numFmtId="1" fontId="71" fillId="0" borderId="98" xfId="1" applyNumberFormat="1" applyFont="1" applyBorder="1"/>
    <xf numFmtId="9" fontId="31" fillId="0" borderId="130" xfId="1" applyFont="1" applyBorder="1" applyAlignment="1">
      <alignment horizontal="center" vertical="center"/>
    </xf>
    <xf numFmtId="0" fontId="16" fillId="0" borderId="0" xfId="1079"/>
    <xf numFmtId="0" fontId="112" fillId="0" borderId="0" xfId="1079" applyFont="1"/>
    <xf numFmtId="0" fontId="0" fillId="0" borderId="98" xfId="0" applyBorder="1"/>
    <xf numFmtId="0" fontId="0" fillId="0" borderId="0" xfId="0" applyBorder="1"/>
    <xf numFmtId="0" fontId="16" fillId="0" borderId="98" xfId="1079" applyBorder="1"/>
    <xf numFmtId="0" fontId="16" fillId="0" borderId="0" xfId="1079" applyBorder="1"/>
    <xf numFmtId="0" fontId="112" fillId="0" borderId="98" xfId="1079" applyFont="1" applyBorder="1" applyAlignment="1">
      <alignment horizontal="center"/>
    </xf>
    <xf numFmtId="0" fontId="112" fillId="0" borderId="130" xfId="1079" applyFont="1" applyBorder="1" applyAlignment="1">
      <alignment horizontal="center"/>
    </xf>
    <xf numFmtId="0" fontId="112" fillId="0" borderId="118" xfId="1079" applyFont="1" applyBorder="1" applyAlignment="1">
      <alignment horizontal="center" wrapText="1"/>
    </xf>
    <xf numFmtId="0" fontId="112" fillId="0" borderId="119" xfId="1079" applyFont="1" applyBorder="1" applyAlignment="1">
      <alignment horizontal="center" wrapText="1"/>
    </xf>
    <xf numFmtId="0" fontId="112" fillId="0" borderId="43" xfId="1079" applyFont="1" applyBorder="1" applyAlignment="1">
      <alignment horizontal="center" wrapText="1"/>
    </xf>
    <xf numFmtId="1" fontId="33" fillId="0" borderId="133" xfId="139" applyNumberFormat="1" applyFont="1" applyBorder="1" applyAlignment="1">
      <alignment horizontal="center"/>
    </xf>
    <xf numFmtId="0" fontId="112" fillId="0" borderId="28" xfId="1079" applyFont="1" applyBorder="1" applyAlignment="1">
      <alignment horizontal="center" wrapText="1"/>
    </xf>
    <xf numFmtId="1" fontId="33" fillId="0" borderId="2" xfId="1082" applyNumberFormat="1" applyFont="1" applyBorder="1" applyAlignment="1">
      <alignment horizontal="center"/>
    </xf>
    <xf numFmtId="1" fontId="33" fillId="0" borderId="115" xfId="1082" applyNumberFormat="1" applyFont="1" applyBorder="1" applyAlignment="1">
      <alignment horizontal="center"/>
    </xf>
    <xf numFmtId="0" fontId="109" fillId="0" borderId="0" xfId="1083" applyFont="1"/>
    <xf numFmtId="0" fontId="113" fillId="0" borderId="0" xfId="1079" applyFont="1" applyBorder="1" applyAlignment="1">
      <alignment horizontal="center"/>
    </xf>
    <xf numFmtId="0" fontId="112" fillId="0" borderId="0" xfId="1079" applyFont="1" applyBorder="1" applyAlignment="1">
      <alignment horizontal="center" vertical="center" wrapText="1"/>
    </xf>
    <xf numFmtId="171" fontId="112" fillId="0" borderId="0" xfId="1" applyNumberFormat="1" applyFont="1" applyFill="1" applyBorder="1" applyAlignment="1">
      <alignment horizontal="center"/>
    </xf>
    <xf numFmtId="171" fontId="112" fillId="0" borderId="0" xfId="1079" applyNumberFormat="1" applyFont="1" applyFill="1" applyBorder="1" applyAlignment="1">
      <alignment horizontal="center"/>
    </xf>
    <xf numFmtId="0" fontId="35" fillId="0" borderId="0" xfId="0" applyFont="1" applyAlignment="1">
      <alignment vertical="center" wrapText="1"/>
    </xf>
    <xf numFmtId="9" fontId="35" fillId="0" borderId="0" xfId="1" applyFont="1" applyAlignment="1">
      <alignment vertical="center" wrapText="1"/>
    </xf>
    <xf numFmtId="9" fontId="35" fillId="0" borderId="0" xfId="1" applyFont="1"/>
    <xf numFmtId="0" fontId="28" fillId="0" borderId="158" xfId="341" applyFont="1" applyBorder="1" applyAlignment="1">
      <alignment horizontal="center"/>
    </xf>
    <xf numFmtId="0" fontId="109" fillId="0" borderId="0" xfId="591" applyFont="1"/>
    <xf numFmtId="9" fontId="112" fillId="0" borderId="0" xfId="591" applyNumberFormat="1" applyFont="1" applyBorder="1"/>
    <xf numFmtId="0" fontId="112" fillId="0" borderId="0" xfId="591" applyFont="1" applyBorder="1"/>
    <xf numFmtId="0" fontId="112" fillId="0" borderId="0" xfId="591" applyFont="1"/>
    <xf numFmtId="14" fontId="112" fillId="0" borderId="0" xfId="591" applyNumberFormat="1" applyFont="1"/>
    <xf numFmtId="167" fontId="31" fillId="0" borderId="98" xfId="1" applyNumberFormat="1" applyFont="1" applyBorder="1" applyAlignment="1">
      <alignment horizontal="center" vertical="center" wrapText="1"/>
    </xf>
    <xf numFmtId="0" fontId="96" fillId="0" borderId="0" xfId="592" applyFont="1"/>
    <xf numFmtId="3" fontId="96" fillId="0" borderId="0" xfId="592" applyNumberFormat="1" applyFont="1"/>
    <xf numFmtId="168" fontId="116" fillId="0" borderId="0" xfId="735" applyNumberFormat="1" applyFont="1" applyFill="1" applyBorder="1"/>
    <xf numFmtId="3" fontId="96" fillId="0" borderId="0" xfId="592" applyNumberFormat="1" applyFont="1" applyAlignment="1">
      <alignment horizontal="center"/>
    </xf>
    <xf numFmtId="169" fontId="96" fillId="0" borderId="0" xfId="592" applyNumberFormat="1" applyFont="1" applyAlignment="1">
      <alignment horizontal="center"/>
    </xf>
    <xf numFmtId="168" fontId="96" fillId="0" borderId="0" xfId="592" applyNumberFormat="1" applyFont="1" applyBorder="1"/>
    <xf numFmtId="0" fontId="96" fillId="0" borderId="0" xfId="592" applyFont="1" applyBorder="1"/>
    <xf numFmtId="0" fontId="16" fillId="0" borderId="7" xfId="1079" applyBorder="1"/>
    <xf numFmtId="0" fontId="16" fillId="0" borderId="8" xfId="1079" applyBorder="1"/>
    <xf numFmtId="0" fontId="112" fillId="0" borderId="7" xfId="1079" applyFont="1" applyBorder="1" applyAlignment="1">
      <alignment horizontal="center"/>
    </xf>
    <xf numFmtId="10" fontId="112" fillId="0" borderId="0" xfId="591" applyNumberFormat="1" applyFont="1" applyBorder="1" applyAlignment="1">
      <alignment horizontal="center" wrapText="1"/>
    </xf>
    <xf numFmtId="10" fontId="112" fillId="0" borderId="0" xfId="591" applyNumberFormat="1" applyFont="1" applyBorder="1" applyAlignment="1">
      <alignment horizontal="center"/>
    </xf>
    <xf numFmtId="0" fontId="112" fillId="0" borderId="98" xfId="591" applyFont="1" applyBorder="1" applyAlignment="1">
      <alignment wrapText="1"/>
    </xf>
    <xf numFmtId="171" fontId="112" fillId="0" borderId="98" xfId="653" applyNumberFormat="1" applyFont="1" applyBorder="1" applyAlignment="1">
      <alignment horizontal="center"/>
    </xf>
    <xf numFmtId="0" fontId="112" fillId="0" borderId="0" xfId="591" applyFont="1" applyBorder="1" applyAlignment="1"/>
    <xf numFmtId="0" fontId="112" fillId="0" borderId="159" xfId="591" applyFont="1" applyBorder="1" applyAlignment="1">
      <alignment horizontal="center" wrapText="1"/>
    </xf>
    <xf numFmtId="0" fontId="112" fillId="0" borderId="160" xfId="591" applyFont="1" applyBorder="1" applyAlignment="1">
      <alignment horizontal="center" wrapText="1"/>
    </xf>
    <xf numFmtId="0" fontId="112" fillId="0" borderId="0" xfId="1105" applyFont="1"/>
    <xf numFmtId="0" fontId="112" fillId="0" borderId="0" xfId="1105" applyFont="1" applyBorder="1"/>
    <xf numFmtId="4" fontId="112" fillId="0" borderId="0" xfId="1105" applyNumberFormat="1" applyFont="1"/>
    <xf numFmtId="0" fontId="112" fillId="0" borderId="0" xfId="1105" applyFont="1" applyBorder="1" applyAlignment="1"/>
    <xf numFmtId="3" fontId="112" fillId="0" borderId="0" xfId="1105" applyNumberFormat="1" applyFont="1"/>
    <xf numFmtId="9" fontId="112" fillId="0" borderId="0" xfId="1106" applyFont="1"/>
    <xf numFmtId="169" fontId="112" fillId="0" borderId="0" xfId="1105" applyNumberFormat="1" applyFont="1"/>
    <xf numFmtId="168" fontId="112" fillId="0" borderId="0" xfId="1107" applyNumberFormat="1" applyFont="1"/>
    <xf numFmtId="168" fontId="112" fillId="0" borderId="0" xfId="1105" applyNumberFormat="1" applyFont="1"/>
    <xf numFmtId="0" fontId="112" fillId="0" borderId="0" xfId="1105" applyFont="1" applyBorder="1" applyAlignment="1">
      <alignment horizontal="center" vertical="center"/>
    </xf>
    <xf numFmtId="0" fontId="112" fillId="0" borderId="98" xfId="1105" applyFont="1" applyBorder="1"/>
    <xf numFmtId="9" fontId="112" fillId="0" borderId="0" xfId="1106" applyFont="1" applyBorder="1"/>
    <xf numFmtId="0" fontId="112" fillId="0" borderId="130" xfId="1105" applyFont="1" applyBorder="1"/>
    <xf numFmtId="0" fontId="108" fillId="0" borderId="98" xfId="1105" applyFont="1" applyBorder="1" applyAlignment="1">
      <alignment horizontal="center"/>
    </xf>
    <xf numFmtId="0" fontId="115" fillId="0" borderId="98" xfId="1105" applyFont="1" applyBorder="1" applyAlignment="1">
      <alignment horizontal="center" vertical="center"/>
    </xf>
    <xf numFmtId="0" fontId="114" fillId="0" borderId="98" xfId="1105" applyFont="1" applyBorder="1"/>
    <xf numFmtId="0" fontId="112" fillId="0" borderId="98" xfId="1105" applyFont="1" applyBorder="1" applyAlignment="1">
      <alignment horizontal="center" vertical="center"/>
    </xf>
    <xf numFmtId="0" fontId="112" fillId="0" borderId="158" xfId="1105" applyFont="1" applyBorder="1" applyAlignment="1">
      <alignment horizontal="center" vertical="center"/>
    </xf>
    <xf numFmtId="0" fontId="115" fillId="0" borderId="98" xfId="1105" applyFont="1" applyBorder="1" applyAlignment="1">
      <alignment horizontal="center" vertical="center" wrapText="1"/>
    </xf>
    <xf numFmtId="168" fontId="114" fillId="0" borderId="98" xfId="1107" applyNumberFormat="1" applyFont="1" applyBorder="1"/>
    <xf numFmtId="168" fontId="114" fillId="0" borderId="130" xfId="1107" applyNumberFormat="1" applyFont="1" applyBorder="1"/>
    <xf numFmtId="3" fontId="112" fillId="0" borderId="0" xfId="1105" applyNumberFormat="1" applyFont="1" applyBorder="1" applyAlignment="1">
      <alignment horizontal="center"/>
    </xf>
    <xf numFmtId="3" fontId="112" fillId="0" borderId="131" xfId="1105" applyNumberFormat="1" applyFont="1" applyBorder="1" applyAlignment="1">
      <alignment horizontal="center"/>
    </xf>
    <xf numFmtId="3" fontId="112" fillId="0" borderId="0" xfId="571" applyNumberFormat="1" applyFont="1" applyBorder="1" applyAlignment="1">
      <alignment horizontal="center"/>
    </xf>
    <xf numFmtId="0" fontId="115" fillId="0" borderId="0" xfId="1105" applyFont="1" applyBorder="1" applyAlignment="1"/>
    <xf numFmtId="3" fontId="112" fillId="0" borderId="98" xfId="1105" applyNumberFormat="1" applyFont="1" applyBorder="1" applyAlignment="1">
      <alignment horizontal="center"/>
    </xf>
    <xf numFmtId="3" fontId="112" fillId="0" borderId="158" xfId="1105" applyNumberFormat="1" applyFont="1" applyBorder="1" applyAlignment="1">
      <alignment horizontal="center"/>
    </xf>
    <xf numFmtId="3" fontId="112" fillId="0" borderId="130" xfId="1105" applyNumberFormat="1" applyFont="1" applyBorder="1" applyAlignment="1">
      <alignment horizontal="center"/>
    </xf>
    <xf numFmtId="3" fontId="112" fillId="0" borderId="133" xfId="1105" applyNumberFormat="1" applyFont="1" applyBorder="1" applyAlignment="1">
      <alignment horizontal="center"/>
    </xf>
    <xf numFmtId="3" fontId="112" fillId="0" borderId="0" xfId="1105" applyNumberFormat="1" applyFont="1" applyBorder="1"/>
    <xf numFmtId="3" fontId="115" fillId="0" borderId="0" xfId="1105" applyNumberFormat="1" applyFont="1" applyBorder="1"/>
    <xf numFmtId="0" fontId="32" fillId="0" borderId="0" xfId="1105" applyFont="1" applyBorder="1" applyAlignment="1">
      <alignment horizontal="center"/>
    </xf>
    <xf numFmtId="0" fontId="32" fillId="0" borderId="0" xfId="1105" applyFont="1" applyBorder="1" applyAlignment="1"/>
    <xf numFmtId="3" fontId="114" fillId="0" borderId="158" xfId="1105" applyNumberFormat="1" applyFont="1" applyBorder="1" applyAlignment="1">
      <alignment horizontal="center"/>
    </xf>
    <xf numFmtId="3" fontId="114" fillId="0" borderId="158" xfId="1107" applyNumberFormat="1" applyFont="1" applyBorder="1" applyAlignment="1">
      <alignment horizontal="center"/>
    </xf>
    <xf numFmtId="3" fontId="114" fillId="0" borderId="0" xfId="1107" applyNumberFormat="1" applyFont="1" applyBorder="1" applyAlignment="1">
      <alignment horizontal="center"/>
    </xf>
    <xf numFmtId="3" fontId="114" fillId="0" borderId="98" xfId="1105" applyNumberFormat="1" applyFont="1" applyBorder="1" applyAlignment="1">
      <alignment horizontal="center"/>
    </xf>
    <xf numFmtId="3" fontId="114" fillId="0" borderId="0" xfId="1105" applyNumberFormat="1" applyFont="1" applyBorder="1" applyAlignment="1">
      <alignment horizontal="center"/>
    </xf>
    <xf numFmtId="3" fontId="114" fillId="0" borderId="98" xfId="1107" applyNumberFormat="1" applyFont="1" applyBorder="1" applyAlignment="1">
      <alignment horizontal="center"/>
    </xf>
    <xf numFmtId="1" fontId="112" fillId="0" borderId="0" xfId="1105" applyNumberFormat="1" applyFont="1"/>
    <xf numFmtId="167" fontId="112" fillId="0" borderId="0" xfId="1105" applyNumberFormat="1" applyFont="1"/>
    <xf numFmtId="3" fontId="112" fillId="0" borderId="0" xfId="1105" applyNumberFormat="1" applyFont="1" applyBorder="1" applyAlignment="1">
      <alignment horizontal="center" vertical="center"/>
    </xf>
    <xf numFmtId="3" fontId="114" fillId="0" borderId="130" xfId="1107" applyNumberFormat="1" applyFont="1" applyBorder="1" applyAlignment="1">
      <alignment horizontal="center"/>
    </xf>
    <xf numFmtId="3" fontId="114" fillId="0" borderId="131" xfId="1107" applyNumberFormat="1" applyFont="1" applyBorder="1" applyAlignment="1">
      <alignment horizontal="center"/>
    </xf>
    <xf numFmtId="3" fontId="114" fillId="0" borderId="133" xfId="1107" applyNumberFormat="1" applyFont="1" applyBorder="1" applyAlignment="1">
      <alignment horizontal="center"/>
    </xf>
    <xf numFmtId="0" fontId="21" fillId="0" borderId="0" xfId="0" applyFont="1" applyAlignment="1">
      <alignment horizontal="center" vertical="center"/>
    </xf>
    <xf numFmtId="3" fontId="115" fillId="0" borderId="0" xfId="1105" applyNumberFormat="1" applyFont="1" applyBorder="1" applyAlignment="1">
      <alignment horizontal="center" vertical="center"/>
    </xf>
    <xf numFmtId="3" fontId="31" fillId="0" borderId="130" xfId="0" applyNumberFormat="1" applyFont="1" applyBorder="1" applyAlignment="1">
      <alignment horizontal="center" vertical="center"/>
    </xf>
    <xf numFmtId="0" fontId="32" fillId="0" borderId="0" xfId="0" applyFont="1" applyBorder="1" applyAlignment="1">
      <alignment horizontal="center" vertical="center"/>
    </xf>
    <xf numFmtId="3" fontId="31" fillId="0" borderId="32" xfId="0" applyNumberFormat="1" applyFont="1" applyBorder="1" applyAlignment="1">
      <alignment horizontal="center" vertical="center" wrapText="1"/>
    </xf>
    <xf numFmtId="0" fontId="31" fillId="0" borderId="7" xfId="0" applyFont="1" applyBorder="1" applyAlignment="1">
      <alignment horizontal="center" vertical="center"/>
    </xf>
    <xf numFmtId="3" fontId="31" fillId="0" borderId="158" xfId="0" applyNumberFormat="1" applyFont="1" applyBorder="1" applyAlignment="1">
      <alignment horizontal="center" vertical="center"/>
    </xf>
    <xf numFmtId="3" fontId="31" fillId="0" borderId="8" xfId="0" applyNumberFormat="1" applyFont="1" applyBorder="1" applyAlignment="1">
      <alignment horizontal="center" vertical="center"/>
    </xf>
    <xf numFmtId="0" fontId="31" fillId="0" borderId="9" xfId="0" applyFont="1" applyBorder="1" applyAlignment="1">
      <alignment vertical="center"/>
    </xf>
    <xf numFmtId="3" fontId="31" fillId="0" borderId="23" xfId="139" applyNumberFormat="1" applyFont="1" applyBorder="1" applyAlignment="1">
      <alignment horizontal="center" vertical="center"/>
    </xf>
    <xf numFmtId="3" fontId="31" fillId="0" borderId="11" xfId="0" applyNumberFormat="1" applyFont="1" applyBorder="1" applyAlignment="1">
      <alignment horizontal="center" vertical="center" wrapText="1"/>
    </xf>
    <xf numFmtId="3" fontId="31" fillId="0" borderId="10" xfId="0" applyNumberFormat="1" applyFont="1" applyBorder="1" applyAlignment="1">
      <alignment horizontal="center" vertical="center" wrapText="1"/>
    </xf>
    <xf numFmtId="3" fontId="31" fillId="0" borderId="19" xfId="0" applyNumberFormat="1" applyFont="1" applyBorder="1" applyAlignment="1">
      <alignment horizontal="center" vertical="center" wrapText="1"/>
    </xf>
    <xf numFmtId="3" fontId="31" fillId="0" borderId="13" xfId="0" applyNumberFormat="1" applyFont="1" applyBorder="1" applyAlignment="1">
      <alignment horizontal="center" vertical="center" wrapText="1"/>
    </xf>
    <xf numFmtId="3" fontId="31" fillId="0" borderId="31" xfId="0" applyNumberFormat="1" applyFont="1" applyBorder="1" applyAlignment="1">
      <alignment horizontal="center" vertical="center"/>
    </xf>
    <xf numFmtId="3" fontId="31" fillId="0" borderId="158" xfId="0" applyNumberFormat="1" applyFont="1" applyBorder="1" applyAlignment="1">
      <alignment horizontal="center" vertical="center" wrapText="1"/>
    </xf>
    <xf numFmtId="3" fontId="71" fillId="0" borderId="98" xfId="0" applyNumberFormat="1" applyFont="1" applyBorder="1"/>
    <xf numFmtId="3" fontId="38" fillId="0" borderId="158" xfId="0" applyNumberFormat="1" applyFont="1" applyBorder="1" applyAlignment="1">
      <alignment horizontal="center" vertical="center" wrapText="1"/>
    </xf>
    <xf numFmtId="3" fontId="38" fillId="0" borderId="8" xfId="0" applyNumberFormat="1" applyFont="1" applyBorder="1" applyAlignment="1">
      <alignment horizontal="center" vertical="center" wrapText="1"/>
    </xf>
    <xf numFmtId="3" fontId="31" fillId="0" borderId="7" xfId="0" applyNumberFormat="1" applyFont="1" applyBorder="1" applyAlignment="1">
      <alignment horizontal="center" vertical="center"/>
    </xf>
    <xf numFmtId="3" fontId="31" fillId="0" borderId="9" xfId="0" applyNumberFormat="1" applyFont="1" applyBorder="1" applyAlignment="1">
      <alignment vertical="center"/>
    </xf>
    <xf numFmtId="9" fontId="71" fillId="0" borderId="98" xfId="1" applyFont="1" applyBorder="1"/>
    <xf numFmtId="0" fontId="71" fillId="0" borderId="0" xfId="0" applyFont="1" applyBorder="1" applyAlignment="1">
      <alignment horizontal="center"/>
    </xf>
    <xf numFmtId="3" fontId="31" fillId="0" borderId="22" xfId="1" applyNumberFormat="1" applyFont="1" applyBorder="1" applyAlignment="1">
      <alignment horizontal="center" vertical="center" wrapText="1"/>
    </xf>
    <xf numFmtId="9" fontId="31" fillId="0" borderId="158" xfId="1" applyFont="1" applyBorder="1" applyAlignment="1">
      <alignment horizontal="center" vertical="center"/>
    </xf>
    <xf numFmtId="1" fontId="31" fillId="0" borderId="10" xfId="0" applyNumberFormat="1" applyFont="1" applyBorder="1" applyAlignment="1">
      <alignment horizontal="center" vertical="center"/>
    </xf>
    <xf numFmtId="3" fontId="71" fillId="0" borderId="98" xfId="0" applyNumberFormat="1" applyFont="1" applyBorder="1" applyAlignment="1">
      <alignment horizontal="center"/>
    </xf>
    <xf numFmtId="167" fontId="31" fillId="0" borderId="30" xfId="1" applyNumberFormat="1" applyFont="1" applyBorder="1" applyAlignment="1">
      <alignment horizontal="center" vertical="center" wrapText="1"/>
    </xf>
    <xf numFmtId="167" fontId="31" fillId="0" borderId="18" xfId="1" applyNumberFormat="1" applyFont="1" applyBorder="1" applyAlignment="1">
      <alignment horizontal="center" vertical="center"/>
    </xf>
    <xf numFmtId="167" fontId="31" fillId="0" borderId="24" xfId="1" applyNumberFormat="1" applyFont="1" applyBorder="1" applyAlignment="1">
      <alignment horizontal="center" vertical="center" wrapText="1"/>
    </xf>
    <xf numFmtId="3" fontId="31" fillId="0" borderId="30" xfId="1" applyNumberFormat="1" applyFont="1" applyBorder="1" applyAlignment="1">
      <alignment horizontal="center" vertical="center" wrapText="1"/>
    </xf>
    <xf numFmtId="3" fontId="31" fillId="0" borderId="98" xfId="1" applyNumberFormat="1" applyFont="1" applyBorder="1" applyAlignment="1">
      <alignment horizontal="center" vertical="center"/>
    </xf>
    <xf numFmtId="1" fontId="31" fillId="0" borderId="31" xfId="1" applyNumberFormat="1" applyFont="1" applyBorder="1" applyAlignment="1">
      <alignment horizontal="center" vertical="center" wrapText="1"/>
    </xf>
    <xf numFmtId="1" fontId="31" fillId="0" borderId="158" xfId="1" applyNumberFormat="1" applyFont="1" applyBorder="1" applyAlignment="1">
      <alignment horizontal="center" vertical="center"/>
    </xf>
    <xf numFmtId="0" fontId="71" fillId="0" borderId="158" xfId="0" applyFont="1" applyBorder="1" applyAlignment="1">
      <alignment horizontal="center"/>
    </xf>
    <xf numFmtId="0" fontId="31" fillId="0" borderId="158" xfId="0" applyFont="1" applyBorder="1" applyAlignment="1">
      <alignment horizontal="center" vertical="center"/>
    </xf>
    <xf numFmtId="1" fontId="31" fillId="0" borderId="19" xfId="0" applyNumberFormat="1" applyFont="1" applyBorder="1" applyAlignment="1">
      <alignment horizontal="center" vertical="center"/>
    </xf>
    <xf numFmtId="1" fontId="31" fillId="0" borderId="25" xfId="1" applyNumberFormat="1" applyFont="1" applyBorder="1" applyAlignment="1">
      <alignment horizontal="center" vertical="center" wrapText="1"/>
    </xf>
    <xf numFmtId="1" fontId="31" fillId="0" borderId="26" xfId="1" applyNumberFormat="1" applyFont="1" applyBorder="1" applyAlignment="1">
      <alignment horizontal="center" vertical="center"/>
    </xf>
    <xf numFmtId="9" fontId="31" fillId="0" borderId="22" xfId="1" applyNumberFormat="1" applyFont="1" applyBorder="1" applyAlignment="1">
      <alignment horizontal="center" vertical="center" wrapText="1"/>
    </xf>
    <xf numFmtId="9" fontId="31" fillId="0" borderId="25" xfId="1" applyNumberFormat="1" applyFont="1" applyBorder="1" applyAlignment="1">
      <alignment horizontal="center" vertical="center" wrapText="1"/>
    </xf>
    <xf numFmtId="9" fontId="31" fillId="0" borderId="34" xfId="1" applyNumberFormat="1" applyFont="1" applyBorder="1" applyAlignment="1">
      <alignment horizontal="center" vertical="center" wrapText="1"/>
    </xf>
    <xf numFmtId="9" fontId="31" fillId="0" borderId="26" xfId="1" applyNumberFormat="1" applyFont="1" applyBorder="1" applyAlignment="1">
      <alignment horizontal="center" vertical="center"/>
    </xf>
    <xf numFmtId="9" fontId="31" fillId="0" borderId="2" xfId="1" applyNumberFormat="1" applyFont="1" applyBorder="1" applyAlignment="1">
      <alignment horizontal="center" vertical="center"/>
    </xf>
    <xf numFmtId="9" fontId="31" fillId="0" borderId="32" xfId="1" applyNumberFormat="1" applyFont="1" applyBorder="1" applyAlignment="1">
      <alignment horizontal="center" vertical="center" wrapText="1"/>
    </xf>
    <xf numFmtId="9" fontId="31" fillId="0" borderId="8" xfId="1" applyNumberFormat="1" applyFont="1" applyBorder="1" applyAlignment="1">
      <alignment horizontal="center" vertical="center"/>
    </xf>
    <xf numFmtId="9" fontId="31" fillId="0" borderId="8" xfId="0" applyNumberFormat="1" applyFont="1" applyBorder="1" applyAlignment="1">
      <alignment horizontal="center" vertical="center" wrapText="1"/>
    </xf>
    <xf numFmtId="9" fontId="71" fillId="0" borderId="8" xfId="0" applyNumberFormat="1" applyFont="1" applyBorder="1" applyAlignment="1">
      <alignment horizontal="center"/>
    </xf>
    <xf numFmtId="1" fontId="31" fillId="0" borderId="23" xfId="0" applyNumberFormat="1" applyFont="1" applyBorder="1" applyAlignment="1">
      <alignment horizontal="center" vertical="center"/>
    </xf>
    <xf numFmtId="1" fontId="31" fillId="0" borderId="23" xfId="1" applyNumberFormat="1" applyFont="1" applyBorder="1" applyAlignment="1">
      <alignment horizontal="center" vertical="center"/>
    </xf>
    <xf numFmtId="9" fontId="31" fillId="0" borderId="23" xfId="1" applyNumberFormat="1" applyFont="1" applyBorder="1" applyAlignment="1">
      <alignment horizontal="center" vertical="center"/>
    </xf>
    <xf numFmtId="9" fontId="31" fillId="0" borderId="13" xfId="1" applyNumberFormat="1" applyFont="1" applyBorder="1" applyAlignment="1">
      <alignment horizontal="center" vertical="center"/>
    </xf>
    <xf numFmtId="0" fontId="32" fillId="0" borderId="7" xfId="1105" applyFont="1" applyBorder="1" applyAlignment="1">
      <alignment horizontal="center"/>
    </xf>
    <xf numFmtId="0" fontId="32" fillId="0" borderId="8" xfId="1105" applyFont="1" applyBorder="1" applyAlignment="1">
      <alignment horizontal="center"/>
    </xf>
    <xf numFmtId="0" fontId="31" fillId="0" borderId="7" xfId="1105" applyFont="1" applyBorder="1" applyAlignment="1">
      <alignment horizontal="left" vertical="center" wrapText="1"/>
    </xf>
    <xf numFmtId="0" fontId="33" fillId="0" borderId="7" xfId="1105" applyFont="1" applyBorder="1" applyAlignment="1">
      <alignment wrapText="1"/>
    </xf>
    <xf numFmtId="9" fontId="33" fillId="0" borderId="8" xfId="1106" applyFont="1" applyBorder="1" applyAlignment="1">
      <alignment horizontal="center" vertical="center"/>
    </xf>
    <xf numFmtId="0" fontId="33" fillId="0" borderId="7" xfId="0" applyFont="1" applyBorder="1" applyAlignment="1">
      <alignment wrapText="1"/>
    </xf>
    <xf numFmtId="9" fontId="33" fillId="0" borderId="8" xfId="1" applyFont="1" applyBorder="1" applyAlignment="1">
      <alignment horizontal="center" vertical="center"/>
    </xf>
    <xf numFmtId="0" fontId="31" fillId="0" borderId="9" xfId="0" applyFont="1" applyBorder="1" applyAlignment="1">
      <alignment wrapText="1"/>
    </xf>
    <xf numFmtId="9" fontId="31" fillId="0" borderId="13" xfId="1106" applyFont="1" applyBorder="1" applyAlignment="1">
      <alignment horizontal="center" vertical="center"/>
    </xf>
    <xf numFmtId="0" fontId="35" fillId="0" borderId="0" xfId="1105" applyFont="1" applyBorder="1" applyAlignment="1">
      <alignment horizontal="center"/>
    </xf>
    <xf numFmtId="0" fontId="35" fillId="0" borderId="8" xfId="1105" applyFont="1" applyBorder="1" applyAlignment="1">
      <alignment horizontal="center"/>
    </xf>
    <xf numFmtId="3" fontId="33" fillId="0" borderId="0" xfId="1105" applyNumberFormat="1" applyFont="1" applyBorder="1" applyAlignment="1">
      <alignment horizontal="center" vertical="center"/>
    </xf>
    <xf numFmtId="3" fontId="33" fillId="0" borderId="0" xfId="0" applyNumberFormat="1" applyFont="1" applyBorder="1" applyAlignment="1">
      <alignment horizontal="center" vertical="center"/>
    </xf>
    <xf numFmtId="9" fontId="112" fillId="0" borderId="0" xfId="1106" applyFont="1" applyBorder="1" applyAlignment="1">
      <alignment horizontal="center"/>
    </xf>
    <xf numFmtId="0" fontId="112" fillId="0" borderId="7" xfId="1105" applyFont="1" applyBorder="1"/>
    <xf numFmtId="9" fontId="31" fillId="0" borderId="8" xfId="1" applyFont="1" applyBorder="1" applyAlignment="1">
      <alignment horizontal="center" vertical="center"/>
    </xf>
    <xf numFmtId="9" fontId="31" fillId="0" borderId="13" xfId="1" applyFont="1" applyBorder="1" applyAlignment="1">
      <alignment horizontal="center" vertical="center" wrapText="1"/>
    </xf>
    <xf numFmtId="0" fontId="32" fillId="0" borderId="158" xfId="0" applyFont="1" applyBorder="1" applyAlignment="1">
      <alignment horizontal="center" vertical="center"/>
    </xf>
    <xf numFmtId="0" fontId="35" fillId="0" borderId="131" xfId="0" applyFont="1" applyBorder="1" applyAlignment="1">
      <alignment horizontal="center"/>
    </xf>
    <xf numFmtId="171" fontId="31" fillId="0" borderId="0" xfId="1" applyNumberFormat="1" applyFont="1" applyFill="1" applyBorder="1" applyAlignment="1">
      <alignment horizontal="center" vertical="center"/>
    </xf>
    <xf numFmtId="9" fontId="31" fillId="0" borderId="0" xfId="1" applyNumberFormat="1" applyFont="1" applyFill="1" applyBorder="1" applyAlignment="1">
      <alignment horizontal="center"/>
    </xf>
    <xf numFmtId="0" fontId="0" fillId="0" borderId="0" xfId="0" applyAlignment="1">
      <alignment wrapText="1"/>
    </xf>
    <xf numFmtId="167" fontId="31" fillId="0" borderId="0" xfId="1" applyNumberFormat="1" applyFont="1" applyBorder="1" applyAlignment="1">
      <alignment horizontal="center" vertical="center"/>
    </xf>
    <xf numFmtId="0" fontId="112" fillId="0" borderId="7" xfId="1083" applyFont="1" applyBorder="1"/>
    <xf numFmtId="0" fontId="112" fillId="0" borderId="9" xfId="1083" applyFont="1" applyBorder="1"/>
    <xf numFmtId="0" fontId="32" fillId="0" borderId="7" xfId="0" applyFont="1" applyBorder="1" applyAlignment="1">
      <alignment horizontal="center" vertical="center" wrapText="1"/>
    </xf>
    <xf numFmtId="9" fontId="31" fillId="0" borderId="8" xfId="1" applyFont="1" applyBorder="1" applyAlignment="1">
      <alignment horizontal="center"/>
    </xf>
    <xf numFmtId="1" fontId="31" fillId="0" borderId="18" xfId="1" applyNumberFormat="1" applyFont="1" applyBorder="1" applyAlignment="1">
      <alignment horizontal="center" vertical="center"/>
    </xf>
    <xf numFmtId="1" fontId="31" fillId="0" borderId="10" xfId="1" applyNumberFormat="1" applyFont="1" applyBorder="1" applyAlignment="1">
      <alignment horizontal="center" vertical="center"/>
    </xf>
    <xf numFmtId="1" fontId="31" fillId="0" borderId="10" xfId="1" applyNumberFormat="1" applyFont="1" applyBorder="1" applyAlignment="1">
      <alignment horizontal="center" vertical="center" wrapText="1"/>
    </xf>
    <xf numFmtId="9" fontId="31" fillId="0" borderId="1" xfId="1" applyFont="1" applyBorder="1" applyAlignment="1">
      <alignment horizontal="center" vertical="center"/>
    </xf>
    <xf numFmtId="1" fontId="31" fillId="0" borderId="1" xfId="1" applyNumberFormat="1" applyFont="1" applyBorder="1" applyAlignment="1">
      <alignment horizontal="center"/>
    </xf>
    <xf numFmtId="0" fontId="0" fillId="0" borderId="8" xfId="0" applyBorder="1"/>
    <xf numFmtId="167" fontId="31" fillId="0" borderId="8" xfId="1" applyNumberFormat="1" applyFont="1" applyBorder="1" applyAlignment="1">
      <alignment horizontal="center" vertical="center" wrapText="1"/>
    </xf>
    <xf numFmtId="0" fontId="31" fillId="0" borderId="9" xfId="0" applyFont="1" applyBorder="1" applyAlignment="1">
      <alignment horizontal="left" vertical="center"/>
    </xf>
    <xf numFmtId="9" fontId="31" fillId="0" borderId="13" xfId="1" applyFont="1" applyBorder="1" applyAlignment="1">
      <alignment horizontal="center"/>
    </xf>
    <xf numFmtId="0" fontId="28" fillId="0" borderId="0" xfId="341" applyFont="1" applyBorder="1" applyAlignment="1">
      <alignment horizontal="center" vertical="center"/>
    </xf>
    <xf numFmtId="0" fontId="28" fillId="0" borderId="8" xfId="341" applyFont="1" applyBorder="1" applyAlignment="1">
      <alignment horizontal="center" vertical="center"/>
    </xf>
    <xf numFmtId="171" fontId="112" fillId="0" borderId="0" xfId="656" applyNumberFormat="1" applyFont="1" applyBorder="1" applyAlignment="1">
      <alignment horizontal="center"/>
    </xf>
    <xf numFmtId="0" fontId="112" fillId="0" borderId="159" xfId="591" applyFont="1" applyBorder="1" applyAlignment="1">
      <alignment horizontal="center" vertical="center" wrapText="1"/>
    </xf>
    <xf numFmtId="0" fontId="112" fillId="0" borderId="160" xfId="591" applyFont="1" applyBorder="1" applyAlignment="1">
      <alignment horizontal="center" vertical="center" wrapText="1"/>
    </xf>
    <xf numFmtId="0" fontId="0" fillId="0" borderId="0" xfId="0" applyAlignment="1">
      <alignment horizontal="center" vertical="center" wrapText="1"/>
    </xf>
    <xf numFmtId="0" fontId="115" fillId="0" borderId="7" xfId="591" applyFont="1" applyBorder="1" applyAlignment="1"/>
    <xf numFmtId="0" fontId="112" fillId="0" borderId="27" xfId="591" applyFont="1" applyBorder="1" applyAlignment="1">
      <alignment horizontal="center" vertical="center" wrapText="1"/>
    </xf>
    <xf numFmtId="0" fontId="112" fillId="0" borderId="7" xfId="591" applyFont="1" applyBorder="1" applyAlignment="1">
      <alignment horizontal="center"/>
    </xf>
    <xf numFmtId="171" fontId="112" fillId="0" borderId="8" xfId="654" applyNumberFormat="1" applyFont="1" applyBorder="1" applyAlignment="1">
      <alignment horizontal="center"/>
    </xf>
    <xf numFmtId="0" fontId="112" fillId="0" borderId="9" xfId="591" applyFont="1" applyBorder="1" applyAlignment="1">
      <alignment horizontal="center"/>
    </xf>
    <xf numFmtId="171" fontId="112" fillId="0" borderId="10" xfId="656" applyNumberFormat="1" applyFont="1" applyBorder="1" applyAlignment="1">
      <alignment horizontal="center"/>
    </xf>
    <xf numFmtId="171" fontId="112" fillId="0" borderId="13" xfId="654" applyNumberFormat="1" applyFont="1" applyBorder="1" applyAlignment="1">
      <alignment horizontal="center"/>
    </xf>
    <xf numFmtId="0" fontId="112" fillId="0" borderId="7" xfId="591" applyFont="1" applyBorder="1" applyAlignment="1">
      <alignment wrapText="1"/>
    </xf>
    <xf numFmtId="0" fontId="112" fillId="0" borderId="27" xfId="591" applyFont="1" applyBorder="1" applyAlignment="1">
      <alignment horizontal="center" wrapText="1"/>
    </xf>
    <xf numFmtId="0" fontId="112" fillId="0" borderId="7" xfId="591" applyFont="1" applyBorder="1" applyAlignment="1">
      <alignment horizontal="center" wrapText="1"/>
    </xf>
    <xf numFmtId="171" fontId="47" fillId="0" borderId="8" xfId="1" applyNumberFormat="1" applyFont="1" applyBorder="1" applyAlignment="1">
      <alignment horizontal="center" wrapText="1"/>
    </xf>
    <xf numFmtId="171" fontId="47" fillId="0" borderId="8" xfId="653" applyNumberFormat="1" applyFont="1" applyBorder="1" applyAlignment="1">
      <alignment horizontal="center" wrapText="1"/>
    </xf>
    <xf numFmtId="171" fontId="112" fillId="0" borderId="18" xfId="653" applyNumberFormat="1" applyFont="1" applyBorder="1" applyAlignment="1">
      <alignment horizontal="center"/>
    </xf>
    <xf numFmtId="10" fontId="112" fillId="0" borderId="10" xfId="591" applyNumberFormat="1" applyFont="1" applyBorder="1" applyAlignment="1">
      <alignment horizontal="center"/>
    </xf>
    <xf numFmtId="0" fontId="109" fillId="0" borderId="0" xfId="1130" applyFont="1"/>
    <xf numFmtId="0" fontId="109" fillId="0" borderId="0" xfId="1130" applyFont="1" applyBorder="1"/>
    <xf numFmtId="177" fontId="109" fillId="0" borderId="0" xfId="1130" applyNumberFormat="1" applyFont="1" applyBorder="1"/>
    <xf numFmtId="0" fontId="119" fillId="0" borderId="0" xfId="1130" applyFont="1" applyBorder="1"/>
    <xf numFmtId="0" fontId="119" fillId="0" borderId="0" xfId="1130" applyFont="1"/>
    <xf numFmtId="171" fontId="109" fillId="0" borderId="150" xfId="1131" applyNumberFormat="1" applyFont="1" applyBorder="1"/>
    <xf numFmtId="178" fontId="109" fillId="0" borderId="150" xfId="1132" applyNumberFormat="1" applyFont="1" applyBorder="1"/>
    <xf numFmtId="179" fontId="109" fillId="0" borderId="150" xfId="1132" applyNumberFormat="1" applyFont="1" applyBorder="1"/>
    <xf numFmtId="0" fontId="109" fillId="0" borderId="150" xfId="1130" applyFont="1" applyBorder="1"/>
    <xf numFmtId="171" fontId="109" fillId="0" borderId="0" xfId="1131" applyNumberFormat="1" applyFont="1"/>
    <xf numFmtId="178" fontId="109" fillId="0" borderId="0" xfId="1132" applyNumberFormat="1" applyFont="1"/>
    <xf numFmtId="179" fontId="109" fillId="0" borderId="0" xfId="1132" applyNumberFormat="1" applyFont="1"/>
    <xf numFmtId="0" fontId="109" fillId="0" borderId="0" xfId="1130" applyFont="1" applyAlignment="1">
      <alignment horizontal="right"/>
    </xf>
    <xf numFmtId="9" fontId="109" fillId="0" borderId="148" xfId="1131" applyNumberFormat="1" applyFont="1" applyBorder="1"/>
    <xf numFmtId="171" fontId="109" fillId="0" borderId="148" xfId="1131" applyNumberFormat="1" applyFont="1" applyBorder="1" applyAlignment="1">
      <alignment horizontal="right"/>
    </xf>
    <xf numFmtId="0" fontId="109" fillId="0" borderId="148" xfId="1130" applyFont="1" applyBorder="1"/>
    <xf numFmtId="9" fontId="109" fillId="0" borderId="0" xfId="1131" applyNumberFormat="1" applyFont="1"/>
    <xf numFmtId="171" fontId="109" fillId="0" borderId="0" xfId="1131" applyNumberFormat="1" applyFont="1" applyAlignment="1">
      <alignment horizontal="right"/>
    </xf>
    <xf numFmtId="1" fontId="109" fillId="0" borderId="0" xfId="1130" applyNumberFormat="1" applyFont="1"/>
    <xf numFmtId="0" fontId="109" fillId="0" borderId="0" xfId="1130" applyFont="1" applyBorder="1" applyAlignment="1">
      <alignment horizontal="right"/>
    </xf>
    <xf numFmtId="0" fontId="109" fillId="0" borderId="0" xfId="1130" applyFont="1" applyAlignment="1">
      <alignment wrapText="1"/>
    </xf>
    <xf numFmtId="0" fontId="109" fillId="0" borderId="149" xfId="1130" applyFont="1" applyBorder="1" applyAlignment="1">
      <alignment wrapText="1"/>
    </xf>
    <xf numFmtId="3" fontId="31" fillId="0" borderId="23" xfId="0" applyNumberFormat="1" applyFont="1" applyBorder="1" applyAlignment="1">
      <alignment horizontal="center" vertical="center"/>
    </xf>
    <xf numFmtId="0" fontId="33" fillId="0" borderId="158" xfId="0" applyFont="1" applyBorder="1" applyAlignment="1">
      <alignment horizontal="center" vertical="center" wrapText="1"/>
    </xf>
    <xf numFmtId="3" fontId="10" fillId="0" borderId="98" xfId="592" applyNumberFormat="1" applyFont="1" applyBorder="1" applyAlignment="1">
      <alignment horizontal="center"/>
    </xf>
    <xf numFmtId="3" fontId="31" fillId="0" borderId="163" xfId="139" applyNumberFormat="1" applyFont="1" applyBorder="1" applyAlignment="1">
      <alignment horizontal="center" vertical="center"/>
    </xf>
    <xf numFmtId="167" fontId="31" fillId="0" borderId="2" xfId="1" applyNumberFormat="1" applyFont="1" applyBorder="1" applyAlignment="1">
      <alignment horizontal="center" vertical="center"/>
    </xf>
    <xf numFmtId="1" fontId="44" fillId="0" borderId="0" xfId="1" applyNumberFormat="1" applyFont="1" applyBorder="1" applyAlignment="1">
      <alignment horizontal="center" vertical="center"/>
    </xf>
    <xf numFmtId="171" fontId="31" fillId="0" borderId="24" xfId="1" applyNumberFormat="1" applyFont="1" applyFill="1" applyBorder="1" applyAlignment="1">
      <alignment horizontal="center" vertical="center" wrapText="1"/>
    </xf>
    <xf numFmtId="0" fontId="44" fillId="0" borderId="36" xfId="592" applyFont="1" applyBorder="1" applyAlignment="1">
      <alignment horizontal="center" vertical="center"/>
    </xf>
    <xf numFmtId="3" fontId="44" fillId="0" borderId="98" xfId="348" applyNumberFormat="1" applyFont="1" applyBorder="1" applyAlignment="1">
      <alignment horizontal="center" vertical="center" wrapText="1"/>
    </xf>
    <xf numFmtId="3" fontId="44" fillId="0" borderId="0" xfId="341" applyNumberFormat="1" applyFont="1" applyBorder="1" applyAlignment="1">
      <alignment horizontal="center" vertical="center" wrapText="1"/>
    </xf>
    <xf numFmtId="3" fontId="10" fillId="0" borderId="135" xfId="592" applyNumberFormat="1" applyFont="1" applyFill="1" applyBorder="1" applyAlignment="1">
      <alignment horizontal="center"/>
    </xf>
    <xf numFmtId="169" fontId="28" fillId="0" borderId="0" xfId="592" applyNumberFormat="1" applyFill="1"/>
    <xf numFmtId="0" fontId="28" fillId="0" borderId="0" xfId="592" applyFill="1"/>
    <xf numFmtId="0" fontId="28" fillId="0" borderId="0" xfId="592" applyFill="1" applyAlignment="1">
      <alignment horizontal="center" vertical="center" wrapText="1"/>
    </xf>
    <xf numFmtId="3" fontId="44" fillId="0" borderId="1" xfId="341" applyNumberFormat="1" applyFont="1" applyBorder="1" applyAlignment="1">
      <alignment horizontal="center" vertical="center" wrapText="1"/>
    </xf>
    <xf numFmtId="3" fontId="121" fillId="0" borderId="45" xfId="341" applyNumberFormat="1" applyFont="1" applyBorder="1" applyAlignment="1">
      <alignment horizontal="center" vertical="center" wrapText="1"/>
    </xf>
    <xf numFmtId="3" fontId="121" fillId="0" borderId="52" xfId="341" applyNumberFormat="1" applyFont="1" applyBorder="1" applyAlignment="1">
      <alignment horizontal="center" vertical="center" wrapText="1"/>
    </xf>
    <xf numFmtId="3" fontId="121" fillId="0" borderId="2" xfId="341" applyNumberFormat="1" applyFont="1" applyBorder="1" applyAlignment="1">
      <alignment horizontal="center" vertical="center" wrapText="1"/>
    </xf>
    <xf numFmtId="3" fontId="44" fillId="0" borderId="8" xfId="341" applyNumberFormat="1" applyFont="1" applyBorder="1" applyAlignment="1">
      <alignment horizontal="center" vertical="center" wrapText="1"/>
    </xf>
    <xf numFmtId="169" fontId="107" fillId="0" borderId="98" xfId="139" applyNumberFormat="1" applyFont="1" applyBorder="1" applyAlignment="1">
      <alignment horizontal="center" vertical="center"/>
    </xf>
    <xf numFmtId="169" fontId="107" fillId="0" borderId="0" xfId="592" applyNumberFormat="1" applyFont="1" applyBorder="1" applyAlignment="1">
      <alignment horizontal="center" vertical="center"/>
    </xf>
    <xf numFmtId="169" fontId="107" fillId="0" borderId="1" xfId="139" applyNumberFormat="1" applyFont="1" applyBorder="1" applyAlignment="1">
      <alignment horizontal="center" vertical="center"/>
    </xf>
    <xf numFmtId="169" fontId="107" fillId="0" borderId="45" xfId="139" applyNumberFormat="1" applyFont="1" applyBorder="1" applyAlignment="1">
      <alignment horizontal="center" vertical="center"/>
    </xf>
    <xf numFmtId="169" fontId="107" fillId="0" borderId="52" xfId="592" applyNumberFormat="1" applyFont="1" applyBorder="1" applyAlignment="1">
      <alignment horizontal="center" vertical="center"/>
    </xf>
    <xf numFmtId="169" fontId="107" fillId="0" borderId="2" xfId="592" applyNumberFormat="1" applyFont="1" applyBorder="1" applyAlignment="1">
      <alignment horizontal="center" vertical="center"/>
    </xf>
    <xf numFmtId="169" fontId="107" fillId="0" borderId="8" xfId="592" applyNumberFormat="1" applyFont="1" applyBorder="1" applyAlignment="1">
      <alignment horizontal="center" vertical="center"/>
    </xf>
    <xf numFmtId="3" fontId="107" fillId="0" borderId="18" xfId="139" applyNumberFormat="1" applyFont="1" applyBorder="1" applyAlignment="1">
      <alignment horizontal="center" vertical="center"/>
    </xf>
    <xf numFmtId="3" fontId="107" fillId="0" borderId="10" xfId="592" applyNumberFormat="1" applyFont="1" applyBorder="1" applyAlignment="1">
      <alignment horizontal="center" vertical="center"/>
    </xf>
    <xf numFmtId="3" fontId="107" fillId="0" borderId="11" xfId="139" applyNumberFormat="1" applyFont="1" applyBorder="1" applyAlignment="1">
      <alignment horizontal="center" vertical="center"/>
    </xf>
    <xf numFmtId="3" fontId="107" fillId="0" borderId="64" xfId="139" applyNumberFormat="1" applyFont="1" applyBorder="1" applyAlignment="1">
      <alignment horizontal="center" vertical="center"/>
    </xf>
    <xf numFmtId="3" fontId="107" fillId="0" borderId="65" xfId="592" applyNumberFormat="1" applyFont="1" applyBorder="1" applyAlignment="1">
      <alignment horizontal="center" vertical="center"/>
    </xf>
    <xf numFmtId="3" fontId="107" fillId="0" borderId="12" xfId="592" applyNumberFormat="1" applyFont="1" applyBorder="1" applyAlignment="1">
      <alignment horizontal="center" vertical="center"/>
    </xf>
    <xf numFmtId="3" fontId="107" fillId="0" borderId="13" xfId="139" applyNumberFormat="1" applyFont="1" applyBorder="1" applyAlignment="1">
      <alignment horizontal="center" vertical="center"/>
    </xf>
    <xf numFmtId="3" fontId="31" fillId="2" borderId="10" xfId="1" applyNumberFormat="1" applyFont="1" applyFill="1" applyBorder="1" applyAlignment="1">
      <alignment horizontal="center" vertical="center"/>
    </xf>
    <xf numFmtId="3" fontId="31" fillId="0" borderId="158" xfId="0" applyNumberFormat="1" applyFont="1" applyFill="1" applyBorder="1" applyAlignment="1">
      <alignment horizontal="center" vertical="center"/>
    </xf>
    <xf numFmtId="3" fontId="31" fillId="0" borderId="2" xfId="1" applyNumberFormat="1" applyFont="1" applyFill="1" applyBorder="1" applyAlignment="1">
      <alignment horizontal="center" vertical="center"/>
    </xf>
    <xf numFmtId="171" fontId="31" fillId="0" borderId="1" xfId="1" applyNumberFormat="1" applyFont="1" applyFill="1" applyBorder="1" applyAlignment="1">
      <alignment horizontal="center" vertical="center"/>
    </xf>
    <xf numFmtId="171" fontId="31" fillId="0" borderId="11" xfId="1" applyNumberFormat="1" applyFont="1" applyFill="1" applyBorder="1" applyAlignment="1">
      <alignment horizontal="center" vertical="center"/>
    </xf>
    <xf numFmtId="3" fontId="31" fillId="0" borderId="12" xfId="1" applyNumberFormat="1" applyFont="1" applyFill="1" applyBorder="1" applyAlignment="1">
      <alignment horizontal="center" vertical="center"/>
    </xf>
    <xf numFmtId="3" fontId="31" fillId="0" borderId="0" xfId="1" applyNumberFormat="1" applyFont="1" applyFill="1" applyBorder="1" applyAlignment="1">
      <alignment horizontal="center"/>
    </xf>
    <xf numFmtId="9" fontId="31" fillId="0" borderId="10" xfId="1" applyNumberFormat="1" applyFont="1" applyBorder="1" applyAlignment="1">
      <alignment horizontal="center" vertical="center"/>
    </xf>
    <xf numFmtId="0" fontId="31" fillId="0" borderId="164" xfId="0" applyFont="1" applyBorder="1" applyAlignment="1">
      <alignment horizontal="center" vertical="center" wrapText="1"/>
    </xf>
    <xf numFmtId="9" fontId="0" fillId="0" borderId="0" xfId="0" applyNumberFormat="1"/>
    <xf numFmtId="0" fontId="7" fillId="0" borderId="0" xfId="0" applyFont="1" applyBorder="1"/>
    <xf numFmtId="167" fontId="10" fillId="0" borderId="0" xfId="0" applyNumberFormat="1" applyFont="1" applyBorder="1" applyAlignment="1">
      <alignment horizontal="center" vertical="center" wrapText="1"/>
    </xf>
    <xf numFmtId="167" fontId="10" fillId="0" borderId="98" xfId="0" applyNumberFormat="1" applyFont="1" applyFill="1" applyBorder="1" applyAlignment="1">
      <alignment horizontal="center" vertical="center" wrapText="1"/>
    </xf>
    <xf numFmtId="0" fontId="35" fillId="0" borderId="158" xfId="0" applyFont="1" applyBorder="1" applyAlignment="1">
      <alignment horizontal="center"/>
    </xf>
    <xf numFmtId="3" fontId="10" fillId="0" borderId="44" xfId="3" applyNumberFormat="1" applyFont="1" applyBorder="1" applyAlignment="1">
      <alignment horizontal="center"/>
    </xf>
    <xf numFmtId="3" fontId="10" fillId="0" borderId="0" xfId="3" applyNumberFormat="1" applyFont="1" applyBorder="1" applyAlignment="1">
      <alignment horizontal="center"/>
    </xf>
    <xf numFmtId="3" fontId="10" fillId="0" borderId="71" xfId="3" applyNumberFormat="1" applyFont="1" applyBorder="1" applyAlignment="1">
      <alignment horizontal="center"/>
    </xf>
    <xf numFmtId="1" fontId="10" fillId="0" borderId="0" xfId="3" applyNumberFormat="1" applyFont="1" applyBorder="1" applyAlignment="1">
      <alignment horizontal="center"/>
    </xf>
    <xf numFmtId="1" fontId="10" fillId="0" borderId="71" xfId="3" applyNumberFormat="1" applyFont="1" applyBorder="1" applyAlignment="1">
      <alignment horizontal="center"/>
    </xf>
    <xf numFmtId="0" fontId="10" fillId="0" borderId="44" xfId="3" applyFont="1" applyBorder="1" applyAlignment="1">
      <alignment horizontal="center"/>
    </xf>
    <xf numFmtId="0" fontId="10" fillId="0" borderId="0" xfId="3" applyFont="1" applyBorder="1" applyAlignment="1">
      <alignment horizontal="center"/>
    </xf>
    <xf numFmtId="0" fontId="10" fillId="0" borderId="71" xfId="3" applyFont="1" applyBorder="1" applyAlignment="1">
      <alignment horizontal="center"/>
    </xf>
    <xf numFmtId="0" fontId="35" fillId="0" borderId="133" xfId="0" applyFont="1" applyBorder="1" applyAlignment="1">
      <alignment horizontal="center"/>
    </xf>
    <xf numFmtId="0" fontId="39" fillId="0" borderId="98" xfId="0" applyFont="1" applyBorder="1" applyAlignment="1">
      <alignment horizontal="center" vertical="center" wrapText="1"/>
    </xf>
    <xf numFmtId="0" fontId="71" fillId="0" borderId="130" xfId="0" applyFont="1" applyBorder="1"/>
    <xf numFmtId="9" fontId="31" fillId="0" borderId="130" xfId="1" applyFont="1" applyBorder="1" applyAlignment="1">
      <alignment horizontal="center"/>
    </xf>
    <xf numFmtId="9" fontId="31" fillId="0" borderId="132" xfId="1" applyFont="1" applyBorder="1" applyAlignment="1">
      <alignment horizontal="center" vertical="center" wrapText="1"/>
    </xf>
    <xf numFmtId="9" fontId="31" fillId="0" borderId="39" xfId="1" applyFont="1" applyBorder="1" applyAlignment="1">
      <alignment horizontal="center" vertical="center" wrapText="1"/>
    </xf>
    <xf numFmtId="0" fontId="31" fillId="0" borderId="30" xfId="0" applyFont="1" applyFill="1" applyBorder="1" applyAlignment="1">
      <alignment horizontal="center" vertical="center"/>
    </xf>
    <xf numFmtId="171" fontId="31" fillId="0" borderId="131" xfId="1" applyNumberFormat="1" applyFont="1" applyFill="1" applyBorder="1" applyAlignment="1">
      <alignment horizontal="center"/>
    </xf>
    <xf numFmtId="171" fontId="112" fillId="0" borderId="98" xfId="591" applyNumberFormat="1" applyFont="1" applyBorder="1" applyAlignment="1">
      <alignment horizontal="center"/>
    </xf>
    <xf numFmtId="171" fontId="112" fillId="0" borderId="0" xfId="591" applyNumberFormat="1" applyFont="1" applyBorder="1" applyAlignment="1">
      <alignment horizontal="center"/>
    </xf>
    <xf numFmtId="171" fontId="112" fillId="0" borderId="18" xfId="591" applyNumberFormat="1" applyFont="1" applyBorder="1" applyAlignment="1">
      <alignment horizontal="center"/>
    </xf>
    <xf numFmtId="171" fontId="112" fillId="0" borderId="10" xfId="591" applyNumberFormat="1" applyFont="1" applyBorder="1" applyAlignment="1">
      <alignment horizontal="center"/>
    </xf>
    <xf numFmtId="0" fontId="112" fillId="0" borderId="156" xfId="1105" applyFont="1" applyBorder="1"/>
    <xf numFmtId="9" fontId="6" fillId="0" borderId="1" xfId="1" applyFont="1" applyBorder="1" applyAlignment="1">
      <alignment horizontal="center" vertical="center"/>
    </xf>
    <xf numFmtId="9" fontId="31" fillId="0" borderId="11" xfId="1" applyNumberFormat="1" applyFont="1" applyBorder="1" applyAlignment="1">
      <alignment horizontal="center" vertical="center"/>
    </xf>
    <xf numFmtId="0" fontId="5" fillId="0" borderId="0" xfId="1222"/>
    <xf numFmtId="9" fontId="31" fillId="0" borderId="133" xfId="1223" applyFont="1" applyBorder="1" applyAlignment="1">
      <alignment horizontal="center"/>
    </xf>
    <xf numFmtId="1" fontId="6" fillId="0" borderId="115" xfId="1224" applyNumberFormat="1" applyFont="1" applyBorder="1" applyAlignment="1">
      <alignment horizontal="center"/>
    </xf>
    <xf numFmtId="1" fontId="6" fillId="0" borderId="131" xfId="1224" applyNumberFormat="1" applyFont="1" applyBorder="1" applyAlignment="1">
      <alignment horizontal="center"/>
    </xf>
    <xf numFmtId="9" fontId="31" fillId="0" borderId="132" xfId="1223" applyFont="1" applyBorder="1" applyAlignment="1">
      <alignment horizontal="center"/>
    </xf>
    <xf numFmtId="9" fontId="31" fillId="0" borderId="131" xfId="1223" applyFont="1" applyBorder="1" applyAlignment="1">
      <alignment horizontal="center"/>
    </xf>
    <xf numFmtId="170" fontId="31" fillId="0" borderId="130" xfId="1225" applyNumberFormat="1" applyFont="1" applyBorder="1"/>
    <xf numFmtId="9" fontId="31" fillId="0" borderId="158" xfId="1223" applyFont="1" applyBorder="1" applyAlignment="1">
      <alignment horizontal="center"/>
    </xf>
    <xf numFmtId="1" fontId="6" fillId="0" borderId="2" xfId="1224" applyNumberFormat="1" applyFont="1" applyBorder="1" applyAlignment="1">
      <alignment horizontal="center"/>
    </xf>
    <xf numFmtId="9" fontId="31" fillId="0" borderId="1" xfId="1223" applyFont="1" applyBorder="1" applyAlignment="1">
      <alignment horizontal="center"/>
    </xf>
    <xf numFmtId="9" fontId="31" fillId="0" borderId="0" xfId="1223" applyFont="1" applyAlignment="1">
      <alignment horizontal="center"/>
    </xf>
    <xf numFmtId="170" fontId="31" fillId="0" borderId="98" xfId="1225" applyNumberFormat="1" applyFont="1" applyBorder="1"/>
    <xf numFmtId="1" fontId="6" fillId="0" borderId="2" xfId="1225" applyNumberFormat="1" applyFont="1" applyBorder="1" applyAlignment="1">
      <alignment horizontal="center"/>
    </xf>
    <xf numFmtId="0" fontId="31" fillId="0" borderId="158" xfId="1224" applyFont="1" applyBorder="1" applyAlignment="1">
      <alignment horizontal="center"/>
    </xf>
    <xf numFmtId="0" fontId="6" fillId="0" borderId="34" xfId="1224" applyFont="1" applyBorder="1" applyAlignment="1">
      <alignment horizontal="center"/>
    </xf>
    <xf numFmtId="0" fontId="6" fillId="0" borderId="24" xfId="1224" applyFont="1" applyBorder="1" applyAlignment="1">
      <alignment horizontal="center"/>
    </xf>
    <xf numFmtId="0" fontId="31" fillId="0" borderId="3" xfId="1224" applyFont="1" applyBorder="1" applyAlignment="1">
      <alignment horizontal="center"/>
    </xf>
    <xf numFmtId="0" fontId="31" fillId="0" borderId="24" xfId="1224" applyFont="1" applyBorder="1" applyAlignment="1">
      <alignment horizontal="center"/>
    </xf>
    <xf numFmtId="170" fontId="31" fillId="0" borderId="30" xfId="1225" applyNumberFormat="1" applyFont="1" applyBorder="1"/>
    <xf numFmtId="0" fontId="28" fillId="0" borderId="158" xfId="341" applyBorder="1" applyAlignment="1">
      <alignment horizontal="center" vertical="center"/>
    </xf>
    <xf numFmtId="0" fontId="6" fillId="0" borderId="0" xfId="1224" applyFont="1"/>
    <xf numFmtId="0" fontId="31" fillId="0" borderId="0" xfId="1224" applyFont="1"/>
    <xf numFmtId="0" fontId="7" fillId="0" borderId="0" xfId="1224" applyFont="1"/>
    <xf numFmtId="0" fontId="31" fillId="0" borderId="158" xfId="1224" applyFont="1" applyBorder="1"/>
    <xf numFmtId="0" fontId="31" fillId="0" borderId="98" xfId="1224" applyFont="1" applyBorder="1"/>
    <xf numFmtId="9" fontId="31" fillId="0" borderId="158" xfId="1226" applyFont="1" applyBorder="1" applyAlignment="1">
      <alignment horizontal="center" vertical="center"/>
    </xf>
    <xf numFmtId="9" fontId="31" fillId="0" borderId="0" xfId="1226" applyFont="1" applyAlignment="1">
      <alignment horizontal="center" vertical="center" wrapText="1"/>
    </xf>
    <xf numFmtId="9" fontId="31" fillId="0" borderId="0" xfId="1226" applyFont="1" applyAlignment="1">
      <alignment horizontal="center" vertical="center"/>
    </xf>
    <xf numFmtId="3" fontId="31" fillId="0" borderId="0" xfId="1224" applyNumberFormat="1" applyFont="1" applyAlignment="1">
      <alignment horizontal="center" vertical="center"/>
    </xf>
    <xf numFmtId="0" fontId="31" fillId="0" borderId="98" xfId="1224" applyFont="1" applyBorder="1" applyAlignment="1">
      <alignment horizontal="center" vertical="center" wrapText="1"/>
    </xf>
    <xf numFmtId="1" fontId="6" fillId="0" borderId="133" xfId="1226" applyNumberFormat="1" applyFont="1" applyBorder="1" applyAlignment="1">
      <alignment horizontal="center" vertical="center" wrapText="1"/>
    </xf>
    <xf numFmtId="1" fontId="6" fillId="0" borderId="131" xfId="1226" applyNumberFormat="1" applyFont="1" applyBorder="1" applyAlignment="1">
      <alignment horizontal="center" vertical="center" wrapText="1"/>
    </xf>
    <xf numFmtId="3" fontId="6" fillId="0" borderId="115" xfId="1224" applyNumberFormat="1" applyFont="1" applyBorder="1" applyAlignment="1">
      <alignment horizontal="center"/>
    </xf>
    <xf numFmtId="3" fontId="31" fillId="0" borderId="131" xfId="1224" applyNumberFormat="1" applyFont="1" applyBorder="1" applyAlignment="1">
      <alignment horizontal="center" vertical="center"/>
    </xf>
    <xf numFmtId="3" fontId="31" fillId="0" borderId="115" xfId="1224" applyNumberFormat="1" applyFont="1" applyBorder="1" applyAlignment="1">
      <alignment horizontal="center" vertical="center"/>
    </xf>
    <xf numFmtId="0" fontId="31" fillId="0" borderId="130" xfId="1224" applyFont="1" applyBorder="1" applyAlignment="1">
      <alignment horizontal="center" vertical="center" wrapText="1"/>
    </xf>
    <xf numFmtId="0" fontId="50" fillId="0" borderId="0" xfId="592" applyFont="1"/>
    <xf numFmtId="1" fontId="6" fillId="0" borderId="158" xfId="1226" applyNumberFormat="1" applyFont="1" applyBorder="1" applyAlignment="1">
      <alignment horizontal="center" vertical="center" wrapText="1"/>
    </xf>
    <xf numFmtId="1" fontId="6" fillId="0" borderId="0" xfId="1226" applyNumberFormat="1" applyFont="1" applyAlignment="1">
      <alignment horizontal="center" vertical="center" wrapText="1"/>
    </xf>
    <xf numFmtId="3" fontId="6" fillId="0" borderId="2" xfId="1224" applyNumberFormat="1" applyFont="1" applyBorder="1" applyAlignment="1">
      <alignment horizontal="center"/>
    </xf>
    <xf numFmtId="3" fontId="6" fillId="0" borderId="0" xfId="1224" applyNumberFormat="1" applyFont="1" applyAlignment="1">
      <alignment horizontal="center"/>
    </xf>
    <xf numFmtId="1" fontId="6" fillId="0" borderId="2" xfId="1224" applyNumberFormat="1" applyFont="1" applyBorder="1" applyAlignment="1">
      <alignment horizontal="center" vertical="center" wrapText="1"/>
    </xf>
    <xf numFmtId="0" fontId="6" fillId="0" borderId="98" xfId="1224" applyFont="1" applyBorder="1"/>
    <xf numFmtId="169" fontId="6" fillId="0" borderId="0" xfId="1224" applyNumberFormat="1" applyFont="1" applyAlignment="1">
      <alignment horizontal="center"/>
    </xf>
    <xf numFmtId="0" fontId="71" fillId="0" borderId="98" xfId="1224" applyFont="1" applyBorder="1"/>
    <xf numFmtId="0" fontId="50" fillId="0" borderId="0" xfId="592" applyFont="1" applyAlignment="1">
      <alignment vertical="center"/>
    </xf>
    <xf numFmtId="1" fontId="38" fillId="0" borderId="2" xfId="1224" applyNumberFormat="1" applyFont="1" applyBorder="1" applyAlignment="1">
      <alignment horizontal="center" vertical="center" wrapText="1"/>
    </xf>
    <xf numFmtId="0" fontId="10" fillId="0" borderId="98" xfId="1224" applyFont="1" applyBorder="1"/>
    <xf numFmtId="3" fontId="31" fillId="0" borderId="158" xfId="1224" applyNumberFormat="1" applyFont="1" applyBorder="1" applyAlignment="1">
      <alignment horizontal="center" vertical="center"/>
    </xf>
    <xf numFmtId="9" fontId="31" fillId="0" borderId="0" xfId="1223" applyFont="1" applyAlignment="1">
      <alignment horizontal="center" vertical="center"/>
    </xf>
    <xf numFmtId="3" fontId="31" fillId="0" borderId="2" xfId="1224" applyNumberFormat="1" applyFont="1" applyBorder="1" applyAlignment="1">
      <alignment horizontal="center" vertical="center"/>
    </xf>
    <xf numFmtId="9" fontId="31" fillId="0" borderId="1" xfId="1223" applyFont="1" applyBorder="1" applyAlignment="1">
      <alignment horizontal="center" vertical="center"/>
    </xf>
    <xf numFmtId="1" fontId="6" fillId="0" borderId="0" xfId="1224" applyNumberFormat="1" applyFont="1" applyAlignment="1">
      <alignment horizontal="center" vertical="center" wrapText="1"/>
    </xf>
    <xf numFmtId="3" fontId="31" fillId="0" borderId="31" xfId="1224" applyNumberFormat="1" applyFont="1" applyBorder="1" applyAlignment="1">
      <alignment horizontal="center" vertical="center" wrapText="1"/>
    </xf>
    <xf numFmtId="3" fontId="31" fillId="0" borderId="24" xfId="1224" applyNumberFormat="1" applyFont="1" applyBorder="1" applyAlignment="1">
      <alignment horizontal="center" vertical="center" wrapText="1"/>
    </xf>
    <xf numFmtId="3" fontId="31" fillId="0" borderId="34" xfId="1224" applyNumberFormat="1" applyFont="1" applyBorder="1" applyAlignment="1">
      <alignment horizontal="center" vertical="center" wrapText="1"/>
    </xf>
    <xf numFmtId="0" fontId="31" fillId="0" borderId="30" xfId="1224" applyFont="1" applyBorder="1" applyAlignment="1">
      <alignment horizontal="center" vertical="center"/>
    </xf>
    <xf numFmtId="0" fontId="33" fillId="0" borderId="158" xfId="1224" applyFont="1" applyBorder="1" applyAlignment="1">
      <alignment horizontal="center" vertical="center" wrapText="1"/>
    </xf>
    <xf numFmtId="0" fontId="33" fillId="0" borderId="0" xfId="1224" applyFont="1" applyAlignment="1">
      <alignment horizontal="center" vertical="center" wrapText="1"/>
    </xf>
    <xf numFmtId="0" fontId="33" fillId="0" borderId="2" xfId="1224" applyFont="1" applyBorder="1" applyAlignment="1">
      <alignment horizontal="center" vertical="center" wrapText="1"/>
    </xf>
    <xf numFmtId="0" fontId="6" fillId="0" borderId="158" xfId="1224" applyFont="1" applyBorder="1" applyAlignment="1">
      <alignment horizontal="center" vertical="center" wrapText="1"/>
    </xf>
    <xf numFmtId="0" fontId="6" fillId="0" borderId="0" xfId="1224" applyFont="1" applyAlignment="1">
      <alignment horizontal="center" vertical="center" wrapText="1"/>
    </xf>
    <xf numFmtId="0" fontId="6" fillId="0" borderId="34" xfId="1224" applyFont="1" applyBorder="1" applyAlignment="1">
      <alignment horizontal="center" vertical="center" wrapText="1"/>
    </xf>
    <xf numFmtId="0" fontId="6" fillId="0" borderId="2" xfId="1224" applyFont="1" applyBorder="1" applyAlignment="1">
      <alignment horizontal="center" vertical="center" wrapText="1"/>
    </xf>
    <xf numFmtId="0" fontId="6" fillId="0" borderId="156" xfId="1224" applyFont="1" applyBorder="1"/>
    <xf numFmtId="0" fontId="35" fillId="0" borderId="158" xfId="1224" applyFont="1" applyBorder="1" applyAlignment="1">
      <alignment horizontal="center"/>
    </xf>
    <xf numFmtId="0" fontId="35" fillId="0" borderId="0" xfId="1224" applyFont="1" applyAlignment="1">
      <alignment horizontal="center"/>
    </xf>
    <xf numFmtId="0" fontId="6" fillId="0" borderId="158" xfId="1224" applyFont="1" applyBorder="1"/>
    <xf numFmtId="0" fontId="32" fillId="0" borderId="0" xfId="1224" applyFont="1" applyAlignment="1">
      <alignment horizontal="center" vertical="center"/>
    </xf>
    <xf numFmtId="0" fontId="32" fillId="0" borderId="98" xfId="1224" applyFont="1" applyBorder="1" applyAlignment="1">
      <alignment horizontal="center" vertical="center"/>
    </xf>
    <xf numFmtId="0" fontId="5" fillId="0" borderId="0" xfId="1222" applyBorder="1"/>
    <xf numFmtId="0" fontId="28" fillId="0" borderId="0" xfId="341" applyBorder="1" applyAlignment="1">
      <alignment horizontal="center" vertical="center"/>
    </xf>
    <xf numFmtId="9" fontId="31" fillId="0" borderId="0" xfId="1223" applyFont="1" applyBorder="1" applyAlignment="1">
      <alignment horizontal="center"/>
    </xf>
    <xf numFmtId="1" fontId="6" fillId="0" borderId="0" xfId="1225" applyNumberFormat="1" applyFont="1" applyBorder="1" applyAlignment="1">
      <alignment horizontal="center"/>
    </xf>
    <xf numFmtId="1" fontId="6" fillId="0" borderId="0" xfId="1224" applyNumberFormat="1" applyFont="1" applyBorder="1" applyAlignment="1">
      <alignment horizontal="center"/>
    </xf>
    <xf numFmtId="9" fontId="31" fillId="0" borderId="131" xfId="1" applyFont="1" applyBorder="1" applyAlignment="1">
      <alignment horizontal="center" vertical="center"/>
    </xf>
    <xf numFmtId="167" fontId="31" fillId="0" borderId="24" xfId="0" applyNumberFormat="1" applyFont="1" applyBorder="1" applyAlignment="1">
      <alignment horizontal="center" vertical="center" wrapText="1"/>
    </xf>
    <xf numFmtId="0" fontId="39" fillId="0" borderId="30" xfId="0" applyFont="1" applyBorder="1" applyAlignment="1">
      <alignment horizontal="center" vertical="center"/>
    </xf>
    <xf numFmtId="167" fontId="31" fillId="0" borderId="31" xfId="0" applyNumberFormat="1" applyFont="1" applyBorder="1" applyAlignment="1">
      <alignment horizontal="center" vertical="center" wrapText="1"/>
    </xf>
    <xf numFmtId="167" fontId="31" fillId="0" borderId="158" xfId="0" applyNumberFormat="1" applyFont="1" applyBorder="1" applyAlignment="1">
      <alignment horizontal="center" vertical="center" wrapText="1"/>
    </xf>
    <xf numFmtId="0" fontId="31" fillId="0" borderId="130" xfId="0" applyFont="1" applyBorder="1" applyAlignment="1">
      <alignment horizontal="center" vertical="center" wrapText="1"/>
    </xf>
    <xf numFmtId="3" fontId="31" fillId="0" borderId="131" xfId="0" applyNumberFormat="1" applyFont="1" applyBorder="1" applyAlignment="1">
      <alignment horizontal="center" vertical="center"/>
    </xf>
    <xf numFmtId="9" fontId="31" fillId="0" borderId="174" xfId="1" applyFont="1" applyBorder="1" applyAlignment="1">
      <alignment horizontal="center" vertical="center"/>
    </xf>
    <xf numFmtId="167" fontId="31" fillId="0" borderId="131" xfId="0" applyNumberFormat="1" applyFont="1" applyBorder="1" applyAlignment="1">
      <alignment horizontal="center" vertical="center" wrapText="1"/>
    </xf>
    <xf numFmtId="167" fontId="31" fillId="0" borderId="133" xfId="0" applyNumberFormat="1" applyFont="1" applyBorder="1" applyAlignment="1">
      <alignment horizontal="center" vertical="center" wrapText="1"/>
    </xf>
    <xf numFmtId="9" fontId="31" fillId="0" borderId="1" xfId="1" applyFont="1" applyBorder="1" applyAlignment="1">
      <alignment horizontal="center"/>
    </xf>
    <xf numFmtId="9" fontId="44" fillId="0" borderId="2" xfId="1" applyFont="1" applyBorder="1" applyAlignment="1">
      <alignment horizontal="center" vertical="center"/>
    </xf>
    <xf numFmtId="167" fontId="31" fillId="0" borderId="3" xfId="0" applyNumberFormat="1" applyFont="1" applyBorder="1" applyAlignment="1">
      <alignment horizontal="center" vertical="center" wrapText="1"/>
    </xf>
    <xf numFmtId="167" fontId="31" fillId="0" borderId="34" xfId="0" applyNumberFormat="1" applyFont="1" applyBorder="1" applyAlignment="1">
      <alignment horizontal="center" vertical="center" wrapText="1"/>
    </xf>
    <xf numFmtId="167" fontId="31" fillId="0" borderId="2" xfId="0" applyNumberFormat="1" applyFont="1" applyBorder="1" applyAlignment="1">
      <alignment horizontal="center" vertical="center" wrapText="1"/>
    </xf>
    <xf numFmtId="167" fontId="31" fillId="0" borderId="1" xfId="0" applyNumberFormat="1" applyFont="1" applyFill="1" applyBorder="1" applyAlignment="1">
      <alignment horizontal="center" vertical="center" wrapText="1"/>
    </xf>
    <xf numFmtId="167" fontId="31" fillId="0" borderId="1" xfId="0" applyNumberFormat="1" applyFont="1" applyBorder="1" applyAlignment="1">
      <alignment horizontal="center"/>
    </xf>
    <xf numFmtId="167" fontId="31" fillId="0" borderId="1" xfId="0" applyNumberFormat="1" applyFont="1" applyFill="1" applyBorder="1" applyAlignment="1">
      <alignment horizontal="center"/>
    </xf>
    <xf numFmtId="0" fontId="31" fillId="0" borderId="1" xfId="0" applyFont="1" applyBorder="1" applyAlignment="1">
      <alignment horizontal="center" vertical="center"/>
    </xf>
    <xf numFmtId="167" fontId="31" fillId="0" borderId="1" xfId="0" applyNumberFormat="1" applyFont="1" applyBorder="1" applyAlignment="1">
      <alignment horizontal="center" vertical="center"/>
    </xf>
    <xf numFmtId="1" fontId="31" fillId="0" borderId="118" xfId="1" applyNumberFormat="1" applyFont="1" applyBorder="1" applyAlignment="1">
      <alignment horizontal="center" vertical="center"/>
    </xf>
    <xf numFmtId="167" fontId="31" fillId="0" borderId="14" xfId="0" applyNumberFormat="1" applyFont="1" applyBorder="1" applyAlignment="1">
      <alignment horizontal="center" vertical="center" wrapText="1"/>
    </xf>
    <xf numFmtId="167" fontId="31" fillId="0" borderId="119" xfId="0" applyNumberFormat="1" applyFont="1" applyBorder="1" applyAlignment="1">
      <alignment horizontal="center" vertical="center" wrapText="1"/>
    </xf>
    <xf numFmtId="9" fontId="31" fillId="0" borderId="118" xfId="1" applyFont="1" applyBorder="1" applyAlignment="1">
      <alignment horizontal="center" vertical="center"/>
    </xf>
    <xf numFmtId="9" fontId="31" fillId="0" borderId="14" xfId="1" applyFont="1" applyBorder="1" applyAlignment="1">
      <alignment horizontal="center" vertical="center"/>
    </xf>
    <xf numFmtId="9" fontId="31" fillId="0" borderId="119" xfId="1" applyFont="1" applyBorder="1" applyAlignment="1">
      <alignment horizontal="center" vertical="center"/>
    </xf>
    <xf numFmtId="167" fontId="31" fillId="0" borderId="43" xfId="0" applyNumberFormat="1" applyFont="1" applyBorder="1" applyAlignment="1">
      <alignment horizontal="center" vertical="center" wrapText="1"/>
    </xf>
    <xf numFmtId="9" fontId="31" fillId="0" borderId="132" xfId="1" applyFont="1" applyBorder="1" applyAlignment="1">
      <alignment horizontal="center" vertical="center"/>
    </xf>
    <xf numFmtId="9" fontId="31" fillId="0" borderId="115" xfId="1" applyFont="1" applyBorder="1" applyAlignment="1">
      <alignment horizontal="center" vertical="center"/>
    </xf>
    <xf numFmtId="3" fontId="31" fillId="0" borderId="132" xfId="0" applyNumberFormat="1" applyFont="1" applyBorder="1" applyAlignment="1">
      <alignment horizontal="center" vertical="center"/>
    </xf>
    <xf numFmtId="167" fontId="31" fillId="0" borderId="115" xfId="0" applyNumberFormat="1" applyFont="1" applyBorder="1" applyAlignment="1">
      <alignment horizontal="center" vertical="center" wrapText="1"/>
    </xf>
    <xf numFmtId="0" fontId="122" fillId="0" borderId="0" xfId="0" applyFont="1" applyAlignment="1">
      <alignment vertical="center" wrapText="1"/>
    </xf>
    <xf numFmtId="9" fontId="10" fillId="0" borderId="133" xfId="1120" applyFont="1" applyBorder="1" applyAlignment="1">
      <alignment horizontal="center" vertical="center"/>
    </xf>
    <xf numFmtId="3" fontId="10" fillId="0" borderId="131" xfId="1226" applyNumberFormat="1" applyFont="1" applyFill="1" applyBorder="1" applyAlignment="1">
      <alignment horizontal="center" vertical="center"/>
    </xf>
    <xf numFmtId="3" fontId="10" fillId="0" borderId="132" xfId="0" applyNumberFormat="1" applyFont="1" applyBorder="1" applyAlignment="1">
      <alignment horizontal="center" vertical="center"/>
    </xf>
    <xf numFmtId="9" fontId="10" fillId="0" borderId="115" xfId="1120" applyFont="1" applyBorder="1" applyAlignment="1">
      <alignment horizontal="center" vertical="center"/>
    </xf>
    <xf numFmtId="0" fontId="10" fillId="0" borderId="130" xfId="0" applyFont="1" applyBorder="1"/>
    <xf numFmtId="9" fontId="10" fillId="0" borderId="158" xfId="1120" applyFont="1" applyBorder="1" applyAlignment="1">
      <alignment horizontal="center" vertical="center"/>
    </xf>
    <xf numFmtId="3" fontId="10" fillId="0" borderId="0" xfId="1226" applyNumberFormat="1" applyFont="1" applyFill="1" applyBorder="1" applyAlignment="1">
      <alignment horizontal="center" vertical="center"/>
    </xf>
    <xf numFmtId="3" fontId="10" fillId="0" borderId="1" xfId="0" applyNumberFormat="1" applyFont="1" applyBorder="1" applyAlignment="1">
      <alignment horizontal="center" vertical="center"/>
    </xf>
    <xf numFmtId="9" fontId="10" fillId="0" borderId="2" xfId="1120" applyFont="1" applyBorder="1" applyAlignment="1">
      <alignment horizontal="center" vertical="center"/>
    </xf>
    <xf numFmtId="0" fontId="10" fillId="0" borderId="98" xfId="0" applyFont="1" applyBorder="1"/>
    <xf numFmtId="1" fontId="44" fillId="0" borderId="158" xfId="0" applyNumberFormat="1" applyFont="1" applyBorder="1" applyAlignment="1">
      <alignment horizontal="center" vertical="center"/>
    </xf>
    <xf numFmtId="1" fontId="44" fillId="0" borderId="0" xfId="0" applyNumberFormat="1" applyFont="1" applyAlignment="1">
      <alignment horizontal="center" vertical="center"/>
    </xf>
    <xf numFmtId="1" fontId="44" fillId="0" borderId="1" xfId="0" applyNumberFormat="1" applyFont="1" applyBorder="1" applyAlignment="1">
      <alignment horizontal="center" vertical="center"/>
    </xf>
    <xf numFmtId="1" fontId="44" fillId="0" borderId="2" xfId="0" applyNumberFormat="1" applyFont="1" applyBorder="1" applyAlignment="1">
      <alignment horizontal="center" vertical="center"/>
    </xf>
    <xf numFmtId="0" fontId="44" fillId="0" borderId="98" xfId="0" applyFont="1" applyBorder="1"/>
    <xf numFmtId="0" fontId="28" fillId="0" borderId="158" xfId="0" applyFont="1" applyBorder="1" applyAlignment="1">
      <alignment horizontal="center"/>
    </xf>
    <xf numFmtId="0" fontId="28" fillId="0" borderId="0" xfId="0" applyFont="1" applyAlignment="1">
      <alignment horizontal="center"/>
    </xf>
    <xf numFmtId="0" fontId="0" fillId="0" borderId="156" xfId="0" applyBorder="1"/>
    <xf numFmtId="3" fontId="0" fillId="0" borderId="17" xfId="0" applyNumberFormat="1" applyBorder="1"/>
    <xf numFmtId="3" fontId="0" fillId="0" borderId="16" xfId="0" applyNumberFormat="1" applyBorder="1"/>
    <xf numFmtId="0" fontId="0" fillId="0" borderId="16" xfId="0" applyBorder="1"/>
    <xf numFmtId="0" fontId="6" fillId="0" borderId="15" xfId="0" applyFont="1" applyBorder="1"/>
    <xf numFmtId="9" fontId="31" fillId="0" borderId="133" xfId="1120" applyFont="1" applyBorder="1"/>
    <xf numFmtId="9" fontId="31" fillId="0" borderId="131" xfId="1120" applyFont="1" applyBorder="1"/>
    <xf numFmtId="0" fontId="31" fillId="0" borderId="130" xfId="0" applyFont="1" applyBorder="1"/>
    <xf numFmtId="180" fontId="31" fillId="0" borderId="158" xfId="0" applyNumberFormat="1" applyFont="1" applyBorder="1"/>
    <xf numFmtId="180" fontId="31" fillId="0" borderId="0" xfId="0" applyNumberFormat="1" applyFont="1"/>
    <xf numFmtId="180" fontId="31" fillId="0" borderId="158" xfId="1227" applyNumberFormat="1" applyFont="1" applyBorder="1"/>
    <xf numFmtId="180" fontId="31" fillId="0" borderId="0" xfId="1227" applyNumberFormat="1" applyFont="1" applyBorder="1"/>
    <xf numFmtId="0" fontId="6" fillId="0" borderId="158" xfId="0" applyFont="1" applyBorder="1"/>
    <xf numFmtId="0" fontId="6" fillId="0" borderId="0" xfId="0" applyFont="1"/>
    <xf numFmtId="0" fontId="6" fillId="0" borderId="98" xfId="0" applyFont="1" applyBorder="1"/>
    <xf numFmtId="180" fontId="6" fillId="0" borderId="158" xfId="1227" applyNumberFormat="1" applyFont="1" applyBorder="1"/>
    <xf numFmtId="180" fontId="6" fillId="0" borderId="0" xfId="1227" applyNumberFormat="1" applyFont="1" applyBorder="1"/>
    <xf numFmtId="180" fontId="10" fillId="0" borderId="158" xfId="1227" applyNumberFormat="1" applyFont="1" applyFill="1" applyBorder="1"/>
    <xf numFmtId="180" fontId="10" fillId="0" borderId="0" xfId="1227" applyNumberFormat="1" applyFont="1" applyFill="1" applyBorder="1"/>
    <xf numFmtId="0" fontId="31" fillId="0" borderId="24" xfId="0" applyFont="1" applyBorder="1"/>
    <xf numFmtId="0" fontId="28" fillId="0" borderId="158" xfId="341" applyBorder="1" applyAlignment="1">
      <alignment horizontal="center"/>
    </xf>
    <xf numFmtId="0" fontId="31" fillId="0" borderId="158" xfId="0" applyFont="1" applyBorder="1" applyAlignment="1">
      <alignment horizontal="center"/>
    </xf>
    <xf numFmtId="0" fontId="31" fillId="0" borderId="0" xfId="0" applyFont="1" applyAlignment="1">
      <alignment horizontal="center"/>
    </xf>
    <xf numFmtId="9" fontId="0" fillId="0" borderId="0" xfId="1120" applyFont="1"/>
    <xf numFmtId="180" fontId="0" fillId="0" borderId="0" xfId="1227" applyNumberFormat="1" applyFont="1"/>
    <xf numFmtId="0" fontId="103" fillId="0" borderId="0" xfId="0" applyFont="1"/>
    <xf numFmtId="180" fontId="0" fillId="0" borderId="0" xfId="1227" applyNumberFormat="1" applyFont="1" applyBorder="1"/>
    <xf numFmtId="9" fontId="44" fillId="0" borderId="158" xfId="1120" applyFont="1" applyBorder="1" applyAlignment="1">
      <alignment vertical="center"/>
    </xf>
    <xf numFmtId="3" fontId="44" fillId="0" borderId="0" xfId="0" applyNumberFormat="1" applyFont="1" applyAlignment="1">
      <alignment horizontal="center" vertical="center" wrapText="1"/>
    </xf>
    <xf numFmtId="3" fontId="44" fillId="0" borderId="1" xfId="0" applyNumberFormat="1" applyFont="1" applyBorder="1" applyAlignment="1">
      <alignment horizontal="center" vertical="center" wrapText="1"/>
    </xf>
    <xf numFmtId="9" fontId="44" fillId="0" borderId="2" xfId="1120" applyFont="1" applyBorder="1" applyAlignment="1">
      <alignment vertical="center"/>
    </xf>
    <xf numFmtId="0" fontId="44" fillId="0" borderId="98" xfId="0" applyFont="1" applyBorder="1" applyAlignment="1">
      <alignment horizontal="center" vertical="center" wrapText="1"/>
    </xf>
    <xf numFmtId="9" fontId="44" fillId="0" borderId="158" xfId="1120" applyFont="1" applyBorder="1" applyAlignment="1">
      <alignment horizontal="center" vertical="center"/>
    </xf>
    <xf numFmtId="9" fontId="44" fillId="0" borderId="2" xfId="1120" applyFont="1" applyBorder="1" applyAlignment="1">
      <alignment horizontal="center" vertical="center"/>
    </xf>
    <xf numFmtId="0" fontId="28" fillId="0" borderId="0" xfId="0" applyFont="1"/>
    <xf numFmtId="9" fontId="53" fillId="0" borderId="0" xfId="1120" applyFont="1" applyFill="1" applyBorder="1"/>
    <xf numFmtId="1" fontId="44" fillId="0" borderId="158" xfId="0" applyNumberFormat="1" applyFont="1" applyBorder="1" applyAlignment="1">
      <alignment horizontal="center" vertical="center" wrapText="1"/>
    </xf>
    <xf numFmtId="1" fontId="44" fillId="0" borderId="2" xfId="0" applyNumberFormat="1" applyFont="1" applyBorder="1" applyAlignment="1">
      <alignment horizontal="center" vertical="center" wrapText="1"/>
    </xf>
    <xf numFmtId="3" fontId="125" fillId="0" borderId="0" xfId="1228" applyNumberFormat="1" applyFont="1" applyAlignment="1">
      <alignment horizontal="right"/>
    </xf>
    <xf numFmtId="3" fontId="50" fillId="0" borderId="175" xfId="3" applyNumberFormat="1" applyFont="1" applyBorder="1" applyAlignment="1">
      <alignment horizontal="right"/>
    </xf>
    <xf numFmtId="181" fontId="53" fillId="0" borderId="0" xfId="1229" applyNumberFormat="1" applyFont="1"/>
    <xf numFmtId="0" fontId="126" fillId="0" borderId="0" xfId="0" applyFont="1"/>
    <xf numFmtId="0" fontId="0" fillId="0" borderId="2" xfId="0" applyBorder="1" applyAlignment="1">
      <alignment horizontal="center"/>
    </xf>
    <xf numFmtId="0" fontId="103" fillId="0" borderId="98" xfId="0" applyFont="1" applyBorder="1"/>
    <xf numFmtId="0" fontId="103" fillId="0" borderId="178" xfId="0" applyFont="1" applyBorder="1"/>
    <xf numFmtId="9" fontId="0" fillId="0" borderId="158" xfId="1120" applyFont="1" applyBorder="1"/>
    <xf numFmtId="9" fontId="6" fillId="0" borderId="133" xfId="1120" applyFont="1" applyBorder="1" applyAlignment="1">
      <alignment horizontal="center"/>
    </xf>
    <xf numFmtId="9" fontId="6" fillId="0" borderId="131" xfId="1120" applyFont="1" applyBorder="1" applyAlignment="1">
      <alignment horizontal="center"/>
    </xf>
    <xf numFmtId="0" fontId="6" fillId="0" borderId="130" xfId="0" applyFont="1" applyBorder="1"/>
    <xf numFmtId="9" fontId="6" fillId="0" borderId="158" xfId="1120" applyFont="1" applyBorder="1" applyAlignment="1">
      <alignment horizontal="center"/>
    </xf>
    <xf numFmtId="1"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0" fontId="33" fillId="0" borderId="98" xfId="0" applyFont="1" applyBorder="1"/>
    <xf numFmtId="0" fontId="31" fillId="0" borderId="0" xfId="0" applyFont="1" applyAlignment="1">
      <alignment horizontal="center" vertical="center" wrapText="1"/>
    </xf>
    <xf numFmtId="0" fontId="28" fillId="0" borderId="158" xfId="0" applyFont="1" applyBorder="1" applyAlignment="1">
      <alignment horizontal="center" vertical="center"/>
    </xf>
    <xf numFmtId="0" fontId="28" fillId="0" borderId="0" xfId="0" applyFont="1" applyAlignment="1">
      <alignment horizontal="center" vertical="center"/>
    </xf>
    <xf numFmtId="0" fontId="31" fillId="0" borderId="0" xfId="0" applyFont="1" applyAlignment="1">
      <alignment horizontal="center" vertical="center"/>
    </xf>
    <xf numFmtId="0" fontId="75" fillId="0" borderId="0" xfId="592" applyFont="1"/>
    <xf numFmtId="0" fontId="7" fillId="0" borderId="0" xfId="0" applyFont="1"/>
    <xf numFmtId="180" fontId="6" fillId="0" borderId="0" xfId="0" applyNumberFormat="1" applyFont="1"/>
    <xf numFmtId="180" fontId="6" fillId="0" borderId="0" xfId="1227" applyNumberFormat="1" applyFont="1"/>
    <xf numFmtId="3" fontId="6" fillId="0" borderId="0" xfId="0" applyNumberFormat="1" applyFont="1"/>
    <xf numFmtId="3" fontId="10" fillId="0" borderId="133" xfId="0" applyNumberFormat="1" applyFont="1" applyBorder="1" applyAlignment="1">
      <alignment horizontal="center" vertical="center"/>
    </xf>
    <xf numFmtId="3" fontId="10" fillId="0" borderId="131" xfId="0" applyNumberFormat="1" applyFont="1" applyBorder="1" applyAlignment="1">
      <alignment horizontal="center" vertical="center" wrapText="1"/>
    </xf>
    <xf numFmtId="3" fontId="44" fillId="0" borderId="39" xfId="0" applyNumberFormat="1" applyFont="1" applyBorder="1" applyAlignment="1">
      <alignment horizontal="center" vertical="center" wrapText="1"/>
    </xf>
    <xf numFmtId="3" fontId="10" fillId="0" borderId="158" xfId="0" applyNumberFormat="1" applyFont="1" applyBorder="1" applyAlignment="1">
      <alignment horizontal="center" vertical="center"/>
    </xf>
    <xf numFmtId="3" fontId="10" fillId="0" borderId="0" xfId="0" applyNumberFormat="1" applyFont="1" applyAlignment="1">
      <alignment horizontal="center" vertical="center" wrapText="1"/>
    </xf>
    <xf numFmtId="3" fontId="44" fillId="0" borderId="179" xfId="0" applyNumberFormat="1" applyFont="1" applyBorder="1" applyAlignment="1">
      <alignment horizontal="center" vertical="center" wrapText="1"/>
    </xf>
    <xf numFmtId="0" fontId="31" fillId="0" borderId="0" xfId="0" applyFont="1" applyAlignment="1">
      <alignment vertical="center"/>
    </xf>
    <xf numFmtId="3" fontId="44" fillId="0" borderId="158" xfId="0" applyNumberFormat="1" applyFont="1" applyBorder="1" applyAlignment="1">
      <alignment horizontal="center" vertical="center" wrapText="1"/>
    </xf>
    <xf numFmtId="0" fontId="78" fillId="0" borderId="0" xfId="592" applyFont="1" applyAlignment="1">
      <alignment vertical="center"/>
    </xf>
    <xf numFmtId="3" fontId="10" fillId="0" borderId="158" xfId="0" quotePrefix="1" applyNumberFormat="1" applyFont="1" applyBorder="1" applyAlignment="1">
      <alignment horizontal="center" vertical="center"/>
    </xf>
    <xf numFmtId="3" fontId="44" fillId="0" borderId="158" xfId="0" quotePrefix="1" applyNumberFormat="1" applyFont="1" applyBorder="1" applyAlignment="1">
      <alignment horizontal="center" vertical="center"/>
    </xf>
    <xf numFmtId="0" fontId="78" fillId="0" borderId="0" xfId="592" applyFont="1"/>
    <xf numFmtId="180" fontId="97" fillId="0" borderId="0" xfId="0" applyNumberFormat="1" applyFont="1"/>
    <xf numFmtId="180" fontId="97" fillId="0" borderId="0" xfId="1227" applyNumberFormat="1" applyFont="1"/>
    <xf numFmtId="167" fontId="6" fillId="0" borderId="0" xfId="0" applyNumberFormat="1" applyFont="1"/>
    <xf numFmtId="9" fontId="6" fillId="0" borderId="0" xfId="0" applyNumberFormat="1" applyFont="1"/>
    <xf numFmtId="3" fontId="44" fillId="0" borderId="179" xfId="0" applyNumberFormat="1" applyFont="1" applyBorder="1" applyAlignment="1">
      <alignment horizontal="center" vertical="center"/>
    </xf>
    <xf numFmtId="3" fontId="44" fillId="0" borderId="31" xfId="0" applyNumberFormat="1" applyFont="1" applyBorder="1" applyAlignment="1">
      <alignment horizontal="center" vertical="center" wrapText="1"/>
    </xf>
    <xf numFmtId="0" fontId="75" fillId="0" borderId="0" xfId="592" applyFont="1" applyAlignment="1">
      <alignment horizontal="center" vertical="center" wrapText="1"/>
    </xf>
    <xf numFmtId="0" fontId="6" fillId="0" borderId="156" xfId="0" applyFont="1" applyBorder="1"/>
    <xf numFmtId="11" fontId="0" fillId="0" borderId="0" xfId="0" applyNumberFormat="1"/>
    <xf numFmtId="0" fontId="31" fillId="0" borderId="0" xfId="0" applyFont="1" applyBorder="1" applyAlignment="1">
      <alignment horizontal="center"/>
    </xf>
    <xf numFmtId="0" fontId="28" fillId="0" borderId="0" xfId="341" applyBorder="1" applyAlignment="1">
      <alignment horizontal="center"/>
    </xf>
    <xf numFmtId="0" fontId="6" fillId="0" borderId="0" xfId="0" applyFont="1" applyBorder="1"/>
    <xf numFmtId="180" fontId="31" fillId="0" borderId="0" xfId="0" applyNumberFormat="1" applyFont="1" applyBorder="1"/>
    <xf numFmtId="167" fontId="31" fillId="0" borderId="25" xfId="0" applyNumberFormat="1" applyFont="1" applyBorder="1" applyAlignment="1">
      <alignment horizontal="center" vertical="center" wrapText="1"/>
    </xf>
    <xf numFmtId="1" fontId="6" fillId="0" borderId="131" xfId="0" applyNumberFormat="1" applyFont="1" applyBorder="1" applyAlignment="1">
      <alignment horizontal="center" vertical="center" wrapText="1"/>
    </xf>
    <xf numFmtId="1" fontId="31" fillId="0" borderId="131" xfId="0" applyNumberFormat="1" applyFont="1" applyBorder="1" applyAlignment="1">
      <alignment horizontal="center" vertical="center" wrapText="1"/>
    </xf>
    <xf numFmtId="167" fontId="6" fillId="0" borderId="24" xfId="0" applyNumberFormat="1" applyFont="1" applyBorder="1" applyAlignment="1">
      <alignment horizontal="center" vertical="center" wrapText="1"/>
    </xf>
    <xf numFmtId="167" fontId="6" fillId="0" borderId="0" xfId="0" applyNumberFormat="1" applyFont="1" applyBorder="1" applyAlignment="1">
      <alignment horizontal="center" vertical="center" wrapText="1"/>
    </xf>
    <xf numFmtId="167" fontId="6" fillId="0" borderId="0" xfId="0" applyNumberFormat="1" applyFont="1" applyFill="1" applyBorder="1" applyAlignment="1">
      <alignment horizontal="center" vertical="center" wrapText="1"/>
    </xf>
    <xf numFmtId="167" fontId="6" fillId="0" borderId="0" xfId="0" applyNumberFormat="1" applyFont="1" applyBorder="1" applyAlignment="1">
      <alignment horizontal="center"/>
    </xf>
    <xf numFmtId="167" fontId="6" fillId="0" borderId="0" xfId="0" applyNumberFormat="1" applyFont="1" applyFill="1" applyBorder="1" applyAlignment="1">
      <alignment horizontal="center"/>
    </xf>
    <xf numFmtId="0" fontId="6" fillId="0" borderId="0" xfId="0" applyFont="1" applyBorder="1" applyAlignment="1">
      <alignment horizontal="center" vertical="center"/>
    </xf>
    <xf numFmtId="167" fontId="6" fillId="0" borderId="0" xfId="0" applyNumberFormat="1" applyFont="1" applyBorder="1" applyAlignment="1">
      <alignment horizontal="center" vertical="center"/>
    </xf>
    <xf numFmtId="167" fontId="6" fillId="0" borderId="14" xfId="0" applyNumberFormat="1" applyFont="1" applyBorder="1" applyAlignment="1">
      <alignment horizontal="center" vertical="center" wrapText="1"/>
    </xf>
    <xf numFmtId="1" fontId="6" fillId="0" borderId="14" xfId="1" applyNumberFormat="1" applyFont="1" applyBorder="1" applyAlignment="1">
      <alignment horizontal="center" vertical="center"/>
    </xf>
    <xf numFmtId="167" fontId="6" fillId="0" borderId="31" xfId="0" applyNumberFormat="1" applyFont="1" applyBorder="1" applyAlignment="1">
      <alignment horizontal="center" vertical="center" wrapText="1"/>
    </xf>
    <xf numFmtId="167" fontId="6" fillId="0" borderId="158" xfId="0" applyNumberFormat="1" applyFont="1" applyBorder="1" applyAlignment="1">
      <alignment horizontal="center" vertical="center" wrapText="1"/>
    </xf>
    <xf numFmtId="167" fontId="6" fillId="0" borderId="43" xfId="0" applyNumberFormat="1" applyFont="1" applyBorder="1" applyAlignment="1">
      <alignment horizontal="center" vertical="center" wrapText="1"/>
    </xf>
    <xf numFmtId="1" fontId="6" fillId="0" borderId="133" xfId="0" applyNumberFormat="1" applyFont="1" applyBorder="1" applyAlignment="1">
      <alignment horizontal="center" vertical="center" wrapText="1"/>
    </xf>
    <xf numFmtId="0" fontId="27" fillId="0" borderId="0" xfId="0" applyFont="1" applyAlignment="1">
      <alignment horizontal="left"/>
    </xf>
    <xf numFmtId="0" fontId="35" fillId="0" borderId="98" xfId="0" applyFont="1" applyBorder="1" applyAlignment="1">
      <alignment horizontal="left"/>
    </xf>
    <xf numFmtId="0" fontId="31" fillId="0" borderId="30" xfId="0" applyFont="1" applyBorder="1" applyAlignment="1">
      <alignment horizontal="left" vertical="center" wrapText="1"/>
    </xf>
    <xf numFmtId="167" fontId="31" fillId="0" borderId="30" xfId="0" applyNumberFormat="1" applyFont="1" applyBorder="1" applyAlignment="1">
      <alignment horizontal="left" vertical="center" wrapText="1"/>
    </xf>
    <xf numFmtId="167" fontId="31" fillId="0" borderId="98" xfId="0" applyNumberFormat="1" applyFont="1" applyBorder="1" applyAlignment="1">
      <alignment horizontal="left" vertical="center" wrapText="1"/>
    </xf>
    <xf numFmtId="167" fontId="31" fillId="0" borderId="98" xfId="0" applyNumberFormat="1" applyFont="1" applyFill="1" applyBorder="1" applyAlignment="1">
      <alignment horizontal="left" vertical="center" wrapText="1"/>
    </xf>
    <xf numFmtId="167" fontId="31" fillId="0" borderId="98" xfId="0" applyNumberFormat="1" applyFont="1" applyBorder="1" applyAlignment="1">
      <alignment horizontal="left"/>
    </xf>
    <xf numFmtId="167" fontId="31" fillId="0" borderId="98" xfId="0" applyNumberFormat="1" applyFont="1" applyFill="1" applyBorder="1" applyAlignment="1">
      <alignment horizontal="left"/>
    </xf>
    <xf numFmtId="0" fontId="31" fillId="0" borderId="98" xfId="0" applyFont="1" applyBorder="1" applyAlignment="1">
      <alignment horizontal="left" vertical="center"/>
    </xf>
    <xf numFmtId="167" fontId="31" fillId="0" borderId="98" xfId="0" applyNumberFormat="1" applyFont="1" applyBorder="1" applyAlignment="1">
      <alignment horizontal="left" vertical="center"/>
    </xf>
    <xf numFmtId="1" fontId="31" fillId="0" borderId="28" xfId="1" applyNumberFormat="1" applyFont="1" applyBorder="1" applyAlignment="1">
      <alignment horizontal="left" vertical="center"/>
    </xf>
    <xf numFmtId="3" fontId="31" fillId="0" borderId="130" xfId="0" applyNumberFormat="1" applyFont="1" applyBorder="1" applyAlignment="1">
      <alignment horizontal="left" vertical="center"/>
    </xf>
    <xf numFmtId="0" fontId="31" fillId="0" borderId="0" xfId="0" applyFont="1" applyAlignment="1">
      <alignment horizontal="left"/>
    </xf>
    <xf numFmtId="0" fontId="94" fillId="0" borderId="0" xfId="0" applyFont="1" applyAlignment="1">
      <alignment horizontal="left"/>
    </xf>
    <xf numFmtId="3" fontId="31" fillId="0" borderId="0" xfId="0" applyNumberFormat="1" applyFont="1" applyAlignment="1">
      <alignment horizontal="left"/>
    </xf>
    <xf numFmtId="0" fontId="0" fillId="0" borderId="158" xfId="0" applyBorder="1"/>
    <xf numFmtId="0" fontId="12" fillId="0" borderId="0" xfId="1116"/>
    <xf numFmtId="1" fontId="12" fillId="0" borderId="0" xfId="1116" applyNumberFormat="1"/>
    <xf numFmtId="0" fontId="127" fillId="0" borderId="0" xfId="1116" applyFont="1"/>
    <xf numFmtId="1" fontId="12" fillId="0" borderId="133" xfId="1116" applyNumberFormat="1" applyBorder="1"/>
    <xf numFmtId="1" fontId="12" fillId="0" borderId="131" xfId="1116" applyNumberFormat="1" applyBorder="1"/>
    <xf numFmtId="1" fontId="12" fillId="0" borderId="158" xfId="1116" applyNumberFormat="1" applyBorder="1"/>
    <xf numFmtId="0" fontId="127" fillId="0" borderId="98" xfId="1116" applyFont="1" applyBorder="1"/>
    <xf numFmtId="0" fontId="128" fillId="0" borderId="98" xfId="1116" applyFont="1" applyBorder="1"/>
    <xf numFmtId="0" fontId="31" fillId="0" borderId="98" xfId="1116" applyFont="1" applyBorder="1" applyAlignment="1">
      <alignment horizontal="center" vertical="center" wrapText="1"/>
    </xf>
    <xf numFmtId="1" fontId="41" fillId="0" borderId="0" xfId="1116" applyNumberFormat="1" applyFont="1" applyAlignment="1">
      <alignment horizontal="center" vertical="center" wrapText="1"/>
    </xf>
    <xf numFmtId="1" fontId="31" fillId="0" borderId="158" xfId="1116" applyNumberFormat="1" applyFont="1" applyBorder="1" applyAlignment="1">
      <alignment horizontal="center" vertical="center" wrapText="1"/>
    </xf>
    <xf numFmtId="0" fontId="39" fillId="0" borderId="0" xfId="0" applyFont="1" applyBorder="1" applyAlignment="1">
      <alignment horizontal="center" vertical="center" wrapText="1"/>
    </xf>
    <xf numFmtId="0" fontId="6" fillId="0" borderId="8" xfId="0" applyFont="1" applyBorder="1"/>
    <xf numFmtId="0" fontId="6" fillId="0" borderId="7" xfId="0" applyFont="1" applyFill="1" applyBorder="1"/>
    <xf numFmtId="9" fontId="6" fillId="0" borderId="0" xfId="1" applyFont="1"/>
    <xf numFmtId="3" fontId="6" fillId="0" borderId="158" xfId="0" applyNumberFormat="1" applyFont="1" applyFill="1" applyBorder="1" applyAlignment="1">
      <alignment horizontal="center" vertical="center"/>
    </xf>
    <xf numFmtId="3" fontId="6" fillId="0" borderId="98" xfId="0" applyNumberFormat="1" applyFont="1" applyFill="1" applyBorder="1" applyAlignment="1">
      <alignment horizontal="center" vertical="center"/>
    </xf>
    <xf numFmtId="3" fontId="10" fillId="0" borderId="176" xfId="0" applyNumberFormat="1" applyFont="1" applyFill="1" applyBorder="1" applyAlignment="1">
      <alignment horizontal="center" vertical="center"/>
    </xf>
    <xf numFmtId="3" fontId="6" fillId="0" borderId="0" xfId="0" applyNumberFormat="1" applyFont="1" applyFill="1" applyBorder="1" applyAlignment="1">
      <alignment horizontal="center" vertical="center"/>
    </xf>
    <xf numFmtId="9" fontId="6" fillId="0" borderId="0" xfId="1" applyNumberFormat="1" applyFont="1" applyFill="1" applyBorder="1" applyAlignment="1">
      <alignment horizontal="center" vertical="center"/>
    </xf>
    <xf numFmtId="9" fontId="6" fillId="0" borderId="158" xfId="1" applyFont="1" applyFill="1" applyBorder="1" applyAlignment="1">
      <alignment horizontal="center" vertical="center"/>
    </xf>
    <xf numFmtId="9" fontId="6" fillId="0" borderId="8" xfId="1" applyFont="1" applyFill="1" applyBorder="1" applyAlignment="1">
      <alignment horizontal="center" vertical="center"/>
    </xf>
    <xf numFmtId="3" fontId="6" fillId="0" borderId="176" xfId="0" applyNumberFormat="1" applyFont="1" applyFill="1" applyBorder="1" applyAlignment="1">
      <alignment horizontal="center" vertical="center"/>
    </xf>
    <xf numFmtId="9" fontId="6" fillId="0" borderId="0" xfId="1" applyFont="1" applyFill="1" applyBorder="1" applyAlignment="1">
      <alignment horizontal="center" vertical="center"/>
    </xf>
    <xf numFmtId="3" fontId="31" fillId="0" borderId="179" xfId="0" applyNumberFormat="1" applyFont="1" applyFill="1" applyBorder="1" applyAlignment="1">
      <alignment horizontal="center" vertical="center"/>
    </xf>
    <xf numFmtId="3" fontId="31" fillId="0" borderId="176" xfId="0" applyNumberFormat="1" applyFont="1" applyFill="1" applyBorder="1" applyAlignment="1">
      <alignment horizontal="center" vertical="center"/>
    </xf>
    <xf numFmtId="9" fontId="31" fillId="0" borderId="158" xfId="1" applyFont="1" applyFill="1" applyBorder="1" applyAlignment="1">
      <alignment horizontal="center" vertical="center"/>
    </xf>
    <xf numFmtId="0" fontId="10" fillId="0" borderId="7" xfId="0" applyFont="1" applyFill="1" applyBorder="1"/>
    <xf numFmtId="3" fontId="6" fillId="0" borderId="179" xfId="0" applyNumberFormat="1" applyFont="1" applyFill="1" applyBorder="1" applyAlignment="1">
      <alignment horizontal="center" vertical="center"/>
    </xf>
    <xf numFmtId="169" fontId="10" fillId="0" borderId="98" xfId="0" applyNumberFormat="1" applyFont="1" applyFill="1" applyBorder="1" applyAlignment="1">
      <alignment horizontal="center" vertical="center" wrapText="1"/>
    </xf>
    <xf numFmtId="167" fontId="6" fillId="0" borderId="176" xfId="0" applyNumberFormat="1" applyFont="1" applyFill="1" applyBorder="1" applyAlignment="1">
      <alignment horizontal="center"/>
    </xf>
    <xf numFmtId="169" fontId="6" fillId="0" borderId="0" xfId="0" applyNumberFormat="1" applyFont="1" applyFill="1" applyBorder="1" applyAlignment="1">
      <alignment horizontal="center" vertical="center"/>
    </xf>
    <xf numFmtId="169" fontId="6" fillId="0" borderId="158" xfId="0" applyNumberFormat="1" applyFont="1" applyFill="1" applyBorder="1" applyAlignment="1">
      <alignment horizontal="center" vertical="center"/>
    </xf>
    <xf numFmtId="3" fontId="10" fillId="0" borderId="98" xfId="0" applyNumberFormat="1" applyFont="1" applyFill="1" applyBorder="1" applyAlignment="1">
      <alignment horizontal="center" vertical="center" wrapText="1"/>
    </xf>
    <xf numFmtId="1" fontId="6" fillId="0" borderId="0" xfId="0" applyNumberFormat="1" applyFont="1" applyFill="1" applyBorder="1" applyAlignment="1">
      <alignment horizontal="center"/>
    </xf>
    <xf numFmtId="1" fontId="6" fillId="0" borderId="176" xfId="0" applyNumberFormat="1" applyFont="1" applyFill="1" applyBorder="1" applyAlignment="1">
      <alignment horizontal="center"/>
    </xf>
    <xf numFmtId="0" fontId="7" fillId="0" borderId="7" xfId="0" applyFont="1" applyFill="1" applyBorder="1"/>
    <xf numFmtId="0" fontId="6" fillId="0" borderId="0" xfId="0" applyFont="1" applyAlignment="1">
      <alignment horizontal="center" vertical="center" wrapText="1"/>
    </xf>
    <xf numFmtId="3" fontId="10" fillId="0" borderId="176" xfId="0" applyNumberFormat="1" applyFont="1" applyFill="1" applyBorder="1" applyAlignment="1">
      <alignment horizontal="center" vertical="center" wrapText="1"/>
    </xf>
    <xf numFmtId="3" fontId="10" fillId="0" borderId="0" xfId="139" applyNumberFormat="1" applyFont="1" applyFill="1" applyBorder="1" applyAlignment="1">
      <alignment horizontal="center"/>
    </xf>
    <xf numFmtId="3" fontId="6" fillId="0" borderId="0" xfId="0" applyNumberFormat="1" applyFont="1" applyFill="1" applyBorder="1" applyAlignment="1">
      <alignment horizontal="center" vertical="center" wrapText="1"/>
    </xf>
    <xf numFmtId="1" fontId="6" fillId="0" borderId="158" xfId="0" applyNumberFormat="1" applyFont="1" applyFill="1" applyBorder="1" applyAlignment="1">
      <alignment horizontal="center"/>
    </xf>
    <xf numFmtId="9" fontId="6" fillId="0" borderId="98" xfId="1" applyFont="1" applyFill="1" applyBorder="1" applyAlignment="1">
      <alignment horizontal="center"/>
    </xf>
    <xf numFmtId="9" fontId="6" fillId="0" borderId="2" xfId="1" applyFont="1" applyFill="1" applyBorder="1" applyAlignment="1">
      <alignment horizontal="center"/>
    </xf>
    <xf numFmtId="9" fontId="6" fillId="0" borderId="0" xfId="1" applyFont="1" applyFill="1" applyBorder="1" applyAlignment="1">
      <alignment horizontal="center"/>
    </xf>
    <xf numFmtId="169" fontId="6" fillId="0" borderId="0" xfId="0" applyNumberFormat="1" applyFont="1" applyFill="1" applyBorder="1" applyAlignment="1">
      <alignment horizontal="center" vertical="center" wrapText="1"/>
    </xf>
    <xf numFmtId="3" fontId="6" fillId="0" borderId="0" xfId="0" applyNumberFormat="1" applyFont="1" applyFill="1" applyBorder="1" applyAlignment="1">
      <alignment horizontal="center"/>
    </xf>
    <xf numFmtId="3" fontId="6" fillId="0" borderId="158" xfId="0" applyNumberFormat="1" applyFont="1" applyFill="1" applyBorder="1" applyAlignment="1">
      <alignment horizontal="center"/>
    </xf>
    <xf numFmtId="0" fontId="6" fillId="0" borderId="0" xfId="0" applyFont="1" applyFill="1"/>
    <xf numFmtId="3" fontId="44" fillId="0" borderId="176" xfId="0" applyNumberFormat="1" applyFont="1" applyFill="1" applyBorder="1" applyAlignment="1">
      <alignment horizontal="center" vertical="center" wrapText="1"/>
    </xf>
    <xf numFmtId="167" fontId="10" fillId="0" borderId="0" xfId="139" applyNumberFormat="1" applyFont="1" applyFill="1" applyBorder="1" applyAlignment="1">
      <alignment horizontal="center"/>
    </xf>
    <xf numFmtId="167" fontId="6" fillId="0" borderId="158" xfId="0" applyNumberFormat="1" applyFont="1" applyFill="1" applyBorder="1" applyAlignment="1">
      <alignment horizontal="center"/>
    </xf>
    <xf numFmtId="167" fontId="10" fillId="0" borderId="176" xfId="0" applyNumberFormat="1" applyFont="1" applyFill="1" applyBorder="1" applyAlignment="1">
      <alignment horizontal="center"/>
    </xf>
    <xf numFmtId="167" fontId="10" fillId="0" borderId="0" xfId="0" applyNumberFormat="1" applyFont="1" applyFill="1" applyBorder="1" applyAlignment="1">
      <alignment horizontal="center"/>
    </xf>
    <xf numFmtId="9" fontId="10" fillId="0" borderId="98" xfId="1" applyFont="1" applyFill="1" applyBorder="1" applyAlignment="1">
      <alignment horizontal="center"/>
    </xf>
    <xf numFmtId="9" fontId="10" fillId="0" borderId="2" xfId="1" applyFont="1" applyFill="1" applyBorder="1" applyAlignment="1">
      <alignment horizontal="center"/>
    </xf>
    <xf numFmtId="9" fontId="10" fillId="0" borderId="0" xfId="1" applyFont="1" applyFill="1" applyBorder="1" applyAlignment="1">
      <alignment horizontal="center"/>
    </xf>
    <xf numFmtId="0" fontId="6" fillId="0" borderId="0" xfId="0" applyFont="1" applyBorder="1" applyAlignment="1">
      <alignment horizontal="left" vertical="center" wrapText="1"/>
    </xf>
    <xf numFmtId="3" fontId="10" fillId="0" borderId="0" xfId="0" applyNumberFormat="1" applyFont="1" applyFill="1" applyBorder="1" applyAlignment="1">
      <alignment horizontal="center"/>
    </xf>
    <xf numFmtId="169" fontId="10" fillId="0" borderId="0" xfId="0" applyNumberFormat="1" applyFont="1" applyFill="1" applyBorder="1" applyAlignment="1">
      <alignment horizontal="center" vertical="center" wrapText="1"/>
    </xf>
    <xf numFmtId="1" fontId="10" fillId="0" borderId="0" xfId="0" applyNumberFormat="1" applyFont="1" applyFill="1" applyBorder="1" applyAlignment="1">
      <alignment horizontal="center"/>
    </xf>
    <xf numFmtId="3" fontId="10" fillId="0" borderId="158" xfId="0" applyNumberFormat="1" applyFont="1" applyFill="1" applyBorder="1" applyAlignment="1">
      <alignment horizontal="center"/>
    </xf>
    <xf numFmtId="3" fontId="44" fillId="0" borderId="158" xfId="0" applyNumberFormat="1" applyFont="1" applyFill="1" applyBorder="1" applyAlignment="1">
      <alignment horizontal="center" vertical="center"/>
    </xf>
    <xf numFmtId="9" fontId="44" fillId="0" borderId="98" xfId="1" applyFont="1" applyFill="1" applyBorder="1" applyAlignment="1">
      <alignment horizontal="center" vertical="center"/>
    </xf>
    <xf numFmtId="0" fontId="10" fillId="0" borderId="9" xfId="0" applyFont="1" applyFill="1" applyBorder="1"/>
    <xf numFmtId="3" fontId="10" fillId="0" borderId="11" xfId="0" applyNumberFormat="1" applyFont="1" applyFill="1" applyBorder="1" applyAlignment="1">
      <alignment horizontal="center" vertical="center" wrapText="1"/>
    </xf>
    <xf numFmtId="3" fontId="10" fillId="0" borderId="10" xfId="0" applyNumberFormat="1" applyFont="1" applyFill="1" applyBorder="1" applyAlignment="1">
      <alignment horizontal="center"/>
    </xf>
    <xf numFmtId="169" fontId="10" fillId="0" borderId="10" xfId="0" applyNumberFormat="1" applyFont="1" applyFill="1" applyBorder="1" applyAlignment="1">
      <alignment horizontal="center" vertical="center" wrapText="1"/>
    </xf>
    <xf numFmtId="3" fontId="10" fillId="0" borderId="19" xfId="0" applyNumberFormat="1" applyFont="1" applyFill="1" applyBorder="1" applyAlignment="1">
      <alignment horizontal="center"/>
    </xf>
    <xf numFmtId="9" fontId="10" fillId="0" borderId="18" xfId="1" applyFont="1" applyFill="1" applyBorder="1" applyAlignment="1">
      <alignment horizontal="center"/>
    </xf>
    <xf numFmtId="9" fontId="10" fillId="0" borderId="12" xfId="1" applyFont="1" applyFill="1" applyBorder="1" applyAlignment="1">
      <alignment horizontal="center"/>
    </xf>
    <xf numFmtId="9" fontId="10" fillId="0" borderId="10" xfId="1" applyFont="1" applyFill="1" applyBorder="1" applyAlignment="1">
      <alignment horizontal="center"/>
    </xf>
    <xf numFmtId="3" fontId="6" fillId="0" borderId="0" xfId="0" applyNumberFormat="1" applyFont="1" applyBorder="1"/>
    <xf numFmtId="3" fontId="10" fillId="0" borderId="176" xfId="0" applyNumberFormat="1" applyFont="1" applyFill="1" applyBorder="1" applyAlignment="1">
      <alignment horizontal="center"/>
    </xf>
    <xf numFmtId="3" fontId="10" fillId="0" borderId="0" xfId="0" applyNumberFormat="1" applyFont="1" applyFill="1" applyBorder="1" applyAlignment="1">
      <alignment horizontal="center" vertical="center" wrapText="1"/>
    </xf>
    <xf numFmtId="1" fontId="10" fillId="0" borderId="180" xfId="0" applyNumberFormat="1" applyFont="1" applyFill="1" applyBorder="1" applyAlignment="1">
      <alignment horizontal="center"/>
    </xf>
    <xf numFmtId="169" fontId="10" fillId="0" borderId="158" xfId="0" applyNumberFormat="1" applyFont="1" applyFill="1" applyBorder="1" applyAlignment="1">
      <alignment horizontal="center"/>
    </xf>
    <xf numFmtId="9" fontId="10" fillId="0" borderId="8" xfId="1" applyFont="1" applyFill="1" applyBorder="1" applyAlignment="1">
      <alignment horizontal="center"/>
    </xf>
    <xf numFmtId="171" fontId="6" fillId="0" borderId="0" xfId="1" applyNumberFormat="1" applyFont="1"/>
    <xf numFmtId="3" fontId="44" fillId="0" borderId="176" xfId="0" applyNumberFormat="1" applyFont="1" applyFill="1" applyBorder="1" applyAlignment="1">
      <alignment horizontal="center" vertical="center"/>
    </xf>
    <xf numFmtId="3" fontId="44" fillId="0" borderId="180" xfId="0" applyNumberFormat="1" applyFont="1" applyFill="1" applyBorder="1" applyAlignment="1">
      <alignment horizontal="center" vertical="center"/>
    </xf>
    <xf numFmtId="165" fontId="10" fillId="0" borderId="0" xfId="139" applyFont="1" applyFill="1" applyBorder="1" applyAlignment="1">
      <alignment horizontal="center" vertical="center" wrapText="1"/>
    </xf>
    <xf numFmtId="3" fontId="44" fillId="0" borderId="176" xfId="1" applyNumberFormat="1" applyFont="1" applyFill="1" applyBorder="1" applyAlignment="1">
      <alignment horizontal="center" vertical="center"/>
    </xf>
    <xf numFmtId="3" fontId="44" fillId="0" borderId="158" xfId="0" applyNumberFormat="1" applyFont="1" applyFill="1" applyBorder="1" applyAlignment="1">
      <alignment horizontal="center"/>
    </xf>
    <xf numFmtId="3" fontId="10" fillId="0" borderId="176" xfId="1" applyNumberFormat="1" applyFont="1" applyFill="1" applyBorder="1" applyAlignment="1">
      <alignment horizontal="center"/>
    </xf>
    <xf numFmtId="3" fontId="10" fillId="0" borderId="180" xfId="0" applyNumberFormat="1" applyFont="1" applyFill="1" applyBorder="1" applyAlignment="1">
      <alignment horizontal="center"/>
    </xf>
    <xf numFmtId="9" fontId="10" fillId="0" borderId="98" xfId="1" applyFont="1" applyBorder="1" applyAlignment="1">
      <alignment horizontal="center" vertical="center" wrapText="1"/>
    </xf>
    <xf numFmtId="0" fontId="6" fillId="0" borderId="7" xfId="0" applyFont="1" applyBorder="1"/>
    <xf numFmtId="0" fontId="10" fillId="0" borderId="7" xfId="0" applyFont="1" applyBorder="1"/>
    <xf numFmtId="3" fontId="31" fillId="0" borderId="176" xfId="0" applyNumberFormat="1" applyFont="1" applyBorder="1" applyAlignment="1">
      <alignment horizontal="center"/>
    </xf>
    <xf numFmtId="1" fontId="6" fillId="0" borderId="0" xfId="1" applyNumberFormat="1" applyFont="1" applyBorder="1" applyAlignment="1">
      <alignment horizontal="center" vertical="center" wrapText="1"/>
    </xf>
    <xf numFmtId="1" fontId="6" fillId="0" borderId="0" xfId="0" applyNumberFormat="1" applyFont="1" applyBorder="1" applyAlignment="1">
      <alignment horizontal="center" vertical="center" wrapText="1"/>
    </xf>
    <xf numFmtId="3" fontId="6" fillId="0" borderId="0" xfId="0" applyNumberFormat="1" applyFont="1" applyBorder="1" applyAlignment="1">
      <alignment horizontal="center"/>
    </xf>
    <xf numFmtId="3" fontId="6" fillId="0" borderId="158" xfId="0" applyNumberFormat="1" applyFont="1" applyBorder="1" applyAlignment="1">
      <alignment horizontal="center"/>
    </xf>
    <xf numFmtId="9" fontId="6" fillId="0" borderId="0" xfId="1" applyFont="1" applyBorder="1" applyAlignment="1">
      <alignment horizontal="center" vertical="center" wrapText="1"/>
    </xf>
    <xf numFmtId="9" fontId="6" fillId="0" borderId="8" xfId="1" applyFont="1" applyBorder="1" applyAlignment="1">
      <alignment horizontal="center" vertical="center" wrapText="1"/>
    </xf>
    <xf numFmtId="170" fontId="6" fillId="0" borderId="0" xfId="139" applyNumberFormat="1" applyFont="1"/>
    <xf numFmtId="9" fontId="6" fillId="0" borderId="8" xfId="1" applyFont="1" applyBorder="1" applyAlignment="1">
      <alignment horizontal="center"/>
    </xf>
    <xf numFmtId="1" fontId="6" fillId="0" borderId="0" xfId="1" applyNumberFormat="1" applyFont="1" applyFill="1" applyBorder="1" applyAlignment="1">
      <alignment horizontal="center" vertical="center" wrapText="1"/>
    </xf>
    <xf numFmtId="9" fontId="10" fillId="0" borderId="0" xfId="1" applyFont="1" applyBorder="1" applyAlignment="1">
      <alignment horizontal="center"/>
    </xf>
    <xf numFmtId="9" fontId="10" fillId="0" borderId="8" xfId="1" applyFont="1" applyBorder="1" applyAlignment="1">
      <alignment horizontal="center"/>
    </xf>
    <xf numFmtId="3" fontId="31" fillId="0" borderId="98" xfId="0" applyNumberFormat="1" applyFont="1" applyFill="1" applyBorder="1" applyAlignment="1">
      <alignment horizontal="center" vertical="center" wrapText="1"/>
    </xf>
    <xf numFmtId="3" fontId="31" fillId="0" borderId="176" xfId="0" applyNumberFormat="1" applyFont="1" applyFill="1" applyBorder="1" applyAlignment="1">
      <alignment horizontal="center"/>
    </xf>
    <xf numFmtId="1" fontId="6" fillId="0" borderId="0" xfId="0" applyNumberFormat="1" applyFont="1" applyFill="1" applyBorder="1" applyAlignment="1">
      <alignment horizontal="center" vertical="center" wrapText="1"/>
    </xf>
    <xf numFmtId="9" fontId="6" fillId="0" borderId="8" xfId="1" applyFont="1" applyFill="1" applyBorder="1" applyAlignment="1">
      <alignment horizontal="center"/>
    </xf>
    <xf numFmtId="3" fontId="31" fillId="0" borderId="176" xfId="0" applyNumberFormat="1" applyFont="1" applyBorder="1" applyAlignment="1">
      <alignment horizontal="center" vertical="center"/>
    </xf>
    <xf numFmtId="169" fontId="31" fillId="0" borderId="176" xfId="0" applyNumberFormat="1" applyFont="1" applyBorder="1" applyAlignment="1">
      <alignment horizontal="center"/>
    </xf>
    <xf numFmtId="3" fontId="6" fillId="0" borderId="0" xfId="0" applyNumberFormat="1" applyFont="1" applyBorder="1" applyAlignment="1">
      <alignment horizontal="center" vertical="center" wrapText="1"/>
    </xf>
    <xf numFmtId="169" fontId="6" fillId="0" borderId="0" xfId="0" applyNumberFormat="1" applyFont="1" applyBorder="1" applyAlignment="1">
      <alignment horizontal="center"/>
    </xf>
    <xf numFmtId="169" fontId="6" fillId="0" borderId="158" xfId="0" applyNumberFormat="1" applyFont="1" applyBorder="1" applyAlignment="1">
      <alignment horizontal="center"/>
    </xf>
    <xf numFmtId="169" fontId="6" fillId="0" borderId="0" xfId="0" applyNumberFormat="1" applyFont="1"/>
    <xf numFmtId="1" fontId="31" fillId="0" borderId="176" xfId="0" applyNumberFormat="1" applyFont="1" applyBorder="1" applyAlignment="1">
      <alignment horizontal="center"/>
    </xf>
    <xf numFmtId="9" fontId="6" fillId="0" borderId="0" xfId="1" applyNumberFormat="1" applyFont="1"/>
    <xf numFmtId="1" fontId="31" fillId="0" borderId="179" xfId="0" applyNumberFormat="1" applyFont="1" applyBorder="1" applyAlignment="1">
      <alignment horizontal="center" vertical="center" wrapText="1"/>
    </xf>
    <xf numFmtId="167" fontId="6" fillId="0" borderId="179" xfId="0" applyNumberFormat="1" applyFont="1" applyBorder="1" applyAlignment="1">
      <alignment horizontal="center"/>
    </xf>
    <xf numFmtId="167" fontId="6" fillId="0" borderId="98" xfId="0" applyNumberFormat="1" applyFont="1" applyFill="1" applyBorder="1" applyAlignment="1">
      <alignment horizontal="center" vertical="center" wrapText="1"/>
    </xf>
    <xf numFmtId="9" fontId="6" fillId="0" borderId="98" xfId="1" applyFont="1" applyBorder="1" applyAlignment="1">
      <alignment horizontal="center"/>
    </xf>
    <xf numFmtId="9" fontId="6" fillId="0" borderId="0" xfId="1" applyFont="1" applyBorder="1" applyAlignment="1">
      <alignment horizontal="center"/>
    </xf>
    <xf numFmtId="9" fontId="6" fillId="0" borderId="98" xfId="1" applyFont="1" applyBorder="1" applyAlignment="1">
      <alignment horizontal="center" vertical="center" wrapText="1"/>
    </xf>
    <xf numFmtId="1" fontId="31" fillId="0" borderId="179" xfId="0" applyNumberFormat="1" applyFont="1" applyFill="1" applyBorder="1" applyAlignment="1">
      <alignment horizontal="center" vertical="center" wrapText="1"/>
    </xf>
    <xf numFmtId="9" fontId="6" fillId="0" borderId="8" xfId="0" applyNumberFormat="1" applyFont="1" applyFill="1" applyBorder="1" applyAlignment="1">
      <alignment horizontal="center" vertical="center" wrapText="1"/>
    </xf>
    <xf numFmtId="0" fontId="6" fillId="0" borderId="0" xfId="0" applyFont="1" applyFill="1" applyBorder="1"/>
    <xf numFmtId="0" fontId="6" fillId="0" borderId="8" xfId="0" applyFont="1" applyFill="1" applyBorder="1" applyAlignment="1">
      <alignment horizontal="center" vertical="center" wrapText="1"/>
    </xf>
    <xf numFmtId="167" fontId="10" fillId="0" borderId="0" xfId="0" applyNumberFormat="1" applyFont="1" applyBorder="1" applyAlignment="1">
      <alignment horizontal="center"/>
    </xf>
    <xf numFmtId="1" fontId="31" fillId="0" borderId="179" xfId="0" applyNumberFormat="1" applyFont="1" applyBorder="1" applyAlignment="1">
      <alignment horizontal="center" vertical="center"/>
    </xf>
    <xf numFmtId="3" fontId="6" fillId="0" borderId="8" xfId="0" applyNumberFormat="1" applyFont="1" applyBorder="1" applyAlignment="1">
      <alignment horizontal="center"/>
    </xf>
    <xf numFmtId="9" fontId="6" fillId="0" borderId="8" xfId="0" applyNumberFormat="1" applyFont="1" applyBorder="1" applyAlignment="1">
      <alignment horizontal="center" vertical="center" wrapText="1"/>
    </xf>
    <xf numFmtId="167" fontId="31" fillId="0" borderId="179" xfId="0" applyNumberFormat="1" applyFont="1" applyBorder="1" applyAlignment="1">
      <alignment horizontal="center" vertical="center"/>
    </xf>
    <xf numFmtId="167" fontId="31" fillId="0" borderId="179" xfId="0" applyNumberFormat="1" applyFont="1" applyBorder="1" applyAlignment="1">
      <alignment horizontal="center" vertical="center" wrapText="1"/>
    </xf>
    <xf numFmtId="167" fontId="6" fillId="0" borderId="176" xfId="0" applyNumberFormat="1" applyFont="1" applyBorder="1" applyAlignment="1">
      <alignment horizontal="center"/>
    </xf>
    <xf numFmtId="167" fontId="6" fillId="0" borderId="10" xfId="0" applyNumberFormat="1" applyFont="1" applyBorder="1" applyAlignment="1">
      <alignment horizontal="center" vertical="center" wrapText="1"/>
    </xf>
    <xf numFmtId="167" fontId="6" fillId="0" borderId="11" xfId="0" applyNumberFormat="1" applyFont="1" applyBorder="1" applyAlignment="1">
      <alignment horizontal="center" vertical="center" wrapText="1"/>
    </xf>
    <xf numFmtId="3" fontId="10" fillId="0" borderId="179" xfId="0" applyNumberFormat="1" applyFont="1" applyBorder="1" applyAlignment="1">
      <alignment horizontal="center"/>
    </xf>
    <xf numFmtId="3" fontId="10" fillId="0" borderId="0" xfId="0" applyNumberFormat="1" applyFont="1" applyBorder="1" applyAlignment="1">
      <alignment horizontal="center"/>
    </xf>
    <xf numFmtId="1" fontId="10" fillId="0" borderId="0" xfId="0" applyNumberFormat="1" applyFont="1" applyBorder="1" applyAlignment="1">
      <alignment horizontal="center"/>
    </xf>
    <xf numFmtId="1" fontId="6" fillId="0" borderId="0" xfId="0" applyNumberFormat="1" applyFont="1" applyBorder="1" applyAlignment="1">
      <alignment horizontal="center"/>
    </xf>
    <xf numFmtId="3" fontId="10" fillId="0" borderId="179" xfId="0" applyNumberFormat="1" applyFont="1" applyFill="1" applyBorder="1" applyAlignment="1">
      <alignment horizontal="center"/>
    </xf>
    <xf numFmtId="3" fontId="6" fillId="0" borderId="179" xfId="0" applyNumberFormat="1" applyFont="1" applyBorder="1" applyAlignment="1">
      <alignment horizontal="center"/>
    </xf>
    <xf numFmtId="3" fontId="6" fillId="0" borderId="179" xfId="0" applyNumberFormat="1" applyFont="1" applyFill="1" applyBorder="1" applyAlignment="1">
      <alignment horizontal="center"/>
    </xf>
    <xf numFmtId="3" fontId="31" fillId="0" borderId="179" xfId="0" applyNumberFormat="1" applyFont="1" applyBorder="1" applyAlignment="1">
      <alignment horizontal="center" vertical="center" wrapText="1"/>
    </xf>
    <xf numFmtId="3" fontId="31" fillId="0" borderId="179"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4" fontId="6" fillId="0" borderId="0" xfId="0" applyNumberFormat="1" applyFont="1" applyBorder="1" applyAlignment="1">
      <alignment horizontal="center"/>
    </xf>
    <xf numFmtId="4" fontId="6" fillId="0" borderId="0" xfId="0" applyNumberFormat="1" applyFont="1"/>
    <xf numFmtId="1" fontId="44" fillId="0" borderId="179" xfId="0" applyNumberFormat="1" applyFont="1" applyBorder="1" applyAlignment="1">
      <alignment horizontal="center" vertical="center"/>
    </xf>
    <xf numFmtId="0" fontId="7" fillId="0" borderId="32" xfId="0" applyFont="1" applyBorder="1" applyAlignment="1">
      <alignment horizontal="center" vertical="center" wrapText="1"/>
    </xf>
    <xf numFmtId="9" fontId="31" fillId="0" borderId="181" xfId="1" applyFont="1" applyBorder="1" applyAlignment="1">
      <alignment horizontal="center" vertical="center"/>
    </xf>
    <xf numFmtId="3" fontId="6" fillId="0" borderId="98" xfId="0" applyNumberFormat="1" applyFont="1" applyBorder="1" applyAlignment="1">
      <alignment horizontal="center"/>
    </xf>
    <xf numFmtId="9" fontId="31" fillId="0" borderId="181" xfId="1" applyFont="1" applyBorder="1" applyAlignment="1">
      <alignment horizontal="center"/>
    </xf>
    <xf numFmtId="9" fontId="6" fillId="0" borderId="0" xfId="1" applyFont="1" applyBorder="1" applyAlignment="1">
      <alignment horizontal="center" vertical="center"/>
    </xf>
    <xf numFmtId="3" fontId="6" fillId="0" borderId="8" xfId="0" applyNumberFormat="1" applyFont="1" applyBorder="1" applyAlignment="1">
      <alignment horizontal="center" vertical="center" wrapText="1"/>
    </xf>
    <xf numFmtId="9" fontId="6" fillId="0" borderId="0" xfId="1" applyNumberFormat="1" applyFont="1" applyBorder="1" applyAlignment="1">
      <alignment horizontal="center"/>
    </xf>
    <xf numFmtId="167" fontId="7" fillId="0" borderId="8" xfId="0" applyNumberFormat="1" applyFont="1" applyBorder="1" applyAlignment="1">
      <alignment horizontal="center" vertical="center"/>
    </xf>
    <xf numFmtId="9" fontId="10" fillId="0" borderId="0" xfId="1" applyFont="1" applyBorder="1" applyAlignment="1">
      <alignment horizontal="center" vertical="center"/>
    </xf>
    <xf numFmtId="167" fontId="7" fillId="0" borderId="8" xfId="0" applyNumberFormat="1" applyFont="1" applyBorder="1" applyAlignment="1">
      <alignment horizontal="center"/>
    </xf>
    <xf numFmtId="0" fontId="10" fillId="0" borderId="0" xfId="0" applyFont="1" applyBorder="1" applyAlignment="1">
      <alignment horizontal="center"/>
    </xf>
    <xf numFmtId="0" fontId="6" fillId="0" borderId="0" xfId="0" applyFont="1" applyFill="1" applyBorder="1" applyAlignment="1">
      <alignment horizontal="center"/>
    </xf>
    <xf numFmtId="9" fontId="31" fillId="0" borderId="181" xfId="1" applyFont="1" applyFill="1" applyBorder="1" applyAlignment="1">
      <alignment horizontal="center"/>
    </xf>
    <xf numFmtId="167" fontId="7" fillId="0" borderId="8" xfId="0" applyNumberFormat="1" applyFont="1" applyFill="1" applyBorder="1" applyAlignment="1">
      <alignment horizontal="center"/>
    </xf>
    <xf numFmtId="0" fontId="6" fillId="0" borderId="7" xfId="0" applyFont="1" applyBorder="1" applyAlignment="1">
      <alignment horizontal="center"/>
    </xf>
    <xf numFmtId="3" fontId="6" fillId="0" borderId="30" xfId="0" applyNumberFormat="1" applyFont="1" applyBorder="1" applyAlignment="1">
      <alignment horizontal="center"/>
    </xf>
    <xf numFmtId="3" fontId="6" fillId="0" borderId="24" xfId="0" applyNumberFormat="1"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3" xfId="0" applyNumberFormat="1" applyFont="1" applyBorder="1" applyAlignment="1">
      <alignment horizontal="center"/>
    </xf>
    <xf numFmtId="3" fontId="6" fillId="0" borderId="31"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176" xfId="0" applyNumberFormat="1" applyFont="1" applyBorder="1" applyAlignment="1">
      <alignment horizontal="center"/>
    </xf>
    <xf numFmtId="3" fontId="31" fillId="0" borderId="176" xfId="0" applyNumberFormat="1" applyFont="1" applyBorder="1" applyAlignment="1">
      <alignment horizontal="center" vertical="center" wrapText="1"/>
    </xf>
    <xf numFmtId="3" fontId="6" fillId="0" borderId="158" xfId="0" applyNumberFormat="1" applyFont="1" applyBorder="1" applyAlignment="1">
      <alignment horizontal="center" vertical="center" wrapText="1"/>
    </xf>
    <xf numFmtId="3" fontId="6" fillId="0" borderId="2" xfId="0" applyNumberFormat="1" applyFont="1" applyBorder="1" applyAlignment="1">
      <alignment horizontal="center"/>
    </xf>
    <xf numFmtId="0" fontId="6" fillId="0" borderId="98" xfId="0" applyFont="1" applyFill="1" applyBorder="1"/>
    <xf numFmtId="3" fontId="6" fillId="0" borderId="39" xfId="0" applyNumberFormat="1" applyFont="1" applyBorder="1" applyAlignment="1">
      <alignment horizontal="center"/>
    </xf>
    <xf numFmtId="3" fontId="6" fillId="0" borderId="131" xfId="0" applyNumberFormat="1" applyFont="1" applyBorder="1" applyAlignment="1">
      <alignment horizontal="center"/>
    </xf>
    <xf numFmtId="3" fontId="6" fillId="0" borderId="40" xfId="0" applyNumberFormat="1" applyFont="1" applyBorder="1" applyAlignment="1">
      <alignment horizontal="center"/>
    </xf>
    <xf numFmtId="3" fontId="6" fillId="0" borderId="130" xfId="0" applyNumberFormat="1" applyFont="1" applyBorder="1" applyAlignment="1">
      <alignment horizontal="center"/>
    </xf>
    <xf numFmtId="3" fontId="6" fillId="0" borderId="115" xfId="0" applyNumberFormat="1" applyFont="1" applyBorder="1" applyAlignment="1">
      <alignment horizontal="center"/>
    </xf>
    <xf numFmtId="3" fontId="6" fillId="0" borderId="132" xfId="0" applyNumberFormat="1" applyFont="1" applyBorder="1" applyAlignment="1">
      <alignment horizontal="center"/>
    </xf>
    <xf numFmtId="3" fontId="6" fillId="0" borderId="133" xfId="0" applyNumberFormat="1" applyFont="1" applyBorder="1" applyAlignment="1">
      <alignment horizontal="center"/>
    </xf>
    <xf numFmtId="0" fontId="6" fillId="0" borderId="9" xfId="0" applyFont="1" applyBorder="1"/>
    <xf numFmtId="3" fontId="6" fillId="0" borderId="23" xfId="0" applyNumberFormat="1" applyFont="1" applyBorder="1" applyAlignment="1">
      <alignment horizontal="center"/>
    </xf>
    <xf numFmtId="3" fontId="6" fillId="0" borderId="10" xfId="0" applyNumberFormat="1" applyFont="1" applyBorder="1" applyAlignment="1">
      <alignment horizontal="center"/>
    </xf>
    <xf numFmtId="3" fontId="6" fillId="0" borderId="13" xfId="0" applyNumberFormat="1" applyFont="1" applyBorder="1" applyAlignment="1">
      <alignment horizontal="center"/>
    </xf>
    <xf numFmtId="0" fontId="6" fillId="0" borderId="31" xfId="0" applyFont="1" applyBorder="1" applyAlignment="1">
      <alignment horizontal="center" vertical="center" wrapText="1"/>
    </xf>
    <xf numFmtId="3" fontId="6" fillId="0" borderId="98" xfId="0" applyNumberFormat="1" applyFont="1" applyBorder="1" applyAlignment="1">
      <alignment horizontal="center" vertical="center" wrapText="1"/>
    </xf>
    <xf numFmtId="9" fontId="6" fillId="0" borderId="99" xfId="1" applyFont="1" applyBorder="1" applyAlignment="1">
      <alignment horizontal="center" vertical="center" wrapText="1"/>
    </xf>
    <xf numFmtId="3" fontId="10" fillId="0" borderId="10" xfId="0" applyNumberFormat="1" applyFont="1" applyBorder="1" applyAlignment="1">
      <alignment horizontal="center"/>
    </xf>
    <xf numFmtId="3" fontId="6" fillId="0" borderId="11" xfId="0" applyNumberFormat="1" applyFont="1" applyBorder="1" applyAlignment="1">
      <alignment horizontal="center"/>
    </xf>
    <xf numFmtId="3" fontId="6" fillId="0" borderId="12" xfId="0" applyNumberFormat="1" applyFont="1" applyBorder="1" applyAlignment="1">
      <alignment horizontal="center"/>
    </xf>
    <xf numFmtId="3" fontId="6" fillId="0" borderId="10"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9" fontId="6" fillId="0" borderId="41" xfId="1" applyFont="1" applyBorder="1" applyAlignment="1">
      <alignment horizontal="center" vertical="center" wrapText="1"/>
    </xf>
    <xf numFmtId="0" fontId="6" fillId="0" borderId="176" xfId="0" applyFont="1" applyBorder="1" applyAlignment="1">
      <alignment horizontal="center"/>
    </xf>
    <xf numFmtId="0" fontId="6" fillId="0" borderId="2" xfId="0" applyFont="1" applyBorder="1" applyAlignment="1">
      <alignment horizontal="center"/>
    </xf>
    <xf numFmtId="0" fontId="6" fillId="0" borderId="99" xfId="0" applyFont="1" applyBorder="1" applyAlignment="1">
      <alignment horizontal="center"/>
    </xf>
    <xf numFmtId="0" fontId="6" fillId="0" borderId="10" xfId="0" applyFont="1" applyBorder="1"/>
    <xf numFmtId="0" fontId="6" fillId="0" borderId="11" xfId="0" applyFont="1" applyBorder="1" applyAlignment="1">
      <alignment horizontal="center"/>
    </xf>
    <xf numFmtId="0" fontId="6" fillId="0" borderId="12" xfId="0" applyFont="1" applyBorder="1" applyAlignment="1">
      <alignment horizontal="center"/>
    </xf>
    <xf numFmtId="0" fontId="6" fillId="0" borderId="10" xfId="0" applyFont="1" applyBorder="1" applyAlignment="1">
      <alignment horizontal="center"/>
    </xf>
    <xf numFmtId="0" fontId="6" fillId="0" borderId="18" xfId="0" applyFont="1" applyBorder="1" applyAlignment="1">
      <alignment horizontal="center"/>
    </xf>
    <xf numFmtId="0" fontId="6" fillId="0" borderId="41" xfId="0" applyFont="1" applyBorder="1" applyAlignment="1">
      <alignment horizontal="center"/>
    </xf>
    <xf numFmtId="0" fontId="10" fillId="0" borderId="86" xfId="3" applyFont="1" applyBorder="1" applyAlignment="1">
      <alignment horizontal="center" vertical="center" wrapText="1"/>
    </xf>
    <xf numFmtId="0" fontId="10" fillId="0" borderId="75" xfId="3" applyFont="1" applyBorder="1" applyAlignment="1">
      <alignment horizontal="center" vertical="center" wrapText="1"/>
    </xf>
    <xf numFmtId="0" fontId="10" fillId="0" borderId="72" xfId="3" applyFont="1" applyBorder="1" applyAlignment="1">
      <alignment horizontal="center" vertical="center" wrapText="1"/>
    </xf>
    <xf numFmtId="0" fontId="10" fillId="0" borderId="70" xfId="3" applyFont="1" applyBorder="1" applyAlignment="1">
      <alignment horizontal="left" indent="3"/>
    </xf>
    <xf numFmtId="0" fontId="10" fillId="0" borderId="70" xfId="3" applyFont="1" applyBorder="1" applyAlignment="1">
      <alignment horizontal="left"/>
    </xf>
    <xf numFmtId="0" fontId="10" fillId="0" borderId="90" xfId="3" applyFont="1" applyBorder="1" applyAlignment="1">
      <alignment horizontal="center"/>
    </xf>
    <xf numFmtId="0" fontId="10" fillId="0" borderId="70" xfId="3" applyFont="1" applyBorder="1" applyAlignment="1">
      <alignment horizontal="left" indent="1"/>
    </xf>
    <xf numFmtId="3" fontId="10" fillId="0" borderId="90" xfId="3" applyNumberFormat="1" applyFont="1" applyBorder="1" applyAlignment="1">
      <alignment horizontal="center"/>
    </xf>
    <xf numFmtId="0" fontId="10" fillId="0" borderId="70" xfId="3" applyFont="1" applyBorder="1" applyAlignment="1">
      <alignment horizontal="left" indent="2"/>
    </xf>
    <xf numFmtId="0" fontId="10" fillId="0" borderId="74" xfId="3" applyFont="1" applyBorder="1" applyAlignment="1">
      <alignment horizontal="left" indent="1"/>
    </xf>
    <xf numFmtId="3" fontId="10" fillId="0" borderId="91" xfId="3" applyNumberFormat="1" applyFont="1" applyBorder="1" applyAlignment="1">
      <alignment horizontal="center"/>
    </xf>
    <xf numFmtId="3" fontId="10" fillId="0" borderId="81" xfId="3" applyNumberFormat="1" applyFont="1" applyBorder="1" applyAlignment="1">
      <alignment horizontal="center"/>
    </xf>
    <xf numFmtId="3" fontId="10" fillId="0" borderId="83" xfId="3" applyNumberFormat="1" applyFont="1" applyBorder="1" applyAlignment="1">
      <alignment horizontal="center"/>
    </xf>
    <xf numFmtId="3" fontId="10" fillId="0" borderId="85" xfId="3" applyNumberFormat="1" applyFont="1" applyBorder="1" applyAlignment="1">
      <alignment horizontal="center"/>
    </xf>
    <xf numFmtId="0" fontId="10" fillId="0" borderId="0" xfId="3" applyFont="1"/>
    <xf numFmtId="0" fontId="10" fillId="0" borderId="71" xfId="3" applyFont="1" applyBorder="1"/>
    <xf numFmtId="0" fontId="10" fillId="0" borderId="70" xfId="3" applyFont="1" applyBorder="1" applyAlignment="1">
      <alignment wrapText="1"/>
    </xf>
    <xf numFmtId="0" fontId="10" fillId="0" borderId="70" xfId="3" applyFont="1" applyBorder="1"/>
    <xf numFmtId="9" fontId="6" fillId="0" borderId="71" xfId="263" applyFont="1" applyBorder="1" applyAlignment="1">
      <alignment horizontal="center"/>
    </xf>
    <xf numFmtId="0" fontId="10" fillId="0" borderId="92" xfId="3" applyFont="1" applyBorder="1" applyAlignment="1">
      <alignment horizontal="center"/>
    </xf>
    <xf numFmtId="0" fontId="10" fillId="0" borderId="76" xfId="3" applyFont="1" applyBorder="1" applyAlignment="1">
      <alignment horizontal="center"/>
    </xf>
    <xf numFmtId="3" fontId="10" fillId="0" borderId="92" xfId="3" applyNumberFormat="1" applyFont="1" applyBorder="1" applyAlignment="1">
      <alignment horizontal="center"/>
    </xf>
    <xf numFmtId="3" fontId="10" fillId="0" borderId="76" xfId="3" applyNumberFormat="1" applyFont="1" applyBorder="1" applyAlignment="1">
      <alignment horizontal="center"/>
    </xf>
    <xf numFmtId="3" fontId="10" fillId="0" borderId="93" xfId="3" applyNumberFormat="1" applyFont="1" applyBorder="1" applyAlignment="1">
      <alignment horizontal="center"/>
    </xf>
    <xf numFmtId="3" fontId="10" fillId="0" borderId="77" xfId="3" applyNumberFormat="1" applyFont="1" applyBorder="1" applyAlignment="1">
      <alignment horizontal="center"/>
    </xf>
    <xf numFmtId="9" fontId="6" fillId="0" borderId="85" xfId="263" applyFont="1" applyBorder="1" applyAlignment="1">
      <alignment horizontal="center"/>
    </xf>
    <xf numFmtId="3" fontId="10" fillId="0" borderId="0" xfId="3" applyNumberFormat="1" applyFont="1"/>
    <xf numFmtId="9" fontId="6" fillId="0" borderId="0" xfId="263" applyFont="1" applyAlignment="1">
      <alignment horizontal="center"/>
    </xf>
    <xf numFmtId="0" fontId="10" fillId="0" borderId="87" xfId="3" applyFont="1" applyBorder="1" applyAlignment="1">
      <alignment horizontal="center" vertical="center" wrapText="1"/>
    </xf>
    <xf numFmtId="9" fontId="6" fillId="0" borderId="0" xfId="263" applyFont="1" applyBorder="1" applyAlignment="1">
      <alignment horizontal="center"/>
    </xf>
    <xf numFmtId="0" fontId="7" fillId="0" borderId="7" xfId="0" applyFont="1" applyBorder="1"/>
    <xf numFmtId="0" fontId="10" fillId="0" borderId="183" xfId="341" applyFont="1" applyBorder="1" applyAlignment="1">
      <alignment horizontal="center"/>
    </xf>
    <xf numFmtId="0" fontId="10" fillId="0" borderId="54" xfId="341" applyFont="1" applyBorder="1" applyAlignment="1">
      <alignment horizontal="center"/>
    </xf>
    <xf numFmtId="0" fontId="31" fillId="0" borderId="184" xfId="0" applyFont="1" applyBorder="1" applyAlignment="1">
      <alignment horizontal="center" vertical="center" wrapText="1"/>
    </xf>
    <xf numFmtId="3" fontId="107" fillId="0" borderId="185" xfId="139" applyNumberFormat="1" applyFont="1" applyBorder="1" applyAlignment="1">
      <alignment horizontal="center" vertical="center"/>
    </xf>
    <xf numFmtId="3" fontId="107" fillId="0" borderId="183" xfId="592" applyNumberFormat="1" applyFont="1" applyBorder="1" applyAlignment="1">
      <alignment horizontal="center" vertical="center"/>
    </xf>
    <xf numFmtId="3" fontId="107" fillId="0" borderId="186" xfId="139" applyNumberFormat="1" applyFont="1" applyBorder="1" applyAlignment="1">
      <alignment horizontal="center" vertical="center"/>
    </xf>
    <xf numFmtId="3" fontId="107" fillId="0" borderId="187" xfId="592" applyNumberFormat="1" applyFont="1" applyBorder="1" applyAlignment="1">
      <alignment horizontal="center" vertical="center"/>
    </xf>
    <xf numFmtId="3" fontId="107" fillId="0" borderId="188" xfId="592" applyNumberFormat="1" applyFont="1" applyBorder="1" applyAlignment="1">
      <alignment horizontal="center" vertical="center"/>
    </xf>
    <xf numFmtId="3" fontId="107" fillId="0" borderId="189" xfId="139" applyNumberFormat="1" applyFont="1" applyBorder="1" applyAlignment="1">
      <alignment horizontal="center" vertical="center"/>
    </xf>
    <xf numFmtId="0" fontId="35" fillId="0" borderId="183" xfId="0" applyFont="1" applyBorder="1" applyAlignment="1">
      <alignment horizontal="center"/>
    </xf>
    <xf numFmtId="0" fontId="7" fillId="0" borderId="33" xfId="0" applyFont="1" applyBorder="1"/>
    <xf numFmtId="9" fontId="7" fillId="0" borderId="32" xfId="1" applyFont="1" applyBorder="1" applyAlignment="1">
      <alignment horizontal="center" vertical="center"/>
    </xf>
    <xf numFmtId="169" fontId="107" fillId="0" borderId="179" xfId="139" applyNumberFormat="1" applyFont="1" applyBorder="1" applyAlignment="1">
      <alignment horizontal="center"/>
    </xf>
    <xf numFmtId="9" fontId="7" fillId="0" borderId="8" xfId="1" applyFont="1" applyBorder="1" applyAlignment="1">
      <alignment horizontal="center" vertical="center"/>
    </xf>
    <xf numFmtId="0" fontId="109" fillId="0" borderId="179" xfId="930" applyFont="1" applyBorder="1"/>
    <xf numFmtId="169" fontId="107" fillId="0" borderId="179" xfId="139" applyNumberFormat="1" applyFont="1" applyFill="1" applyBorder="1" applyAlignment="1">
      <alignment horizontal="center"/>
    </xf>
    <xf numFmtId="9" fontId="7" fillId="0" borderId="8" xfId="1" applyFont="1" applyFill="1" applyBorder="1" applyAlignment="1">
      <alignment horizontal="center" vertical="center"/>
    </xf>
    <xf numFmtId="0" fontId="7" fillId="0" borderId="9" xfId="0" applyFont="1" applyFill="1" applyBorder="1"/>
    <xf numFmtId="9" fontId="7" fillId="0" borderId="13" xfId="1" applyFont="1" applyBorder="1" applyAlignment="1">
      <alignment horizontal="center" vertical="center"/>
    </xf>
    <xf numFmtId="0" fontId="6" fillId="0" borderId="32" xfId="0" applyFont="1" applyBorder="1" applyAlignment="1">
      <alignment horizontal="center" vertical="center"/>
    </xf>
    <xf numFmtId="0" fontId="31" fillId="0" borderId="186" xfId="0" applyFont="1" applyBorder="1" applyAlignment="1">
      <alignment vertical="center" wrapText="1"/>
    </xf>
    <xf numFmtId="0" fontId="33" fillId="0" borderId="183" xfId="0" applyFont="1" applyBorder="1" applyAlignment="1">
      <alignment horizontal="center" vertical="center" wrapText="1"/>
    </xf>
    <xf numFmtId="0" fontId="6" fillId="0" borderId="183" xfId="0" applyFont="1" applyBorder="1" applyAlignment="1">
      <alignment horizontal="center"/>
    </xf>
    <xf numFmtId="0" fontId="6" fillId="0" borderId="189" xfId="0" applyFont="1" applyBorder="1" applyAlignment="1">
      <alignment horizontal="center"/>
    </xf>
    <xf numFmtId="0" fontId="6" fillId="0" borderId="33" xfId="0" applyFont="1" applyBorder="1"/>
    <xf numFmtId="169" fontId="6" fillId="0" borderId="1" xfId="0" applyNumberFormat="1" applyFont="1" applyFill="1" applyBorder="1" applyAlignment="1">
      <alignment horizontal="center" vertical="center" wrapText="1"/>
    </xf>
    <xf numFmtId="169" fontId="6" fillId="0" borderId="0" xfId="139" applyNumberFormat="1" applyFont="1" applyBorder="1" applyAlignment="1">
      <alignment horizontal="center" vertical="center" wrapText="1"/>
    </xf>
    <xf numFmtId="169" fontId="31" fillId="0" borderId="179"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69" fontId="6" fillId="0" borderId="0" xfId="0" applyNumberFormat="1" applyFont="1" applyBorder="1" applyAlignment="1">
      <alignment horizontal="center" vertical="center" wrapText="1"/>
    </xf>
    <xf numFmtId="169" fontId="10" fillId="0" borderId="1" xfId="0" applyNumberFormat="1" applyFont="1" applyBorder="1" applyAlignment="1">
      <alignment horizontal="center" vertical="center" wrapText="1"/>
    </xf>
    <xf numFmtId="169" fontId="10" fillId="0" borderId="0" xfId="139" applyNumberFormat="1" applyFont="1" applyBorder="1" applyAlignment="1">
      <alignment horizontal="center" vertical="center" wrapText="1"/>
    </xf>
    <xf numFmtId="169" fontId="44" fillId="0" borderId="179" xfId="0" applyNumberFormat="1" applyFont="1" applyBorder="1" applyAlignment="1">
      <alignment horizontal="center" vertical="center" wrapText="1"/>
    </xf>
    <xf numFmtId="169" fontId="10" fillId="0" borderId="0" xfId="0" applyNumberFormat="1" applyFont="1" applyBorder="1" applyAlignment="1">
      <alignment horizontal="center" vertical="center" wrapText="1"/>
    </xf>
    <xf numFmtId="3" fontId="10" fillId="0" borderId="8" xfId="0" applyNumberFormat="1" applyFont="1" applyBorder="1" applyAlignment="1">
      <alignment horizontal="center"/>
    </xf>
    <xf numFmtId="169" fontId="6" fillId="0" borderId="158" xfId="0" applyNumberFormat="1" applyFont="1" applyBorder="1" applyAlignment="1">
      <alignment horizontal="center" vertical="center" wrapText="1"/>
    </xf>
    <xf numFmtId="169" fontId="6" fillId="0" borderId="0" xfId="139" applyNumberFormat="1" applyFont="1" applyBorder="1" applyAlignment="1">
      <alignment vertical="center" wrapText="1"/>
    </xf>
    <xf numFmtId="169" fontId="7" fillId="0" borderId="1" xfId="0" applyNumberFormat="1" applyFont="1" applyBorder="1" applyAlignment="1">
      <alignment horizontal="center" vertical="center" wrapText="1"/>
    </xf>
    <xf numFmtId="169" fontId="6" fillId="0" borderId="0" xfId="0" applyNumberFormat="1" applyFont="1" applyBorder="1" applyAlignment="1">
      <alignment vertical="center" wrapText="1"/>
    </xf>
    <xf numFmtId="167" fontId="10" fillId="0" borderId="1" xfId="0" applyNumberFormat="1" applyFont="1" applyBorder="1" applyAlignment="1">
      <alignment horizontal="center" vertical="center" wrapText="1"/>
    </xf>
    <xf numFmtId="167" fontId="10" fillId="0" borderId="158" xfId="0" applyNumberFormat="1" applyFont="1" applyBorder="1" applyAlignment="1">
      <alignment horizontal="center" vertical="center" wrapText="1"/>
    </xf>
    <xf numFmtId="169" fontId="6" fillId="0" borderId="8" xfId="0" applyNumberFormat="1" applyFont="1" applyBorder="1" applyAlignment="1">
      <alignment horizontal="center"/>
    </xf>
    <xf numFmtId="169" fontId="31" fillId="0" borderId="185" xfId="0" applyNumberFormat="1" applyFont="1" applyBorder="1" applyAlignment="1">
      <alignment horizontal="center" vertical="center"/>
    </xf>
    <xf numFmtId="169" fontId="44" fillId="0" borderId="186" xfId="0" applyNumberFormat="1" applyFont="1" applyFill="1" applyBorder="1" applyAlignment="1">
      <alignment horizontal="center" vertical="center" wrapText="1"/>
    </xf>
    <xf numFmtId="169" fontId="44" fillId="0" borderId="183" xfId="0" applyNumberFormat="1" applyFont="1" applyFill="1" applyBorder="1" applyAlignment="1">
      <alignment horizontal="center" vertical="center" wrapText="1"/>
    </xf>
    <xf numFmtId="169" fontId="44" fillId="0" borderId="185" xfId="0" applyNumberFormat="1" applyFont="1" applyFill="1" applyBorder="1" applyAlignment="1">
      <alignment horizontal="center" vertical="center"/>
    </xf>
    <xf numFmtId="167" fontId="10" fillId="0" borderId="186" xfId="0" applyNumberFormat="1" applyFont="1" applyBorder="1" applyAlignment="1">
      <alignment horizontal="center" vertical="center" wrapText="1"/>
    </xf>
    <xf numFmtId="167" fontId="10" fillId="0" borderId="183" xfId="0" applyNumberFormat="1" applyFont="1" applyBorder="1" applyAlignment="1">
      <alignment horizontal="center" vertical="center" wrapText="1"/>
    </xf>
    <xf numFmtId="167" fontId="10" fillId="0" borderId="191" xfId="0" applyNumberFormat="1" applyFont="1" applyBorder="1" applyAlignment="1">
      <alignment horizontal="center" vertical="center" wrapText="1"/>
    </xf>
    <xf numFmtId="3" fontId="31" fillId="0" borderId="190" xfId="0" applyNumberFormat="1" applyFont="1" applyBorder="1" applyAlignment="1">
      <alignment horizontal="center" vertical="center" wrapText="1"/>
    </xf>
    <xf numFmtId="3" fontId="31" fillId="0" borderId="183" xfId="0" applyNumberFormat="1" applyFont="1" applyBorder="1" applyAlignment="1">
      <alignment horizontal="center" vertical="center"/>
    </xf>
    <xf numFmtId="3" fontId="31" fillId="0" borderId="189" xfId="0" applyNumberFormat="1" applyFont="1" applyBorder="1" applyAlignment="1">
      <alignment horizontal="center" vertical="center"/>
    </xf>
    <xf numFmtId="167" fontId="6" fillId="0" borderId="42" xfId="0" applyNumberFormat="1" applyFont="1" applyBorder="1" applyAlignment="1">
      <alignment horizontal="center"/>
    </xf>
    <xf numFmtId="167" fontId="6" fillId="0" borderId="8" xfId="0" applyNumberFormat="1" applyFont="1" applyBorder="1" applyAlignment="1">
      <alignment horizontal="center"/>
    </xf>
    <xf numFmtId="167" fontId="6" fillId="0" borderId="99" xfId="0" applyNumberFormat="1" applyFont="1" applyBorder="1" applyAlignment="1">
      <alignment horizontal="center"/>
    </xf>
    <xf numFmtId="167" fontId="6" fillId="0" borderId="19" xfId="0" applyNumberFormat="1" applyFont="1" applyBorder="1" applyAlignment="1">
      <alignment horizontal="center" vertical="center" wrapText="1"/>
    </xf>
    <xf numFmtId="167" fontId="6" fillId="0" borderId="13" xfId="0" applyNumberFormat="1" applyFont="1" applyBorder="1" applyAlignment="1">
      <alignment horizontal="center"/>
    </xf>
    <xf numFmtId="167" fontId="38" fillId="0" borderId="158" xfId="0" applyNumberFormat="1" applyFont="1" applyBorder="1" applyAlignment="1">
      <alignment horizontal="center" vertical="center" wrapText="1"/>
    </xf>
    <xf numFmtId="0" fontId="6" fillId="0" borderId="1" xfId="0" applyFont="1" applyBorder="1" applyAlignment="1">
      <alignment horizontal="center" vertical="center" wrapText="1"/>
    </xf>
    <xf numFmtId="167" fontId="6" fillId="0" borderId="3" xfId="0" applyNumberFormat="1" applyFont="1" applyFill="1" applyBorder="1" applyAlignment="1">
      <alignment horizontal="center" vertical="center" wrapText="1"/>
    </xf>
    <xf numFmtId="170" fontId="6" fillId="0" borderId="24" xfId="139" applyNumberFormat="1" applyFont="1" applyBorder="1" applyAlignment="1">
      <alignment vertical="center" wrapText="1"/>
    </xf>
    <xf numFmtId="167" fontId="6" fillId="0" borderId="1" xfId="0" applyNumberFormat="1" applyFont="1" applyBorder="1" applyAlignment="1">
      <alignment horizontal="center" vertical="center" wrapText="1"/>
    </xf>
    <xf numFmtId="170" fontId="6" fillId="0" borderId="0" xfId="139" applyNumberFormat="1" applyFont="1" applyBorder="1" applyAlignment="1">
      <alignment vertical="center" wrapText="1"/>
    </xf>
    <xf numFmtId="43" fontId="6" fillId="0" borderId="0" xfId="0" applyNumberFormat="1" applyFont="1"/>
    <xf numFmtId="167" fontId="6" fillId="0" borderId="1" xfId="0" applyNumberFormat="1" applyFont="1" applyFill="1" applyBorder="1" applyAlignment="1">
      <alignment horizontal="center" vertical="center" wrapText="1"/>
    </xf>
    <xf numFmtId="167" fontId="10" fillId="0" borderId="1"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wrapText="1"/>
    </xf>
    <xf numFmtId="170" fontId="10" fillId="0" borderId="0" xfId="139" applyNumberFormat="1" applyFont="1" applyFill="1" applyBorder="1" applyAlignment="1">
      <alignment vertical="center" wrapText="1"/>
    </xf>
    <xf numFmtId="167" fontId="44" fillId="0" borderId="179" xfId="0" applyNumberFormat="1" applyFont="1" applyBorder="1" applyAlignment="1">
      <alignment horizontal="center" vertical="center" wrapText="1"/>
    </xf>
    <xf numFmtId="170" fontId="6" fillId="0" borderId="10" xfId="139" applyNumberFormat="1" applyFont="1" applyBorder="1" applyAlignment="1">
      <alignment vertical="center" wrapText="1"/>
    </xf>
    <xf numFmtId="167" fontId="6" fillId="0" borderId="0" xfId="0" applyNumberFormat="1" applyFont="1" applyBorder="1" applyAlignment="1">
      <alignment vertical="center" wrapText="1"/>
    </xf>
    <xf numFmtId="0" fontId="6" fillId="0" borderId="179" xfId="0" applyFont="1" applyBorder="1"/>
    <xf numFmtId="0" fontId="6" fillId="0" borderId="23" xfId="0" applyFont="1" applyBorder="1"/>
    <xf numFmtId="0" fontId="6" fillId="0" borderId="13" xfId="0" applyFont="1" applyBorder="1"/>
    <xf numFmtId="0" fontId="33" fillId="0" borderId="191" xfId="0" applyFont="1" applyBorder="1" applyAlignment="1">
      <alignment horizontal="center" vertical="center" wrapText="1"/>
    </xf>
    <xf numFmtId="0" fontId="6" fillId="0" borderId="30" xfId="0" applyFont="1" applyBorder="1"/>
    <xf numFmtId="9" fontId="6" fillId="0" borderId="1" xfId="1" applyFont="1" applyFill="1" applyBorder="1" applyAlignment="1">
      <alignment horizontal="center" vertical="center" wrapText="1"/>
    </xf>
    <xf numFmtId="9" fontId="31" fillId="0" borderId="179" xfId="1" applyFont="1" applyBorder="1" applyAlignment="1">
      <alignment horizontal="center" vertical="center" wrapText="1"/>
    </xf>
    <xf numFmtId="9" fontId="6" fillId="0" borderId="1" xfId="1" applyFont="1" applyBorder="1" applyAlignment="1">
      <alignment horizontal="center" vertical="center" wrapText="1"/>
    </xf>
    <xf numFmtId="9" fontId="6" fillId="0" borderId="0" xfId="0" applyNumberFormat="1" applyFont="1" applyBorder="1" applyAlignment="1">
      <alignment horizontal="center"/>
    </xf>
    <xf numFmtId="9" fontId="6" fillId="0" borderId="158" xfId="0" applyNumberFormat="1" applyFont="1" applyBorder="1" applyAlignment="1">
      <alignment horizontal="center"/>
    </xf>
    <xf numFmtId="9" fontId="6" fillId="0" borderId="131" xfId="1" applyFont="1" applyBorder="1" applyAlignment="1">
      <alignment horizontal="center" vertical="center" wrapText="1"/>
    </xf>
    <xf numFmtId="9" fontId="6" fillId="0" borderId="132" xfId="1" applyFont="1" applyBorder="1" applyAlignment="1">
      <alignment horizontal="center" vertical="center" wrapText="1"/>
    </xf>
    <xf numFmtId="9" fontId="6" fillId="0" borderId="131" xfId="0" applyNumberFormat="1" applyFont="1" applyBorder="1" applyAlignment="1">
      <alignment horizontal="center"/>
    </xf>
    <xf numFmtId="9" fontId="6" fillId="0" borderId="133" xfId="0" applyNumberFormat="1" applyFont="1" applyBorder="1" applyAlignment="1">
      <alignment horizontal="center"/>
    </xf>
    <xf numFmtId="0" fontId="28" fillId="0" borderId="183" xfId="341" applyFont="1" applyBorder="1" applyAlignment="1">
      <alignment horizontal="center"/>
    </xf>
    <xf numFmtId="0" fontId="10" fillId="0" borderId="160" xfId="341" applyFont="1" applyBorder="1" applyAlignment="1">
      <alignment horizontal="center"/>
    </xf>
    <xf numFmtId="3" fontId="47" fillId="0" borderId="46" xfId="341" applyNumberFormat="1" applyFont="1" applyBorder="1" applyAlignment="1">
      <alignment horizontal="center" vertical="center"/>
    </xf>
    <xf numFmtId="3" fontId="47" fillId="0" borderId="46" xfId="341" applyNumberFormat="1" applyFont="1" applyFill="1" applyBorder="1" applyAlignment="1">
      <alignment horizontal="center" vertical="center"/>
    </xf>
    <xf numFmtId="3" fontId="47" fillId="0" borderId="49" xfId="341" applyNumberFormat="1" applyFont="1" applyBorder="1" applyAlignment="1">
      <alignment horizontal="center" vertical="center"/>
    </xf>
    <xf numFmtId="3" fontId="47" fillId="0" borderId="49" xfId="341" applyNumberFormat="1" applyFont="1" applyFill="1" applyBorder="1" applyAlignment="1">
      <alignment horizontal="center" vertical="center"/>
    </xf>
    <xf numFmtId="3" fontId="46" fillId="0" borderId="18" xfId="341" applyNumberFormat="1" applyFont="1" applyBorder="1" applyAlignment="1">
      <alignment horizontal="center" vertical="center"/>
    </xf>
    <xf numFmtId="3" fontId="47" fillId="0" borderId="10" xfId="341" applyNumberFormat="1" applyFont="1" applyBorder="1" applyAlignment="1">
      <alignment horizontal="center" vertical="center"/>
    </xf>
    <xf numFmtId="3" fontId="47" fillId="0" borderId="10" xfId="341" applyNumberFormat="1" applyFont="1" applyFill="1" applyBorder="1" applyAlignment="1">
      <alignment horizontal="center" vertical="center"/>
    </xf>
    <xf numFmtId="3" fontId="47" fillId="0" borderId="24" xfId="341" applyNumberFormat="1" applyFont="1" applyBorder="1" applyAlignment="1">
      <alignment horizontal="center" vertical="center"/>
    </xf>
    <xf numFmtId="3" fontId="47" fillId="0" borderId="24" xfId="341" applyNumberFormat="1" applyFont="1" applyFill="1" applyBorder="1" applyAlignment="1">
      <alignment horizontal="center" vertical="center"/>
    </xf>
    <xf numFmtId="0" fontId="28" fillId="0" borderId="189" xfId="341" applyFont="1" applyBorder="1" applyAlignment="1">
      <alignment horizontal="center"/>
    </xf>
    <xf numFmtId="0" fontId="10" fillId="0" borderId="7" xfId="592" applyFont="1" applyBorder="1"/>
    <xf numFmtId="3" fontId="10" fillId="0" borderId="0" xfId="592" applyNumberFormat="1" applyFont="1" applyBorder="1" applyAlignment="1">
      <alignment horizontal="center"/>
    </xf>
    <xf numFmtId="3" fontId="10" fillId="0" borderId="1" xfId="592" applyNumberFormat="1" applyFont="1" applyBorder="1" applyAlignment="1">
      <alignment horizontal="center"/>
    </xf>
    <xf numFmtId="3" fontId="10" fillId="0" borderId="135" xfId="592" applyNumberFormat="1" applyFont="1" applyBorder="1" applyAlignment="1">
      <alignment horizontal="center"/>
    </xf>
    <xf numFmtId="3" fontId="10" fillId="0" borderId="0" xfId="592" applyNumberFormat="1" applyFont="1" applyAlignment="1">
      <alignment horizontal="center"/>
    </xf>
    <xf numFmtId="0" fontId="10" fillId="0" borderId="7" xfId="737" applyFont="1" applyBorder="1"/>
    <xf numFmtId="0" fontId="7" fillId="0" borderId="7" xfId="737" applyFont="1" applyBorder="1"/>
    <xf numFmtId="0" fontId="10" fillId="0" borderId="7" xfId="592" applyFont="1" applyFill="1" applyBorder="1"/>
    <xf numFmtId="0" fontId="28" fillId="0" borderId="179" xfId="592" applyFont="1" applyBorder="1"/>
    <xf numFmtId="3" fontId="10" fillId="0" borderId="185" xfId="592" applyNumberFormat="1" applyFont="1" applyBorder="1" applyAlignment="1">
      <alignment horizontal="center"/>
    </xf>
    <xf numFmtId="3" fontId="10" fillId="0" borderId="183" xfId="592" applyNumberFormat="1" applyFont="1" applyBorder="1" applyAlignment="1">
      <alignment horizontal="center"/>
    </xf>
    <xf numFmtId="3" fontId="10" fillId="0" borderId="186" xfId="592" applyNumberFormat="1" applyFont="1" applyBorder="1" applyAlignment="1">
      <alignment horizontal="center"/>
    </xf>
    <xf numFmtId="3" fontId="10" fillId="0" borderId="192" xfId="592" applyNumberFormat="1" applyFont="1" applyBorder="1" applyAlignment="1">
      <alignment horizontal="center"/>
    </xf>
    <xf numFmtId="0" fontId="10" fillId="0" borderId="8" xfId="592" applyFont="1" applyBorder="1"/>
    <xf numFmtId="0" fontId="10" fillId="0" borderId="33" xfId="592" applyFont="1" applyBorder="1"/>
    <xf numFmtId="0" fontId="10" fillId="0" borderId="30" xfId="592" applyFont="1" applyBorder="1" applyAlignment="1">
      <alignment vertical="center"/>
    </xf>
    <xf numFmtId="0" fontId="10" fillId="0" borderId="0" xfId="592" applyFont="1" applyBorder="1" applyAlignment="1">
      <alignment vertical="center"/>
    </xf>
    <xf numFmtId="0" fontId="10" fillId="0" borderId="7" xfId="592" applyFont="1" applyBorder="1" applyAlignment="1">
      <alignment horizontal="center" vertical="center" wrapText="1"/>
    </xf>
    <xf numFmtId="0" fontId="10" fillId="0" borderId="33" xfId="592" applyFont="1" applyBorder="1" applyAlignment="1">
      <alignment vertical="center"/>
    </xf>
    <xf numFmtId="169" fontId="10" fillId="0" borderId="3" xfId="592" applyNumberFormat="1" applyFont="1" applyBorder="1" applyAlignment="1">
      <alignment horizontal="center" vertical="center"/>
    </xf>
    <xf numFmtId="169" fontId="10" fillId="0" borderId="24" xfId="592" applyNumberFormat="1" applyFont="1" applyBorder="1" applyAlignment="1">
      <alignment horizontal="center" vertical="center"/>
    </xf>
    <xf numFmtId="0" fontId="10" fillId="0" borderId="30" xfId="592" applyFont="1" applyBorder="1" applyAlignment="1">
      <alignment horizontal="left" vertical="center"/>
    </xf>
    <xf numFmtId="4" fontId="10" fillId="0" borderId="0" xfId="592" applyNumberFormat="1" applyFont="1" applyAlignment="1">
      <alignment horizontal="center"/>
    </xf>
    <xf numFmtId="0" fontId="10" fillId="0" borderId="7" xfId="592" applyFont="1" applyBorder="1" applyAlignment="1">
      <alignment vertical="center"/>
    </xf>
    <xf numFmtId="169" fontId="10" fillId="0" borderId="1" xfId="592" applyNumberFormat="1" applyFont="1" applyBorder="1" applyAlignment="1">
      <alignment horizontal="center" vertical="center"/>
    </xf>
    <xf numFmtId="169" fontId="10" fillId="0" borderId="0" xfId="592" applyNumberFormat="1" applyFont="1" applyBorder="1" applyAlignment="1">
      <alignment horizontal="center" vertical="center"/>
    </xf>
    <xf numFmtId="0" fontId="10" fillId="0" borderId="98" xfId="592" applyFont="1" applyBorder="1" applyAlignment="1">
      <alignment horizontal="left" vertical="center"/>
    </xf>
    <xf numFmtId="0" fontId="10" fillId="0" borderId="0" xfId="592" applyFont="1" applyAlignment="1">
      <alignment horizontal="center"/>
    </xf>
    <xf numFmtId="4" fontId="10" fillId="0" borderId="1" xfId="592" applyNumberFormat="1" applyFont="1" applyBorder="1" applyAlignment="1">
      <alignment horizontal="center" vertical="center"/>
    </xf>
    <xf numFmtId="4" fontId="10" fillId="0" borderId="0" xfId="592" applyNumberFormat="1" applyFont="1" applyBorder="1" applyAlignment="1">
      <alignment horizontal="center" vertical="center"/>
    </xf>
    <xf numFmtId="0" fontId="10" fillId="0" borderId="1" xfId="592" applyFont="1" applyBorder="1" applyAlignment="1">
      <alignment horizontal="center" vertical="center"/>
    </xf>
    <xf numFmtId="0" fontId="10" fillId="0" borderId="0" xfId="592" applyFont="1" applyBorder="1" applyAlignment="1">
      <alignment horizontal="center" vertical="center"/>
    </xf>
    <xf numFmtId="169" fontId="10" fillId="0" borderId="0" xfId="592" applyNumberFormat="1" applyFont="1" applyAlignment="1">
      <alignment horizontal="center"/>
    </xf>
    <xf numFmtId="0" fontId="6" fillId="0" borderId="0" xfId="1105" applyFont="1" applyBorder="1" applyAlignment="1">
      <alignment horizontal="center" vertical="center"/>
    </xf>
    <xf numFmtId="0" fontId="6" fillId="0" borderId="8" xfId="1105" applyFont="1" applyBorder="1" applyAlignment="1">
      <alignment horizontal="center" vertical="center" wrapText="1"/>
    </xf>
    <xf numFmtId="0" fontId="6" fillId="0" borderId="0" xfId="0" applyFont="1" applyAlignment="1">
      <alignment horizontal="center" vertical="center"/>
    </xf>
    <xf numFmtId="0" fontId="6" fillId="0" borderId="7" xfId="1105" applyFont="1" applyBorder="1" applyAlignment="1">
      <alignment wrapText="1"/>
    </xf>
    <xf numFmtId="3" fontId="6" fillId="0" borderId="0" xfId="1105" applyNumberFormat="1" applyFont="1" applyBorder="1" applyAlignment="1">
      <alignment horizontal="center" vertical="center"/>
    </xf>
    <xf numFmtId="9" fontId="6" fillId="0" borderId="8" xfId="1106" applyFont="1" applyBorder="1" applyAlignment="1">
      <alignment horizontal="center" vertical="center"/>
    </xf>
    <xf numFmtId="0" fontId="7" fillId="0" borderId="7" xfId="1105" applyFont="1" applyBorder="1" applyAlignment="1">
      <alignment wrapText="1"/>
    </xf>
    <xf numFmtId="0" fontId="6" fillId="0" borderId="8" xfId="1105" applyFont="1" applyBorder="1" applyAlignment="1">
      <alignment horizontal="center" vertical="center"/>
    </xf>
    <xf numFmtId="9" fontId="6" fillId="0" borderId="8" xfId="1" applyFont="1" applyBorder="1" applyAlignment="1">
      <alignment horizontal="center" vertical="center"/>
    </xf>
    <xf numFmtId="0" fontId="6" fillId="0" borderId="7" xfId="0" applyFont="1" applyBorder="1" applyAlignment="1">
      <alignment wrapText="1"/>
    </xf>
    <xf numFmtId="0" fontId="6" fillId="0" borderId="8" xfId="0" applyFont="1" applyBorder="1" applyAlignment="1">
      <alignment horizontal="center" vertical="center"/>
    </xf>
    <xf numFmtId="9" fontId="6" fillId="0" borderId="8" xfId="1106" applyNumberFormat="1" applyFont="1" applyBorder="1" applyAlignment="1">
      <alignment horizontal="center" vertical="center"/>
    </xf>
    <xf numFmtId="3" fontId="6" fillId="0" borderId="0" xfId="0" applyNumberFormat="1" applyFont="1" applyBorder="1" applyAlignment="1">
      <alignment horizontal="center" vertical="center"/>
    </xf>
    <xf numFmtId="171" fontId="6" fillId="0" borderId="8" xfId="1" applyNumberFormat="1" applyFont="1" applyBorder="1" applyAlignment="1">
      <alignment horizontal="center" vertical="center"/>
    </xf>
    <xf numFmtId="0" fontId="7" fillId="0" borderId="7" xfId="1105" applyFont="1" applyBorder="1"/>
    <xf numFmtId="0" fontId="7" fillId="0" borderId="142" xfId="1105" applyFont="1" applyBorder="1" applyAlignment="1">
      <alignment horizontal="center"/>
    </xf>
    <xf numFmtId="0" fontId="7" fillId="0" borderId="185" xfId="1105" applyFont="1" applyBorder="1" applyAlignment="1">
      <alignment horizontal="center" vertical="center" wrapText="1"/>
    </xf>
    <xf numFmtId="0" fontId="7" fillId="0" borderId="183" xfId="1105" applyFont="1" applyBorder="1" applyAlignment="1">
      <alignment horizontal="center" vertical="center" wrapText="1"/>
    </xf>
    <xf numFmtId="0" fontId="7" fillId="0" borderId="192" xfId="1105" applyFont="1" applyBorder="1" applyAlignment="1">
      <alignment horizontal="center" vertical="center" wrapText="1"/>
    </xf>
    <xf numFmtId="3" fontId="7" fillId="0" borderId="98" xfId="571" applyNumberFormat="1" applyFont="1" applyBorder="1" applyAlignment="1">
      <alignment horizontal="center"/>
    </xf>
    <xf numFmtId="3" fontId="7" fillId="0" borderId="0" xfId="571" applyNumberFormat="1" applyFont="1" applyBorder="1" applyAlignment="1">
      <alignment horizontal="center"/>
    </xf>
    <xf numFmtId="3" fontId="7" fillId="0" borderId="0" xfId="1105" applyNumberFormat="1" applyFont="1" applyBorder="1" applyAlignment="1">
      <alignment horizontal="center"/>
    </xf>
    <xf numFmtId="9" fontId="7" fillId="0" borderId="135" xfId="1106" applyFont="1" applyBorder="1" applyAlignment="1">
      <alignment horizontal="center"/>
    </xf>
    <xf numFmtId="0" fontId="7" fillId="0" borderId="9" xfId="1105" applyFont="1" applyBorder="1"/>
    <xf numFmtId="3" fontId="7" fillId="0" borderId="18" xfId="571" applyNumberFormat="1" applyFont="1" applyBorder="1" applyAlignment="1">
      <alignment horizontal="center"/>
    </xf>
    <xf numFmtId="3" fontId="7" fillId="0" borderId="10" xfId="571" applyNumberFormat="1" applyFont="1" applyBorder="1" applyAlignment="1">
      <alignment horizontal="center"/>
    </xf>
    <xf numFmtId="3" fontId="7" fillId="0" borderId="10" xfId="1105" applyNumberFormat="1" applyFont="1" applyBorder="1" applyAlignment="1">
      <alignment horizontal="center"/>
    </xf>
    <xf numFmtId="9" fontId="7" fillId="0" borderId="136" xfId="1106" applyFont="1" applyBorder="1" applyAlignment="1">
      <alignment horizontal="center"/>
    </xf>
    <xf numFmtId="1" fontId="6" fillId="0" borderId="0" xfId="0" applyNumberFormat="1" applyFont="1"/>
    <xf numFmtId="0" fontId="6" fillId="0" borderId="0" xfId="0" applyFont="1" applyAlignment="1">
      <alignment vertical="center" wrapText="1"/>
    </xf>
    <xf numFmtId="3" fontId="31" fillId="0" borderId="179" xfId="139" applyNumberFormat="1" applyFont="1" applyBorder="1" applyAlignment="1">
      <alignment horizontal="center"/>
    </xf>
    <xf numFmtId="3" fontId="6" fillId="0" borderId="0" xfId="139" applyNumberFormat="1" applyFont="1" applyBorder="1" applyAlignment="1">
      <alignment horizontal="center" vertical="center"/>
    </xf>
    <xf numFmtId="171" fontId="6" fillId="0" borderId="0" xfId="1" applyNumberFormat="1" applyFont="1" applyFill="1"/>
    <xf numFmtId="3" fontId="31" fillId="0" borderId="179" xfId="139" applyNumberFormat="1" applyFont="1" applyFill="1" applyBorder="1" applyAlignment="1">
      <alignment horizontal="center"/>
    </xf>
    <xf numFmtId="3" fontId="6" fillId="0" borderId="0" xfId="139" applyNumberFormat="1" applyFont="1" applyFill="1" applyBorder="1" applyAlignment="1">
      <alignment horizontal="center" vertical="center"/>
    </xf>
    <xf numFmtId="3" fontId="6" fillId="0" borderId="158" xfId="0" applyNumberFormat="1" applyFont="1" applyFill="1" applyBorder="1" applyAlignment="1">
      <alignment horizontal="center" vertical="center" wrapText="1"/>
    </xf>
    <xf numFmtId="3" fontId="6" fillId="0" borderId="8" xfId="0" applyNumberFormat="1" applyFont="1" applyFill="1" applyBorder="1" applyAlignment="1">
      <alignment horizontal="center" vertical="center" wrapText="1"/>
    </xf>
    <xf numFmtId="3" fontId="6" fillId="0" borderId="98" xfId="0" applyNumberFormat="1" applyFont="1" applyBorder="1"/>
    <xf numFmtId="3" fontId="31" fillId="0" borderId="179" xfId="0" applyNumberFormat="1" applyFont="1" applyBorder="1" applyAlignment="1">
      <alignment horizontal="center"/>
    </xf>
    <xf numFmtId="0" fontId="31" fillId="0" borderId="184" xfId="0" applyFont="1" applyBorder="1" applyAlignment="1">
      <alignment horizontal="center" vertical="center"/>
    </xf>
    <xf numFmtId="3" fontId="31" fillId="0" borderId="190" xfId="139" applyNumberFormat="1" applyFont="1" applyBorder="1" applyAlignment="1">
      <alignment horizontal="center" vertical="center"/>
    </xf>
    <xf numFmtId="3" fontId="31" fillId="0" borderId="183" xfId="0" applyNumberFormat="1" applyFont="1" applyBorder="1" applyAlignment="1">
      <alignment horizontal="center" vertical="center" wrapText="1"/>
    </xf>
    <xf numFmtId="3" fontId="31" fillId="0" borderId="185" xfId="0" applyNumberFormat="1" applyFont="1" applyBorder="1" applyAlignment="1">
      <alignment horizontal="center" vertical="center"/>
    </xf>
    <xf numFmtId="3" fontId="31" fillId="0" borderId="186" xfId="0" applyNumberFormat="1" applyFont="1" applyBorder="1" applyAlignment="1">
      <alignment horizontal="center" vertical="center" wrapText="1"/>
    </xf>
    <xf numFmtId="3" fontId="31" fillId="0" borderId="191" xfId="0" applyNumberFormat="1" applyFont="1" applyBorder="1" applyAlignment="1">
      <alignment horizontal="center" vertical="center" wrapText="1"/>
    </xf>
    <xf numFmtId="3" fontId="31" fillId="0" borderId="193" xfId="139" applyNumberFormat="1" applyFont="1" applyBorder="1" applyAlignment="1">
      <alignment horizontal="center" vertical="center"/>
    </xf>
    <xf numFmtId="3" fontId="31" fillId="0" borderId="189" xfId="0" applyNumberFormat="1" applyFont="1" applyBorder="1" applyAlignment="1">
      <alignment horizontal="center" vertical="center" wrapText="1"/>
    </xf>
    <xf numFmtId="10" fontId="6" fillId="0" borderId="0" xfId="1" applyNumberFormat="1" applyFont="1"/>
    <xf numFmtId="3" fontId="31" fillId="0" borderId="179" xfId="139" applyNumberFormat="1" applyFont="1" applyBorder="1" applyAlignment="1">
      <alignment horizontal="center" vertical="center"/>
    </xf>
    <xf numFmtId="176" fontId="6" fillId="0" borderId="0" xfId="0" applyNumberFormat="1" applyFont="1"/>
    <xf numFmtId="0" fontId="7" fillId="0" borderId="15" xfId="0" applyFont="1" applyBorder="1"/>
    <xf numFmtId="9" fontId="6" fillId="0" borderId="16" xfId="1" applyFont="1" applyBorder="1"/>
    <xf numFmtId="9" fontId="6" fillId="0" borderId="17" xfId="1" applyFont="1" applyBorder="1"/>
    <xf numFmtId="165" fontId="6" fillId="0" borderId="0" xfId="139" applyFont="1"/>
    <xf numFmtId="3" fontId="10" fillId="0" borderId="8" xfId="0" applyNumberFormat="1" applyFont="1" applyBorder="1" applyAlignment="1">
      <alignment horizontal="center" vertical="center" wrapText="1"/>
    </xf>
    <xf numFmtId="3" fontId="6" fillId="0" borderId="0" xfId="0" applyNumberFormat="1" applyFont="1" applyAlignment="1">
      <alignment horizontal="center" vertical="center" wrapText="1"/>
    </xf>
    <xf numFmtId="168" fontId="6" fillId="0" borderId="0" xfId="139" applyNumberFormat="1" applyFont="1"/>
    <xf numFmtId="0" fontId="7" fillId="0" borderId="2" xfId="0" applyFont="1" applyBorder="1" applyAlignment="1">
      <alignment horizontal="center" vertical="center" wrapText="1"/>
    </xf>
    <xf numFmtId="0" fontId="6" fillId="0" borderId="0" xfId="0" applyFont="1" applyBorder="1" applyAlignment="1">
      <alignment vertical="center" wrapText="1"/>
    </xf>
    <xf numFmtId="0" fontId="31" fillId="0" borderId="188" xfId="0" applyFont="1" applyBorder="1" applyAlignment="1">
      <alignment horizontal="center" vertical="center" wrapText="1"/>
    </xf>
    <xf numFmtId="9" fontId="7" fillId="0" borderId="0" xfId="1" applyFont="1" applyBorder="1" applyAlignment="1">
      <alignment horizontal="center"/>
    </xf>
    <xf numFmtId="9" fontId="7" fillId="0" borderId="2" xfId="1" applyFont="1" applyBorder="1" applyAlignment="1">
      <alignment horizontal="center"/>
    </xf>
    <xf numFmtId="9" fontId="7" fillId="0" borderId="8" xfId="1" applyFont="1" applyBorder="1" applyAlignment="1">
      <alignment horizontal="center"/>
    </xf>
    <xf numFmtId="9" fontId="6" fillId="0" borderId="98" xfId="1" applyFont="1" applyBorder="1"/>
    <xf numFmtId="9" fontId="6" fillId="0" borderId="2" xfId="1" applyFont="1" applyBorder="1" applyAlignment="1">
      <alignment horizontal="center"/>
    </xf>
    <xf numFmtId="9" fontId="6" fillId="0" borderId="183" xfId="1" applyFont="1" applyBorder="1" applyAlignment="1">
      <alignment horizontal="center"/>
    </xf>
    <xf numFmtId="9" fontId="31" fillId="0" borderId="185" xfId="1" applyFont="1" applyBorder="1" applyAlignment="1">
      <alignment horizontal="center" vertical="center"/>
    </xf>
    <xf numFmtId="9" fontId="31" fillId="0" borderId="183" xfId="1" applyFont="1" applyBorder="1" applyAlignment="1">
      <alignment horizontal="center" vertical="center" wrapText="1"/>
    </xf>
    <xf numFmtId="9" fontId="31" fillId="0" borderId="183" xfId="1" applyFont="1" applyBorder="1" applyAlignment="1">
      <alignment horizontal="center" vertical="center"/>
    </xf>
    <xf numFmtId="9" fontId="31" fillId="0" borderId="189" xfId="1" applyFont="1" applyBorder="1" applyAlignment="1">
      <alignment horizontal="center" vertical="center"/>
    </xf>
    <xf numFmtId="0" fontId="7" fillId="0" borderId="188" xfId="0" applyFont="1" applyBorder="1" applyAlignment="1">
      <alignment horizontal="center" vertical="center" wrapText="1"/>
    </xf>
    <xf numFmtId="9" fontId="7" fillId="0" borderId="24" xfId="1" applyFont="1" applyBorder="1" applyAlignment="1">
      <alignment horizontal="center" vertical="center" wrapText="1"/>
    </xf>
    <xf numFmtId="9" fontId="7" fillId="0" borderId="34" xfId="1" applyFont="1" applyBorder="1" applyAlignment="1">
      <alignment horizontal="center" vertical="center" wrapText="1"/>
    </xf>
    <xf numFmtId="9" fontId="7" fillId="0" borderId="31" xfId="1" applyFont="1" applyBorder="1" applyAlignment="1">
      <alignment horizontal="center" vertical="center" wrapText="1"/>
    </xf>
    <xf numFmtId="3" fontId="10" fillId="0" borderId="98" xfId="0" applyNumberFormat="1" applyFont="1" applyBorder="1" applyAlignment="1">
      <alignment horizontal="center"/>
    </xf>
    <xf numFmtId="9" fontId="7" fillId="0" borderId="158" xfId="1" applyFont="1" applyBorder="1" applyAlignment="1">
      <alignment horizontal="center"/>
    </xf>
    <xf numFmtId="0" fontId="10" fillId="0" borderId="98" xfId="0" applyFont="1" applyFill="1" applyBorder="1"/>
    <xf numFmtId="3" fontId="31" fillId="0" borderId="179" xfId="1" applyNumberFormat="1" applyFont="1" applyBorder="1" applyAlignment="1">
      <alignment horizontal="center" vertical="center"/>
    </xf>
    <xf numFmtId="9" fontId="7" fillId="0" borderId="0" xfId="1" applyFont="1" applyBorder="1" applyAlignment="1">
      <alignment horizontal="center" vertical="center" wrapText="1"/>
    </xf>
    <xf numFmtId="9" fontId="7" fillId="0" borderId="2" xfId="1" applyFont="1" applyBorder="1" applyAlignment="1">
      <alignment horizontal="center" vertical="center"/>
    </xf>
    <xf numFmtId="9" fontId="7" fillId="0" borderId="158" xfId="1" applyFont="1" applyBorder="1" applyAlignment="1">
      <alignment horizontal="center" vertical="center"/>
    </xf>
    <xf numFmtId="0" fontId="31" fillId="0" borderId="185" xfId="0" applyFont="1" applyBorder="1" applyAlignment="1">
      <alignment horizontal="center" vertical="center"/>
    </xf>
    <xf numFmtId="3" fontId="44" fillId="0" borderId="193" xfId="0" applyNumberFormat="1" applyFont="1" applyBorder="1" applyAlignment="1">
      <alignment horizontal="center" vertical="center"/>
    </xf>
    <xf numFmtId="9" fontId="31" fillId="0" borderId="191" xfId="1" applyFont="1" applyBorder="1" applyAlignment="1">
      <alignment horizontal="center" vertical="center"/>
    </xf>
    <xf numFmtId="0" fontId="31" fillId="0" borderId="191" xfId="0" applyFont="1" applyBorder="1" applyAlignment="1">
      <alignment horizontal="center" vertical="center" wrapText="1"/>
    </xf>
    <xf numFmtId="9" fontId="10" fillId="0" borderId="158" xfId="1" applyFont="1" applyBorder="1" applyAlignment="1">
      <alignment horizontal="center"/>
    </xf>
    <xf numFmtId="167" fontId="6" fillId="0" borderId="98" xfId="1" applyNumberFormat="1" applyFont="1" applyBorder="1" applyAlignment="1">
      <alignment horizontal="center"/>
    </xf>
    <xf numFmtId="167" fontId="6" fillId="0" borderId="0" xfId="1" applyNumberFormat="1" applyFont="1" applyBorder="1" applyAlignment="1">
      <alignment horizontal="center"/>
    </xf>
    <xf numFmtId="167" fontId="6" fillId="0" borderId="2" xfId="1" applyNumberFormat="1" applyFont="1" applyBorder="1" applyAlignment="1">
      <alignment horizontal="center"/>
    </xf>
    <xf numFmtId="167" fontId="6" fillId="0" borderId="158" xfId="1" applyNumberFormat="1" applyFont="1" applyBorder="1" applyAlignment="1">
      <alignment horizontal="center"/>
    </xf>
    <xf numFmtId="0" fontId="10" fillId="0" borderId="158" xfId="0" applyFont="1" applyBorder="1" applyAlignment="1">
      <alignment horizontal="center"/>
    </xf>
    <xf numFmtId="2" fontId="6" fillId="0" borderId="0" xfId="653" applyNumberFormat="1" applyFont="1"/>
    <xf numFmtId="2" fontId="6" fillId="0" borderId="0" xfId="0" applyNumberFormat="1" applyFont="1"/>
    <xf numFmtId="9" fontId="6" fillId="0" borderId="2" xfId="1" applyFont="1" applyBorder="1" applyAlignment="1">
      <alignment horizontal="center" vertical="center"/>
    </xf>
    <xf numFmtId="9" fontId="6" fillId="0" borderId="2" xfId="1" applyFont="1" applyBorder="1" applyAlignment="1">
      <alignment horizontal="center" vertical="center" wrapText="1"/>
    </xf>
    <xf numFmtId="3" fontId="10" fillId="0" borderId="185" xfId="0" applyNumberFormat="1" applyFont="1" applyBorder="1" applyAlignment="1">
      <alignment horizontal="center" vertical="center"/>
    </xf>
    <xf numFmtId="9" fontId="10" fillId="0" borderId="191" xfId="1" applyFont="1" applyBorder="1" applyAlignment="1">
      <alignment horizontal="center" vertical="center"/>
    </xf>
    <xf numFmtId="2" fontId="6" fillId="0" borderId="185" xfId="1" applyNumberFormat="1" applyFont="1" applyBorder="1" applyAlignment="1">
      <alignment horizontal="center" vertical="center"/>
    </xf>
    <xf numFmtId="2" fontId="6" fillId="0" borderId="183" xfId="1" applyNumberFormat="1" applyFont="1" applyBorder="1" applyAlignment="1">
      <alignment horizontal="center" vertical="center" wrapText="1"/>
    </xf>
    <xf numFmtId="2" fontId="6" fillId="0" borderId="183" xfId="1" applyNumberFormat="1" applyFont="1" applyBorder="1" applyAlignment="1">
      <alignment horizontal="center" vertical="center"/>
    </xf>
    <xf numFmtId="2" fontId="6" fillId="0" borderId="191" xfId="1" applyNumberFormat="1" applyFont="1" applyBorder="1" applyAlignment="1">
      <alignment horizontal="center" vertical="center"/>
    </xf>
    <xf numFmtId="9" fontId="6" fillId="0" borderId="185" xfId="1" applyFont="1" applyBorder="1" applyAlignment="1">
      <alignment horizontal="center" vertical="center"/>
    </xf>
    <xf numFmtId="9" fontId="6" fillId="0" borderId="183" xfId="1" applyFont="1" applyBorder="1" applyAlignment="1">
      <alignment horizontal="center" vertical="center" wrapText="1"/>
    </xf>
    <xf numFmtId="9" fontId="6" fillId="0" borderId="183" xfId="1" applyFont="1" applyBorder="1" applyAlignment="1">
      <alignment horizontal="center" vertical="center"/>
    </xf>
    <xf numFmtId="9" fontId="6" fillId="0" borderId="188" xfId="1" applyFont="1" applyBorder="1" applyAlignment="1">
      <alignment horizontal="center" vertical="center" wrapText="1"/>
    </xf>
    <xf numFmtId="9" fontId="6" fillId="0" borderId="189" xfId="1" applyFont="1" applyBorder="1" applyAlignment="1">
      <alignment horizontal="center" vertical="center"/>
    </xf>
    <xf numFmtId="9" fontId="6" fillId="0" borderId="98" xfId="1" applyFont="1" applyBorder="1" applyAlignment="1">
      <alignment horizontal="center" vertical="center"/>
    </xf>
    <xf numFmtId="167" fontId="6" fillId="0" borderId="10" xfId="1" applyNumberFormat="1" applyFont="1" applyBorder="1" applyAlignment="1">
      <alignment horizontal="center" vertical="center" wrapText="1"/>
    </xf>
    <xf numFmtId="9" fontId="6" fillId="0" borderId="18" xfId="1" applyFont="1" applyBorder="1" applyAlignment="1">
      <alignment horizontal="center" vertical="center"/>
    </xf>
    <xf numFmtId="9" fontId="6" fillId="0" borderId="10" xfId="1" applyFont="1" applyBorder="1" applyAlignment="1">
      <alignment horizontal="center" vertical="center" wrapText="1"/>
    </xf>
    <xf numFmtId="9" fontId="6" fillId="0" borderId="12" xfId="1" applyFont="1" applyBorder="1" applyAlignment="1">
      <alignment horizontal="center" vertical="center" wrapText="1"/>
    </xf>
    <xf numFmtId="9" fontId="6" fillId="0" borderId="13" xfId="1" applyFont="1" applyBorder="1" applyAlignment="1">
      <alignment horizontal="center" vertical="center" wrapText="1"/>
    </xf>
    <xf numFmtId="0" fontId="31" fillId="0" borderId="183" xfId="0" applyFont="1" applyBorder="1" applyAlignment="1">
      <alignment vertical="center" wrapText="1"/>
    </xf>
    <xf numFmtId="0" fontId="31" fillId="0" borderId="188" xfId="0" applyFont="1" applyBorder="1" applyAlignment="1">
      <alignment vertical="center" wrapText="1"/>
    </xf>
    <xf numFmtId="1" fontId="6" fillId="0" borderId="179" xfId="1" applyNumberFormat="1" applyFont="1" applyBorder="1" applyAlignment="1">
      <alignment horizontal="center"/>
    </xf>
    <xf numFmtId="1" fontId="6" fillId="0" borderId="26" xfId="1" applyNumberFormat="1" applyFont="1" applyBorder="1" applyAlignment="1">
      <alignment horizontal="center"/>
    </xf>
    <xf numFmtId="1" fontId="6" fillId="0" borderId="2" xfId="1" applyNumberFormat="1" applyFont="1" applyBorder="1" applyAlignment="1">
      <alignment horizontal="center"/>
    </xf>
    <xf numFmtId="1" fontId="10" fillId="0" borderId="179" xfId="0" applyNumberFormat="1" applyFont="1" applyBorder="1" applyAlignment="1">
      <alignment horizontal="center"/>
    </xf>
    <xf numFmtId="1" fontId="10" fillId="0" borderId="0" xfId="1" applyNumberFormat="1" applyFont="1" applyBorder="1" applyAlignment="1">
      <alignment horizontal="center"/>
    </xf>
    <xf numFmtId="9" fontId="6" fillId="0" borderId="179" xfId="1" applyNumberFormat="1" applyFont="1" applyBorder="1" applyAlignment="1">
      <alignment horizontal="center"/>
    </xf>
    <xf numFmtId="9" fontId="6" fillId="0" borderId="26" xfId="1" applyNumberFormat="1" applyFont="1" applyBorder="1" applyAlignment="1">
      <alignment horizontal="center"/>
    </xf>
    <xf numFmtId="9" fontId="6" fillId="0" borderId="2" xfId="1" applyNumberFormat="1" applyFont="1" applyBorder="1" applyAlignment="1">
      <alignment horizontal="center"/>
    </xf>
    <xf numFmtId="9" fontId="10" fillId="0" borderId="179" xfId="0" applyNumberFormat="1" applyFont="1" applyBorder="1" applyAlignment="1">
      <alignment horizontal="center"/>
    </xf>
    <xf numFmtId="9" fontId="10" fillId="0" borderId="8" xfId="1" applyNumberFormat="1" applyFont="1" applyBorder="1" applyAlignment="1">
      <alignment horizontal="center"/>
    </xf>
    <xf numFmtId="9" fontId="10" fillId="0" borderId="8" xfId="0" applyNumberFormat="1" applyFont="1" applyBorder="1" applyAlignment="1">
      <alignment horizontal="center"/>
    </xf>
    <xf numFmtId="9" fontId="6" fillId="0" borderId="179" xfId="0" applyNumberFormat="1" applyFont="1" applyBorder="1" applyAlignment="1">
      <alignment horizontal="center"/>
    </xf>
    <xf numFmtId="9" fontId="6" fillId="0" borderId="8" xfId="0" applyNumberFormat="1" applyFont="1" applyBorder="1" applyAlignment="1">
      <alignment horizontal="center"/>
    </xf>
    <xf numFmtId="1" fontId="31" fillId="0" borderId="179" xfId="1" applyNumberFormat="1" applyFont="1" applyBorder="1" applyAlignment="1">
      <alignment horizontal="center" vertical="center"/>
    </xf>
    <xf numFmtId="9" fontId="31" fillId="0" borderId="179" xfId="1" applyNumberFormat="1" applyFont="1" applyBorder="1" applyAlignment="1">
      <alignment horizontal="center" vertical="center"/>
    </xf>
    <xf numFmtId="9" fontId="31" fillId="0" borderId="179" xfId="0" applyNumberFormat="1" applyFont="1" applyBorder="1" applyAlignment="1">
      <alignment horizontal="center" vertical="center" wrapText="1"/>
    </xf>
    <xf numFmtId="0" fontId="6" fillId="0" borderId="179" xfId="0" applyFont="1" applyBorder="1" applyAlignment="1">
      <alignment horizontal="center"/>
    </xf>
    <xf numFmtId="3" fontId="71" fillId="0" borderId="179" xfId="0" applyNumberFormat="1" applyFont="1" applyBorder="1" applyAlignment="1">
      <alignment horizontal="center"/>
    </xf>
    <xf numFmtId="0" fontId="71" fillId="0" borderId="179" xfId="0" applyFont="1" applyBorder="1" applyAlignment="1">
      <alignment horizontal="center"/>
    </xf>
    <xf numFmtId="9" fontId="71" fillId="0" borderId="179" xfId="0" applyNumberFormat="1" applyFont="1" applyBorder="1" applyAlignment="1">
      <alignment horizontal="center"/>
    </xf>
    <xf numFmtId="3" fontId="10" fillId="0" borderId="190" xfId="0" applyNumberFormat="1" applyFont="1" applyBorder="1" applyAlignment="1">
      <alignment horizontal="center" vertical="center"/>
    </xf>
    <xf numFmtId="1" fontId="6" fillId="0" borderId="190" xfId="1" applyNumberFormat="1" applyFont="1" applyBorder="1" applyAlignment="1">
      <alignment horizontal="center" vertical="center"/>
    </xf>
    <xf numFmtId="1" fontId="6" fillId="0" borderId="194" xfId="1" applyNumberFormat="1" applyFont="1" applyBorder="1" applyAlignment="1">
      <alignment horizontal="center" vertical="center" wrapText="1"/>
    </xf>
    <xf numFmtId="1" fontId="6" fillId="0" borderId="183" xfId="1" applyNumberFormat="1" applyFont="1" applyBorder="1" applyAlignment="1">
      <alignment horizontal="center" vertical="center"/>
    </xf>
    <xf numFmtId="1" fontId="10" fillId="0" borderId="190" xfId="0" applyNumberFormat="1" applyFont="1" applyBorder="1" applyAlignment="1">
      <alignment horizontal="center" vertical="center"/>
    </xf>
    <xf numFmtId="1" fontId="10" fillId="0" borderId="191" xfId="1" applyNumberFormat="1" applyFont="1" applyBorder="1" applyAlignment="1">
      <alignment horizontal="center" vertical="center"/>
    </xf>
    <xf numFmtId="9" fontId="6" fillId="0" borderId="190" xfId="1" applyNumberFormat="1" applyFont="1" applyBorder="1" applyAlignment="1">
      <alignment horizontal="center" vertical="center"/>
    </xf>
    <xf numFmtId="9" fontId="6" fillId="0" borderId="194" xfId="1" applyNumberFormat="1" applyFont="1" applyBorder="1" applyAlignment="1">
      <alignment horizontal="center" vertical="center" wrapText="1"/>
    </xf>
    <xf numFmtId="9" fontId="6" fillId="0" borderId="183" xfId="1" applyNumberFormat="1" applyFont="1" applyBorder="1" applyAlignment="1">
      <alignment horizontal="center" vertical="center"/>
    </xf>
    <xf numFmtId="9" fontId="10" fillId="0" borderId="190" xfId="0" applyNumberFormat="1" applyFont="1" applyBorder="1" applyAlignment="1">
      <alignment horizontal="center" vertical="center"/>
    </xf>
    <xf numFmtId="9" fontId="10" fillId="0" borderId="189" xfId="1" applyNumberFormat="1" applyFont="1" applyBorder="1" applyAlignment="1">
      <alignment horizontal="center" vertical="center"/>
    </xf>
    <xf numFmtId="1" fontId="6" fillId="0" borderId="155"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9" fontId="6" fillId="0" borderId="155" xfId="1" applyNumberFormat="1" applyFont="1" applyBorder="1" applyAlignment="1">
      <alignment horizontal="center" vertical="center" wrapText="1"/>
    </xf>
    <xf numFmtId="9" fontId="6" fillId="0" borderId="10" xfId="1" applyNumberFormat="1" applyFont="1" applyBorder="1" applyAlignment="1">
      <alignment horizontal="center" vertical="center" wrapText="1"/>
    </xf>
    <xf numFmtId="0" fontId="7" fillId="0" borderId="0" xfId="0" applyFont="1" applyAlignment="1">
      <alignment vertical="center" wrapText="1"/>
    </xf>
    <xf numFmtId="171" fontId="6" fillId="0" borderId="24" xfId="1" applyNumberFormat="1" applyFont="1" applyFill="1" applyBorder="1" applyAlignment="1">
      <alignment horizontal="center" vertical="center"/>
    </xf>
    <xf numFmtId="169" fontId="6" fillId="0" borderId="0" xfId="0" applyNumberFormat="1" applyFont="1" applyAlignment="1">
      <alignment horizontal="center"/>
    </xf>
    <xf numFmtId="169" fontId="6" fillId="0" borderId="0" xfId="1" applyNumberFormat="1" applyFont="1" applyAlignment="1">
      <alignment horizontal="center"/>
    </xf>
    <xf numFmtId="3" fontId="10" fillId="0" borderId="1" xfId="0" applyNumberFormat="1" applyFont="1" applyFill="1" applyBorder="1" applyAlignment="1">
      <alignment horizontal="center" vertical="center" wrapText="1"/>
    </xf>
    <xf numFmtId="171" fontId="6" fillId="0" borderId="0" xfId="1" applyNumberFormat="1" applyFont="1" applyFill="1" applyBorder="1" applyAlignment="1">
      <alignment horizontal="center"/>
    </xf>
    <xf numFmtId="3" fontId="6" fillId="0" borderId="0" xfId="1" applyNumberFormat="1" applyFont="1" applyFill="1" applyBorder="1" applyAlignment="1">
      <alignment horizontal="center"/>
    </xf>
    <xf numFmtId="171" fontId="6" fillId="0" borderId="0" xfId="1" applyNumberFormat="1" applyFont="1" applyAlignment="1">
      <alignment horizontal="center"/>
    </xf>
    <xf numFmtId="169" fontId="6" fillId="0" borderId="0" xfId="0" applyNumberFormat="1" applyFont="1" applyFill="1" applyAlignment="1">
      <alignment horizontal="center"/>
    </xf>
    <xf numFmtId="169" fontId="6" fillId="0" borderId="0" xfId="1" applyNumberFormat="1" applyFont="1" applyFill="1" applyAlignment="1">
      <alignment horizontal="center"/>
    </xf>
    <xf numFmtId="171" fontId="6" fillId="0" borderId="0" xfId="1" applyNumberFormat="1" applyFont="1" applyFill="1" applyBorder="1" applyAlignment="1">
      <alignment horizontal="center" vertical="center"/>
    </xf>
    <xf numFmtId="0" fontId="31" fillId="0" borderId="184" xfId="0" applyFont="1" applyFill="1" applyBorder="1" applyAlignment="1">
      <alignment horizontal="center" vertical="center" wrapText="1"/>
    </xf>
    <xf numFmtId="3" fontId="44" fillId="0" borderId="185" xfId="0" applyNumberFormat="1" applyFont="1" applyFill="1" applyBorder="1" applyAlignment="1">
      <alignment horizontal="center" vertical="center" wrapText="1"/>
    </xf>
    <xf numFmtId="3" fontId="10" fillId="0" borderId="186" xfId="0" applyNumberFormat="1" applyFont="1" applyFill="1" applyBorder="1" applyAlignment="1">
      <alignment horizontal="center" vertical="center" wrapText="1"/>
    </xf>
    <xf numFmtId="3" fontId="44" fillId="0" borderId="183" xfId="139" applyNumberFormat="1" applyFont="1" applyFill="1" applyBorder="1" applyAlignment="1">
      <alignment horizontal="center" vertical="center"/>
    </xf>
    <xf numFmtId="3" fontId="31" fillId="0" borderId="183" xfId="0" applyNumberFormat="1" applyFont="1" applyFill="1" applyBorder="1" applyAlignment="1">
      <alignment horizontal="center" vertical="center"/>
    </xf>
    <xf numFmtId="3" fontId="31" fillId="0" borderId="191" xfId="0" applyNumberFormat="1" applyFont="1" applyFill="1" applyBorder="1" applyAlignment="1">
      <alignment horizontal="center" vertical="center"/>
    </xf>
    <xf numFmtId="9" fontId="31" fillId="0" borderId="185" xfId="1" applyFont="1" applyFill="1" applyBorder="1" applyAlignment="1">
      <alignment horizontal="center" vertical="center"/>
    </xf>
    <xf numFmtId="9" fontId="31" fillId="0" borderId="183" xfId="1" applyFont="1" applyFill="1" applyBorder="1" applyAlignment="1">
      <alignment horizontal="center" vertical="center"/>
    </xf>
    <xf numFmtId="9" fontId="31" fillId="0" borderId="188" xfId="1" applyFont="1" applyFill="1" applyBorder="1" applyAlignment="1">
      <alignment horizontal="center" vertical="center"/>
    </xf>
    <xf numFmtId="171" fontId="31" fillId="0" borderId="183" xfId="1" applyNumberFormat="1" applyFont="1" applyFill="1" applyBorder="1" applyAlignment="1">
      <alignment horizontal="center" vertical="center"/>
    </xf>
    <xf numFmtId="3" fontId="6" fillId="0" borderId="183" xfId="1" applyNumberFormat="1" applyFont="1" applyFill="1" applyBorder="1" applyAlignment="1">
      <alignment horizontal="center" vertical="center"/>
    </xf>
    <xf numFmtId="3" fontId="31" fillId="0" borderId="189" xfId="1" applyNumberFormat="1" applyFont="1" applyFill="1" applyBorder="1" applyAlignment="1">
      <alignment horizontal="center" vertical="center"/>
    </xf>
    <xf numFmtId="171" fontId="6" fillId="0" borderId="3" xfId="1" applyNumberFormat="1" applyFont="1" applyFill="1" applyBorder="1" applyAlignment="1">
      <alignment horizontal="center" vertical="center"/>
    </xf>
    <xf numFmtId="0" fontId="6" fillId="0" borderId="34" xfId="0" applyFont="1" applyBorder="1"/>
    <xf numFmtId="0" fontId="6" fillId="0" borderId="24" xfId="0" applyFont="1" applyBorder="1"/>
    <xf numFmtId="0" fontId="6" fillId="0" borderId="31" xfId="0" applyFont="1" applyBorder="1"/>
    <xf numFmtId="171" fontId="6" fillId="0" borderId="98" xfId="1" applyNumberFormat="1" applyFont="1" applyFill="1" applyBorder="1" applyAlignment="1">
      <alignment horizontal="center"/>
    </xf>
    <xf numFmtId="171" fontId="6" fillId="0" borderId="1" xfId="1" applyNumberFormat="1" applyFont="1" applyFill="1" applyBorder="1" applyAlignment="1">
      <alignment horizontal="center"/>
    </xf>
    <xf numFmtId="171" fontId="6" fillId="0" borderId="2" xfId="0" applyNumberFormat="1" applyFont="1" applyBorder="1" applyAlignment="1">
      <alignment horizontal="center"/>
    </xf>
    <xf numFmtId="171" fontId="6" fillId="0" borderId="0" xfId="0" applyNumberFormat="1" applyFont="1" applyBorder="1" applyAlignment="1">
      <alignment horizontal="center"/>
    </xf>
    <xf numFmtId="171" fontId="6" fillId="0" borderId="158" xfId="1" applyNumberFormat="1" applyFont="1" applyBorder="1" applyAlignment="1">
      <alignment horizontal="center"/>
    </xf>
    <xf numFmtId="171" fontId="6" fillId="0" borderId="158" xfId="1" applyNumberFormat="1" applyFont="1" applyFill="1" applyBorder="1" applyAlignment="1">
      <alignment horizontal="center"/>
    </xf>
    <xf numFmtId="171" fontId="7" fillId="0" borderId="0" xfId="1" applyNumberFormat="1" applyFont="1"/>
    <xf numFmtId="171" fontId="6" fillId="0" borderId="2" xfId="0" applyNumberFormat="1" applyFont="1" applyFill="1" applyBorder="1" applyAlignment="1">
      <alignment horizontal="center"/>
    </xf>
    <xf numFmtId="0" fontId="7" fillId="0" borderId="0" xfId="0" applyFont="1" applyFill="1"/>
    <xf numFmtId="171" fontId="6" fillId="0" borderId="1" xfId="1" applyNumberFormat="1" applyFont="1" applyFill="1" applyBorder="1" applyAlignment="1">
      <alignment horizontal="center" vertical="center"/>
    </xf>
    <xf numFmtId="0" fontId="6" fillId="0" borderId="130" xfId="0" applyFont="1" applyFill="1" applyBorder="1"/>
    <xf numFmtId="3" fontId="44" fillId="0" borderId="130" xfId="0" applyNumberFormat="1" applyFont="1" applyFill="1" applyBorder="1" applyAlignment="1">
      <alignment horizontal="center" vertical="center" wrapText="1"/>
    </xf>
    <xf numFmtId="3" fontId="10" fillId="0" borderId="131" xfId="139" applyNumberFormat="1" applyFont="1" applyFill="1" applyBorder="1" applyAlignment="1">
      <alignment horizontal="center"/>
    </xf>
    <xf numFmtId="3" fontId="6" fillId="0" borderId="131" xfId="0" applyNumberFormat="1" applyFont="1" applyFill="1" applyBorder="1" applyAlignment="1">
      <alignment horizontal="center" vertical="center" wrapText="1"/>
    </xf>
    <xf numFmtId="3" fontId="6" fillId="0" borderId="131" xfId="0" applyNumberFormat="1" applyFont="1" applyFill="1" applyBorder="1" applyAlignment="1">
      <alignment horizontal="center"/>
    </xf>
    <xf numFmtId="3" fontId="6" fillId="0" borderId="133" xfId="0" applyNumberFormat="1" applyFont="1" applyFill="1" applyBorder="1" applyAlignment="1">
      <alignment horizontal="center"/>
    </xf>
    <xf numFmtId="171" fontId="6" fillId="0" borderId="130" xfId="1" applyNumberFormat="1" applyFont="1" applyFill="1" applyBorder="1" applyAlignment="1">
      <alignment horizontal="center"/>
    </xf>
    <xf numFmtId="171" fontId="6" fillId="0" borderId="131" xfId="1" applyNumberFormat="1" applyFont="1" applyFill="1" applyBorder="1" applyAlignment="1">
      <alignment horizontal="center"/>
    </xf>
    <xf numFmtId="171" fontId="6" fillId="0" borderId="132" xfId="1" applyNumberFormat="1" applyFont="1" applyFill="1" applyBorder="1" applyAlignment="1">
      <alignment horizontal="center"/>
    </xf>
    <xf numFmtId="171" fontId="6" fillId="0" borderId="115" xfId="0" applyNumberFormat="1" applyFont="1" applyBorder="1" applyAlignment="1">
      <alignment horizontal="center"/>
    </xf>
    <xf numFmtId="171" fontId="6" fillId="0" borderId="131" xfId="0" applyNumberFormat="1" applyFont="1" applyBorder="1" applyAlignment="1">
      <alignment horizontal="center"/>
    </xf>
    <xf numFmtId="171" fontId="6" fillId="0" borderId="133" xfId="1" applyNumberFormat="1" applyFont="1" applyBorder="1" applyAlignment="1">
      <alignment horizontal="center"/>
    </xf>
    <xf numFmtId="171" fontId="6" fillId="0" borderId="8" xfId="1" applyNumberFormat="1" applyFont="1" applyBorder="1" applyAlignment="1">
      <alignment horizontal="center"/>
    </xf>
    <xf numFmtId="3" fontId="6" fillId="0" borderId="2" xfId="1" applyNumberFormat="1" applyFont="1" applyFill="1" applyBorder="1" applyAlignment="1">
      <alignment horizontal="center"/>
    </xf>
    <xf numFmtId="171" fontId="6" fillId="0" borderId="8" xfId="1" applyNumberFormat="1" applyFont="1" applyFill="1" applyBorder="1" applyAlignment="1">
      <alignment horizontal="center"/>
    </xf>
    <xf numFmtId="171" fontId="31" fillId="0" borderId="186" xfId="1" applyNumberFormat="1" applyFont="1" applyFill="1" applyBorder="1" applyAlignment="1">
      <alignment horizontal="center" vertical="center"/>
    </xf>
    <xf numFmtId="3" fontId="6" fillId="0" borderId="188" xfId="1" applyNumberFormat="1" applyFont="1" applyFill="1" applyBorder="1" applyAlignment="1">
      <alignment horizontal="center" vertical="center"/>
    </xf>
    <xf numFmtId="3" fontId="31" fillId="0" borderId="183" xfId="1" applyNumberFormat="1" applyFont="1" applyFill="1" applyBorder="1" applyAlignment="1">
      <alignment horizontal="center" vertical="center"/>
    </xf>
    <xf numFmtId="171" fontId="6" fillId="0" borderId="189" xfId="1" applyNumberFormat="1" applyFont="1" applyBorder="1" applyAlignment="1">
      <alignment horizontal="center"/>
    </xf>
    <xf numFmtId="171" fontId="6" fillId="0" borderId="126" xfId="1" applyNumberFormat="1" applyFont="1" applyBorder="1" applyAlignment="1">
      <alignment horizontal="center"/>
    </xf>
    <xf numFmtId="3" fontId="7" fillId="0" borderId="0" xfId="0" applyNumberFormat="1" applyFont="1"/>
    <xf numFmtId="0" fontId="16" fillId="0" borderId="158" xfId="1079" applyBorder="1"/>
    <xf numFmtId="0" fontId="28" fillId="0" borderId="158" xfId="0" applyFont="1" applyFill="1" applyBorder="1" applyAlignment="1">
      <alignment horizontal="center"/>
    </xf>
    <xf numFmtId="0" fontId="114" fillId="0" borderId="183" xfId="1079" applyFont="1" applyBorder="1" applyAlignment="1">
      <alignment horizontal="center" vertical="center" wrapText="1"/>
    </xf>
    <xf numFmtId="0" fontId="112" fillId="0" borderId="185" xfId="1079" applyFont="1" applyBorder="1" applyAlignment="1">
      <alignment horizontal="center"/>
    </xf>
    <xf numFmtId="0" fontId="7" fillId="0" borderId="7" xfId="1079" applyFont="1" applyBorder="1" applyAlignment="1">
      <alignment horizontal="center"/>
    </xf>
    <xf numFmtId="3" fontId="6" fillId="0" borderId="98" xfId="1081" applyNumberFormat="1" applyFont="1" applyBorder="1" applyAlignment="1">
      <alignment horizontal="center"/>
    </xf>
    <xf numFmtId="3" fontId="6" fillId="0" borderId="0" xfId="1081" applyNumberFormat="1" applyFont="1" applyBorder="1" applyAlignment="1">
      <alignment horizontal="center"/>
    </xf>
    <xf numFmtId="171" fontId="6" fillId="0" borderId="98" xfId="1" applyNumberFormat="1" applyFont="1" applyBorder="1" applyAlignment="1">
      <alignment horizontal="center"/>
    </xf>
    <xf numFmtId="171" fontId="6" fillId="0" borderId="0" xfId="1" applyNumberFormat="1" applyFont="1" applyBorder="1" applyAlignment="1">
      <alignment horizontal="center"/>
    </xf>
    <xf numFmtId="171" fontId="7" fillId="0" borderId="8" xfId="1" applyNumberFormat="1" applyFont="1" applyBorder="1" applyAlignment="1">
      <alignment horizontal="center"/>
    </xf>
    <xf numFmtId="4" fontId="6" fillId="0" borderId="0" xfId="1081" applyNumberFormat="1" applyFont="1" applyBorder="1" applyAlignment="1">
      <alignment horizontal="center"/>
    </xf>
    <xf numFmtId="9" fontId="6" fillId="0" borderId="98" xfId="1082" applyNumberFormat="1" applyFont="1" applyBorder="1" applyAlignment="1">
      <alignment horizontal="center"/>
    </xf>
    <xf numFmtId="9" fontId="6" fillId="0" borderId="1" xfId="1" applyFont="1" applyBorder="1" applyAlignment="1">
      <alignment horizontal="center"/>
    </xf>
    <xf numFmtId="1" fontId="33" fillId="0" borderId="158" xfId="139" applyNumberFormat="1" applyFont="1" applyBorder="1" applyAlignment="1">
      <alignment horizontal="center"/>
    </xf>
    <xf numFmtId="4" fontId="6" fillId="0" borderId="0" xfId="1081" applyNumberFormat="1" applyFont="1" applyFill="1" applyBorder="1" applyAlignment="1">
      <alignment horizontal="center"/>
    </xf>
    <xf numFmtId="0" fontId="7" fillId="0" borderId="9" xfId="1079" applyFont="1" applyBorder="1" applyAlignment="1">
      <alignment horizontal="center"/>
    </xf>
    <xf numFmtId="3" fontId="6" fillId="0" borderId="18" xfId="1081" applyNumberFormat="1" applyFont="1" applyBorder="1" applyAlignment="1">
      <alignment horizontal="center"/>
    </xf>
    <xf numFmtId="3" fontId="6" fillId="0" borderId="10" xfId="1081" applyNumberFormat="1" applyFont="1" applyBorder="1" applyAlignment="1">
      <alignment horizontal="center"/>
    </xf>
    <xf numFmtId="171" fontId="6" fillId="0" borderId="18" xfId="1" applyNumberFormat="1" applyFont="1" applyBorder="1" applyAlignment="1">
      <alignment horizontal="center"/>
    </xf>
    <xf numFmtId="171" fontId="6" fillId="0" borderId="10" xfId="1082" applyNumberFormat="1" applyFont="1" applyFill="1" applyBorder="1" applyAlignment="1">
      <alignment horizontal="center"/>
    </xf>
    <xf numFmtId="171" fontId="6" fillId="0" borderId="10" xfId="1" applyNumberFormat="1" applyFont="1" applyFill="1" applyBorder="1" applyAlignment="1">
      <alignment horizontal="center"/>
    </xf>
    <xf numFmtId="171" fontId="7" fillId="0" borderId="13" xfId="1" applyNumberFormat="1" applyFont="1" applyBorder="1" applyAlignment="1">
      <alignment horizontal="center"/>
    </xf>
    <xf numFmtId="9" fontId="6" fillId="0" borderId="130" xfId="1082" applyNumberFormat="1" applyFont="1" applyBorder="1" applyAlignment="1">
      <alignment horizontal="center"/>
    </xf>
    <xf numFmtId="9" fontId="6" fillId="0" borderId="132" xfId="1" applyFont="1" applyBorder="1" applyAlignment="1">
      <alignment horizontal="center"/>
    </xf>
    <xf numFmtId="0" fontId="35" fillId="0" borderId="158" xfId="0" applyFont="1" applyFill="1" applyBorder="1" applyAlignment="1">
      <alignment horizontal="center"/>
    </xf>
    <xf numFmtId="0" fontId="6" fillId="0" borderId="185" xfId="0" applyFont="1" applyBorder="1"/>
    <xf numFmtId="0" fontId="6" fillId="0" borderId="183" xfId="0" applyFont="1" applyBorder="1"/>
    <xf numFmtId="0" fontId="6" fillId="0" borderId="183" xfId="114" applyFont="1" applyBorder="1"/>
    <xf numFmtId="0" fontId="6" fillId="0" borderId="183" xfId="620" applyFont="1" applyBorder="1" applyAlignment="1">
      <alignment wrapText="1"/>
    </xf>
    <xf numFmtId="0" fontId="6" fillId="0" borderId="191" xfId="620" applyFont="1" applyBorder="1" applyAlignment="1">
      <alignment wrapText="1"/>
    </xf>
    <xf numFmtId="1" fontId="6" fillId="0" borderId="98" xfId="0" applyNumberFormat="1" applyFont="1" applyBorder="1" applyAlignment="1">
      <alignment horizontal="center"/>
    </xf>
    <xf numFmtId="0" fontId="6" fillId="0" borderId="0" xfId="0" quotePrefix="1" applyFont="1" applyBorder="1" applyAlignment="1">
      <alignment horizontal="center"/>
    </xf>
    <xf numFmtId="1" fontId="6" fillId="0" borderId="158" xfId="0" applyNumberFormat="1" applyFont="1" applyBorder="1" applyAlignment="1">
      <alignment horizontal="center"/>
    </xf>
    <xf numFmtId="1" fontId="6" fillId="0" borderId="130" xfId="0" applyNumberFormat="1" applyFont="1" applyBorder="1" applyAlignment="1">
      <alignment horizontal="center"/>
    </xf>
    <xf numFmtId="3" fontId="6" fillId="0" borderId="131" xfId="139" applyNumberFormat="1" applyFont="1" applyBorder="1" applyAlignment="1">
      <alignment horizontal="center"/>
    </xf>
    <xf numFmtId="0" fontId="6" fillId="0" borderId="131" xfId="0" applyFont="1" applyBorder="1" applyAlignment="1">
      <alignment horizontal="center"/>
    </xf>
    <xf numFmtId="0" fontId="6" fillId="0" borderId="133" xfId="0" applyFont="1" applyBorder="1" applyAlignment="1">
      <alignment horizontal="center"/>
    </xf>
    <xf numFmtId="2" fontId="6" fillId="0" borderId="98" xfId="1" applyNumberFormat="1" applyFont="1" applyBorder="1" applyAlignment="1">
      <alignment horizontal="center"/>
    </xf>
    <xf numFmtId="2" fontId="6" fillId="0" borderId="0" xfId="1" applyNumberFormat="1" applyFont="1" applyBorder="1" applyAlignment="1">
      <alignment horizontal="center"/>
    </xf>
    <xf numFmtId="1" fontId="6" fillId="0" borderId="98" xfId="1" applyNumberFormat="1" applyFont="1" applyBorder="1"/>
    <xf numFmtId="9" fontId="6" fillId="0" borderId="0" xfId="1" applyFont="1" applyBorder="1"/>
    <xf numFmtId="0" fontId="6" fillId="0" borderId="159" xfId="0" applyFont="1" applyBorder="1" applyAlignment="1">
      <alignment horizontal="center" vertical="center" wrapText="1"/>
    </xf>
    <xf numFmtId="0" fontId="6" fillId="0" borderId="160" xfId="114" applyFont="1" applyBorder="1" applyAlignment="1">
      <alignment horizontal="center" vertical="center" wrapText="1"/>
    </xf>
    <xf numFmtId="0" fontId="6" fillId="0" borderId="27" xfId="114" applyFont="1" applyBorder="1" applyAlignment="1">
      <alignment horizontal="center" vertical="center" wrapText="1"/>
    </xf>
    <xf numFmtId="0" fontId="6" fillId="0" borderId="8" xfId="0" applyFont="1" applyBorder="1" applyAlignment="1">
      <alignment horizontal="center"/>
    </xf>
    <xf numFmtId="10" fontId="6" fillId="0" borderId="98" xfId="0" applyNumberFormat="1" applyFont="1" applyBorder="1" applyAlignment="1">
      <alignment horizontal="center"/>
    </xf>
    <xf numFmtId="10" fontId="6" fillId="0" borderId="0" xfId="0" applyNumberFormat="1" applyFont="1" applyBorder="1" applyAlignment="1">
      <alignment horizontal="center"/>
    </xf>
    <xf numFmtId="10" fontId="6" fillId="0" borderId="8" xfId="0" applyNumberFormat="1" applyFont="1" applyBorder="1" applyAlignment="1">
      <alignment horizontal="center"/>
    </xf>
    <xf numFmtId="9" fontId="6" fillId="0" borderId="10" xfId="1" applyFont="1" applyBorder="1" applyAlignment="1">
      <alignment horizontal="center"/>
    </xf>
    <xf numFmtId="0" fontId="6" fillId="0" borderId="13" xfId="0" applyFont="1" applyBorder="1" applyAlignment="1">
      <alignment horizontal="center"/>
    </xf>
    <xf numFmtId="0" fontId="109" fillId="0" borderId="183" xfId="1130" applyFont="1" applyBorder="1" applyAlignment="1">
      <alignment wrapText="1"/>
    </xf>
    <xf numFmtId="0" fontId="119" fillId="0" borderId="183" xfId="1130" applyFont="1" applyBorder="1" applyAlignment="1">
      <alignment wrapText="1"/>
    </xf>
    <xf numFmtId="0" fontId="109" fillId="0" borderId="183" xfId="1130" applyFont="1" applyBorder="1"/>
    <xf numFmtId="179" fontId="109" fillId="0" borderId="183" xfId="1132" applyNumberFormat="1" applyFont="1" applyBorder="1"/>
    <xf numFmtId="178" fontId="109" fillId="0" borderId="183" xfId="1132" applyNumberFormat="1" applyFont="1" applyBorder="1"/>
    <xf numFmtId="171" fontId="109" fillId="0" borderId="183" xfId="1131" applyNumberFormat="1" applyFont="1" applyBorder="1"/>
    <xf numFmtId="0" fontId="31" fillId="0" borderId="185" xfId="1224" applyFont="1" applyBorder="1" applyAlignment="1">
      <alignment horizontal="center" vertical="center" wrapText="1"/>
    </xf>
    <xf numFmtId="9" fontId="31" fillId="0" borderId="183" xfId="1223" applyFont="1" applyBorder="1" applyAlignment="1">
      <alignment horizontal="center"/>
    </xf>
    <xf numFmtId="3" fontId="31" fillId="0" borderId="183" xfId="1224" applyNumberFormat="1" applyFont="1" applyBorder="1" applyAlignment="1">
      <alignment horizontal="center" vertical="center"/>
    </xf>
    <xf numFmtId="3" fontId="31" fillId="0" borderId="188" xfId="1224" applyNumberFormat="1" applyFont="1" applyBorder="1" applyAlignment="1">
      <alignment horizontal="center" vertical="center"/>
    </xf>
    <xf numFmtId="3" fontId="6" fillId="0" borderId="188" xfId="1224" applyNumberFormat="1" applyFont="1" applyBorder="1" applyAlignment="1">
      <alignment horizontal="center"/>
    </xf>
    <xf numFmtId="1" fontId="6" fillId="0" borderId="183" xfId="1226" applyNumberFormat="1" applyFont="1" applyBorder="1" applyAlignment="1">
      <alignment horizontal="center" vertical="center" wrapText="1"/>
    </xf>
    <xf numFmtId="1" fontId="6" fillId="0" borderId="191" xfId="1226" applyNumberFormat="1" applyFont="1" applyBorder="1" applyAlignment="1">
      <alignment horizontal="center" vertical="center" wrapText="1"/>
    </xf>
    <xf numFmtId="170" fontId="6" fillId="0" borderId="185" xfId="1225" applyNumberFormat="1" applyFont="1" applyBorder="1"/>
    <xf numFmtId="0" fontId="6" fillId="0" borderId="191" xfId="1224" applyFont="1" applyBorder="1"/>
    <xf numFmtId="0" fontId="6" fillId="0" borderId="188" xfId="0" applyFont="1" applyBorder="1" applyAlignment="1">
      <alignment horizontal="center" vertical="center" wrapText="1"/>
    </xf>
    <xf numFmtId="0" fontId="6" fillId="0" borderId="186" xfId="0" applyFont="1" applyBorder="1" applyAlignment="1">
      <alignment vertical="center" wrapText="1"/>
    </xf>
    <xf numFmtId="9" fontId="10" fillId="0" borderId="2" xfId="1" applyFont="1" applyBorder="1" applyAlignment="1">
      <alignment horizontal="center" vertical="center"/>
    </xf>
    <xf numFmtId="9" fontId="31" fillId="0" borderId="195" xfId="1" applyFont="1" applyBorder="1" applyAlignment="1">
      <alignment horizontal="center" vertical="center"/>
    </xf>
    <xf numFmtId="9" fontId="31" fillId="0" borderId="186" xfId="1" applyFont="1" applyBorder="1" applyAlignment="1">
      <alignment horizontal="center" vertical="center"/>
    </xf>
    <xf numFmtId="9" fontId="44" fillId="0" borderId="188" xfId="1" applyFont="1" applyBorder="1" applyAlignment="1">
      <alignment horizontal="center" vertical="center"/>
    </xf>
    <xf numFmtId="0" fontId="7" fillId="0" borderId="0" xfId="0" applyFont="1" applyAlignment="1">
      <alignment horizontal="left"/>
    </xf>
    <xf numFmtId="0" fontId="6" fillId="0" borderId="0" xfId="0" applyFont="1" applyAlignment="1">
      <alignment horizontal="left"/>
    </xf>
    <xf numFmtId="0" fontId="6" fillId="0" borderId="98" xfId="0" applyFont="1" applyBorder="1" applyAlignment="1">
      <alignment horizontal="left"/>
    </xf>
    <xf numFmtId="0" fontId="6" fillId="0" borderId="28" xfId="0" applyFont="1" applyBorder="1" applyAlignment="1">
      <alignment horizontal="left" vertical="center"/>
    </xf>
    <xf numFmtId="0" fontId="6" fillId="0" borderId="185" xfId="0" applyFont="1" applyBorder="1" applyAlignment="1">
      <alignment horizontal="left" vertical="center" wrapText="1"/>
    </xf>
    <xf numFmtId="167" fontId="31" fillId="0" borderId="26" xfId="0" applyNumberFormat="1" applyFont="1" applyBorder="1" applyAlignment="1">
      <alignment horizontal="center" vertical="center" wrapText="1"/>
    </xf>
    <xf numFmtId="167" fontId="31" fillId="0" borderId="194" xfId="0" applyNumberFormat="1" applyFont="1" applyBorder="1" applyAlignment="1">
      <alignment horizontal="center" vertical="center" wrapText="1"/>
    </xf>
    <xf numFmtId="9" fontId="6" fillId="0" borderId="98" xfId="1" applyNumberFormat="1" applyFont="1" applyBorder="1" applyAlignment="1">
      <alignment horizontal="center"/>
    </xf>
    <xf numFmtId="0" fontId="10" fillId="0" borderId="0" xfId="0" applyFont="1" applyBorder="1"/>
    <xf numFmtId="1" fontId="6" fillId="0" borderId="0" xfId="1" applyNumberFormat="1" applyFont="1" applyBorder="1" applyAlignment="1">
      <alignment horizontal="center"/>
    </xf>
    <xf numFmtId="171" fontId="7" fillId="0" borderId="98" xfId="1" applyNumberFormat="1" applyFont="1" applyBorder="1" applyAlignment="1">
      <alignment horizontal="center" vertical="center" wrapText="1"/>
    </xf>
    <xf numFmtId="171" fontId="7" fillId="0" borderId="0" xfId="1" applyNumberFormat="1" applyFont="1" applyBorder="1" applyAlignment="1">
      <alignment horizontal="center"/>
    </xf>
    <xf numFmtId="171" fontId="7" fillId="0" borderId="8" xfId="1" applyNumberFormat="1" applyFont="1" applyBorder="1" applyAlignment="1">
      <alignment horizontal="center" vertical="center"/>
    </xf>
    <xf numFmtId="0" fontId="7" fillId="0" borderId="9" xfId="0" applyFont="1" applyBorder="1" applyAlignment="1">
      <alignment horizontal="center" vertical="center" wrapText="1"/>
    </xf>
    <xf numFmtId="9" fontId="7" fillId="0" borderId="18" xfId="1" applyFont="1" applyBorder="1" applyAlignment="1">
      <alignment horizontal="center" vertical="center"/>
    </xf>
    <xf numFmtId="9" fontId="7" fillId="0" borderId="10" xfId="1" applyFont="1" applyBorder="1" applyAlignment="1">
      <alignment horizontal="center" vertical="center"/>
    </xf>
    <xf numFmtId="0" fontId="6" fillId="0" borderId="114" xfId="0" applyFont="1" applyBorder="1"/>
    <xf numFmtId="171" fontId="6" fillId="0" borderId="8" xfId="0" applyNumberFormat="1" applyFont="1" applyBorder="1" applyAlignment="1">
      <alignment horizontal="center"/>
    </xf>
    <xf numFmtId="171" fontId="6" fillId="0" borderId="13" xfId="0" applyNumberFormat="1" applyFont="1" applyBorder="1" applyAlignment="1">
      <alignment horizontal="center"/>
    </xf>
    <xf numFmtId="0" fontId="103" fillId="0" borderId="22" xfId="0" applyFont="1" applyBorder="1" applyAlignment="1">
      <alignment wrapText="1"/>
    </xf>
    <xf numFmtId="0" fontId="44" fillId="0" borderId="183" xfId="0" applyFont="1" applyBorder="1"/>
    <xf numFmtId="0" fontId="31" fillId="0" borderId="183" xfId="0" applyFont="1" applyBorder="1"/>
    <xf numFmtId="0" fontId="31" fillId="0" borderId="191" xfId="0" applyFont="1" applyBorder="1"/>
    <xf numFmtId="0" fontId="31" fillId="0" borderId="98" xfId="0" applyFont="1" applyBorder="1"/>
    <xf numFmtId="0" fontId="6" fillId="0" borderId="191" xfId="0" applyFont="1" applyBorder="1"/>
    <xf numFmtId="0" fontId="28" fillId="0" borderId="183" xfId="341" applyBorder="1" applyAlignment="1">
      <alignment horizontal="center"/>
    </xf>
    <xf numFmtId="0" fontId="28" fillId="0" borderId="191" xfId="341" applyBorder="1" applyAlignment="1">
      <alignment horizontal="center"/>
    </xf>
    <xf numFmtId="3" fontId="10" fillId="0" borderId="183" xfId="1226" applyNumberFormat="1" applyFont="1" applyFill="1" applyBorder="1" applyAlignment="1">
      <alignment horizontal="center" vertical="center"/>
    </xf>
    <xf numFmtId="9" fontId="10" fillId="0" borderId="188" xfId="1120" applyFont="1" applyBorder="1" applyAlignment="1">
      <alignment horizontal="center" vertical="center"/>
    </xf>
    <xf numFmtId="9" fontId="10" fillId="0" borderId="191" xfId="1120" applyFont="1" applyBorder="1" applyAlignment="1">
      <alignment horizontal="center" vertical="center"/>
    </xf>
    <xf numFmtId="0" fontId="44" fillId="0" borderId="30" xfId="0" applyFont="1" applyBorder="1" applyAlignment="1">
      <alignment horizontal="center" vertical="center"/>
    </xf>
    <xf numFmtId="3" fontId="44" fillId="0" borderId="3" xfId="0" applyNumberFormat="1" applyFont="1" applyBorder="1" applyAlignment="1">
      <alignment horizontal="center" vertical="center" wrapText="1"/>
    </xf>
    <xf numFmtId="0" fontId="64" fillId="0" borderId="98" xfId="0" applyFont="1" applyBorder="1" applyAlignment="1">
      <alignment horizontal="center" vertical="center"/>
    </xf>
    <xf numFmtId="0" fontId="112" fillId="0" borderId="185" xfId="1105" applyFont="1" applyBorder="1" applyAlignment="1">
      <alignment horizontal="center" vertical="center"/>
    </xf>
    <xf numFmtId="0" fontId="112" fillId="0" borderId="183" xfId="1105" applyFont="1" applyBorder="1" applyAlignment="1">
      <alignment horizontal="center" vertical="center"/>
    </xf>
    <xf numFmtId="0" fontId="114" fillId="0" borderId="191" xfId="1105" applyFont="1" applyBorder="1" applyAlignment="1">
      <alignment horizontal="center" vertical="center"/>
    </xf>
    <xf numFmtId="0" fontId="6" fillId="0" borderId="185" xfId="0" applyFont="1" applyBorder="1" applyAlignment="1">
      <alignment horizontal="left"/>
    </xf>
    <xf numFmtId="0" fontId="112" fillId="0" borderId="185" xfId="1105" applyFont="1" applyBorder="1" applyAlignment="1">
      <alignment horizontal="center" wrapText="1"/>
    </xf>
    <xf numFmtId="0" fontId="112" fillId="0" borderId="183" xfId="1105" applyFont="1" applyBorder="1" applyAlignment="1">
      <alignment horizontal="center" wrapText="1"/>
    </xf>
    <xf numFmtId="0" fontId="112" fillId="0" borderId="191" xfId="1105" applyFont="1" applyBorder="1" applyAlignment="1">
      <alignment horizontal="center" wrapText="1"/>
    </xf>
    <xf numFmtId="0" fontId="6" fillId="0" borderId="157" xfId="0" applyFont="1" applyBorder="1"/>
    <xf numFmtId="0" fontId="6" fillId="0" borderId="131" xfId="0" applyFont="1" applyBorder="1"/>
    <xf numFmtId="0" fontId="6" fillId="0" borderId="133" xfId="0" applyFont="1" applyBorder="1"/>
    <xf numFmtId="9" fontId="12" fillId="0" borderId="0" xfId="1116" applyNumberFormat="1"/>
    <xf numFmtId="9" fontId="4" fillId="0" borderId="0" xfId="1116" applyNumberFormat="1" applyFont="1"/>
    <xf numFmtId="2" fontId="12" fillId="0" borderId="0" xfId="1116" applyNumberFormat="1"/>
    <xf numFmtId="3" fontId="31" fillId="0" borderId="0" xfId="139" applyNumberFormat="1" applyFont="1" applyBorder="1" applyAlignment="1">
      <alignment horizontal="center" vertical="center"/>
    </xf>
    <xf numFmtId="3" fontId="31" fillId="0" borderId="131" xfId="0" applyNumberFormat="1" applyFont="1" applyBorder="1" applyAlignment="1">
      <alignment horizontal="center" vertical="center" wrapText="1"/>
    </xf>
    <xf numFmtId="3" fontId="31" fillId="0" borderId="133" xfId="0" applyNumberFormat="1" applyFont="1" applyBorder="1" applyAlignment="1">
      <alignment horizontal="center" vertical="center" wrapText="1"/>
    </xf>
    <xf numFmtId="3" fontId="31" fillId="0" borderId="39" xfId="139" applyNumberFormat="1" applyFont="1" applyBorder="1" applyAlignment="1">
      <alignment horizontal="center" vertical="center"/>
    </xf>
    <xf numFmtId="3" fontId="31" fillId="0" borderId="0" xfId="139" applyNumberFormat="1" applyFont="1" applyBorder="1" applyAlignment="1">
      <alignment horizontal="center"/>
    </xf>
    <xf numFmtId="3" fontId="31" fillId="0" borderId="183" xfId="139" applyNumberFormat="1" applyFont="1" applyBorder="1" applyAlignment="1">
      <alignment horizontal="center" vertical="center"/>
    </xf>
    <xf numFmtId="3" fontId="31" fillId="0" borderId="131" xfId="139" applyNumberFormat="1" applyFont="1" applyBorder="1" applyAlignment="1">
      <alignment horizontal="center" vertical="center"/>
    </xf>
    <xf numFmtId="3" fontId="31" fillId="0" borderId="0" xfId="0" applyNumberFormat="1" applyFont="1" applyBorder="1"/>
    <xf numFmtId="3" fontId="31" fillId="0" borderId="34" xfId="0" applyNumberFormat="1" applyFont="1" applyBorder="1" applyAlignment="1">
      <alignment horizontal="center" vertical="center" wrapText="1"/>
    </xf>
    <xf numFmtId="3" fontId="31" fillId="0" borderId="2" xfId="139" applyNumberFormat="1" applyFont="1" applyBorder="1" applyAlignment="1">
      <alignment horizontal="center" vertical="center"/>
    </xf>
    <xf numFmtId="3" fontId="31" fillId="0" borderId="2" xfId="139" applyNumberFormat="1" applyFont="1" applyBorder="1" applyAlignment="1">
      <alignment horizontal="center"/>
    </xf>
    <xf numFmtId="3" fontId="31" fillId="0" borderId="188" xfId="139" applyNumberFormat="1" applyFont="1" applyBorder="1" applyAlignment="1">
      <alignment horizontal="center" vertical="center"/>
    </xf>
    <xf numFmtId="3" fontId="31" fillId="0" borderId="115" xfId="0" applyNumberFormat="1" applyFont="1" applyBorder="1" applyAlignment="1">
      <alignment horizontal="center" vertical="center" wrapText="1"/>
    </xf>
    <xf numFmtId="3" fontId="31" fillId="0" borderId="2" xfId="0" applyNumberFormat="1" applyFont="1" applyBorder="1" applyAlignment="1">
      <alignment horizontal="center" vertical="center" wrapText="1"/>
    </xf>
    <xf numFmtId="3" fontId="31" fillId="0" borderId="2" xfId="0" applyNumberFormat="1" applyFont="1" applyBorder="1"/>
    <xf numFmtId="0" fontId="4" fillId="0" borderId="0" xfId="1116" applyFont="1"/>
    <xf numFmtId="0" fontId="5" fillId="0" borderId="98" xfId="1116" applyFont="1" applyBorder="1"/>
    <xf numFmtId="0" fontId="31" fillId="0" borderId="184" xfId="0" applyFont="1" applyFill="1" applyBorder="1" applyAlignment="1">
      <alignment horizontal="center" vertical="center"/>
    </xf>
    <xf numFmtId="3" fontId="31" fillId="0" borderId="190" xfId="0" applyNumberFormat="1" applyFont="1" applyFill="1" applyBorder="1" applyAlignment="1">
      <alignment horizontal="center" vertical="center"/>
    </xf>
    <xf numFmtId="9" fontId="31" fillId="0" borderId="191" xfId="1" applyFont="1" applyFill="1" applyBorder="1" applyAlignment="1">
      <alignment horizontal="center" vertical="center"/>
    </xf>
    <xf numFmtId="9" fontId="31" fillId="0" borderId="189" xfId="1" applyFont="1" applyFill="1" applyBorder="1" applyAlignment="1">
      <alignment horizontal="center" vertical="center"/>
    </xf>
    <xf numFmtId="0" fontId="98" fillId="0" borderId="183" xfId="0" applyFont="1" applyBorder="1"/>
    <xf numFmtId="3" fontId="44" fillId="0" borderId="186" xfId="0" applyNumberFormat="1" applyFont="1" applyFill="1" applyBorder="1" applyAlignment="1">
      <alignment horizontal="center" vertical="center" wrapText="1"/>
    </xf>
    <xf numFmtId="3" fontId="31" fillId="0" borderId="183" xfId="0" applyNumberFormat="1" applyFont="1" applyFill="1" applyBorder="1" applyAlignment="1">
      <alignment horizontal="center" vertical="center" wrapText="1"/>
    </xf>
    <xf numFmtId="1" fontId="31" fillId="0" borderId="190" xfId="0" applyNumberFormat="1" applyFont="1" applyBorder="1" applyAlignment="1">
      <alignment horizontal="center" vertical="center" wrapText="1"/>
    </xf>
    <xf numFmtId="167" fontId="31" fillId="0" borderId="186" xfId="0" applyNumberFormat="1" applyFont="1" applyBorder="1" applyAlignment="1">
      <alignment horizontal="center" vertical="center"/>
    </xf>
    <xf numFmtId="167" fontId="31" fillId="0" borderId="183" xfId="0" applyNumberFormat="1" applyFont="1" applyBorder="1" applyAlignment="1">
      <alignment horizontal="center" vertical="center" wrapText="1"/>
    </xf>
    <xf numFmtId="167" fontId="31" fillId="0" borderId="185" xfId="0" applyNumberFormat="1" applyFont="1" applyBorder="1" applyAlignment="1">
      <alignment horizontal="center" vertical="center"/>
    </xf>
    <xf numFmtId="167" fontId="31" fillId="0" borderId="186" xfId="0" applyNumberFormat="1" applyFont="1" applyBorder="1" applyAlignment="1">
      <alignment horizontal="center" vertical="center" wrapText="1"/>
    </xf>
    <xf numFmtId="9" fontId="97" fillId="0" borderId="183" xfId="1" applyFont="1" applyBorder="1" applyAlignment="1">
      <alignment horizontal="center" vertical="center"/>
    </xf>
    <xf numFmtId="9" fontId="44" fillId="0" borderId="185" xfId="1" applyFont="1" applyBorder="1" applyAlignment="1">
      <alignment horizontal="center" vertical="center" wrapText="1"/>
    </xf>
    <xf numFmtId="9" fontId="31" fillId="0" borderId="196" xfId="1" applyNumberFormat="1" applyFont="1" applyBorder="1" applyAlignment="1">
      <alignment horizontal="center" vertical="center"/>
    </xf>
    <xf numFmtId="0" fontId="35" fillId="0" borderId="189" xfId="0" applyFont="1" applyBorder="1" applyAlignment="1">
      <alignment horizontal="center"/>
    </xf>
    <xf numFmtId="9" fontId="44" fillId="0" borderId="183" xfId="1" applyFont="1" applyBorder="1" applyAlignment="1">
      <alignment horizontal="center" vertical="center"/>
    </xf>
    <xf numFmtId="3" fontId="7" fillId="0" borderId="189" xfId="0" applyNumberFormat="1" applyFont="1" applyBorder="1" applyAlignment="1">
      <alignment horizontal="center" vertical="center"/>
    </xf>
    <xf numFmtId="3" fontId="6" fillId="0" borderId="185" xfId="0" applyNumberFormat="1" applyFont="1" applyBorder="1" applyAlignment="1">
      <alignment horizontal="center"/>
    </xf>
    <xf numFmtId="3" fontId="6" fillId="0" borderId="183" xfId="0" applyNumberFormat="1" applyFont="1" applyBorder="1" applyAlignment="1">
      <alignment horizontal="center"/>
    </xf>
    <xf numFmtId="3" fontId="6" fillId="0" borderId="188" xfId="0" applyNumberFormat="1" applyFont="1" applyBorder="1" applyAlignment="1">
      <alignment horizontal="center"/>
    </xf>
    <xf numFmtId="3" fontId="6" fillId="0" borderId="186" xfId="0" applyNumberFormat="1" applyFont="1" applyBorder="1" applyAlignment="1">
      <alignment horizontal="center"/>
    </xf>
    <xf numFmtId="3" fontId="6" fillId="0" borderId="191" xfId="0" applyNumberFormat="1" applyFont="1" applyBorder="1" applyAlignment="1">
      <alignment horizontal="center"/>
    </xf>
    <xf numFmtId="0" fontId="28" fillId="0" borderId="197" xfId="3" applyFont="1" applyBorder="1" applyAlignment="1">
      <alignment wrapText="1"/>
    </xf>
    <xf numFmtId="0" fontId="28" fillId="0" borderId="198" xfId="3" applyFont="1" applyBorder="1" applyAlignment="1">
      <alignment horizontal="center" vertical="center" wrapText="1"/>
    </xf>
    <xf numFmtId="0" fontId="35" fillId="0" borderId="198" xfId="0" applyFont="1" applyBorder="1" applyAlignment="1">
      <alignment horizontal="center"/>
    </xf>
    <xf numFmtId="0" fontId="10" fillId="0" borderId="199" xfId="3" applyFont="1" applyBorder="1" applyAlignment="1">
      <alignment wrapText="1"/>
    </xf>
    <xf numFmtId="0" fontId="10" fillId="0" borderId="200" xfId="3" applyFont="1" applyBorder="1" applyAlignment="1">
      <alignment horizontal="center" vertical="center" wrapText="1"/>
    </xf>
    <xf numFmtId="0" fontId="63" fillId="0" borderId="201" xfId="3" applyFont="1" applyBorder="1" applyAlignment="1">
      <alignment horizontal="center" vertical="center" wrapText="1"/>
    </xf>
    <xf numFmtId="0" fontId="10" fillId="0" borderId="201" xfId="3" applyFont="1" applyBorder="1" applyAlignment="1">
      <alignment horizontal="center" vertical="center" wrapText="1"/>
    </xf>
    <xf numFmtId="0" fontId="10" fillId="0" borderId="202" xfId="3" applyFont="1" applyBorder="1" applyAlignment="1">
      <alignment horizontal="center" vertical="center" wrapText="1"/>
    </xf>
    <xf numFmtId="3" fontId="107" fillId="0" borderId="204" xfId="139" applyNumberFormat="1" applyFont="1" applyBorder="1" applyAlignment="1">
      <alignment horizontal="center" vertical="center"/>
    </xf>
    <xf numFmtId="9" fontId="4" fillId="0" borderId="0" xfId="1" applyFont="1"/>
    <xf numFmtId="9" fontId="4" fillId="0" borderId="0" xfId="1" applyNumberFormat="1" applyFont="1"/>
    <xf numFmtId="10" fontId="4" fillId="0" borderId="0" xfId="1" applyNumberFormat="1" applyFont="1"/>
    <xf numFmtId="0" fontId="4" fillId="0" borderId="0" xfId="1079" applyFont="1"/>
    <xf numFmtId="0" fontId="6" fillId="0" borderId="205" xfId="0" applyFont="1" applyBorder="1"/>
    <xf numFmtId="0" fontId="31" fillId="0" borderId="98"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0" fillId="0" borderId="158"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1" fillId="0" borderId="176" xfId="0" applyFont="1" applyBorder="1" applyAlignment="1">
      <alignment horizontal="center" vertical="center" wrapText="1"/>
    </xf>
    <xf numFmtId="0" fontId="6" fillId="0" borderId="159" xfId="0" applyFont="1" applyBorder="1" applyAlignment="1">
      <alignment horizontal="center" vertical="center"/>
    </xf>
    <xf numFmtId="0" fontId="6" fillId="0" borderId="160" xfId="0" applyFont="1" applyBorder="1" applyAlignment="1">
      <alignment horizontal="center" vertical="center"/>
    </xf>
    <xf numFmtId="0" fontId="31" fillId="0" borderId="98" xfId="0" applyFont="1" applyBorder="1" applyAlignment="1">
      <alignment horizontal="center" vertical="center" wrapText="1"/>
    </xf>
    <xf numFmtId="0" fontId="6" fillId="0" borderId="160" xfId="0" applyFont="1" applyBorder="1" applyAlignment="1">
      <alignment horizontal="center" vertical="center" wrapText="1"/>
    </xf>
    <xf numFmtId="0" fontId="31" fillId="0" borderId="185" xfId="0" applyFont="1" applyBorder="1" applyAlignment="1">
      <alignment horizontal="center" vertical="center" wrapText="1"/>
    </xf>
    <xf numFmtId="0" fontId="7" fillId="0" borderId="0" xfId="0" applyFont="1" applyBorder="1" applyAlignment="1">
      <alignment horizontal="center" vertical="center" wrapText="1"/>
    </xf>
    <xf numFmtId="0" fontId="6" fillId="0" borderId="183" xfId="0" applyFont="1" applyBorder="1" applyAlignment="1">
      <alignment horizontal="center" vertical="center" wrapText="1"/>
    </xf>
    <xf numFmtId="0" fontId="7" fillId="0" borderId="8" xfId="0" applyFont="1" applyBorder="1" applyAlignment="1">
      <alignment horizontal="center" vertical="center" wrapText="1"/>
    </xf>
    <xf numFmtId="0" fontId="6" fillId="0" borderId="189" xfId="0" applyFont="1" applyBorder="1" applyAlignment="1">
      <alignment horizontal="center" vertical="center" wrapText="1"/>
    </xf>
    <xf numFmtId="0" fontId="31" fillId="0" borderId="17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2" xfId="0" applyFont="1" applyBorder="1" applyAlignment="1">
      <alignment horizontal="center" vertical="center" wrapText="1"/>
    </xf>
    <xf numFmtId="0" fontId="31" fillId="0" borderId="30" xfId="0" applyFont="1" applyBorder="1" applyAlignment="1">
      <alignment horizontal="center" vertical="center" wrapText="1"/>
    </xf>
    <xf numFmtId="0" fontId="6" fillId="0" borderId="24" xfId="0" applyFont="1" applyBorder="1" applyAlignment="1">
      <alignment horizontal="center" vertical="center"/>
    </xf>
    <xf numFmtId="0" fontId="33" fillId="0" borderId="0" xfId="0" applyFont="1" applyBorder="1" applyAlignment="1">
      <alignment horizontal="center" vertical="center" wrapText="1"/>
    </xf>
    <xf numFmtId="0" fontId="7" fillId="0" borderId="24"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8" xfId="0" applyFont="1" applyBorder="1" applyAlignment="1">
      <alignment horizontal="center" vertical="center" wrapText="1"/>
    </xf>
    <xf numFmtId="0" fontId="31" fillId="0" borderId="0" xfId="0" applyFont="1" applyBorder="1" applyAlignment="1">
      <alignment horizontal="center" vertical="center" wrapText="1"/>
    </xf>
    <xf numFmtId="0" fontId="32" fillId="0" borderId="114" xfId="0" applyFont="1" applyBorder="1" applyAlignment="1">
      <alignment horizontal="center" vertical="center"/>
    </xf>
    <xf numFmtId="0" fontId="6" fillId="0" borderId="98" xfId="0" applyFont="1" applyBorder="1" applyAlignment="1">
      <alignment horizontal="center"/>
    </xf>
    <xf numFmtId="0" fontId="6" fillId="0" borderId="34" xfId="0" applyFont="1" applyBorder="1" applyAlignment="1">
      <alignment horizontal="center" vertical="center" wrapText="1"/>
    </xf>
    <xf numFmtId="0" fontId="31" fillId="0" borderId="183" xfId="0" applyFont="1" applyBorder="1" applyAlignment="1">
      <alignment horizontal="center" vertical="center" wrapText="1"/>
    </xf>
    <xf numFmtId="0" fontId="6" fillId="0" borderId="158" xfId="0" applyFont="1" applyBorder="1" applyAlignment="1">
      <alignment horizontal="center" vertical="center" wrapText="1"/>
    </xf>
    <xf numFmtId="0" fontId="10" fillId="0" borderId="0" xfId="341" applyFont="1" applyBorder="1" applyAlignment="1">
      <alignment horizontal="center" vertical="center" wrapText="1"/>
    </xf>
    <xf numFmtId="0" fontId="6" fillId="0" borderId="27" xfId="0" applyFont="1" applyBorder="1" applyAlignment="1">
      <alignment horizontal="center" vertical="center"/>
    </xf>
    <xf numFmtId="0" fontId="10" fillId="0" borderId="1" xfId="592" applyFont="1" applyBorder="1" applyAlignment="1">
      <alignment horizontal="center" vertical="center" wrapText="1"/>
    </xf>
    <xf numFmtId="0" fontId="10" fillId="0" borderId="98" xfId="592" applyFont="1" applyBorder="1" applyAlignment="1">
      <alignment horizontal="center" vertical="center" wrapText="1"/>
    </xf>
    <xf numFmtId="0" fontId="10" fillId="0" borderId="0" xfId="592" applyFont="1" applyBorder="1" applyAlignment="1">
      <alignment horizontal="center" vertical="center" wrapText="1"/>
    </xf>
    <xf numFmtId="9" fontId="6" fillId="0" borderId="0" xfId="1" applyFont="1" applyAlignment="1">
      <alignment horizontal="center"/>
    </xf>
    <xf numFmtId="0" fontId="31" fillId="0" borderId="24" xfId="0" applyFont="1" applyBorder="1" applyAlignment="1">
      <alignment horizontal="center" vertical="center" wrapText="1"/>
    </xf>
    <xf numFmtId="0" fontId="7" fillId="0" borderId="158" xfId="0" applyFont="1" applyBorder="1" applyAlignment="1">
      <alignment horizontal="center" vertical="center" wrapText="1"/>
    </xf>
    <xf numFmtId="0" fontId="7" fillId="0" borderId="191" xfId="0" applyFont="1" applyBorder="1" applyAlignment="1">
      <alignment horizontal="center" vertical="center" wrapText="1"/>
    </xf>
    <xf numFmtId="0" fontId="7" fillId="0" borderId="183" xfId="0" applyFont="1" applyBorder="1" applyAlignment="1">
      <alignment horizontal="center" vertical="center" wrapText="1"/>
    </xf>
    <xf numFmtId="0" fontId="6" fillId="0" borderId="14" xfId="0" applyFont="1" applyBorder="1" applyAlignment="1">
      <alignment horizontal="center" vertical="center" wrapText="1"/>
    </xf>
    <xf numFmtId="1" fontId="31" fillId="0" borderId="0" xfId="1116" applyNumberFormat="1" applyFont="1" applyAlignment="1">
      <alignment horizontal="center" vertical="center" wrapText="1"/>
    </xf>
    <xf numFmtId="0" fontId="7" fillId="0" borderId="114" xfId="0" applyFont="1" applyFill="1" applyBorder="1" applyAlignment="1">
      <alignment horizontal="center" vertical="center" wrapText="1"/>
    </xf>
    <xf numFmtId="0" fontId="6" fillId="0" borderId="191" xfId="0" applyFont="1" applyBorder="1" applyAlignment="1">
      <alignment horizontal="center" vertical="center" wrapText="1"/>
    </xf>
    <xf numFmtId="0" fontId="7" fillId="0" borderId="0" xfId="0" applyFont="1" applyFill="1" applyBorder="1" applyAlignment="1">
      <alignment horizontal="center" vertical="center" wrapText="1"/>
    </xf>
    <xf numFmtId="0" fontId="112" fillId="0" borderId="185" xfId="1079" applyFont="1" applyBorder="1" applyAlignment="1">
      <alignment horizontal="center" vertical="center" wrapText="1"/>
    </xf>
    <xf numFmtId="0" fontId="112" fillId="0" borderId="183" xfId="1079" applyFont="1" applyBorder="1" applyAlignment="1">
      <alignment horizontal="center" vertical="center" wrapText="1"/>
    </xf>
    <xf numFmtId="0" fontId="31" fillId="0" borderId="3" xfId="0" applyFont="1" applyBorder="1" applyAlignment="1">
      <alignment horizontal="center" vertical="center" wrapText="1"/>
    </xf>
    <xf numFmtId="0" fontId="31" fillId="0" borderId="189" xfId="0" applyFont="1" applyBorder="1" applyAlignment="1">
      <alignment horizontal="center" vertical="center" wrapText="1"/>
    </xf>
    <xf numFmtId="0" fontId="108" fillId="0" borderId="98" xfId="1222" applyFont="1" applyBorder="1" applyAlignment="1">
      <alignment horizontal="center"/>
    </xf>
    <xf numFmtId="0" fontId="31" fillId="0" borderId="34" xfId="0" applyFont="1" applyBorder="1" applyAlignment="1">
      <alignment horizontal="center" vertical="center" wrapText="1"/>
    </xf>
    <xf numFmtId="0" fontId="31" fillId="0" borderId="158" xfId="0" applyFont="1" applyBorder="1" applyAlignment="1">
      <alignment horizontal="center" vertical="center" wrapText="1"/>
    </xf>
    <xf numFmtId="0" fontId="6" fillId="0" borderId="0" xfId="0" applyFont="1" applyBorder="1" applyAlignment="1">
      <alignment horizontal="center"/>
    </xf>
    <xf numFmtId="0" fontId="6" fillId="0" borderId="158" xfId="0" applyFont="1" applyBorder="1" applyAlignment="1">
      <alignment horizontal="center"/>
    </xf>
    <xf numFmtId="0" fontId="10" fillId="0" borderId="184" xfId="592" applyFont="1" applyBorder="1"/>
    <xf numFmtId="0" fontId="31" fillId="0" borderId="184" xfId="1105" applyFont="1" applyBorder="1"/>
    <xf numFmtId="0" fontId="7" fillId="0" borderId="184" xfId="1105" applyFont="1" applyBorder="1"/>
    <xf numFmtId="3" fontId="31" fillId="0" borderId="184" xfId="0" applyNumberFormat="1" applyFont="1" applyBorder="1" applyAlignment="1">
      <alignment horizontal="center" vertical="center"/>
    </xf>
    <xf numFmtId="0" fontId="112" fillId="0" borderId="184" xfId="1079" applyFont="1" applyBorder="1" applyAlignment="1">
      <alignment horizontal="center"/>
    </xf>
    <xf numFmtId="0" fontId="6" fillId="0" borderId="184" xfId="0" applyFont="1" applyBorder="1"/>
    <xf numFmtId="0" fontId="32" fillId="0" borderId="184" xfId="0" applyFont="1" applyBorder="1" applyAlignment="1">
      <alignment horizontal="center" vertical="center"/>
    </xf>
    <xf numFmtId="0" fontId="112" fillId="0" borderId="184" xfId="591" applyFont="1" applyBorder="1" applyAlignment="1">
      <alignment horizontal="center" vertical="center" wrapText="1"/>
    </xf>
    <xf numFmtId="0" fontId="112" fillId="0" borderId="184" xfId="591" applyFont="1" applyBorder="1" applyAlignment="1">
      <alignment wrapText="1"/>
    </xf>
    <xf numFmtId="0" fontId="127" fillId="0" borderId="0" xfId="1116" applyFont="1" applyBorder="1"/>
    <xf numFmtId="167" fontId="12" fillId="0" borderId="0" xfId="1116" applyNumberFormat="1" applyBorder="1"/>
    <xf numFmtId="1" fontId="12" fillId="0" borderId="0" xfId="1116" applyNumberFormat="1" applyBorder="1"/>
    <xf numFmtId="1" fontId="41" fillId="0" borderId="0" xfId="1116" applyNumberFormat="1" applyFont="1" applyBorder="1" applyAlignment="1">
      <alignment horizontal="center" vertical="center" wrapText="1"/>
    </xf>
    <xf numFmtId="1" fontId="31" fillId="0" borderId="98" xfId="1116" applyNumberFormat="1" applyFont="1" applyBorder="1" applyAlignment="1">
      <alignment horizontal="center" vertical="center" wrapText="1"/>
    </xf>
    <xf numFmtId="9" fontId="4" fillId="0" borderId="0" xfId="1" applyFont="1" applyBorder="1"/>
    <xf numFmtId="0" fontId="12" fillId="0" borderId="0" xfId="1116" applyBorder="1"/>
    <xf numFmtId="0" fontId="12" fillId="0" borderId="98" xfId="1116" applyBorder="1"/>
    <xf numFmtId="0" fontId="131" fillId="0" borderId="98" xfId="1116" applyFont="1" applyBorder="1"/>
    <xf numFmtId="171" fontId="10" fillId="0" borderId="158" xfId="1" applyNumberFormat="1" applyFont="1" applyBorder="1" applyAlignment="1">
      <alignment horizontal="center"/>
    </xf>
    <xf numFmtId="0" fontId="31" fillId="0" borderId="0" xfId="1116" applyFont="1" applyBorder="1" applyAlignment="1">
      <alignment horizontal="center" vertical="center" wrapText="1"/>
    </xf>
    <xf numFmtId="0" fontId="41" fillId="0" borderId="0" xfId="1116" applyFont="1" applyBorder="1" applyAlignment="1">
      <alignment horizontal="center" vertical="center" wrapText="1"/>
    </xf>
    <xf numFmtId="9" fontId="3" fillId="0" borderId="0" xfId="1" applyFont="1" applyBorder="1"/>
    <xf numFmtId="168" fontId="3" fillId="0" borderId="0" xfId="139" applyNumberFormat="1" applyFont="1" applyBorder="1"/>
    <xf numFmtId="9" fontId="3" fillId="0" borderId="0" xfId="1116" applyNumberFormat="1" applyFont="1"/>
    <xf numFmtId="0" fontId="127" fillId="0" borderId="98" xfId="1116" applyFont="1" applyFill="1" applyBorder="1"/>
    <xf numFmtId="9" fontId="12" fillId="0" borderId="0" xfId="1" applyFont="1"/>
    <xf numFmtId="0" fontId="6" fillId="0" borderId="0" xfId="1230" applyFont="1"/>
    <xf numFmtId="0" fontId="6" fillId="0" borderId="0" xfId="1230" applyFont="1" applyAlignment="1">
      <alignment horizontal="center" vertical="center" wrapText="1"/>
    </xf>
    <xf numFmtId="0" fontId="132" fillId="0" borderId="0" xfId="1230" applyFont="1"/>
    <xf numFmtId="3" fontId="133" fillId="0" borderId="0" xfId="1230" applyNumberFormat="1" applyFont="1" applyAlignment="1">
      <alignment horizontal="center"/>
    </xf>
    <xf numFmtId="9" fontId="132" fillId="0" borderId="0" xfId="1231" applyFont="1" applyBorder="1" applyAlignment="1">
      <alignment horizontal="center"/>
    </xf>
    <xf numFmtId="9" fontId="132" fillId="0" borderId="0" xfId="1230" applyNumberFormat="1" applyFont="1" applyAlignment="1">
      <alignment horizontal="center"/>
    </xf>
    <xf numFmtId="9" fontId="6" fillId="0" borderId="0" xfId="1231" applyFont="1"/>
    <xf numFmtId="0" fontId="136" fillId="0" borderId="0" xfId="1230" applyFont="1" applyBorder="1" applyAlignment="1">
      <alignment horizontal="center" vertical="center" wrapText="1"/>
    </xf>
    <xf numFmtId="0" fontId="134" fillId="0" borderId="0" xfId="1230" applyFont="1" applyBorder="1" applyAlignment="1">
      <alignment horizontal="center" vertical="center" wrapText="1"/>
    </xf>
    <xf numFmtId="0" fontId="137" fillId="0" borderId="0" xfId="1230" applyFont="1" applyBorder="1" applyAlignment="1">
      <alignment horizontal="center" vertical="center" wrapText="1"/>
    </xf>
    <xf numFmtId="0" fontId="136" fillId="0" borderId="0" xfId="1230" applyFont="1" applyBorder="1"/>
    <xf numFmtId="3" fontId="134" fillId="0" borderId="0" xfId="1230" applyNumberFormat="1" applyFont="1" applyBorder="1" applyAlignment="1">
      <alignment horizontal="center"/>
    </xf>
    <xf numFmtId="3" fontId="136" fillId="0" borderId="0" xfId="1230" applyNumberFormat="1" applyFont="1" applyBorder="1" applyAlignment="1">
      <alignment horizontal="center"/>
    </xf>
    <xf numFmtId="9" fontId="136" fillId="0" borderId="0" xfId="1231" applyFont="1" applyBorder="1" applyAlignment="1">
      <alignment horizontal="center"/>
    </xf>
    <xf numFmtId="9" fontId="136" fillId="0" borderId="0" xfId="1230" applyNumberFormat="1" applyFont="1" applyBorder="1" applyAlignment="1">
      <alignment horizontal="center"/>
    </xf>
    <xf numFmtId="9" fontId="134" fillId="0" borderId="0" xfId="1230" applyNumberFormat="1" applyFont="1" applyBorder="1" applyAlignment="1">
      <alignment horizontal="center"/>
    </xf>
    <xf numFmtId="0" fontId="134" fillId="0" borderId="150" xfId="1230" applyFont="1" applyBorder="1"/>
    <xf numFmtId="3" fontId="134" fillId="0" borderId="150" xfId="1230" applyNumberFormat="1" applyFont="1" applyBorder="1" applyAlignment="1">
      <alignment horizontal="center"/>
    </xf>
    <xf numFmtId="3" fontId="136" fillId="0" borderId="150" xfId="1230" applyNumberFormat="1" applyFont="1" applyBorder="1" applyAlignment="1">
      <alignment horizontal="center"/>
    </xf>
    <xf numFmtId="9" fontId="136" fillId="0" borderId="150" xfId="1231" applyFont="1" applyBorder="1" applyAlignment="1">
      <alignment horizontal="center"/>
    </xf>
    <xf numFmtId="9" fontId="136" fillId="0" borderId="150" xfId="1230" applyNumberFormat="1" applyFont="1" applyBorder="1" applyAlignment="1">
      <alignment horizontal="center"/>
    </xf>
    <xf numFmtId="9" fontId="134" fillId="0" borderId="150" xfId="1230" applyNumberFormat="1" applyFont="1" applyBorder="1" applyAlignment="1">
      <alignment horizontal="center"/>
    </xf>
    <xf numFmtId="1" fontId="31" fillId="0" borderId="0" xfId="1116" applyNumberFormat="1" applyFont="1" applyBorder="1" applyAlignment="1">
      <alignment horizontal="center" vertical="center" wrapText="1"/>
    </xf>
    <xf numFmtId="0" fontId="51" fillId="0" borderId="0" xfId="341" applyFont="1" applyBorder="1" applyAlignment="1">
      <alignment horizontal="center"/>
    </xf>
    <xf numFmtId="0" fontId="99" fillId="0" borderId="98" xfId="0" applyFont="1" applyBorder="1"/>
    <xf numFmtId="0" fontId="127" fillId="0" borderId="130" xfId="1116" applyFont="1" applyBorder="1"/>
    <xf numFmtId="0" fontId="127" fillId="0" borderId="185" xfId="1116" applyFont="1" applyBorder="1"/>
    <xf numFmtId="0" fontId="28" fillId="0" borderId="206" xfId="341" applyBorder="1" applyAlignment="1">
      <alignment horizontal="center"/>
    </xf>
    <xf numFmtId="3" fontId="6" fillId="0" borderId="0" xfId="1224" applyNumberFormat="1" applyFont="1"/>
    <xf numFmtId="9" fontId="31" fillId="0" borderId="0" xfId="1" applyFont="1" applyAlignment="1">
      <alignment horizontal="center"/>
    </xf>
    <xf numFmtId="0" fontId="138" fillId="0" borderId="0" xfId="1232"/>
    <xf numFmtId="9" fontId="0" fillId="0" borderId="0" xfId="263" applyFont="1"/>
    <xf numFmtId="171" fontId="0" fillId="0" borderId="0" xfId="263" applyNumberFormat="1" applyFont="1"/>
    <xf numFmtId="9" fontId="28" fillId="0" borderId="0" xfId="1232" applyNumberFormat="1" applyFont="1"/>
    <xf numFmtId="9" fontId="138" fillId="0" borderId="0" xfId="1232" applyNumberFormat="1"/>
    <xf numFmtId="9" fontId="35" fillId="0" borderId="0" xfId="1232" applyNumberFormat="1" applyFont="1"/>
    <xf numFmtId="1" fontId="138" fillId="0" borderId="0" xfId="1232" applyNumberFormat="1"/>
    <xf numFmtId="0" fontId="28" fillId="0" borderId="0" xfId="1232" applyFont="1"/>
    <xf numFmtId="9" fontId="96" fillId="0" borderId="0" xfId="263" applyFont="1"/>
    <xf numFmtId="3" fontId="138" fillId="0" borderId="0" xfId="1232" applyNumberFormat="1"/>
    <xf numFmtId="0" fontId="138" fillId="0" borderId="0" xfId="1232" applyAlignment="1">
      <alignment wrapText="1"/>
    </xf>
    <xf numFmtId="0" fontId="3" fillId="0" borderId="0" xfId="1233"/>
    <xf numFmtId="182" fontId="3" fillId="0" borderId="0" xfId="1233" applyNumberFormat="1"/>
    <xf numFmtId="169" fontId="3" fillId="0" borderId="0" xfId="1233" applyNumberFormat="1"/>
    <xf numFmtId="167" fontId="3" fillId="0" borderId="0" xfId="1233" applyNumberFormat="1"/>
    <xf numFmtId="0" fontId="3" fillId="0" borderId="0" xfId="1233" applyAlignment="1">
      <alignment horizontal="left"/>
    </xf>
    <xf numFmtId="167" fontId="131" fillId="40" borderId="208" xfId="1233" applyNumberFormat="1" applyFont="1" applyFill="1" applyBorder="1"/>
    <xf numFmtId="0" fontId="3" fillId="0" borderId="0" xfId="1233" pivotButton="1"/>
    <xf numFmtId="0" fontId="6" fillId="0" borderId="0" xfId="1234" applyFont="1"/>
    <xf numFmtId="169" fontId="6" fillId="0" borderId="0" xfId="1234" applyNumberFormat="1" applyFont="1"/>
    <xf numFmtId="3" fontId="6" fillId="0" borderId="0" xfId="1234" applyNumberFormat="1" applyFont="1"/>
    <xf numFmtId="0" fontId="6" fillId="0" borderId="148" xfId="1234" applyFont="1" applyBorder="1"/>
    <xf numFmtId="9" fontId="31" fillId="0" borderId="0" xfId="1235" applyFont="1" applyBorder="1"/>
    <xf numFmtId="3" fontId="31" fillId="0" borderId="0" xfId="1234" applyNumberFormat="1" applyFont="1"/>
    <xf numFmtId="0" fontId="31" fillId="0" borderId="0" xfId="1234" applyFont="1"/>
    <xf numFmtId="9" fontId="6" fillId="0" borderId="0" xfId="1235" applyFont="1" applyBorder="1"/>
    <xf numFmtId="1" fontId="6" fillId="0" borderId="0" xfId="1234" applyNumberFormat="1" applyFont="1"/>
    <xf numFmtId="0" fontId="6" fillId="0" borderId="0" xfId="1234" applyFont="1" applyAlignment="1">
      <alignment wrapText="1"/>
    </xf>
    <xf numFmtId="0" fontId="6" fillId="0" borderId="207" xfId="1234" applyFont="1" applyBorder="1"/>
    <xf numFmtId="0" fontId="31" fillId="0" borderId="207" xfId="1234" applyFont="1" applyBorder="1"/>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7" xfId="0" applyFont="1" applyBorder="1" applyAlignment="1">
      <alignment horizontal="left" vertical="center" wrapText="1"/>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34" fillId="0" borderId="156" xfId="0" applyFont="1" applyFill="1" applyBorder="1" applyAlignment="1">
      <alignment horizontal="center" vertical="center" wrapText="1"/>
    </xf>
    <xf numFmtId="0" fontId="34" fillId="0" borderId="98" xfId="0" applyFont="1" applyFill="1" applyBorder="1" applyAlignment="1">
      <alignment horizontal="center" vertical="center" wrapText="1"/>
    </xf>
    <xf numFmtId="0" fontId="34" fillId="0" borderId="185" xfId="0" applyFont="1" applyFill="1" applyBorder="1" applyAlignment="1">
      <alignment horizontal="center" vertical="center" wrapText="1"/>
    </xf>
    <xf numFmtId="0" fontId="34" fillId="0" borderId="20"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189" xfId="0" applyFont="1" applyFill="1" applyBorder="1" applyAlignment="1">
      <alignment horizontal="center" vertical="center" wrapText="1"/>
    </xf>
    <xf numFmtId="0" fontId="31" fillId="0" borderId="98"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179" xfId="0" applyFont="1" applyFill="1" applyBorder="1" applyAlignment="1">
      <alignment horizontal="center" vertical="center" wrapText="1"/>
    </xf>
    <xf numFmtId="0" fontId="6" fillId="0" borderId="159" xfId="0" applyFont="1" applyFill="1" applyBorder="1" applyAlignment="1">
      <alignment horizontal="center" vertical="center"/>
    </xf>
    <xf numFmtId="0" fontId="6" fillId="0" borderId="160" xfId="0" applyFont="1" applyFill="1" applyBorder="1" applyAlignment="1">
      <alignment horizontal="center" vertical="center"/>
    </xf>
    <xf numFmtId="0" fontId="6" fillId="0" borderId="161" xfId="0" applyFont="1" applyFill="1" applyBorder="1" applyAlignment="1">
      <alignment horizontal="center" vertical="center"/>
    </xf>
    <xf numFmtId="0" fontId="34" fillId="0" borderId="3" xfId="0" applyFont="1" applyFill="1" applyBorder="1" applyAlignment="1">
      <alignment horizontal="center" vertical="center" wrapText="1"/>
    </xf>
    <xf numFmtId="0" fontId="34" fillId="0" borderId="176" xfId="0" applyFont="1" applyFill="1" applyBorder="1" applyAlignment="1">
      <alignment horizontal="center" vertical="center" wrapText="1"/>
    </xf>
    <xf numFmtId="0" fontId="34" fillId="0" borderId="24" xfId="0" applyFont="1" applyFill="1" applyBorder="1" applyAlignment="1">
      <alignment horizontal="center" vertical="center" wrapText="1"/>
    </xf>
    <xf numFmtId="0" fontId="34" fillId="0" borderId="31" xfId="0" applyFont="1" applyFill="1" applyBorder="1" applyAlignment="1">
      <alignment horizontal="center" vertical="center" wrapText="1"/>
    </xf>
    <xf numFmtId="0" fontId="34" fillId="0" borderId="158" xfId="0" applyFont="1" applyFill="1" applyBorder="1" applyAlignment="1">
      <alignment horizontal="center" vertical="center" wrapText="1"/>
    </xf>
    <xf numFmtId="0" fontId="34" fillId="0" borderId="159" xfId="0" applyFont="1" applyFill="1" applyBorder="1" applyAlignment="1">
      <alignment horizontal="center" vertical="center" wrapText="1"/>
    </xf>
    <xf numFmtId="0" fontId="34" fillId="0" borderId="160" xfId="0" applyFont="1" applyFill="1" applyBorder="1" applyAlignment="1">
      <alignment horizontal="center" vertical="center" wrapText="1"/>
    </xf>
    <xf numFmtId="0" fontId="34" fillId="0" borderId="16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183" xfId="0" applyFont="1" applyFill="1" applyBorder="1" applyAlignment="1">
      <alignment horizontal="center" vertical="center" wrapText="1"/>
    </xf>
    <xf numFmtId="9" fontId="34" fillId="0" borderId="31" xfId="1" applyFont="1" applyFill="1" applyBorder="1" applyAlignment="1">
      <alignment horizontal="center" vertical="center" wrapText="1"/>
    </xf>
    <xf numFmtId="9" fontId="34" fillId="0" borderId="158" xfId="1" applyFont="1" applyFill="1" applyBorder="1" applyAlignment="1">
      <alignment horizontal="center"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31" fillId="0" borderId="20"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58" xfId="0" applyFont="1" applyFill="1" applyBorder="1" applyAlignment="1">
      <alignment horizontal="center" vertical="center" wrapText="1"/>
    </xf>
    <xf numFmtId="0" fontId="6" fillId="0" borderId="156" xfId="0" applyFont="1" applyFill="1" applyBorder="1" applyAlignment="1">
      <alignment horizontal="center" vertical="center" wrapText="1"/>
    </xf>
    <xf numFmtId="0" fontId="6" fillId="0" borderId="98" xfId="0" applyFont="1" applyFill="1" applyBorder="1" applyAlignment="1">
      <alignment horizontal="center" vertical="center" wrapText="1"/>
    </xf>
    <xf numFmtId="0" fontId="31" fillId="0" borderId="114"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176" xfId="0" applyFont="1" applyFill="1" applyBorder="1" applyAlignment="1">
      <alignment horizontal="center" vertical="center" wrapText="1"/>
    </xf>
    <xf numFmtId="9" fontId="98" fillId="0" borderId="0" xfId="1" applyFont="1" applyAlignment="1">
      <alignment horizontal="center"/>
    </xf>
    <xf numFmtId="0" fontId="10" fillId="0" borderId="158" xfId="0" applyFont="1" applyFill="1" applyBorder="1" applyAlignment="1">
      <alignment horizontal="center" vertical="center" wrapText="1"/>
    </xf>
    <xf numFmtId="0" fontId="6" fillId="0" borderId="15" xfId="0" applyFont="1" applyBorder="1" applyAlignment="1">
      <alignment horizontal="left" vertical="center" wrapText="1"/>
    </xf>
    <xf numFmtId="0" fontId="10" fillId="0" borderId="159" xfId="0" applyFont="1" applyFill="1" applyBorder="1" applyAlignment="1">
      <alignment horizontal="center" vertical="center"/>
    </xf>
    <xf numFmtId="0" fontId="10" fillId="0" borderId="160" xfId="0" applyFont="1" applyFill="1" applyBorder="1" applyAlignment="1">
      <alignment horizontal="center" vertical="center"/>
    </xf>
    <xf numFmtId="0" fontId="10" fillId="0" borderId="161" xfId="0" applyFont="1" applyFill="1" applyBorder="1" applyAlignment="1">
      <alignment horizontal="center" vertical="center"/>
    </xf>
    <xf numFmtId="0" fontId="10" fillId="0" borderId="156" xfId="0" applyFont="1" applyFill="1" applyBorder="1" applyAlignment="1">
      <alignment horizontal="center" vertical="center" wrapText="1"/>
    </xf>
    <xf numFmtId="0" fontId="10" fillId="0" borderId="98" xfId="0" applyFont="1" applyFill="1" applyBorder="1" applyAlignment="1">
      <alignment horizontal="center" vertical="center" wrapText="1"/>
    </xf>
    <xf numFmtId="0" fontId="44" fillId="0" borderId="114"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76"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100" fillId="0" borderId="30" xfId="0" applyFont="1" applyFill="1" applyBorder="1" applyAlignment="1">
      <alignment horizontal="center" vertical="center" wrapText="1"/>
    </xf>
    <xf numFmtId="0" fontId="100" fillId="0" borderId="98"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63" fillId="0" borderId="17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44" fillId="0" borderId="98"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180" xfId="0" applyFont="1" applyFill="1" applyBorder="1" applyAlignment="1">
      <alignment horizontal="center" vertical="center" wrapText="1"/>
    </xf>
    <xf numFmtId="0" fontId="44" fillId="0" borderId="156" xfId="0" applyFont="1" applyFill="1" applyBorder="1" applyAlignment="1">
      <alignment horizontal="center" vertical="center" wrapText="1"/>
    </xf>
    <xf numFmtId="0" fontId="31" fillId="0" borderId="176" xfId="0" applyFont="1" applyBorder="1" applyAlignment="1">
      <alignment horizontal="center" vertical="center" wrapText="1"/>
    </xf>
    <xf numFmtId="0" fontId="6"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61" xfId="0" applyFont="1" applyBorder="1" applyAlignment="1">
      <alignment horizontal="center" vertical="center"/>
    </xf>
    <xf numFmtId="0" fontId="31" fillId="0" borderId="98" xfId="0" applyFont="1" applyBorder="1" applyAlignment="1">
      <alignment horizontal="center" vertical="center" wrapText="1"/>
    </xf>
    <xf numFmtId="0" fontId="7" fillId="0" borderId="159" xfId="0" applyFont="1" applyBorder="1" applyAlignment="1">
      <alignment horizontal="center" vertical="center" wrapText="1"/>
    </xf>
    <xf numFmtId="0" fontId="6" fillId="0" borderId="160" xfId="0" applyFont="1" applyBorder="1" applyAlignment="1">
      <alignment horizontal="center" vertical="center" wrapText="1"/>
    </xf>
    <xf numFmtId="0" fontId="6" fillId="0" borderId="27" xfId="0" applyFont="1" applyBorder="1" applyAlignment="1">
      <alignment horizontal="center" vertical="center" wrapText="1"/>
    </xf>
    <xf numFmtId="0" fontId="31" fillId="0" borderId="185" xfId="0" applyFont="1" applyBorder="1" applyAlignment="1">
      <alignment horizontal="center" vertical="center" wrapText="1"/>
    </xf>
    <xf numFmtId="0" fontId="7" fillId="0" borderId="0" xfId="0" applyFont="1" applyBorder="1" applyAlignment="1">
      <alignment horizontal="center" vertical="center" wrapText="1"/>
    </xf>
    <xf numFmtId="0" fontId="6" fillId="0" borderId="183" xfId="0" applyFont="1" applyBorder="1" applyAlignment="1">
      <alignment horizontal="center" vertical="center" wrapText="1"/>
    </xf>
    <xf numFmtId="0" fontId="7" fillId="0" borderId="8" xfId="0" applyFont="1" applyBorder="1" applyAlignment="1">
      <alignment horizontal="center" vertical="center" wrapText="1"/>
    </xf>
    <xf numFmtId="0" fontId="6" fillId="0" borderId="189" xfId="0" applyFont="1" applyBorder="1" applyAlignment="1">
      <alignment horizontal="center" vertical="center" wrapText="1"/>
    </xf>
    <xf numFmtId="0" fontId="34" fillId="0" borderId="98"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8" xfId="0" applyFont="1" applyBorder="1" applyAlignment="1">
      <alignment horizontal="center" vertical="center" wrapText="1"/>
    </xf>
    <xf numFmtId="0" fontId="7" fillId="0" borderId="130" xfId="0" applyFont="1" applyBorder="1" applyAlignment="1">
      <alignment horizontal="left" wrapText="1"/>
    </xf>
    <xf numFmtId="0" fontId="7" fillId="0" borderId="131" xfId="0" applyFont="1" applyBorder="1" applyAlignment="1">
      <alignment horizontal="left" wrapText="1"/>
    </xf>
    <xf numFmtId="0" fontId="7" fillId="0" borderId="133" xfId="0" applyFont="1" applyBorder="1" applyAlignment="1">
      <alignment horizontal="left" wrapText="1"/>
    </xf>
    <xf numFmtId="0" fontId="6" fillId="0" borderId="98" xfId="0" applyFont="1" applyBorder="1" applyAlignment="1">
      <alignment horizontal="left" wrapText="1"/>
    </xf>
    <xf numFmtId="0" fontId="6" fillId="0" borderId="0" xfId="0" applyFont="1" applyBorder="1" applyAlignment="1">
      <alignment horizontal="left" wrapText="1"/>
    </xf>
    <xf numFmtId="0" fontId="6" fillId="0" borderId="158" xfId="0" applyFont="1" applyBorder="1" applyAlignment="1">
      <alignment horizontal="left" wrapText="1"/>
    </xf>
    <xf numFmtId="0" fontId="6" fillId="0" borderId="156" xfId="0" applyFont="1" applyBorder="1" applyAlignment="1">
      <alignment horizontal="left" vertical="center" wrapText="1"/>
    </xf>
    <xf numFmtId="0" fontId="6" fillId="0" borderId="114" xfId="0" applyFont="1" applyBorder="1" applyAlignment="1">
      <alignment horizontal="left" vertical="center" wrapText="1"/>
    </xf>
    <xf numFmtId="0" fontId="6" fillId="0" borderId="157" xfId="0" applyFont="1" applyBorder="1" applyAlignment="1">
      <alignment horizontal="left" vertical="center" wrapText="1"/>
    </xf>
    <xf numFmtId="0" fontId="6" fillId="0" borderId="28" xfId="0" applyFont="1" applyBorder="1" applyAlignment="1">
      <alignment horizontal="center" vertical="center"/>
    </xf>
    <xf numFmtId="0" fontId="6" fillId="0" borderId="14" xfId="0" applyFont="1" applyBorder="1" applyAlignment="1">
      <alignment horizontal="center" vertical="center"/>
    </xf>
    <xf numFmtId="0" fontId="6" fillId="0" borderId="43" xfId="0" applyFont="1" applyBorder="1" applyAlignment="1">
      <alignment horizontal="center" vertical="center"/>
    </xf>
    <xf numFmtId="0" fontId="31" fillId="0" borderId="22" xfId="0" applyFont="1" applyBorder="1" applyAlignment="1">
      <alignment horizontal="center" vertical="center" wrapText="1"/>
    </xf>
    <xf numFmtId="0" fontId="31" fillId="0" borderId="17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7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7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0"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158"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29"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79" xfId="0" applyFont="1" applyBorder="1" applyAlignment="1">
      <alignment horizontal="center" vertical="center" wrapText="1"/>
    </xf>
    <xf numFmtId="0" fontId="31" fillId="0" borderId="190" xfId="0" applyFont="1" applyBorder="1" applyAlignment="1">
      <alignment horizontal="center" vertical="center" wrapText="1"/>
    </xf>
    <xf numFmtId="0" fontId="41" fillId="0" borderId="98"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2" xfId="0" applyFont="1" applyBorder="1" applyAlignment="1">
      <alignment horizontal="center" vertical="center" wrapText="1"/>
    </xf>
    <xf numFmtId="0" fontId="31" fillId="0" borderId="30" xfId="0" applyFont="1" applyBorder="1" applyAlignment="1">
      <alignment horizontal="center" vertical="center" wrapText="1"/>
    </xf>
    <xf numFmtId="0" fontId="6" fillId="0" borderId="29" xfId="0" applyFont="1" applyBorder="1" applyAlignment="1">
      <alignment horizontal="center" vertical="center"/>
    </xf>
    <xf numFmtId="0" fontId="31" fillId="0" borderId="37" xfId="0" applyFont="1" applyBorder="1" applyAlignment="1">
      <alignment horizontal="center" vertical="center" wrapText="1"/>
    </xf>
    <xf numFmtId="0" fontId="31" fillId="0" borderId="181" xfId="0" applyFont="1" applyBorder="1" applyAlignment="1">
      <alignment horizontal="center" vertical="center" wrapText="1"/>
    </xf>
    <xf numFmtId="0" fontId="31" fillId="0" borderId="195" xfId="0" applyFont="1" applyBorder="1" applyAlignment="1">
      <alignment horizontal="center" vertical="center" wrapText="1"/>
    </xf>
    <xf numFmtId="0" fontId="34" fillId="0" borderId="30" xfId="0" applyFont="1" applyBorder="1" applyAlignment="1">
      <alignment horizontal="center" vertical="center" wrapText="1"/>
    </xf>
    <xf numFmtId="0" fontId="34" fillId="0" borderId="185" xfId="0" applyFont="1" applyBorder="1" applyAlignment="1">
      <alignment horizontal="center" vertical="center" wrapText="1"/>
    </xf>
    <xf numFmtId="0" fontId="6" fillId="0" borderId="30" xfId="0" applyFont="1" applyBorder="1" applyAlignment="1">
      <alignment horizontal="center" vertical="center"/>
    </xf>
    <xf numFmtId="0" fontId="6" fillId="0" borderId="24" xfId="0" applyFont="1" applyBorder="1" applyAlignment="1">
      <alignment horizontal="center" vertical="center"/>
    </xf>
    <xf numFmtId="0" fontId="33" fillId="0" borderId="24" xfId="0" applyFont="1" applyBorder="1" applyAlignment="1">
      <alignment horizontal="center" vertical="center" wrapText="1"/>
    </xf>
    <xf numFmtId="0" fontId="33" fillId="0" borderId="0" xfId="0" applyFont="1" applyBorder="1" applyAlignment="1">
      <alignment horizontal="center" vertical="center" wrapText="1"/>
    </xf>
    <xf numFmtId="0" fontId="7" fillId="0" borderId="24" xfId="0" applyFont="1" applyBorder="1" applyAlignment="1">
      <alignment horizontal="center" vertical="center" wrapText="1"/>
    </xf>
    <xf numFmtId="0" fontId="41" fillId="0" borderId="22"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8"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8" xfId="0" applyFont="1" applyBorder="1" applyAlignment="1">
      <alignment horizontal="center" vertical="center" wrapText="1"/>
    </xf>
    <xf numFmtId="0" fontId="6" fillId="0" borderId="36" xfId="0" applyFont="1" applyBorder="1" applyAlignment="1">
      <alignment horizontal="center"/>
    </xf>
    <xf numFmtId="0" fontId="32" fillId="0" borderId="156" xfId="0" applyFont="1" applyBorder="1" applyAlignment="1">
      <alignment horizontal="center" vertical="center"/>
    </xf>
    <xf numFmtId="0" fontId="32" fillId="0" borderId="114" xfId="0" applyFont="1" applyBorder="1" applyAlignment="1">
      <alignment horizontal="center" vertical="center"/>
    </xf>
    <xf numFmtId="0" fontId="32" fillId="0" borderId="157" xfId="0" applyFont="1" applyBorder="1" applyAlignment="1">
      <alignment horizontal="center" vertical="center"/>
    </xf>
    <xf numFmtId="0" fontId="31" fillId="0" borderId="167" xfId="0" applyFont="1" applyBorder="1" applyAlignment="1">
      <alignment horizontal="center" vertical="center"/>
    </xf>
    <xf numFmtId="0" fontId="31" fillId="0" borderId="165" xfId="0" applyFont="1" applyBorder="1" applyAlignment="1">
      <alignment horizontal="center" vertical="center"/>
    </xf>
    <xf numFmtId="0" fontId="31" fillId="0" borderId="168" xfId="0" applyFont="1" applyBorder="1" applyAlignment="1">
      <alignment horizontal="center" vertical="center"/>
    </xf>
    <xf numFmtId="0" fontId="31" fillId="0" borderId="166" xfId="0" applyFont="1" applyBorder="1" applyAlignment="1">
      <alignment horizontal="center" vertical="center"/>
    </xf>
    <xf numFmtId="0" fontId="6" fillId="0" borderId="98" xfId="0" applyFont="1" applyBorder="1" applyAlignment="1">
      <alignment horizontal="center"/>
    </xf>
    <xf numFmtId="0" fontId="6" fillId="0" borderId="185" xfId="0" applyFont="1" applyBorder="1" applyAlignment="1">
      <alignment horizontal="center"/>
    </xf>
    <xf numFmtId="0" fontId="41" fillId="0" borderId="30"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2" xfId="0" applyFont="1" applyBorder="1" applyAlignment="1">
      <alignment horizontal="center" vertical="center" wrapText="1"/>
    </xf>
    <xf numFmtId="0" fontId="41" fillId="0" borderId="118"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83" xfId="0" applyFont="1" applyBorder="1" applyAlignment="1">
      <alignment horizontal="center" vertical="center" wrapText="1"/>
    </xf>
    <xf numFmtId="0" fontId="31" fillId="0" borderId="43" xfId="0" applyFont="1" applyBorder="1" applyAlignment="1">
      <alignment horizontal="center" vertical="center" wrapText="1"/>
    </xf>
    <xf numFmtId="0" fontId="6" fillId="0" borderId="119"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76" xfId="0" applyFont="1" applyBorder="1" applyAlignment="1">
      <alignment horizontal="center" vertical="center" wrapText="1"/>
    </xf>
    <xf numFmtId="0" fontId="6" fillId="0" borderId="158"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96" xfId="0" applyFont="1" applyBorder="1" applyAlignment="1">
      <alignment horizontal="center" vertical="center" wrapText="1"/>
    </xf>
    <xf numFmtId="0" fontId="31" fillId="0" borderId="28" xfId="0" applyFont="1" applyBorder="1" applyAlignment="1">
      <alignment horizontal="center" vertical="center"/>
    </xf>
    <xf numFmtId="0" fontId="31" fillId="0" borderId="14" xfId="0" applyFont="1" applyBorder="1" applyAlignment="1">
      <alignment horizontal="center" vertical="center"/>
    </xf>
    <xf numFmtId="0" fontId="31" fillId="0" borderId="43" xfId="0" applyFont="1" applyBorder="1" applyAlignment="1">
      <alignment horizontal="center" vertical="center"/>
    </xf>
    <xf numFmtId="0" fontId="6" fillId="0" borderId="186" xfId="0" applyFont="1" applyBorder="1" applyAlignment="1">
      <alignment horizontal="center" vertical="center" wrapText="1"/>
    </xf>
    <xf numFmtId="0" fontId="64" fillId="0" borderId="67" xfId="3" applyFont="1" applyBorder="1" applyAlignment="1">
      <alignment horizontal="center" vertical="center"/>
    </xf>
    <xf numFmtId="0" fontId="65" fillId="0" borderId="68" xfId="3" applyFont="1" applyBorder="1" applyAlignment="1">
      <alignment vertical="center"/>
    </xf>
    <xf numFmtId="0" fontId="65" fillId="0" borderId="69" xfId="3" applyFont="1" applyBorder="1" applyAlignment="1">
      <alignment vertical="center"/>
    </xf>
    <xf numFmtId="0" fontId="10" fillId="0" borderId="78" xfId="3" applyFont="1" applyBorder="1" applyAlignment="1">
      <alignment horizontal="left" vertical="center"/>
    </xf>
    <xf numFmtId="0" fontId="10" fillId="0" borderId="79" xfId="3" applyFont="1" applyBorder="1" applyAlignment="1">
      <alignment horizontal="left" vertical="center"/>
    </xf>
    <xf numFmtId="0" fontId="10" fillId="0" borderId="80" xfId="3" applyFont="1" applyBorder="1" applyAlignment="1">
      <alignment horizontal="left" vertical="center"/>
    </xf>
    <xf numFmtId="0" fontId="10" fillId="0" borderId="86" xfId="3" applyFont="1" applyBorder="1" applyAlignment="1">
      <alignment horizontal="center" vertical="center"/>
    </xf>
    <xf numFmtId="0" fontId="10" fillId="0" borderId="72" xfId="3" applyFont="1" applyBorder="1" applyAlignment="1">
      <alignment horizontal="center" vertical="center"/>
    </xf>
    <xf numFmtId="0" fontId="10" fillId="0" borderId="73" xfId="3" applyFont="1" applyBorder="1" applyAlignment="1">
      <alignment horizontal="center" vertical="center"/>
    </xf>
    <xf numFmtId="0" fontId="10" fillId="0" borderId="84" xfId="3" applyFont="1" applyBorder="1" applyAlignment="1">
      <alignment horizontal="center" vertical="center"/>
    </xf>
    <xf numFmtId="0" fontId="10" fillId="0" borderId="203" xfId="3" applyFont="1" applyBorder="1" applyAlignment="1">
      <alignment horizontal="center" vertical="center"/>
    </xf>
    <xf numFmtId="0" fontId="10" fillId="0" borderId="88" xfId="3" applyFont="1" applyBorder="1" applyAlignment="1">
      <alignment horizontal="center" vertical="center"/>
    </xf>
    <xf numFmtId="0" fontId="10" fillId="0" borderId="82" xfId="3" applyFont="1" applyBorder="1" applyAlignment="1">
      <alignment horizontal="center" vertical="center"/>
    </xf>
    <xf numFmtId="0" fontId="10" fillId="0" borderId="89" xfId="3" applyFont="1" applyBorder="1" applyAlignment="1">
      <alignment horizontal="center" vertical="center"/>
    </xf>
    <xf numFmtId="0" fontId="64" fillId="0" borderId="68" xfId="3" applyFont="1" applyBorder="1" applyAlignment="1">
      <alignment horizontal="center" vertical="center"/>
    </xf>
    <xf numFmtId="0" fontId="64" fillId="0" borderId="69" xfId="3" applyFont="1" applyBorder="1" applyAlignment="1">
      <alignment horizontal="center" vertical="center"/>
    </xf>
    <xf numFmtId="0" fontId="44" fillId="0" borderId="86" xfId="3" applyFont="1" applyBorder="1" applyAlignment="1">
      <alignment horizontal="center" vertical="center"/>
    </xf>
    <xf numFmtId="0" fontId="44" fillId="0" borderId="72" xfId="3" applyFont="1" applyBorder="1" applyAlignment="1">
      <alignment horizontal="center" vertical="center"/>
    </xf>
    <xf numFmtId="0" fontId="44" fillId="0" borderId="87" xfId="3" applyFont="1" applyBorder="1" applyAlignment="1">
      <alignment horizontal="center" vertical="center"/>
    </xf>
    <xf numFmtId="0" fontId="44" fillId="0" borderId="171" xfId="3" applyFont="1" applyBorder="1" applyAlignment="1">
      <alignment horizontal="center" vertical="center"/>
    </xf>
    <xf numFmtId="0" fontId="44" fillId="0" borderId="172" xfId="3" applyFont="1" applyBorder="1" applyAlignment="1">
      <alignment horizontal="center" vertical="center"/>
    </xf>
    <xf numFmtId="0" fontId="44" fillId="0" borderId="173" xfId="3" applyFont="1" applyBorder="1" applyAlignment="1">
      <alignment horizontal="center" vertical="center"/>
    </xf>
    <xf numFmtId="0" fontId="44" fillId="0" borderId="169" xfId="3" applyFont="1" applyFill="1" applyBorder="1" applyAlignment="1">
      <alignment horizontal="center" vertical="center" wrapText="1"/>
    </xf>
    <xf numFmtId="0" fontId="44" fillId="0" borderId="170" xfId="3" applyFont="1" applyFill="1" applyBorder="1" applyAlignment="1">
      <alignment horizontal="center" vertical="center" wrapText="1"/>
    </xf>
    <xf numFmtId="0" fontId="44" fillId="0" borderId="182" xfId="3" applyFont="1" applyFill="1" applyBorder="1" applyAlignment="1">
      <alignment horizontal="center" vertical="center" wrapText="1"/>
    </xf>
    <xf numFmtId="0" fontId="135" fillId="0" borderId="149" xfId="1230" applyFont="1" applyBorder="1" applyAlignment="1">
      <alignment horizontal="center" vertical="center"/>
    </xf>
    <xf numFmtId="0" fontId="28" fillId="0" borderId="156" xfId="592" applyBorder="1" applyAlignment="1">
      <alignment horizontal="left" vertical="center"/>
    </xf>
    <xf numFmtId="0" fontId="28" fillId="0" borderId="114" xfId="592" applyBorder="1" applyAlignment="1">
      <alignment horizontal="left" vertical="center"/>
    </xf>
    <xf numFmtId="0" fontId="28" fillId="0" borderId="157" xfId="592" applyBorder="1" applyAlignment="1">
      <alignment horizontal="left" vertical="center"/>
    </xf>
    <xf numFmtId="0" fontId="28" fillId="0" borderId="130" xfId="592" applyBorder="1" applyAlignment="1">
      <alignment horizontal="left" vertical="center"/>
    </xf>
    <xf numFmtId="0" fontId="28" fillId="0" borderId="131" xfId="592" applyBorder="1" applyAlignment="1">
      <alignment horizontal="left" vertical="center"/>
    </xf>
    <xf numFmtId="0" fontId="28" fillId="0" borderId="133" xfId="592" applyBorder="1" applyAlignment="1">
      <alignment horizontal="left" vertical="center"/>
    </xf>
    <xf numFmtId="0" fontId="44" fillId="0" borderId="98" xfId="341" applyFont="1" applyBorder="1" applyAlignment="1">
      <alignment horizontal="center" vertical="center" wrapText="1"/>
    </xf>
    <xf numFmtId="0" fontId="44" fillId="0" borderId="98" xfId="348" applyFont="1" applyBorder="1" applyAlignment="1">
      <alignment horizontal="center" vertical="center" wrapText="1"/>
    </xf>
    <xf numFmtId="0" fontId="44" fillId="0" borderId="130" xfId="348" applyFont="1" applyBorder="1" applyAlignment="1">
      <alignment horizontal="center" vertical="center" wrapText="1"/>
    </xf>
    <xf numFmtId="0" fontId="10" fillId="0" borderId="0" xfId="341" applyFont="1" applyBorder="1" applyAlignment="1">
      <alignment horizontal="center" vertical="center" wrapText="1"/>
    </xf>
    <xf numFmtId="0" fontId="10" fillId="0" borderId="131" xfId="341" applyFont="1" applyBorder="1" applyAlignment="1">
      <alignment horizontal="center" vertical="center" wrapText="1"/>
    </xf>
    <xf numFmtId="0" fontId="10" fillId="0" borderId="8" xfId="341" applyFont="1" applyBorder="1" applyAlignment="1">
      <alignment horizontal="center" vertical="center" wrapText="1"/>
    </xf>
    <xf numFmtId="0" fontId="10" fillId="0" borderId="40" xfId="341" applyFont="1" applyBorder="1" applyAlignment="1">
      <alignment horizontal="center" vertical="center" wrapText="1"/>
    </xf>
    <xf numFmtId="0" fontId="63" fillId="0" borderId="3" xfId="341" applyFont="1" applyBorder="1" applyAlignment="1">
      <alignment horizontal="center" vertical="center" wrapText="1"/>
    </xf>
    <xf numFmtId="0" fontId="63" fillId="0" borderId="132" xfId="341" applyFont="1" applyBorder="1" applyAlignment="1">
      <alignment horizontal="center" vertical="center" wrapText="1"/>
    </xf>
    <xf numFmtId="0" fontId="10" fillId="0" borderId="24" xfId="341" applyFont="1" applyBorder="1" applyAlignment="1">
      <alignment horizontal="center" vertical="center" wrapText="1"/>
    </xf>
    <xf numFmtId="0" fontId="101" fillId="0" borderId="34" xfId="341" applyFont="1" applyBorder="1" applyAlignment="1">
      <alignment horizontal="center" vertical="center" wrapText="1"/>
    </xf>
    <xf numFmtId="0" fontId="101" fillId="0" borderId="115" xfId="341" applyFont="1" applyBorder="1" applyAlignment="1">
      <alignment horizontal="center" vertical="center" wrapText="1"/>
    </xf>
    <xf numFmtId="0" fontId="7" fillId="0" borderId="159" xfId="0" applyFont="1" applyBorder="1" applyAlignment="1">
      <alignment horizontal="center" vertical="center"/>
    </xf>
    <xf numFmtId="0" fontId="7" fillId="0" borderId="160" xfId="0" applyFont="1" applyBorder="1" applyAlignment="1">
      <alignment horizontal="center" vertical="center"/>
    </xf>
    <xf numFmtId="0" fontId="7" fillId="0" borderId="27" xfId="0" applyFont="1" applyBorder="1" applyAlignment="1">
      <alignment horizontal="center" vertical="center"/>
    </xf>
    <xf numFmtId="0" fontId="10" fillId="0" borderId="0" xfId="348" applyFont="1" applyBorder="1" applyAlignment="1">
      <alignment horizontal="center" vertical="center" wrapText="1"/>
    </xf>
    <xf numFmtId="0" fontId="101" fillId="0" borderId="153" xfId="341" applyFont="1" applyBorder="1" applyAlignment="1">
      <alignment horizontal="center" vertical="center" wrapText="1"/>
    </xf>
    <xf numFmtId="0" fontId="101" fillId="0" borderId="45" xfId="341" applyFont="1" applyBorder="1" applyAlignment="1">
      <alignment horizontal="center" vertical="center" wrapText="1"/>
    </xf>
    <xf numFmtId="0" fontId="101" fillId="0" borderId="151" xfId="341" applyFont="1" applyBorder="1" applyAlignment="1">
      <alignment horizontal="center" vertical="center" wrapText="1"/>
    </xf>
    <xf numFmtId="0" fontId="101" fillId="0" borderId="0" xfId="341" applyFont="1" applyBorder="1" applyAlignment="1">
      <alignment horizontal="center" vertical="center" wrapText="1"/>
    </xf>
    <xf numFmtId="0" fontId="7" fillId="0" borderId="28" xfId="0" applyFont="1" applyBorder="1" applyAlignment="1">
      <alignment horizontal="center" vertical="center"/>
    </xf>
    <xf numFmtId="0" fontId="7" fillId="0" borderId="14" xfId="0" applyFont="1" applyBorder="1" applyAlignment="1">
      <alignment horizontal="center" vertical="center"/>
    </xf>
    <xf numFmtId="0" fontId="7" fillId="0" borderId="43" xfId="0" applyFont="1" applyBorder="1" applyAlignment="1">
      <alignment horizontal="center" vertical="center"/>
    </xf>
    <xf numFmtId="0" fontId="10" fillId="0" borderId="98" xfId="341" applyFont="1" applyBorder="1" applyAlignment="1">
      <alignment horizontal="center" vertical="center" wrapText="1"/>
    </xf>
    <xf numFmtId="0" fontId="10" fillId="0" borderId="1" xfId="341" applyFont="1" applyBorder="1" applyAlignment="1">
      <alignment horizontal="center" vertical="center" wrapText="1"/>
    </xf>
    <xf numFmtId="0" fontId="10" fillId="0" borderId="153" xfId="341" applyFont="1" applyBorder="1" applyAlignment="1">
      <alignment horizontal="center" vertical="center" wrapText="1"/>
    </xf>
    <xf numFmtId="0" fontId="10" fillId="0" borderId="45" xfId="341" applyFont="1" applyBorder="1" applyAlignment="1">
      <alignment horizontal="center" vertical="center" wrapText="1"/>
    </xf>
    <xf numFmtId="0" fontId="10" fillId="0" borderId="154" xfId="341" applyFont="1" applyBorder="1" applyAlignment="1">
      <alignment horizontal="center" vertical="center" wrapText="1"/>
    </xf>
    <xf numFmtId="0" fontId="10" fillId="0" borderId="2" xfId="341" applyFont="1" applyBorder="1" applyAlignment="1">
      <alignment horizontal="center" vertical="center" wrapText="1"/>
    </xf>
    <xf numFmtId="0" fontId="63" fillId="0" borderId="25" xfId="341" applyFont="1" applyBorder="1" applyAlignment="1">
      <alignment horizontal="center" vertical="center" wrapText="1"/>
    </xf>
    <xf numFmtId="0" fontId="63" fillId="0" borderId="26" xfId="341" applyFont="1" applyBorder="1" applyAlignment="1">
      <alignment horizontal="center" vertical="center" wrapText="1"/>
    </xf>
    <xf numFmtId="0" fontId="10" fillId="0" borderId="37" xfId="341" applyFont="1" applyBorder="1" applyAlignment="1">
      <alignment horizontal="center" vertical="center" wrapText="1"/>
    </xf>
    <xf numFmtId="0" fontId="10" fillId="0" borderId="38" xfId="341" applyFont="1" applyBorder="1" applyAlignment="1">
      <alignment horizontal="center" vertical="center" wrapText="1"/>
    </xf>
    <xf numFmtId="0" fontId="44" fillId="0" borderId="0" xfId="341" applyFont="1" applyBorder="1" applyAlignment="1">
      <alignment horizontal="center" vertical="center" wrapText="1"/>
    </xf>
    <xf numFmtId="0" fontId="44" fillId="0" borderId="100" xfId="341" applyFont="1" applyBorder="1" applyAlignment="1">
      <alignment horizontal="center" vertical="center" wrapText="1"/>
    </xf>
    <xf numFmtId="0" fontId="44" fillId="0" borderId="120" xfId="341" applyFont="1" applyBorder="1" applyAlignment="1">
      <alignment horizontal="center" vertical="center" wrapText="1"/>
    </xf>
    <xf numFmtId="0" fontId="44" fillId="0" borderId="30" xfId="341" applyFont="1" applyBorder="1" applyAlignment="1">
      <alignment horizontal="center" vertical="center" wrapText="1"/>
    </xf>
    <xf numFmtId="0" fontId="44" fillId="0" borderId="179" xfId="341" applyFont="1" applyBorder="1" applyAlignment="1">
      <alignment horizontal="center" vertical="center" wrapText="1"/>
    </xf>
    <xf numFmtId="0" fontId="7" fillId="0" borderId="8" xfId="930" applyFont="1" applyBorder="1" applyAlignment="1">
      <alignment horizontal="center" vertical="center" wrapText="1"/>
    </xf>
    <xf numFmtId="0" fontId="7" fillId="0" borderId="29" xfId="0" applyFont="1" applyBorder="1" applyAlignment="1">
      <alignment horizontal="center" vertical="center"/>
    </xf>
    <xf numFmtId="0" fontId="6" fillId="0" borderId="27" xfId="0" applyFont="1" applyBorder="1" applyAlignment="1">
      <alignment horizontal="center" vertical="center"/>
    </xf>
    <xf numFmtId="0" fontId="31" fillId="0" borderId="29" xfId="0" applyFont="1" applyBorder="1" applyAlignment="1">
      <alignment horizontal="center" vertical="center"/>
    </xf>
    <xf numFmtId="0" fontId="31" fillId="0" borderId="32" xfId="0" applyFont="1" applyBorder="1" applyAlignment="1">
      <alignment horizontal="center" vertical="center" wrapText="1"/>
    </xf>
    <xf numFmtId="0" fontId="6" fillId="0" borderId="156" xfId="0" applyFont="1" applyBorder="1" applyAlignment="1">
      <alignment horizontal="left" vertical="top"/>
    </xf>
    <xf numFmtId="0" fontId="6" fillId="0" borderId="114" xfId="0" applyFont="1" applyBorder="1" applyAlignment="1">
      <alignment horizontal="left" vertical="top"/>
    </xf>
    <xf numFmtId="0" fontId="6" fillId="0" borderId="157" xfId="0" applyFont="1" applyBorder="1" applyAlignment="1">
      <alignment horizontal="left" vertical="top"/>
    </xf>
    <xf numFmtId="0" fontId="6" fillId="0" borderId="130" xfId="0" applyFont="1" applyBorder="1" applyAlignment="1">
      <alignment horizontal="left" vertical="top"/>
    </xf>
    <xf numFmtId="0" fontId="6" fillId="0" borderId="131" xfId="0" applyFont="1" applyBorder="1" applyAlignment="1">
      <alignment horizontal="left" vertical="top"/>
    </xf>
    <xf numFmtId="0" fontId="6" fillId="0" borderId="133" xfId="0" applyFont="1" applyBorder="1" applyAlignment="1">
      <alignment horizontal="left" vertical="top"/>
    </xf>
    <xf numFmtId="0" fontId="41" fillId="0" borderId="190" xfId="0" applyFont="1" applyBorder="1" applyAlignment="1">
      <alignment horizontal="center" vertical="center" wrapText="1"/>
    </xf>
    <xf numFmtId="0" fontId="6" fillId="0" borderId="156" xfId="0" applyFont="1" applyBorder="1" applyAlignment="1">
      <alignment horizontal="center" vertical="center"/>
    </xf>
    <xf numFmtId="0" fontId="6" fillId="0" borderId="114" xfId="0" applyFont="1" applyBorder="1" applyAlignment="1">
      <alignment horizontal="center" vertical="center"/>
    </xf>
    <xf numFmtId="0" fontId="6" fillId="0" borderId="157" xfId="0" applyFont="1" applyBorder="1" applyAlignment="1">
      <alignment horizontal="center" vertical="center"/>
    </xf>
    <xf numFmtId="0" fontId="28" fillId="0" borderId="156" xfId="341" applyBorder="1" applyAlignment="1">
      <alignment horizontal="left" vertical="top"/>
    </xf>
    <xf numFmtId="0" fontId="28" fillId="0" borderId="114" xfId="341" applyBorder="1" applyAlignment="1">
      <alignment horizontal="left" vertical="top"/>
    </xf>
    <xf numFmtId="0" fontId="28" fillId="0" borderId="157" xfId="341" applyBorder="1" applyAlignment="1">
      <alignment horizontal="left" vertical="top"/>
    </xf>
    <xf numFmtId="0" fontId="28" fillId="0" borderId="130" xfId="341" applyBorder="1" applyAlignment="1">
      <alignment horizontal="left" vertical="top"/>
    </xf>
    <xf numFmtId="0" fontId="28" fillId="0" borderId="131" xfId="341" applyBorder="1" applyAlignment="1">
      <alignment horizontal="left" vertical="top"/>
    </xf>
    <xf numFmtId="0" fontId="28" fillId="0" borderId="133" xfId="341" applyBorder="1" applyAlignment="1">
      <alignment horizontal="left" vertical="top"/>
    </xf>
    <xf numFmtId="0" fontId="10" fillId="0" borderId="114" xfId="341" applyFont="1" applyBorder="1" applyAlignment="1">
      <alignment horizontal="center" vertical="center" wrapText="1"/>
    </xf>
    <xf numFmtId="0" fontId="106" fillId="0" borderId="120" xfId="341" applyFont="1" applyBorder="1" applyAlignment="1">
      <alignment horizontal="center" vertical="center" wrapText="1"/>
    </xf>
    <xf numFmtId="0" fontId="106" fillId="0" borderId="138" xfId="341" applyFont="1" applyBorder="1" applyAlignment="1">
      <alignment horizontal="center" vertical="center" wrapText="1"/>
    </xf>
    <xf numFmtId="0" fontId="63" fillId="0" borderId="1" xfId="341" applyFont="1" applyBorder="1" applyAlignment="1">
      <alignment horizontal="center" vertical="center" wrapText="1"/>
    </xf>
    <xf numFmtId="0" fontId="64" fillId="0" borderId="4" xfId="348" applyFont="1" applyBorder="1" applyAlignment="1">
      <alignment horizontal="center" vertical="center"/>
    </xf>
    <xf numFmtId="0" fontId="64" fillId="0" borderId="5" xfId="348" applyFont="1" applyBorder="1" applyAlignment="1">
      <alignment horizontal="center" vertical="center"/>
    </xf>
    <xf numFmtId="0" fontId="64" fillId="0" borderId="6" xfId="348" applyFont="1" applyBorder="1" applyAlignment="1">
      <alignment horizontal="center" vertical="center"/>
    </xf>
    <xf numFmtId="0" fontId="28" fillId="0" borderId="60" xfId="341" applyFont="1" applyBorder="1" applyAlignment="1">
      <alignment horizontal="center" vertical="center"/>
    </xf>
    <xf numFmtId="0" fontId="28" fillId="0" borderId="59" xfId="348" applyFont="1" applyBorder="1" applyAlignment="1"/>
    <xf numFmtId="0" fontId="28" fillId="0" borderId="61" xfId="348" applyFont="1" applyBorder="1" applyAlignment="1"/>
    <xf numFmtId="0" fontId="44" fillId="0" borderId="156" xfId="341" applyFont="1" applyBorder="1" applyAlignment="1">
      <alignment horizontal="center" vertical="center" wrapText="1"/>
    </xf>
    <xf numFmtId="0" fontId="10" fillId="0" borderId="20" xfId="341" applyFont="1" applyBorder="1" applyAlignment="1">
      <alignment horizontal="center" vertical="center" wrapText="1"/>
    </xf>
    <xf numFmtId="0" fontId="106" fillId="0" borderId="147" xfId="341" applyFont="1" applyBorder="1" applyAlignment="1">
      <alignment horizontal="center" vertical="center" wrapText="1"/>
    </xf>
    <xf numFmtId="0" fontId="106" fillId="0" borderId="100" xfId="341" applyFont="1" applyBorder="1" applyAlignment="1">
      <alignment horizontal="center" vertical="center" wrapText="1"/>
    </xf>
    <xf numFmtId="0" fontId="64" fillId="0" borderId="4" xfId="592" applyFont="1" applyBorder="1" applyAlignment="1">
      <alignment horizontal="center" vertical="center"/>
    </xf>
    <xf numFmtId="0" fontId="64" fillId="0" borderId="5" xfId="592" applyFont="1" applyBorder="1" applyAlignment="1">
      <alignment horizontal="center" vertical="center"/>
    </xf>
    <xf numFmtId="0" fontId="64" fillId="0" borderId="6" xfId="592" applyFont="1" applyBorder="1" applyAlignment="1">
      <alignment horizontal="center" vertical="center"/>
    </xf>
    <xf numFmtId="0" fontId="44" fillId="0" borderId="159" xfId="592" applyFont="1" applyBorder="1" applyAlignment="1">
      <alignment horizontal="center" vertical="center" wrapText="1"/>
    </xf>
    <xf numFmtId="0" fontId="44" fillId="0" borderId="160" xfId="592" applyFont="1" applyBorder="1" applyAlignment="1">
      <alignment horizontal="center" vertical="center" wrapText="1"/>
    </xf>
    <xf numFmtId="0" fontId="10" fillId="0" borderId="3" xfId="592" applyFont="1" applyBorder="1" applyAlignment="1">
      <alignment horizontal="center" vertical="center" wrapText="1"/>
    </xf>
    <xf numFmtId="0" fontId="10" fillId="0" borderId="1" xfId="592" applyFont="1" applyBorder="1" applyAlignment="1">
      <alignment horizontal="center" vertical="center" wrapText="1"/>
    </xf>
    <xf numFmtId="0" fontId="10" fillId="0" borderId="30" xfId="592" applyFont="1" applyBorder="1" applyAlignment="1">
      <alignment horizontal="center" vertical="center" wrapText="1"/>
    </xf>
    <xf numFmtId="0" fontId="10" fillId="0" borderId="98" xfId="592" applyFont="1" applyBorder="1" applyAlignment="1">
      <alignment horizontal="center" vertical="center" wrapText="1"/>
    </xf>
    <xf numFmtId="0" fontId="10" fillId="0" borderId="24" xfId="592" applyFont="1" applyBorder="1" applyAlignment="1">
      <alignment horizontal="center" vertical="center" wrapText="1"/>
    </xf>
    <xf numFmtId="0" fontId="10" fillId="0" borderId="0" xfId="592" applyFont="1" applyBorder="1" applyAlignment="1">
      <alignment horizontal="center" vertical="center" wrapText="1"/>
    </xf>
    <xf numFmtId="0" fontId="44" fillId="0" borderId="35" xfId="592" applyFont="1" applyBorder="1" applyAlignment="1">
      <alignment horizontal="center" vertical="center" wrapText="1"/>
    </xf>
    <xf numFmtId="0" fontId="44" fillId="0" borderId="114" xfId="592" applyFont="1" applyBorder="1" applyAlignment="1">
      <alignment horizontal="center" vertical="center" wrapText="1"/>
    </xf>
    <xf numFmtId="0" fontId="10" fillId="0" borderId="134" xfId="592" applyFont="1" applyBorder="1" applyAlignment="1">
      <alignment horizontal="center" vertical="center" wrapText="1"/>
    </xf>
    <xf numFmtId="0" fontId="10" fillId="0" borderId="135" xfId="592" applyFont="1" applyBorder="1" applyAlignment="1">
      <alignment horizontal="center" vertical="center" wrapText="1"/>
    </xf>
    <xf numFmtId="0" fontId="10" fillId="0" borderId="156" xfId="592" applyFont="1" applyBorder="1" applyAlignment="1">
      <alignment horizontal="left" vertical="center"/>
    </xf>
    <xf numFmtId="0" fontId="10" fillId="0" borderId="114" xfId="592" applyFont="1" applyBorder="1" applyAlignment="1">
      <alignment horizontal="left" vertical="center"/>
    </xf>
    <xf numFmtId="0" fontId="10" fillId="0" borderId="157" xfId="592" applyFont="1" applyBorder="1" applyAlignment="1">
      <alignment horizontal="left" vertical="center"/>
    </xf>
    <xf numFmtId="0" fontId="10" fillId="0" borderId="130" xfId="592" applyFont="1" applyBorder="1" applyAlignment="1">
      <alignment horizontal="left" vertical="center"/>
    </xf>
    <xf numFmtId="0" fontId="10" fillId="0" borderId="131" xfId="592" applyFont="1" applyBorder="1" applyAlignment="1">
      <alignment horizontal="left" vertical="center"/>
    </xf>
    <xf numFmtId="0" fontId="10" fillId="0" borderId="133" xfId="592" applyFont="1" applyBorder="1" applyAlignment="1">
      <alignment horizontal="left" vertical="center"/>
    </xf>
    <xf numFmtId="0" fontId="10" fillId="0" borderId="60" xfId="341" applyFont="1" applyBorder="1" applyAlignment="1">
      <alignment horizontal="center" vertical="center"/>
    </xf>
    <xf numFmtId="0" fontId="10" fillId="0" borderId="59" xfId="341" applyFont="1" applyBorder="1" applyAlignment="1">
      <alignment horizontal="center" vertical="center"/>
    </xf>
    <xf numFmtId="0" fontId="10" fillId="0" borderId="61" xfId="341" applyFont="1" applyBorder="1" applyAlignment="1">
      <alignment horizontal="center" vertical="center"/>
    </xf>
    <xf numFmtId="0" fontId="10" fillId="0" borderId="156" xfId="592" applyFont="1" applyBorder="1" applyAlignment="1">
      <alignment horizontal="left" vertical="top"/>
    </xf>
    <xf numFmtId="0" fontId="10" fillId="0" borderId="114" xfId="592" applyFont="1" applyBorder="1" applyAlignment="1">
      <alignment horizontal="left" vertical="top"/>
    </xf>
    <xf numFmtId="0" fontId="10" fillId="0" borderId="157" xfId="592" applyFont="1" applyBorder="1" applyAlignment="1">
      <alignment horizontal="left" vertical="top"/>
    </xf>
    <xf numFmtId="0" fontId="10" fillId="0" borderId="130" xfId="592" applyFont="1" applyBorder="1" applyAlignment="1">
      <alignment horizontal="left" vertical="top"/>
    </xf>
    <xf numFmtId="0" fontId="10" fillId="0" borderId="131" xfId="592" applyFont="1" applyBorder="1" applyAlignment="1">
      <alignment horizontal="left" vertical="top"/>
    </xf>
    <xf numFmtId="0" fontId="10" fillId="0" borderId="133" xfId="592" applyFont="1" applyBorder="1" applyAlignment="1">
      <alignment horizontal="left" vertical="top"/>
    </xf>
    <xf numFmtId="0" fontId="44" fillId="0" borderId="159" xfId="592" applyFont="1" applyBorder="1" applyAlignment="1">
      <alignment horizontal="center" vertical="center"/>
    </xf>
    <xf numFmtId="0" fontId="44" fillId="0" borderId="160" xfId="592" applyFont="1" applyBorder="1" applyAlignment="1">
      <alignment horizontal="center" vertical="center"/>
    </xf>
    <xf numFmtId="0" fontId="44" fillId="0" borderId="27" xfId="592" applyFont="1" applyBorder="1" applyAlignment="1">
      <alignment horizontal="center" vertical="center"/>
    </xf>
    <xf numFmtId="0" fontId="10" fillId="0" borderId="3" xfId="592" applyFont="1" applyBorder="1" applyAlignment="1">
      <alignment horizontal="center" vertical="center"/>
    </xf>
    <xf numFmtId="0" fontId="10" fillId="0" borderId="24" xfId="592" applyFont="1" applyBorder="1" applyAlignment="1">
      <alignment horizontal="center" vertical="center"/>
    </xf>
    <xf numFmtId="0" fontId="10" fillId="0" borderId="31" xfId="592" applyFont="1" applyBorder="1" applyAlignment="1">
      <alignment horizontal="center" vertical="center"/>
    </xf>
    <xf numFmtId="0" fontId="10" fillId="0" borderId="32" xfId="592" applyFont="1" applyBorder="1" applyAlignment="1">
      <alignment horizontal="center" vertical="center"/>
    </xf>
    <xf numFmtId="0" fontId="44" fillId="0" borderId="143" xfId="592" applyFont="1" applyBorder="1" applyAlignment="1">
      <alignment horizontal="center" vertical="center"/>
    </xf>
    <xf numFmtId="0" fontId="44" fillId="0" borderId="114" xfId="592" applyFont="1" applyBorder="1" applyAlignment="1">
      <alignment horizontal="center" vertical="center"/>
    </xf>
    <xf numFmtId="0" fontId="44" fillId="0" borderId="157" xfId="592" applyFont="1" applyBorder="1" applyAlignment="1">
      <alignment horizontal="center" vertical="center"/>
    </xf>
    <xf numFmtId="0" fontId="32" fillId="0" borderId="4" xfId="1105" applyFont="1" applyBorder="1" applyAlignment="1">
      <alignment horizontal="center" vertical="center"/>
    </xf>
    <xf numFmtId="0" fontId="32" fillId="0" borderId="5" xfId="1105" applyFont="1" applyBorder="1" applyAlignment="1">
      <alignment horizontal="center" vertical="center"/>
    </xf>
    <xf numFmtId="0" fontId="32" fillId="0" borderId="6" xfId="1105" applyFont="1" applyBorder="1" applyAlignment="1">
      <alignment horizontal="center" vertical="center"/>
    </xf>
    <xf numFmtId="0" fontId="6" fillId="0" borderId="24" xfId="1105" applyFont="1" applyBorder="1" applyAlignment="1">
      <alignment horizontal="center" vertical="center"/>
    </xf>
    <xf numFmtId="0" fontId="6" fillId="0" borderId="183" xfId="1105" applyFont="1" applyBorder="1" applyAlignment="1">
      <alignment horizontal="center" vertical="center"/>
    </xf>
    <xf numFmtId="0" fontId="6" fillId="0" borderId="32" xfId="1105" applyFont="1" applyBorder="1" applyAlignment="1">
      <alignment horizontal="center" wrapText="1"/>
    </xf>
    <xf numFmtId="0" fontId="6" fillId="0" borderId="189" xfId="1105" applyFont="1" applyBorder="1" applyAlignment="1">
      <alignment horizontal="center" wrapText="1"/>
    </xf>
    <xf numFmtId="0" fontId="7" fillId="0" borderId="159" xfId="1105" applyFont="1" applyBorder="1" applyAlignment="1">
      <alignment horizontal="center"/>
    </xf>
    <xf numFmtId="0" fontId="7" fillId="0" borderId="160" xfId="1105" applyFont="1" applyBorder="1" applyAlignment="1">
      <alignment horizontal="center"/>
    </xf>
    <xf numFmtId="0" fontId="6" fillId="0" borderId="156" xfId="0" applyFont="1" applyBorder="1" applyAlignment="1">
      <alignment horizontal="left" vertical="center"/>
    </xf>
    <xf numFmtId="0" fontId="6" fillId="0" borderId="114" xfId="0" applyFont="1" applyBorder="1" applyAlignment="1">
      <alignment horizontal="left" vertical="center"/>
    </xf>
    <xf numFmtId="0" fontId="6" fillId="0" borderId="157" xfId="0" applyFont="1" applyBorder="1" applyAlignment="1">
      <alignment horizontal="left" vertical="center"/>
    </xf>
    <xf numFmtId="0" fontId="6" fillId="0" borderId="130" xfId="0" applyFont="1" applyBorder="1" applyAlignment="1">
      <alignment horizontal="left" vertical="center"/>
    </xf>
    <xf numFmtId="0" fontId="6" fillId="0" borderId="131" xfId="0" applyFont="1" applyBorder="1" applyAlignment="1">
      <alignment horizontal="left" vertical="center"/>
    </xf>
    <xf numFmtId="0" fontId="6" fillId="0" borderId="133" xfId="0" applyFont="1" applyBorder="1" applyAlignment="1">
      <alignment horizontal="left" vertical="center"/>
    </xf>
    <xf numFmtId="9" fontId="6" fillId="0" borderId="0" xfId="1" applyFont="1" applyAlignment="1">
      <alignment horizontal="center" vertical="center" wrapText="1"/>
    </xf>
    <xf numFmtId="0" fontId="7" fillId="0" borderId="0" xfId="0" applyFont="1" applyAlignment="1">
      <alignment horizontal="center" vertical="center"/>
    </xf>
    <xf numFmtId="9" fontId="6" fillId="0" borderId="0" xfId="1" applyFont="1" applyAlignment="1">
      <alignment horizontal="center"/>
    </xf>
    <xf numFmtId="0" fontId="6" fillId="0" borderId="118" xfId="0" applyFont="1" applyBorder="1" applyAlignment="1">
      <alignment horizontal="center" vertical="center"/>
    </xf>
    <xf numFmtId="0" fontId="6" fillId="0" borderId="190" xfId="0" applyFont="1" applyBorder="1" applyAlignment="1">
      <alignment horizontal="center" vertical="center" wrapText="1"/>
    </xf>
    <xf numFmtId="0" fontId="31" fillId="0" borderId="118" xfId="0" applyFont="1" applyBorder="1" applyAlignment="1">
      <alignment horizontal="center" vertical="center"/>
    </xf>
    <xf numFmtId="0" fontId="108" fillId="0" borderId="28" xfId="0" applyFont="1" applyBorder="1" applyAlignment="1">
      <alignment horizontal="center" vertical="center"/>
    </xf>
    <xf numFmtId="0" fontId="32" fillId="0" borderId="14" xfId="0" applyFont="1" applyBorder="1" applyAlignment="1">
      <alignment horizontal="center" vertical="center"/>
    </xf>
    <xf numFmtId="0" fontId="32" fillId="0" borderId="29" xfId="0" applyFont="1" applyBorder="1" applyAlignment="1">
      <alignment horizontal="center" vertical="center"/>
    </xf>
    <xf numFmtId="0" fontId="108" fillId="0" borderId="14" xfId="0" applyFont="1" applyBorder="1" applyAlignment="1">
      <alignment horizontal="center" vertical="center"/>
    </xf>
    <xf numFmtId="0" fontId="32" fillId="0" borderId="43" xfId="0" applyFont="1" applyBorder="1" applyAlignment="1">
      <alignment horizontal="center" vertical="center"/>
    </xf>
    <xf numFmtId="0" fontId="31" fillId="0" borderId="24" xfId="0" applyFont="1" applyBorder="1" applyAlignment="1">
      <alignment horizontal="center" vertical="center" wrapText="1"/>
    </xf>
    <xf numFmtId="0" fontId="7" fillId="0" borderId="100"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93" xfId="0" applyFont="1" applyBorder="1" applyAlignment="1">
      <alignment horizontal="center" vertical="center" wrapText="1"/>
    </xf>
    <xf numFmtId="0" fontId="7" fillId="0" borderId="118" xfId="0" applyFont="1" applyBorder="1" applyAlignment="1">
      <alignment horizontal="center" vertical="center"/>
    </xf>
    <xf numFmtId="0" fontId="7" fillId="0" borderId="30"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185"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158" xfId="0" applyFont="1" applyBorder="1" applyAlignment="1">
      <alignment horizontal="center" vertical="center" wrapText="1"/>
    </xf>
    <xf numFmtId="0" fontId="7" fillId="0" borderId="191" xfId="0" applyFont="1" applyBorder="1" applyAlignment="1">
      <alignment horizontal="center" vertical="center" wrapText="1"/>
    </xf>
    <xf numFmtId="0" fontId="7" fillId="0" borderId="183"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179" xfId="0" applyFont="1" applyBorder="1" applyAlignment="1">
      <alignment horizontal="center" vertical="center" wrapText="1"/>
    </xf>
    <xf numFmtId="0" fontId="33" fillId="0" borderId="190" xfId="0" applyFont="1" applyBorder="1" applyAlignment="1">
      <alignment horizontal="center" vertical="center" wrapText="1"/>
    </xf>
    <xf numFmtId="0" fontId="33" fillId="0" borderId="118" xfId="0" applyFont="1" applyBorder="1" applyAlignment="1">
      <alignment horizontal="center" vertical="center" wrapText="1"/>
    </xf>
    <xf numFmtId="0" fontId="6" fillId="0" borderId="28" xfId="0" applyFont="1" applyBorder="1" applyAlignment="1">
      <alignment horizontal="center" vertical="center" wrapText="1"/>
    </xf>
    <xf numFmtId="0" fontId="33" fillId="0" borderId="162" xfId="0" applyFont="1" applyBorder="1" applyAlignment="1">
      <alignment horizontal="center" vertical="center" wrapText="1"/>
    </xf>
    <xf numFmtId="0" fontId="6" fillId="0" borderId="14" xfId="0" applyFont="1" applyBorder="1" applyAlignment="1">
      <alignment horizontal="center" vertical="center" wrapText="1"/>
    </xf>
    <xf numFmtId="0" fontId="131" fillId="0" borderId="98" xfId="1116" applyFont="1" applyBorder="1" applyAlignment="1">
      <alignment horizontal="center"/>
    </xf>
    <xf numFmtId="0" fontId="131" fillId="0" borderId="0" xfId="1116" applyFont="1" applyBorder="1" applyAlignment="1">
      <alignment horizontal="center"/>
    </xf>
    <xf numFmtId="1" fontId="129" fillId="0" borderId="156" xfId="1116" applyNumberFormat="1" applyFont="1" applyBorder="1" applyAlignment="1">
      <alignment horizontal="center"/>
    </xf>
    <xf numFmtId="1" fontId="129" fillId="0" borderId="114" xfId="1116" applyNumberFormat="1" applyFont="1" applyBorder="1" applyAlignment="1">
      <alignment horizontal="center"/>
    </xf>
    <xf numFmtId="1" fontId="129" fillId="0" borderId="157" xfId="1116" applyNumberFormat="1" applyFont="1" applyBorder="1" applyAlignment="1">
      <alignment horizontal="center"/>
    </xf>
    <xf numFmtId="1" fontId="31" fillId="0" borderId="0" xfId="1116" applyNumberFormat="1" applyFont="1" applyBorder="1" applyAlignment="1">
      <alignment horizontal="center" vertical="center" wrapText="1"/>
    </xf>
    <xf numFmtId="0" fontId="51" fillId="0" borderId="0" xfId="341" applyFont="1" applyBorder="1" applyAlignment="1">
      <alignment horizontal="center"/>
    </xf>
    <xf numFmtId="0" fontId="51" fillId="0" borderId="158" xfId="341" applyFont="1" applyBorder="1" applyAlignment="1">
      <alignment horizontal="center"/>
    </xf>
    <xf numFmtId="0" fontId="128" fillId="0" borderId="98" xfId="1116" applyFont="1" applyBorder="1" applyAlignment="1">
      <alignment horizontal="center"/>
    </xf>
    <xf numFmtId="0" fontId="128" fillId="0" borderId="0" xfId="1116" applyFont="1" applyBorder="1" applyAlignment="1">
      <alignment horizontal="center"/>
    </xf>
    <xf numFmtId="0" fontId="34" fillId="0" borderId="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31" fillId="0" borderId="100" xfId="0" applyFont="1" applyFill="1" applyBorder="1" applyAlignment="1">
      <alignment horizontal="center" vertical="center" wrapText="1"/>
    </xf>
    <xf numFmtId="0" fontId="31" fillId="0" borderId="120"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86" xfId="0" applyFont="1" applyBorder="1" applyAlignment="1">
      <alignment horizontal="center" vertical="center" wrapText="1"/>
    </xf>
    <xf numFmtId="0" fontId="7" fillId="0" borderId="159" xfId="0" applyFont="1" applyFill="1" applyBorder="1" applyAlignment="1">
      <alignment horizontal="center" vertical="center"/>
    </xf>
    <xf numFmtId="0" fontId="7" fillId="0" borderId="156" xfId="0" applyFont="1" applyFill="1" applyBorder="1" applyAlignment="1">
      <alignment horizontal="center" vertical="center" wrapText="1"/>
    </xf>
    <xf numFmtId="0" fontId="7" fillId="0" borderId="114" xfId="0" applyFont="1" applyFill="1" applyBorder="1" applyAlignment="1">
      <alignment horizontal="center" vertical="center" wrapText="1"/>
    </xf>
    <xf numFmtId="0" fontId="7" fillId="0" borderId="157" xfId="0" applyFont="1" applyBorder="1" applyAlignment="1">
      <alignment horizontal="center" vertical="center" wrapText="1"/>
    </xf>
    <xf numFmtId="0" fontId="6" fillId="0" borderId="191" xfId="0" applyFont="1" applyBorder="1" applyAlignment="1">
      <alignment horizontal="center" vertical="center" wrapText="1"/>
    </xf>
    <xf numFmtId="0" fontId="7" fillId="0" borderId="0" xfId="0" applyFont="1" applyFill="1" applyBorder="1" applyAlignment="1">
      <alignment horizontal="center" vertical="center" wrapText="1"/>
    </xf>
    <xf numFmtId="0" fontId="7" fillId="0" borderId="158"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1" xfId="0" applyFont="1" applyBorder="1" applyAlignment="1">
      <alignment horizontal="center" vertical="center" wrapText="1"/>
    </xf>
    <xf numFmtId="0" fontId="112" fillId="0" borderId="156" xfId="1083" applyFont="1" applyBorder="1" applyAlignment="1">
      <alignment horizontal="left" vertical="center"/>
    </xf>
    <xf numFmtId="0" fontId="112" fillId="0" borderId="114" xfId="1083" applyFont="1" applyBorder="1" applyAlignment="1">
      <alignment horizontal="left" vertical="center"/>
    </xf>
    <xf numFmtId="0" fontId="112" fillId="0" borderId="157" xfId="1083" applyFont="1" applyBorder="1" applyAlignment="1">
      <alignment horizontal="left" vertical="center"/>
    </xf>
    <xf numFmtId="0" fontId="112" fillId="0" borderId="130" xfId="1083" applyFont="1" applyBorder="1" applyAlignment="1">
      <alignment horizontal="left" vertical="center"/>
    </xf>
    <xf numFmtId="0" fontId="112" fillId="0" borderId="131" xfId="1083" applyFont="1" applyBorder="1" applyAlignment="1">
      <alignment horizontal="left" vertical="center"/>
    </xf>
    <xf numFmtId="0" fontId="112" fillId="0" borderId="133" xfId="1083" applyFont="1" applyBorder="1" applyAlignment="1">
      <alignment horizontal="left" vertical="center"/>
    </xf>
    <xf numFmtId="0" fontId="4" fillId="0" borderId="156" xfId="1079" applyFont="1" applyBorder="1" applyAlignment="1">
      <alignment horizontal="left" vertical="top"/>
    </xf>
    <xf numFmtId="0" fontId="16" fillId="0" borderId="114" xfId="1079" applyBorder="1" applyAlignment="1">
      <alignment horizontal="left" vertical="top"/>
    </xf>
    <xf numFmtId="0" fontId="16" fillId="0" borderId="157" xfId="1079" applyBorder="1" applyAlignment="1">
      <alignment horizontal="left" vertical="top"/>
    </xf>
    <xf numFmtId="0" fontId="16" fillId="0" borderId="130" xfId="1079" applyBorder="1" applyAlignment="1">
      <alignment horizontal="left" vertical="top"/>
    </xf>
    <xf numFmtId="0" fontId="16" fillId="0" borderId="131" xfId="1079" applyBorder="1" applyAlignment="1">
      <alignment horizontal="left" vertical="top"/>
    </xf>
    <xf numFmtId="0" fontId="16" fillId="0" borderId="133" xfId="1079" applyBorder="1" applyAlignment="1">
      <alignment horizontal="left" vertical="top"/>
    </xf>
    <xf numFmtId="0" fontId="113" fillId="0" borderId="156" xfId="1079" applyFont="1" applyBorder="1" applyAlignment="1">
      <alignment horizontal="center"/>
    </xf>
    <xf numFmtId="0" fontId="113" fillId="0" borderId="114" xfId="1079" applyFont="1" applyBorder="1" applyAlignment="1">
      <alignment horizontal="center"/>
    </xf>
    <xf numFmtId="0" fontId="113" fillId="0" borderId="157" xfId="1079" applyFont="1" applyBorder="1" applyAlignment="1">
      <alignment horizontal="center"/>
    </xf>
    <xf numFmtId="0" fontId="112" fillId="0" borderId="159" xfId="1079" applyFont="1" applyBorder="1" applyAlignment="1">
      <alignment horizontal="center"/>
    </xf>
    <xf numFmtId="0" fontId="112" fillId="0" borderId="160" xfId="1079" applyFont="1" applyBorder="1" applyAlignment="1">
      <alignment horizontal="center"/>
    </xf>
    <xf numFmtId="0" fontId="112" fillId="0" borderId="161" xfId="1079" applyFont="1" applyBorder="1" applyAlignment="1">
      <alignment horizontal="center"/>
    </xf>
    <xf numFmtId="0" fontId="112" fillId="0" borderId="156" xfId="1079" applyFont="1" applyBorder="1" applyAlignment="1">
      <alignment horizontal="center" vertical="center" wrapText="1"/>
    </xf>
    <xf numFmtId="0" fontId="112" fillId="0" borderId="185" xfId="1079" applyFont="1" applyBorder="1" applyAlignment="1">
      <alignment horizontal="center" vertical="center" wrapText="1"/>
    </xf>
    <xf numFmtId="0" fontId="112" fillId="0" borderId="114" xfId="1079" applyFont="1" applyBorder="1" applyAlignment="1">
      <alignment horizontal="center" vertical="center" wrapText="1"/>
    </xf>
    <xf numFmtId="0" fontId="112" fillId="0" borderId="183" xfId="1079" applyFont="1" applyBorder="1" applyAlignment="1">
      <alignment horizontal="center" vertical="center" wrapText="1"/>
    </xf>
    <xf numFmtId="0" fontId="112" fillId="0" borderId="20" xfId="1079" applyFont="1" applyBorder="1" applyAlignment="1">
      <alignment horizontal="center" vertical="center" wrapText="1"/>
    </xf>
    <xf numFmtId="0" fontId="112" fillId="0" borderId="189" xfId="1079" applyFont="1" applyBorder="1" applyAlignment="1">
      <alignment horizontal="center" vertical="center" wrapText="1"/>
    </xf>
    <xf numFmtId="0" fontId="113" fillId="0" borderId="4" xfId="1079" applyFont="1" applyBorder="1" applyAlignment="1">
      <alignment horizontal="center"/>
    </xf>
    <xf numFmtId="0" fontId="113" fillId="0" borderId="5" xfId="1079" applyFont="1" applyBorder="1" applyAlignment="1">
      <alignment horizontal="center"/>
    </xf>
    <xf numFmtId="0" fontId="113" fillId="0" borderId="6" xfId="1079" applyFont="1" applyBorder="1" applyAlignment="1">
      <alignment horizontal="center"/>
    </xf>
    <xf numFmtId="0" fontId="6" fillId="0" borderId="156" xfId="0" applyFont="1" applyBorder="1" applyAlignment="1">
      <alignment horizontal="center"/>
    </xf>
    <xf numFmtId="0" fontId="6" fillId="0" borderId="114" xfId="0" applyFont="1" applyBorder="1" applyAlignment="1">
      <alignment horizontal="center"/>
    </xf>
    <xf numFmtId="0" fontId="6" fillId="0" borderId="157" xfId="0" applyFont="1" applyBorder="1" applyAlignment="1">
      <alignment horizontal="center"/>
    </xf>
    <xf numFmtId="0" fontId="111" fillId="0" borderId="28" xfId="0" applyFont="1" applyBorder="1" applyAlignment="1">
      <alignment horizontal="center" vertical="center" wrapText="1"/>
    </xf>
    <xf numFmtId="0" fontId="111" fillId="0" borderId="14" xfId="0" applyFont="1" applyBorder="1" applyAlignment="1">
      <alignment horizontal="center" vertical="center" wrapText="1"/>
    </xf>
    <xf numFmtId="0" fontId="111" fillId="0" borderId="118" xfId="0" applyFont="1" applyBorder="1" applyAlignment="1">
      <alignment horizontal="center" vertical="center" wrapText="1"/>
    </xf>
    <xf numFmtId="0" fontId="111" fillId="0" borderId="29"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86" xfId="0" applyFont="1" applyBorder="1" applyAlignment="1">
      <alignment horizontal="center" vertical="center" wrapText="1"/>
    </xf>
    <xf numFmtId="0" fontId="31" fillId="0" borderId="189" xfId="0" applyFont="1" applyBorder="1" applyAlignment="1">
      <alignment horizontal="center" vertical="center" wrapText="1"/>
    </xf>
    <xf numFmtId="0" fontId="110" fillId="0" borderId="148" xfId="1130" applyFont="1" applyBorder="1" applyAlignment="1">
      <alignment horizontal="center"/>
    </xf>
    <xf numFmtId="0" fontId="120" fillId="0" borderId="148" xfId="1130" applyFont="1" applyBorder="1" applyAlignment="1">
      <alignment horizontal="center"/>
    </xf>
    <xf numFmtId="0" fontId="31" fillId="0" borderId="24" xfId="1224" applyFont="1" applyBorder="1" applyAlignment="1">
      <alignment horizontal="center" vertical="center" wrapText="1"/>
    </xf>
    <xf numFmtId="0" fontId="31" fillId="0" borderId="183" xfId="1224" applyFont="1" applyBorder="1" applyAlignment="1">
      <alignment horizontal="center" vertical="center" wrapText="1"/>
    </xf>
    <xf numFmtId="0" fontId="6" fillId="0" borderId="15" xfId="1224" applyFont="1" applyBorder="1" applyAlignment="1">
      <alignment horizontal="left" vertical="center" wrapText="1"/>
    </xf>
    <xf numFmtId="0" fontId="6" fillId="0" borderId="16" xfId="1224" applyFont="1" applyBorder="1" applyAlignment="1">
      <alignment horizontal="left" vertical="center" wrapText="1"/>
    </xf>
    <xf numFmtId="0" fontId="6" fillId="0" borderId="17" xfId="1224" applyFont="1" applyBorder="1" applyAlignment="1">
      <alignment horizontal="left" vertical="center" wrapText="1"/>
    </xf>
    <xf numFmtId="0" fontId="32" fillId="0" borderId="156" xfId="1224" applyFont="1" applyBorder="1" applyAlignment="1">
      <alignment horizontal="center" vertical="center"/>
    </xf>
    <xf numFmtId="0" fontId="32" fillId="0" borderId="114" xfId="1224" applyFont="1" applyBorder="1" applyAlignment="1">
      <alignment horizontal="center" vertical="center"/>
    </xf>
    <xf numFmtId="0" fontId="32" fillId="0" borderId="157" xfId="1224" applyFont="1" applyBorder="1" applyAlignment="1">
      <alignment horizontal="center" vertical="center"/>
    </xf>
    <xf numFmtId="0" fontId="31" fillId="0" borderId="1" xfId="1224" applyFont="1" applyBorder="1" applyAlignment="1">
      <alignment horizontal="center" vertical="center" wrapText="1"/>
    </xf>
    <xf numFmtId="0" fontId="31" fillId="0" borderId="0" xfId="1224" applyFont="1" applyAlignment="1">
      <alignment horizontal="center" vertical="center" wrapText="1"/>
    </xf>
    <xf numFmtId="0" fontId="31" fillId="0" borderId="160" xfId="1224" applyFont="1" applyBorder="1" applyAlignment="1">
      <alignment horizontal="center" vertical="center"/>
    </xf>
    <xf numFmtId="0" fontId="31" fillId="0" borderId="161" xfId="1224" applyFont="1" applyBorder="1" applyAlignment="1">
      <alignment horizontal="center" vertical="center"/>
    </xf>
    <xf numFmtId="0" fontId="6" fillId="0" borderId="183" xfId="1224" applyFont="1" applyBorder="1" applyAlignment="1">
      <alignment horizontal="center"/>
    </xf>
    <xf numFmtId="170" fontId="6" fillId="0" borderId="183" xfId="1225" applyNumberFormat="1" applyFont="1" applyBorder="1" applyAlignment="1">
      <alignment horizontal="center"/>
    </xf>
    <xf numFmtId="0" fontId="108" fillId="0" borderId="156" xfId="1222" applyFont="1" applyBorder="1" applyAlignment="1">
      <alignment horizontal="center"/>
    </xf>
    <xf numFmtId="0" fontId="108" fillId="0" borderId="114" xfId="1222" applyFont="1" applyBorder="1" applyAlignment="1">
      <alignment horizontal="center"/>
    </xf>
    <xf numFmtId="0" fontId="108" fillId="0" borderId="157" xfId="1222" applyFont="1" applyBorder="1" applyAlignment="1">
      <alignment horizontal="center"/>
    </xf>
    <xf numFmtId="0" fontId="108" fillId="0" borderId="98" xfId="1222" applyFont="1" applyBorder="1" applyAlignment="1">
      <alignment horizontal="center"/>
    </xf>
    <xf numFmtId="0" fontId="108" fillId="0" borderId="0" xfId="1222" applyFont="1" applyBorder="1" applyAlignment="1">
      <alignment horizontal="center"/>
    </xf>
    <xf numFmtId="0" fontId="108" fillId="0" borderId="158" xfId="1222" applyFont="1" applyBorder="1" applyAlignment="1">
      <alignment horizontal="center"/>
    </xf>
    <xf numFmtId="0" fontId="31" fillId="0" borderId="1"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158" xfId="0" applyFont="1" applyBorder="1" applyAlignment="1">
      <alignment horizontal="center" vertical="center" wrapText="1"/>
    </xf>
    <xf numFmtId="0" fontId="6" fillId="0" borderId="119" xfId="0" applyFont="1" applyBorder="1" applyAlignment="1">
      <alignment horizontal="center" vertical="center"/>
    </xf>
    <xf numFmtId="0" fontId="31" fillId="0" borderId="38" xfId="0" applyFont="1" applyBorder="1" applyAlignment="1">
      <alignment horizontal="center" vertical="center" wrapText="1"/>
    </xf>
    <xf numFmtId="0" fontId="32" fillId="0" borderId="4" xfId="591" applyFont="1" applyBorder="1" applyAlignment="1">
      <alignment horizontal="center"/>
    </xf>
    <xf numFmtId="0" fontId="32" fillId="0" borderId="5" xfId="591" applyFont="1" applyBorder="1" applyAlignment="1">
      <alignment horizontal="center"/>
    </xf>
    <xf numFmtId="0" fontId="32" fillId="0" borderId="6" xfId="591" applyFont="1" applyBorder="1" applyAlignment="1">
      <alignment horizontal="center"/>
    </xf>
    <xf numFmtId="0" fontId="112" fillId="0" borderId="156" xfId="591" applyFont="1" applyBorder="1" applyAlignment="1">
      <alignment horizontal="left" wrapText="1"/>
    </xf>
    <xf numFmtId="0" fontId="112" fillId="0" borderId="114" xfId="591" applyFont="1" applyBorder="1" applyAlignment="1">
      <alignment horizontal="left" wrapText="1"/>
    </xf>
    <xf numFmtId="0" fontId="112" fillId="0" borderId="157" xfId="591" applyFont="1" applyBorder="1" applyAlignment="1">
      <alignment horizontal="left" wrapText="1"/>
    </xf>
    <xf numFmtId="0" fontId="112" fillId="0" borderId="130" xfId="591" applyFont="1" applyBorder="1" applyAlignment="1">
      <alignment horizontal="left" wrapText="1"/>
    </xf>
    <xf numFmtId="0" fontId="112" fillId="0" borderId="131" xfId="591" applyFont="1" applyBorder="1" applyAlignment="1">
      <alignment horizontal="left" wrapText="1"/>
    </xf>
    <xf numFmtId="0" fontId="112" fillId="0" borderId="133" xfId="591" applyFont="1" applyBorder="1" applyAlignment="1">
      <alignment horizontal="left"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108" fillId="0" borderId="156" xfId="1105" applyFont="1" applyBorder="1" applyAlignment="1">
      <alignment horizontal="center"/>
    </xf>
    <xf numFmtId="0" fontId="108" fillId="0" borderId="114" xfId="1105" applyFont="1" applyBorder="1" applyAlignment="1">
      <alignment horizontal="center"/>
    </xf>
    <xf numFmtId="0" fontId="108" fillId="0" borderId="157" xfId="1105" applyFont="1" applyBorder="1" applyAlignment="1">
      <alignment horizontal="center"/>
    </xf>
    <xf numFmtId="0" fontId="6" fillId="0" borderId="156" xfId="1105" applyFont="1" applyBorder="1" applyAlignment="1">
      <alignment horizontal="center" vertical="center"/>
    </xf>
    <xf numFmtId="0" fontId="6" fillId="0" borderId="114" xfId="1105" applyFont="1" applyBorder="1" applyAlignment="1">
      <alignment horizontal="center" vertical="center"/>
    </xf>
    <xf numFmtId="0" fontId="6" fillId="0" borderId="157" xfId="1105" applyFont="1" applyBorder="1" applyAlignment="1">
      <alignment horizontal="center" vertical="center"/>
    </xf>
    <xf numFmtId="0" fontId="112" fillId="0" borderId="156" xfId="1105" applyFont="1" applyBorder="1" applyAlignment="1">
      <alignment horizontal="left" vertical="top"/>
    </xf>
    <xf numFmtId="0" fontId="112" fillId="0" borderId="114" xfId="1105" applyFont="1" applyBorder="1" applyAlignment="1">
      <alignment horizontal="left" vertical="top"/>
    </xf>
    <xf numFmtId="0" fontId="112" fillId="0" borderId="157" xfId="1105" applyFont="1" applyBorder="1" applyAlignment="1">
      <alignment horizontal="left" vertical="top"/>
    </xf>
    <xf numFmtId="0" fontId="112" fillId="0" borderId="130" xfId="1105" applyFont="1" applyBorder="1" applyAlignment="1">
      <alignment horizontal="left" vertical="top"/>
    </xf>
    <xf numFmtId="0" fontId="112" fillId="0" borderId="131" xfId="1105" applyFont="1" applyBorder="1" applyAlignment="1">
      <alignment horizontal="left" vertical="top"/>
    </xf>
    <xf numFmtId="0" fontId="112" fillId="0" borderId="133" xfId="1105" applyFont="1" applyBorder="1" applyAlignment="1">
      <alignment horizontal="left" vertical="top"/>
    </xf>
    <xf numFmtId="0" fontId="115" fillId="0" borderId="156" xfId="1105" applyFont="1" applyBorder="1" applyAlignment="1">
      <alignment horizontal="center"/>
    </xf>
    <xf numFmtId="0" fontId="115" fillId="0" borderId="114" xfId="1105" applyFont="1" applyBorder="1" applyAlignment="1">
      <alignment horizontal="center"/>
    </xf>
    <xf numFmtId="0" fontId="115" fillId="0" borderId="157" xfId="1105" applyFont="1" applyBorder="1" applyAlignment="1">
      <alignment horizontal="center"/>
    </xf>
    <xf numFmtId="0" fontId="112" fillId="0" borderId="159" xfId="1105" applyFont="1" applyBorder="1" applyAlignment="1">
      <alignment horizontal="center"/>
    </xf>
    <xf numFmtId="0" fontId="112" fillId="0" borderId="160" xfId="1105" applyFont="1" applyBorder="1" applyAlignment="1">
      <alignment horizontal="center"/>
    </xf>
    <xf numFmtId="0" fontId="112" fillId="0" borderId="161" xfId="1105" applyFont="1" applyBorder="1" applyAlignment="1">
      <alignment horizontal="center"/>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1" fontId="44" fillId="0" borderId="118" xfId="0" applyNumberFormat="1" applyFont="1" applyBorder="1" applyAlignment="1">
      <alignment horizontal="center" vertical="center" wrapText="1"/>
    </xf>
    <xf numFmtId="1" fontId="44" fillId="0" borderId="14" xfId="0" applyNumberFormat="1" applyFont="1" applyBorder="1" applyAlignment="1">
      <alignment horizontal="center" vertical="center" wrapText="1"/>
    </xf>
    <xf numFmtId="1" fontId="44" fillId="0" borderId="43" xfId="0" applyNumberFormat="1" applyFont="1" applyBorder="1" applyAlignment="1">
      <alignment horizontal="center" vertical="center" wrapText="1"/>
    </xf>
    <xf numFmtId="1" fontId="44" fillId="0" borderId="114" xfId="0" applyNumberFormat="1" applyFont="1" applyBorder="1" applyAlignment="1">
      <alignment horizontal="center" vertical="center"/>
    </xf>
    <xf numFmtId="1" fontId="44" fillId="0" borderId="157" xfId="0" applyNumberFormat="1" applyFont="1" applyBorder="1" applyAlignment="1">
      <alignment horizontal="center" vertical="center"/>
    </xf>
    <xf numFmtId="1" fontId="44" fillId="0" borderId="119" xfId="0" applyNumberFormat="1" applyFont="1" applyBorder="1" applyAlignment="1">
      <alignment horizontal="center" vertical="center" wrapText="1"/>
    </xf>
    <xf numFmtId="1" fontId="44" fillId="0" borderId="28" xfId="0" applyNumberFormat="1" applyFont="1" applyBorder="1" applyAlignment="1">
      <alignment horizontal="center" vertical="center" wrapText="1"/>
    </xf>
    <xf numFmtId="0" fontId="31" fillId="0" borderId="24" xfId="0" applyFont="1" applyBorder="1" applyAlignment="1">
      <alignment horizontal="center"/>
    </xf>
    <xf numFmtId="0" fontId="31" fillId="0" borderId="24" xfId="0" applyFont="1" applyBorder="1" applyAlignment="1">
      <alignment horizontal="center" wrapText="1"/>
    </xf>
    <xf numFmtId="0" fontId="31" fillId="0" borderId="31" xfId="0" applyFont="1" applyBorder="1" applyAlignment="1">
      <alignment horizontal="center" wrapText="1"/>
    </xf>
    <xf numFmtId="0" fontId="124" fillId="0" borderId="156" xfId="0" applyFont="1" applyBorder="1" applyAlignment="1">
      <alignment horizontal="center" vertical="center"/>
    </xf>
    <xf numFmtId="0" fontId="124" fillId="0" borderId="114" xfId="0" applyFont="1" applyBorder="1" applyAlignment="1">
      <alignment horizontal="center" vertical="center"/>
    </xf>
    <xf numFmtId="0" fontId="124" fillId="0" borderId="157" xfId="0" applyFont="1" applyBorder="1" applyAlignment="1">
      <alignment horizontal="center" vertical="center"/>
    </xf>
    <xf numFmtId="1" fontId="44" fillId="0" borderId="3" xfId="0" applyNumberFormat="1" applyFont="1" applyBorder="1" applyAlignment="1">
      <alignment horizontal="center" vertical="center"/>
    </xf>
    <xf numFmtId="1" fontId="44" fillId="0" borderId="24" xfId="0" applyNumberFormat="1" applyFont="1" applyBorder="1" applyAlignment="1">
      <alignment horizontal="center" vertical="center"/>
    </xf>
    <xf numFmtId="1" fontId="44" fillId="0" borderId="31" xfId="0" applyNumberFormat="1" applyFont="1" applyBorder="1" applyAlignment="1">
      <alignment horizontal="center" vertical="center"/>
    </xf>
    <xf numFmtId="1" fontId="44" fillId="0" borderId="177" xfId="0" applyNumberFormat="1" applyFont="1" applyBorder="1" applyAlignment="1">
      <alignment horizontal="center" vertical="center"/>
    </xf>
    <xf numFmtId="1" fontId="44" fillId="0" borderId="160" xfId="0" applyNumberFormat="1" applyFont="1" applyBorder="1" applyAlignment="1">
      <alignment horizontal="center" vertical="center"/>
    </xf>
    <xf numFmtId="1" fontId="44" fillId="0" borderId="161" xfId="0" applyNumberFormat="1" applyFont="1" applyBorder="1" applyAlignment="1">
      <alignment horizontal="center" vertical="center"/>
    </xf>
    <xf numFmtId="1" fontId="44" fillId="0" borderId="34" xfId="0" applyNumberFormat="1" applyFont="1" applyBorder="1" applyAlignment="1">
      <alignment horizontal="center" vertical="center"/>
    </xf>
    <xf numFmtId="0" fontId="10" fillId="0" borderId="24" xfId="0" applyFont="1" applyBorder="1" applyAlignment="1">
      <alignment horizontal="center" vertical="center" wrapText="1"/>
    </xf>
    <xf numFmtId="0" fontId="10" fillId="0" borderId="183" xfId="0" applyFont="1" applyBorder="1" applyAlignment="1">
      <alignment horizontal="center" vertical="center" wrapText="1"/>
    </xf>
    <xf numFmtId="0" fontId="100" fillId="0" borderId="22" xfId="0" applyFont="1" applyBorder="1" applyAlignment="1">
      <alignment horizontal="center" vertical="center" wrapText="1"/>
    </xf>
    <xf numFmtId="0" fontId="100" fillId="0" borderId="19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191" xfId="0" applyFont="1" applyBorder="1" applyAlignment="1">
      <alignment horizontal="center" vertical="center" wrapText="1"/>
    </xf>
    <xf numFmtId="0" fontId="124" fillId="0" borderId="118" xfId="0" applyFont="1" applyBorder="1" applyAlignment="1">
      <alignment horizontal="center" vertical="center"/>
    </xf>
    <xf numFmtId="0" fontId="124" fillId="0" borderId="14" xfId="0" applyFont="1" applyBorder="1" applyAlignment="1">
      <alignment horizontal="center" vertical="center"/>
    </xf>
    <xf numFmtId="0" fontId="124" fillId="0" borderId="43" xfId="0" applyFont="1" applyBorder="1" applyAlignment="1">
      <alignment horizontal="center" vertical="center"/>
    </xf>
  </cellXfs>
  <cellStyles count="1236">
    <cellStyle name="20% - Accent1 2" xfId="537" xr:uid="{00000000-0005-0000-0000-000000000000}"/>
    <cellStyle name="20% - Accent2 2" xfId="538" xr:uid="{00000000-0005-0000-0000-000001000000}"/>
    <cellStyle name="20% - Accent3 2" xfId="539" xr:uid="{00000000-0005-0000-0000-000002000000}"/>
    <cellStyle name="20% - Accent4 2" xfId="540" xr:uid="{00000000-0005-0000-0000-000003000000}"/>
    <cellStyle name="20% - Accent5 2" xfId="541" xr:uid="{00000000-0005-0000-0000-000004000000}"/>
    <cellStyle name="20% - Accent6 2" xfId="542" xr:uid="{00000000-0005-0000-0000-000005000000}"/>
    <cellStyle name="40% - Accent1 2" xfId="543" xr:uid="{00000000-0005-0000-0000-000006000000}"/>
    <cellStyle name="40% - Accent2 2" xfId="544" xr:uid="{00000000-0005-0000-0000-000007000000}"/>
    <cellStyle name="40% - Accent3 2" xfId="545" xr:uid="{00000000-0005-0000-0000-000008000000}"/>
    <cellStyle name="40% - Accent4 2" xfId="546" xr:uid="{00000000-0005-0000-0000-000009000000}"/>
    <cellStyle name="40% - Accent5 2" xfId="547" xr:uid="{00000000-0005-0000-0000-00000A000000}"/>
    <cellStyle name="40% - Accent6 2" xfId="548" xr:uid="{00000000-0005-0000-0000-00000B000000}"/>
    <cellStyle name="60% - Accent1 2" xfId="549" xr:uid="{00000000-0005-0000-0000-00000C000000}"/>
    <cellStyle name="60% - Accent2 2" xfId="550" xr:uid="{00000000-0005-0000-0000-00000D000000}"/>
    <cellStyle name="60% - Accent3 2" xfId="551" xr:uid="{00000000-0005-0000-0000-00000E000000}"/>
    <cellStyle name="60% - Accent4 2" xfId="552" xr:uid="{00000000-0005-0000-0000-00000F000000}"/>
    <cellStyle name="60% - Accent5 2" xfId="553" xr:uid="{00000000-0005-0000-0000-000010000000}"/>
    <cellStyle name="60% - Accent6 2" xfId="554" xr:uid="{00000000-0005-0000-0000-000011000000}"/>
    <cellStyle name="Accent1 2" xfId="555" xr:uid="{00000000-0005-0000-0000-000012000000}"/>
    <cellStyle name="Accent2 2" xfId="556" xr:uid="{00000000-0005-0000-0000-000013000000}"/>
    <cellStyle name="Accent3 2" xfId="557" xr:uid="{00000000-0005-0000-0000-000014000000}"/>
    <cellStyle name="Accent4 2" xfId="558" xr:uid="{00000000-0005-0000-0000-000015000000}"/>
    <cellStyle name="Accent5 2" xfId="559" xr:uid="{00000000-0005-0000-0000-000016000000}"/>
    <cellStyle name="Accent6 2" xfId="560" xr:uid="{00000000-0005-0000-0000-000017000000}"/>
    <cellStyle name="Bad 2" xfId="561" xr:uid="{00000000-0005-0000-0000-000018000000}"/>
    <cellStyle name="Calculation 2" xfId="562" xr:uid="{00000000-0005-0000-0000-00007C030000}"/>
    <cellStyle name="Check Cell 2" xfId="563" xr:uid="{00000000-0005-0000-0000-00007D030000}"/>
    <cellStyle name="Comma" xfId="139" builtinId="3"/>
    <cellStyle name="Comma 10" xfId="564" xr:uid="{00000000-0005-0000-0000-00007E030000}"/>
    <cellStyle name="Comma 10 2" xfId="1141" xr:uid="{00000000-0005-0000-0000-00007F030000}"/>
    <cellStyle name="Comma 11" xfId="565" xr:uid="{00000000-0005-0000-0000-000080030000}"/>
    <cellStyle name="Comma 11 2" xfId="1138" xr:uid="{00000000-0005-0000-0000-000081030000}"/>
    <cellStyle name="Comma 12" xfId="733" xr:uid="{00000000-0005-0000-0000-000082030000}"/>
    <cellStyle name="Comma 12 2" xfId="736" xr:uid="{00000000-0005-0000-0000-000083030000}"/>
    <cellStyle name="Comma 13" xfId="735" xr:uid="{00000000-0005-0000-0000-000084030000}"/>
    <cellStyle name="Comma 14" xfId="1150" xr:uid="{00000000-0005-0000-0000-000085030000}"/>
    <cellStyle name="Comma 15" xfId="1151" xr:uid="{00000000-0005-0000-0000-000086030000}"/>
    <cellStyle name="Comma 16" xfId="1227" xr:uid="{00000000-0005-0000-0000-000087030000}"/>
    <cellStyle name="Comma 2" xfId="566" xr:uid="{00000000-0005-0000-0000-000088030000}"/>
    <cellStyle name="Comma 2 2" xfId="567" xr:uid="{00000000-0005-0000-0000-000089030000}"/>
    <cellStyle name="Comma 2 2 2" xfId="568" xr:uid="{00000000-0005-0000-0000-00008A030000}"/>
    <cellStyle name="Comma 2 2 2 2" xfId="1081" xr:uid="{00000000-0005-0000-0000-00008B030000}"/>
    <cellStyle name="Comma 2 2 2 3" xfId="1129" xr:uid="{00000000-0005-0000-0000-00008C030000}"/>
    <cellStyle name="Comma 2 2 3" xfId="1107" xr:uid="{00000000-0005-0000-0000-00008D030000}"/>
    <cellStyle name="Comma 2 3" xfId="569" xr:uid="{00000000-0005-0000-0000-00008E030000}"/>
    <cellStyle name="Comma 2 3 2" xfId="1143" xr:uid="{00000000-0005-0000-0000-00008F030000}"/>
    <cellStyle name="Comma 2 4" xfId="1080" xr:uid="{00000000-0005-0000-0000-000090030000}"/>
    <cellStyle name="Comma 2 5" xfId="1225" xr:uid="{00000000-0005-0000-0000-000091030000}"/>
    <cellStyle name="Comma 3" xfId="570" xr:uid="{00000000-0005-0000-0000-000092030000}"/>
    <cellStyle name="Comma 3 2" xfId="571" xr:uid="{00000000-0005-0000-0000-000093030000}"/>
    <cellStyle name="Comma 4" xfId="572" xr:uid="{00000000-0005-0000-0000-000094030000}"/>
    <cellStyle name="Comma 4 2" xfId="573" xr:uid="{00000000-0005-0000-0000-000095030000}"/>
    <cellStyle name="Comma 5" xfId="574" xr:uid="{00000000-0005-0000-0000-000096030000}"/>
    <cellStyle name="Comma 5 2" xfId="931" xr:uid="{00000000-0005-0000-0000-000097030000}"/>
    <cellStyle name="Comma 5 3" xfId="1124" xr:uid="{00000000-0005-0000-0000-000098030000}"/>
    <cellStyle name="Comma 6" xfId="575" xr:uid="{00000000-0005-0000-0000-000099030000}"/>
    <cellStyle name="Comma 6 2" xfId="1132" xr:uid="{00000000-0005-0000-0000-00009A030000}"/>
    <cellStyle name="Comma 7" xfId="576" xr:uid="{00000000-0005-0000-0000-00009B030000}"/>
    <cellStyle name="Comma 7 2" xfId="1134" xr:uid="{00000000-0005-0000-0000-00009C030000}"/>
    <cellStyle name="Comma 8" xfId="577" xr:uid="{00000000-0005-0000-0000-00009D030000}"/>
    <cellStyle name="Comma 9" xfId="578" xr:uid="{00000000-0005-0000-0000-00009E030000}"/>
    <cellStyle name="Comma0" xfId="579" xr:uid="{00000000-0005-0000-0000-00009F030000}"/>
    <cellStyle name="Commentaire" xfId="580" xr:uid="{00000000-0005-0000-0000-0000A0030000}"/>
    <cellStyle name="Date" xfId="343" xr:uid="{00000000-0005-0000-0000-0000A1030000}"/>
    <cellStyle name="Date 2" xfId="420" xr:uid="{00000000-0005-0000-0000-0000A2030000}"/>
    <cellStyle name="En-tête 1" xfId="344" xr:uid="{00000000-0005-0000-0000-0000A3030000}"/>
    <cellStyle name="En-tête 1 2" xfId="421" xr:uid="{00000000-0005-0000-0000-0000A4030000}"/>
    <cellStyle name="En-tête 2" xfId="345" xr:uid="{00000000-0005-0000-0000-0000A5030000}"/>
    <cellStyle name="En-tête 2 2" xfId="422" xr:uid="{00000000-0005-0000-0000-0000A6030000}"/>
    <cellStyle name="Explanatory Text 2" xfId="581" xr:uid="{00000000-0005-0000-0000-0000A7030000}"/>
    <cellStyle name="Financier0" xfId="346" xr:uid="{00000000-0005-0000-0000-0000A8030000}"/>
    <cellStyle name="Financier0 2" xfId="423" xr:uid="{00000000-0005-0000-0000-0000A9030000}"/>
    <cellStyle name="Followed Hyperlink" xfId="246" builtinId="9" hidden="1"/>
    <cellStyle name="Followed Hyperlink" xfId="230" builtinId="9" hidden="1"/>
    <cellStyle name="Followed Hyperlink" xfId="214" builtinId="9" hidden="1"/>
    <cellStyle name="Followed Hyperlink" xfId="198" builtinId="9" hidden="1"/>
    <cellStyle name="Followed Hyperlink" xfId="182" builtinId="9" hidden="1"/>
    <cellStyle name="Followed Hyperlink" xfId="85" builtinId="9" hidden="1"/>
    <cellStyle name="Followed Hyperlink" xfId="105" builtinId="9" hidden="1"/>
    <cellStyle name="Followed Hyperlink" xfId="128" builtinId="9" hidden="1"/>
    <cellStyle name="Followed Hyperlink" xfId="145" builtinId="9" hidden="1"/>
    <cellStyle name="Followed Hyperlink" xfId="155" builtinId="9" hidden="1"/>
    <cellStyle name="Followed Hyperlink" xfId="166" builtinId="9" hidden="1"/>
    <cellStyle name="Followed Hyperlink" xfId="172" builtinId="9" hidden="1"/>
    <cellStyle name="Followed Hyperlink" xfId="140" builtinId="9" hidden="1"/>
    <cellStyle name="Followed Hyperlink" xfId="75" builtinId="9" hidden="1"/>
    <cellStyle name="Followed Hyperlink" xfId="49" builtinId="9" hidden="1"/>
    <cellStyle name="Followed Hyperlink" xfId="69" builtinId="9" hidden="1"/>
    <cellStyle name="Followed Hyperlink" xfId="25" builtinId="9" hidden="1"/>
    <cellStyle name="Followed Hyperlink" xfId="7" builtinId="9" hidden="1"/>
    <cellStyle name="Followed Hyperlink" xfId="11" builtinId="9" hidden="1"/>
    <cellStyle name="Followed Hyperlink" xfId="17" builtinId="9" hidden="1"/>
    <cellStyle name="Followed Hyperlink" xfId="61" builtinId="9" hidden="1"/>
    <cellStyle name="Followed Hyperlink" xfId="43" builtinId="9" hidden="1"/>
    <cellStyle name="Followed Hyperlink" xfId="99" builtinId="9" hidden="1"/>
    <cellStyle name="Followed Hyperlink" xfId="152" builtinId="9" hidden="1"/>
    <cellStyle name="Followed Hyperlink" xfId="173" builtinId="9" hidden="1"/>
    <cellStyle name="Followed Hyperlink" xfId="162" builtinId="9" hidden="1"/>
    <cellStyle name="Followed Hyperlink" xfId="151" builtinId="9" hidden="1"/>
    <cellStyle name="Followed Hyperlink" xfId="141" builtinId="9" hidden="1"/>
    <cellStyle name="Followed Hyperlink" xfId="120" builtinId="9" hidden="1"/>
    <cellStyle name="Followed Hyperlink" xfId="97" builtinId="9" hidden="1"/>
    <cellStyle name="Followed Hyperlink" xfId="77" builtinId="9" hidden="1"/>
    <cellStyle name="Followed Hyperlink" xfId="188" builtinId="9" hidden="1"/>
    <cellStyle name="Followed Hyperlink" xfId="204" builtinId="9" hidden="1"/>
    <cellStyle name="Followed Hyperlink" xfId="220" builtinId="9" hidden="1"/>
    <cellStyle name="Followed Hyperlink" xfId="236" builtinId="9" hidden="1"/>
    <cellStyle name="Followed Hyperlink" xfId="252" builtinId="9" hidden="1"/>
    <cellStyle name="Followed Hyperlink" xfId="269" builtinId="9" hidden="1"/>
    <cellStyle name="Followed Hyperlink" xfId="285" builtinId="9" hidden="1"/>
    <cellStyle name="Followed Hyperlink" xfId="301" builtinId="9" hidden="1"/>
    <cellStyle name="Followed Hyperlink" xfId="317" builtinId="9" hidden="1"/>
    <cellStyle name="Followed Hyperlink" xfId="333" builtinId="9" hidden="1"/>
    <cellStyle name="Followed Hyperlink" xfId="369" builtinId="9" hidden="1"/>
    <cellStyle name="Followed Hyperlink" xfId="385" builtinId="9" hidden="1"/>
    <cellStyle name="Followed Hyperlink" xfId="401" builtinId="9" hidden="1"/>
    <cellStyle name="Followed Hyperlink" xfId="417" builtinId="9" hidden="1"/>
    <cellStyle name="Followed Hyperlink" xfId="446" builtinId="9" hidden="1"/>
    <cellStyle name="Followed Hyperlink" xfId="478" builtinId="9" hidden="1"/>
    <cellStyle name="Followed Hyperlink" xfId="510" builtinId="9" hidden="1"/>
    <cellStyle name="Followed Hyperlink" xfId="672" builtinId="9" hidden="1"/>
    <cellStyle name="Followed Hyperlink" xfId="688" builtinId="9" hidden="1"/>
    <cellStyle name="Followed Hyperlink" xfId="704" builtinId="9" hidden="1"/>
    <cellStyle name="Followed Hyperlink" xfId="720" builtinId="9" hidden="1"/>
    <cellStyle name="Followed Hyperlink" xfId="741" builtinId="9" hidden="1"/>
    <cellStyle name="Followed Hyperlink" xfId="757" builtinId="9" hidden="1"/>
    <cellStyle name="Followed Hyperlink" xfId="773" builtinId="9" hidden="1"/>
    <cellStyle name="Followed Hyperlink" xfId="789" builtinId="9" hidden="1"/>
    <cellStyle name="Followed Hyperlink" xfId="805" builtinId="9" hidden="1"/>
    <cellStyle name="Followed Hyperlink" xfId="821" builtinId="9" hidden="1"/>
    <cellStyle name="Followed Hyperlink" xfId="837" builtinId="9" hidden="1"/>
    <cellStyle name="Followed Hyperlink" xfId="853" builtinId="9" hidden="1"/>
    <cellStyle name="Followed Hyperlink" xfId="869" builtinId="9" hidden="1"/>
    <cellStyle name="Followed Hyperlink" xfId="885" builtinId="9" hidden="1"/>
    <cellStyle name="Followed Hyperlink" xfId="901" builtinId="9" hidden="1"/>
    <cellStyle name="Followed Hyperlink" xfId="920" builtinId="9" hidden="1"/>
    <cellStyle name="Followed Hyperlink" xfId="943" builtinId="9" hidden="1"/>
    <cellStyle name="Followed Hyperlink" xfId="959" builtinId="9" hidden="1"/>
    <cellStyle name="Followed Hyperlink" xfId="975" builtinId="9" hidden="1"/>
    <cellStyle name="Followed Hyperlink" xfId="994" builtinId="9" hidden="1"/>
    <cellStyle name="Followed Hyperlink" xfId="1011" builtinId="9" hidden="1"/>
    <cellStyle name="Followed Hyperlink" xfId="1027" builtinId="9" hidden="1"/>
    <cellStyle name="Followed Hyperlink" xfId="1043" builtinId="9" hidden="1"/>
    <cellStyle name="Followed Hyperlink" xfId="1059" builtinId="9" hidden="1"/>
    <cellStyle name="Followed Hyperlink" xfId="1075" builtinId="9" hidden="1"/>
    <cellStyle name="Followed Hyperlink" xfId="1097" builtinId="9" hidden="1"/>
    <cellStyle name="Followed Hyperlink" xfId="1156" builtinId="9" hidden="1"/>
    <cellStyle name="Followed Hyperlink" xfId="1172" builtinId="9" hidden="1"/>
    <cellStyle name="Followed Hyperlink" xfId="1190" builtinId="9" hidden="1"/>
    <cellStyle name="Followed Hyperlink" xfId="1206" builtinId="9" hidden="1"/>
    <cellStyle name="Followed Hyperlink" xfId="1221" builtinId="9" hidden="1"/>
    <cellStyle name="Followed Hyperlink" xfId="1205" builtinId="9" hidden="1"/>
    <cellStyle name="Followed Hyperlink" xfId="1189" builtinId="9" hidden="1"/>
    <cellStyle name="Followed Hyperlink" xfId="1171" builtinId="9" hidden="1"/>
    <cellStyle name="Followed Hyperlink" xfId="1155" builtinId="9" hidden="1"/>
    <cellStyle name="Followed Hyperlink" xfId="1096" builtinId="9" hidden="1"/>
    <cellStyle name="Followed Hyperlink" xfId="1074" builtinId="9" hidden="1"/>
    <cellStyle name="Followed Hyperlink" xfId="1058" builtinId="9" hidden="1"/>
    <cellStyle name="Followed Hyperlink" xfId="1042" builtinId="9" hidden="1"/>
    <cellStyle name="Followed Hyperlink" xfId="1026" builtinId="9" hidden="1"/>
    <cellStyle name="Followed Hyperlink" xfId="1010" builtinId="9" hidden="1"/>
    <cellStyle name="Followed Hyperlink" xfId="993" builtinId="9" hidden="1"/>
    <cellStyle name="Followed Hyperlink" xfId="974" builtinId="9" hidden="1"/>
    <cellStyle name="Followed Hyperlink" xfId="958" builtinId="9" hidden="1"/>
    <cellStyle name="Followed Hyperlink" xfId="942" builtinId="9" hidden="1"/>
    <cellStyle name="Followed Hyperlink" xfId="919" builtinId="9" hidden="1"/>
    <cellStyle name="Followed Hyperlink" xfId="900" builtinId="9" hidden="1"/>
    <cellStyle name="Followed Hyperlink" xfId="884" builtinId="9" hidden="1"/>
    <cellStyle name="Followed Hyperlink" xfId="868" builtinId="9" hidden="1"/>
    <cellStyle name="Followed Hyperlink" xfId="852" builtinId="9" hidden="1"/>
    <cellStyle name="Followed Hyperlink" xfId="836" builtinId="9" hidden="1"/>
    <cellStyle name="Followed Hyperlink" xfId="820" builtinId="9" hidden="1"/>
    <cellStyle name="Followed Hyperlink" xfId="804" builtinId="9" hidden="1"/>
    <cellStyle name="Followed Hyperlink" xfId="788" builtinId="9" hidden="1"/>
    <cellStyle name="Followed Hyperlink" xfId="772" builtinId="9" hidden="1"/>
    <cellStyle name="Followed Hyperlink" xfId="756" builtinId="9" hidden="1"/>
    <cellStyle name="Followed Hyperlink" xfId="740" builtinId="9" hidden="1"/>
    <cellStyle name="Followed Hyperlink" xfId="719" builtinId="9" hidden="1"/>
    <cellStyle name="Followed Hyperlink" xfId="703" builtinId="9" hidden="1"/>
    <cellStyle name="Followed Hyperlink" xfId="687" builtinId="9" hidden="1"/>
    <cellStyle name="Followed Hyperlink" xfId="669" builtinId="9" hidden="1"/>
    <cellStyle name="Followed Hyperlink" xfId="508" builtinId="9" hidden="1"/>
    <cellStyle name="Followed Hyperlink" xfId="476" builtinId="9" hidden="1"/>
    <cellStyle name="Followed Hyperlink" xfId="445" builtinId="9" hidden="1"/>
    <cellStyle name="Followed Hyperlink" xfId="416" builtinId="9" hidden="1"/>
    <cellStyle name="Followed Hyperlink" xfId="245" builtinId="9" hidden="1"/>
    <cellStyle name="Followed Hyperlink" xfId="257" builtinId="9" hidden="1"/>
    <cellStyle name="Followed Hyperlink" xfId="268" builtinId="9" hidden="1"/>
    <cellStyle name="Followed Hyperlink" xfId="278" builtinId="9" hidden="1"/>
    <cellStyle name="Followed Hyperlink" xfId="290" builtinId="9" hidden="1"/>
    <cellStyle name="Followed Hyperlink" xfId="300" builtinId="9" hidden="1"/>
    <cellStyle name="Followed Hyperlink" xfId="310" builtinId="9" hidden="1"/>
    <cellStyle name="Followed Hyperlink" xfId="322" builtinId="9" hidden="1"/>
    <cellStyle name="Followed Hyperlink" xfId="332" builtinId="9" hidden="1"/>
    <cellStyle name="Followed Hyperlink" xfId="362" builtinId="9" hidden="1"/>
    <cellStyle name="Followed Hyperlink" xfId="374" builtinId="9" hidden="1"/>
    <cellStyle name="Followed Hyperlink" xfId="384" builtinId="9" hidden="1"/>
    <cellStyle name="Followed Hyperlink" xfId="394" builtinId="9" hidden="1"/>
    <cellStyle name="Followed Hyperlink" xfId="396" builtinId="9" hidden="1"/>
    <cellStyle name="Followed Hyperlink" xfId="364" builtinId="9" hidden="1"/>
    <cellStyle name="Followed Hyperlink" xfId="312" builtinId="9" hidden="1"/>
    <cellStyle name="Followed Hyperlink" xfId="280" builtinId="9" hidden="1"/>
    <cellStyle name="Followed Hyperlink" xfId="247" builtinId="9" hidden="1"/>
    <cellStyle name="Followed Hyperlink" xfId="213" builtinId="9" hidden="1"/>
    <cellStyle name="Followed Hyperlink" xfId="221" builtinId="9" hidden="1"/>
    <cellStyle name="Followed Hyperlink" xfId="231" builtinId="9" hidden="1"/>
    <cellStyle name="Followed Hyperlink" xfId="241" builtinId="9" hidden="1"/>
    <cellStyle name="Followed Hyperlink" xfId="207" builtinId="9" hidden="1"/>
    <cellStyle name="Followed Hyperlink" xfId="197" builtinId="9" hidden="1"/>
    <cellStyle name="Followed Hyperlink" xfId="191" builtinId="9" hidden="1"/>
    <cellStyle name="Followed Hyperlink" xfId="179" builtinId="9" hidden="1"/>
    <cellStyle name="Followed Hyperlink" xfId="181" builtinId="9" hidden="1"/>
    <cellStyle name="Followed Hyperlink" xfId="183" builtinId="9" hidden="1"/>
    <cellStyle name="Followed Hyperlink" xfId="199" builtinId="9" hidden="1"/>
    <cellStyle name="Followed Hyperlink" xfId="189" builtinId="9" hidden="1"/>
    <cellStyle name="Followed Hyperlink" xfId="243" builtinId="9" hidden="1"/>
    <cellStyle name="Followed Hyperlink" xfId="233" builtinId="9" hidden="1"/>
    <cellStyle name="Followed Hyperlink" xfId="225" builtinId="9" hidden="1"/>
    <cellStyle name="Followed Hyperlink" xfId="215" builtinId="9" hidden="1"/>
    <cellStyle name="Followed Hyperlink" xfId="205" builtinId="9" hidden="1"/>
    <cellStyle name="Followed Hyperlink" xfId="272" builtinId="9" hidden="1"/>
    <cellStyle name="Followed Hyperlink" xfId="304" builtinId="9" hidden="1"/>
    <cellStyle name="Followed Hyperlink" xfId="336" builtinId="9" hidden="1"/>
    <cellStyle name="Followed Hyperlink" xfId="388" builtinId="9" hidden="1"/>
    <cellStyle name="Followed Hyperlink" xfId="398" builtinId="9" hidden="1"/>
    <cellStyle name="Followed Hyperlink" xfId="386" builtinId="9" hidden="1"/>
    <cellStyle name="Followed Hyperlink" xfId="376" builtinId="9" hidden="1"/>
    <cellStyle name="Followed Hyperlink" xfId="366" builtinId="9" hidden="1"/>
    <cellStyle name="Followed Hyperlink" xfId="334" builtinId="9" hidden="1"/>
    <cellStyle name="Followed Hyperlink" xfId="324" builtinId="9" hidden="1"/>
    <cellStyle name="Followed Hyperlink" xfId="314" builtinId="9" hidden="1"/>
    <cellStyle name="Followed Hyperlink" xfId="302" builtinId="9" hidden="1"/>
    <cellStyle name="Followed Hyperlink" xfId="292" builtinId="9" hidden="1"/>
    <cellStyle name="Followed Hyperlink" xfId="282" builtinId="9" hidden="1"/>
    <cellStyle name="Followed Hyperlink" xfId="270" builtinId="9" hidden="1"/>
    <cellStyle name="Followed Hyperlink" xfId="259" builtinId="9" hidden="1"/>
    <cellStyle name="Followed Hyperlink" xfId="249" builtinId="9" hidden="1"/>
    <cellStyle name="Followed Hyperlink" xfId="412" builtinId="9" hidden="1"/>
    <cellStyle name="Followed Hyperlink" xfId="441" builtinId="9" hidden="1"/>
    <cellStyle name="Followed Hyperlink" xfId="468" builtinId="9" hidden="1"/>
    <cellStyle name="Followed Hyperlink" xfId="500" builtinId="9" hidden="1"/>
    <cellStyle name="Followed Hyperlink" xfId="532" builtinId="9" hidden="1"/>
    <cellStyle name="Followed Hyperlink" xfId="683" builtinId="9" hidden="1"/>
    <cellStyle name="Followed Hyperlink" xfId="699" builtinId="9" hidden="1"/>
    <cellStyle name="Followed Hyperlink" xfId="715" builtinId="9" hidden="1"/>
    <cellStyle name="Followed Hyperlink" xfId="731" builtinId="9" hidden="1"/>
    <cellStyle name="Followed Hyperlink" xfId="752" builtinId="9" hidden="1"/>
    <cellStyle name="Followed Hyperlink" xfId="768" builtinId="9" hidden="1"/>
    <cellStyle name="Followed Hyperlink" xfId="784" builtinId="9" hidden="1"/>
    <cellStyle name="Followed Hyperlink" xfId="800" builtinId="9" hidden="1"/>
    <cellStyle name="Followed Hyperlink" xfId="816" builtinId="9" hidden="1"/>
    <cellStyle name="Followed Hyperlink" xfId="832" builtinId="9" hidden="1"/>
    <cellStyle name="Followed Hyperlink" xfId="848" builtinId="9" hidden="1"/>
    <cellStyle name="Followed Hyperlink" xfId="864" builtinId="9" hidden="1"/>
    <cellStyle name="Followed Hyperlink" xfId="880" builtinId="9" hidden="1"/>
    <cellStyle name="Followed Hyperlink" xfId="896" builtinId="9" hidden="1"/>
    <cellStyle name="Followed Hyperlink" xfId="914" builtinId="9" hidden="1"/>
    <cellStyle name="Followed Hyperlink" xfId="938" builtinId="9" hidden="1"/>
    <cellStyle name="Followed Hyperlink" xfId="954" builtinId="9" hidden="1"/>
    <cellStyle name="Followed Hyperlink" xfId="970" builtinId="9" hidden="1"/>
    <cellStyle name="Followed Hyperlink" xfId="989" builtinId="9" hidden="1"/>
    <cellStyle name="Followed Hyperlink" xfId="1006" builtinId="9" hidden="1"/>
    <cellStyle name="Followed Hyperlink" xfId="1022" builtinId="9" hidden="1"/>
    <cellStyle name="Followed Hyperlink" xfId="1038" builtinId="9" hidden="1"/>
    <cellStyle name="Followed Hyperlink" xfId="1054" builtinId="9" hidden="1"/>
    <cellStyle name="Followed Hyperlink" xfId="1070" builtinId="9" hidden="1"/>
    <cellStyle name="Followed Hyperlink" xfId="1092" builtinId="9" hidden="1"/>
    <cellStyle name="Followed Hyperlink" xfId="1115" builtinId="9" hidden="1"/>
    <cellStyle name="Followed Hyperlink" xfId="1167" builtinId="9" hidden="1"/>
    <cellStyle name="Followed Hyperlink" xfId="1185" builtinId="9" hidden="1"/>
    <cellStyle name="Followed Hyperlink" xfId="1201" builtinId="9" hidden="1"/>
    <cellStyle name="Followed Hyperlink" xfId="1217" builtinId="9" hidden="1"/>
    <cellStyle name="Followed Hyperlink" xfId="1210" builtinId="9" hidden="1"/>
    <cellStyle name="Followed Hyperlink" xfId="1194" builtinId="9" hidden="1"/>
    <cellStyle name="Followed Hyperlink" xfId="1178" builtinId="9" hidden="1"/>
    <cellStyle name="Followed Hyperlink" xfId="1160" builtinId="9" hidden="1"/>
    <cellStyle name="Followed Hyperlink" xfId="1108" builtinId="9" hidden="1"/>
    <cellStyle name="Followed Hyperlink" xfId="1085" builtinId="9" hidden="1"/>
    <cellStyle name="Followed Hyperlink" xfId="1063" builtinId="9" hidden="1"/>
    <cellStyle name="Followed Hyperlink" xfId="1047" builtinId="9" hidden="1"/>
    <cellStyle name="Followed Hyperlink" xfId="1031" builtinId="9" hidden="1"/>
    <cellStyle name="Followed Hyperlink" xfId="1015" builtinId="9" hidden="1"/>
    <cellStyle name="Followed Hyperlink" xfId="998" builtinId="9" hidden="1"/>
    <cellStyle name="Followed Hyperlink" xfId="979" builtinId="9" hidden="1"/>
    <cellStyle name="Followed Hyperlink" xfId="963" builtinId="9" hidden="1"/>
    <cellStyle name="Followed Hyperlink" xfId="947" builtinId="9" hidden="1"/>
    <cellStyle name="Followed Hyperlink" xfId="924" builtinId="9" hidden="1"/>
    <cellStyle name="Followed Hyperlink" xfId="905" builtinId="9" hidden="1"/>
    <cellStyle name="Followed Hyperlink" xfId="889" builtinId="9" hidden="1"/>
    <cellStyle name="Followed Hyperlink" xfId="873" builtinId="9" hidden="1"/>
    <cellStyle name="Followed Hyperlink" xfId="857" builtinId="9" hidden="1"/>
    <cellStyle name="Followed Hyperlink" xfId="841" builtinId="9" hidden="1"/>
    <cellStyle name="Followed Hyperlink" xfId="825" builtinId="9" hidden="1"/>
    <cellStyle name="Followed Hyperlink" xfId="809" builtinId="9" hidden="1"/>
    <cellStyle name="Followed Hyperlink" xfId="793" builtinId="9" hidden="1"/>
    <cellStyle name="Followed Hyperlink" xfId="777" builtinId="9" hidden="1"/>
    <cellStyle name="Followed Hyperlink" xfId="761" builtinId="9" hidden="1"/>
    <cellStyle name="Followed Hyperlink" xfId="745" builtinId="9" hidden="1"/>
    <cellStyle name="Followed Hyperlink" xfId="724" builtinId="9" hidden="1"/>
    <cellStyle name="Followed Hyperlink" xfId="708" builtinId="9" hidden="1"/>
    <cellStyle name="Followed Hyperlink" xfId="692" builtinId="9" hidden="1"/>
    <cellStyle name="Followed Hyperlink" xfId="676" builtinId="9" hidden="1"/>
    <cellStyle name="Followed Hyperlink" xfId="518" builtinId="9" hidden="1"/>
    <cellStyle name="Followed Hyperlink" xfId="486" builtinId="9" hidden="1"/>
    <cellStyle name="Followed Hyperlink" xfId="454" builtinId="9" hidden="1"/>
    <cellStyle name="Followed Hyperlink" xfId="434" builtinId="9" hidden="1"/>
    <cellStyle name="Followed Hyperlink" xfId="405" builtinId="9" hidden="1"/>
    <cellStyle name="Followed Hyperlink" xfId="389" builtinId="9" hidden="1"/>
    <cellStyle name="Followed Hyperlink" xfId="373" builtinId="9" hidden="1"/>
    <cellStyle name="Followed Hyperlink" xfId="337" builtinId="9" hidden="1"/>
    <cellStyle name="Followed Hyperlink" xfId="321" builtinId="9" hidden="1"/>
    <cellStyle name="Followed Hyperlink" xfId="305" builtinId="9" hidden="1"/>
    <cellStyle name="Followed Hyperlink" xfId="289" builtinId="9" hidden="1"/>
    <cellStyle name="Followed Hyperlink" xfId="273" builtinId="9" hidden="1"/>
    <cellStyle name="Followed Hyperlink" xfId="256" builtinId="9" hidden="1"/>
    <cellStyle name="Followed Hyperlink" xfId="240" builtinId="9" hidden="1"/>
    <cellStyle name="Followed Hyperlink" xfId="224" builtinId="9" hidden="1"/>
    <cellStyle name="Followed Hyperlink" xfId="208" builtinId="9" hidden="1"/>
    <cellStyle name="Followed Hyperlink" xfId="192" builtinId="9" hidden="1"/>
    <cellStyle name="Followed Hyperlink" xfId="176" builtinId="9" hidden="1"/>
    <cellStyle name="Followed Hyperlink" xfId="93" builtinId="9" hidden="1"/>
    <cellStyle name="Followed Hyperlink" xfId="113" builtinId="9" hidden="1"/>
    <cellStyle name="Followed Hyperlink" xfId="136" builtinId="9" hidden="1"/>
    <cellStyle name="Followed Hyperlink" xfId="149" builtinId="9" hidden="1"/>
    <cellStyle name="Followed Hyperlink" xfId="159" builtinId="9" hidden="1"/>
    <cellStyle name="Followed Hyperlink" xfId="170" builtinId="9" hidden="1"/>
    <cellStyle name="Followed Hyperlink" xfId="160" builtinId="9" hidden="1"/>
    <cellStyle name="Followed Hyperlink" xfId="116" builtinId="9" hidden="1"/>
    <cellStyle name="Followed Hyperlink" xfId="39" builtinId="9" hidden="1"/>
    <cellStyle name="Followed Hyperlink" xfId="57" builtinId="9" hidden="1"/>
    <cellStyle name="Followed Hyperlink" xfId="51" builtinId="9" hidden="1"/>
    <cellStyle name="Followed Hyperlink" xfId="31" builtinId="9" hidden="1"/>
    <cellStyle name="Followed Hyperlink" xfId="5" builtinId="9" hidden="1"/>
    <cellStyle name="Followed Hyperlink" xfId="29" builtinId="9" hidden="1"/>
    <cellStyle name="Followed Hyperlink" xfId="67" builtinId="9" hidden="1"/>
    <cellStyle name="Followed Hyperlink" xfId="55" builtinId="9" hidden="1"/>
    <cellStyle name="Followed Hyperlink" xfId="37" builtinId="9" hidden="1"/>
    <cellStyle name="Followed Hyperlink" xfId="124" builtinId="9" hidden="1"/>
    <cellStyle name="Followed Hyperlink" xfId="164" builtinId="9" hidden="1"/>
    <cellStyle name="Followed Hyperlink" xfId="169" builtinId="9" hidden="1"/>
    <cellStyle name="Followed Hyperlink" xfId="158" builtinId="9" hidden="1"/>
    <cellStyle name="Followed Hyperlink" xfId="147" builtinId="9" hidden="1"/>
    <cellStyle name="Followed Hyperlink" xfId="134" builtinId="9" hidden="1"/>
    <cellStyle name="Followed Hyperlink" xfId="111" builtinId="9" hidden="1"/>
    <cellStyle name="Followed Hyperlink" xfId="89" builtinId="9" hidden="1"/>
    <cellStyle name="Followed Hyperlink" xfId="178" builtinId="9" hidden="1"/>
    <cellStyle name="Followed Hyperlink" xfId="194" builtinId="9" hidden="1"/>
    <cellStyle name="Followed Hyperlink" xfId="210" builtinId="9" hidden="1"/>
    <cellStyle name="Followed Hyperlink" xfId="226" builtinId="9" hidden="1"/>
    <cellStyle name="Followed Hyperlink" xfId="242" builtinId="9" hidden="1"/>
    <cellStyle name="Followed Hyperlink" xfId="258" builtinId="9" hidden="1"/>
    <cellStyle name="Followed Hyperlink" xfId="275" builtinId="9" hidden="1"/>
    <cellStyle name="Followed Hyperlink" xfId="291" builtinId="9" hidden="1"/>
    <cellStyle name="Followed Hyperlink" xfId="307" builtinId="9" hidden="1"/>
    <cellStyle name="Followed Hyperlink" xfId="323" builtinId="9" hidden="1"/>
    <cellStyle name="Followed Hyperlink" xfId="339" builtinId="9" hidden="1"/>
    <cellStyle name="Followed Hyperlink" xfId="375" builtinId="9" hidden="1"/>
    <cellStyle name="Followed Hyperlink" xfId="391" builtinId="9" hidden="1"/>
    <cellStyle name="Followed Hyperlink" xfId="407" builtinId="9" hidden="1"/>
    <cellStyle name="Followed Hyperlink" xfId="436" builtinId="9" hidden="1"/>
    <cellStyle name="Followed Hyperlink" xfId="458" builtinId="9" hidden="1"/>
    <cellStyle name="Followed Hyperlink" xfId="490" builtinId="9" hidden="1"/>
    <cellStyle name="Followed Hyperlink" xfId="522" builtinId="9" hidden="1"/>
    <cellStyle name="Followed Hyperlink" xfId="678" builtinId="9" hidden="1"/>
    <cellStyle name="Followed Hyperlink" xfId="694" builtinId="9" hidden="1"/>
    <cellStyle name="Followed Hyperlink" xfId="710" builtinId="9" hidden="1"/>
    <cellStyle name="Followed Hyperlink" xfId="726" builtinId="9" hidden="1"/>
    <cellStyle name="Followed Hyperlink" xfId="747" builtinId="9" hidden="1"/>
    <cellStyle name="Followed Hyperlink" xfId="763" builtinId="9" hidden="1"/>
    <cellStyle name="Followed Hyperlink" xfId="779" builtinId="9" hidden="1"/>
    <cellStyle name="Followed Hyperlink" xfId="795" builtinId="9" hidden="1"/>
    <cellStyle name="Followed Hyperlink" xfId="811" builtinId="9" hidden="1"/>
    <cellStyle name="Followed Hyperlink" xfId="827" builtinId="9" hidden="1"/>
    <cellStyle name="Followed Hyperlink" xfId="843" builtinId="9" hidden="1"/>
    <cellStyle name="Followed Hyperlink" xfId="859" builtinId="9" hidden="1"/>
    <cellStyle name="Followed Hyperlink" xfId="875" builtinId="9" hidden="1"/>
    <cellStyle name="Followed Hyperlink" xfId="891" builtinId="9" hidden="1"/>
    <cellStyle name="Followed Hyperlink" xfId="907" builtinId="9" hidden="1"/>
    <cellStyle name="Followed Hyperlink" xfId="926" builtinId="9" hidden="1"/>
    <cellStyle name="Followed Hyperlink" xfId="949" builtinId="9" hidden="1"/>
    <cellStyle name="Followed Hyperlink" xfId="965" builtinId="9" hidden="1"/>
    <cellStyle name="Followed Hyperlink" xfId="981" builtinId="9" hidden="1"/>
    <cellStyle name="Followed Hyperlink" xfId="1001" builtinId="9" hidden="1"/>
    <cellStyle name="Followed Hyperlink" xfId="1017" builtinId="9" hidden="1"/>
    <cellStyle name="Followed Hyperlink" xfId="1033" builtinId="9" hidden="1"/>
    <cellStyle name="Followed Hyperlink" xfId="1049" builtinId="9" hidden="1"/>
    <cellStyle name="Followed Hyperlink" xfId="1065" builtinId="9" hidden="1"/>
    <cellStyle name="Followed Hyperlink" xfId="1087" builtinId="9" hidden="1"/>
    <cellStyle name="Followed Hyperlink" xfId="1110" builtinId="9" hidden="1"/>
    <cellStyle name="Followed Hyperlink" xfId="1162" builtinId="9" hidden="1"/>
    <cellStyle name="Followed Hyperlink" xfId="1180" builtinId="9" hidden="1"/>
    <cellStyle name="Followed Hyperlink" xfId="1196" builtinId="9" hidden="1"/>
    <cellStyle name="Followed Hyperlink" xfId="1212" builtinId="9" hidden="1"/>
    <cellStyle name="Followed Hyperlink" xfId="1215" builtinId="9" hidden="1"/>
    <cellStyle name="Followed Hyperlink" xfId="1199" builtinId="9" hidden="1"/>
    <cellStyle name="Followed Hyperlink" xfId="1183" builtinId="9" hidden="1"/>
    <cellStyle name="Followed Hyperlink" xfId="1165" builtinId="9" hidden="1"/>
    <cellStyle name="Followed Hyperlink" xfId="1113" builtinId="9" hidden="1"/>
    <cellStyle name="Followed Hyperlink" xfId="1090" builtinId="9" hidden="1"/>
    <cellStyle name="Followed Hyperlink" xfId="1068" builtinId="9" hidden="1"/>
    <cellStyle name="Followed Hyperlink" xfId="1052" builtinId="9" hidden="1"/>
    <cellStyle name="Followed Hyperlink" xfId="1036" builtinId="9" hidden="1"/>
    <cellStyle name="Followed Hyperlink" xfId="738" builtinId="9" hidden="1"/>
    <cellStyle name="Followed Hyperlink" xfId="750" builtinId="9" hidden="1"/>
    <cellStyle name="Followed Hyperlink" xfId="762" builtinId="9" hidden="1"/>
    <cellStyle name="Followed Hyperlink" xfId="770" builtinId="9" hidden="1"/>
    <cellStyle name="Followed Hyperlink" xfId="782" builtinId="9" hidden="1"/>
    <cellStyle name="Followed Hyperlink" xfId="794" builtinId="9" hidden="1"/>
    <cellStyle name="Followed Hyperlink" xfId="802" builtinId="9" hidden="1"/>
    <cellStyle name="Followed Hyperlink" xfId="814" builtinId="9" hidden="1"/>
    <cellStyle name="Followed Hyperlink" xfId="826" builtinId="9" hidden="1"/>
    <cellStyle name="Followed Hyperlink" xfId="834" builtinId="9" hidden="1"/>
    <cellStyle name="Followed Hyperlink" xfId="846" builtinId="9" hidden="1"/>
    <cellStyle name="Followed Hyperlink" xfId="858" builtinId="9" hidden="1"/>
    <cellStyle name="Followed Hyperlink" xfId="866" builtinId="9" hidden="1"/>
    <cellStyle name="Followed Hyperlink" xfId="878" builtinId="9" hidden="1"/>
    <cellStyle name="Followed Hyperlink" xfId="890" builtinId="9" hidden="1"/>
    <cellStyle name="Followed Hyperlink" xfId="898" builtinId="9" hidden="1"/>
    <cellStyle name="Followed Hyperlink" xfId="912" builtinId="9" hidden="1"/>
    <cellStyle name="Followed Hyperlink" xfId="925" builtinId="9" hidden="1"/>
    <cellStyle name="Followed Hyperlink" xfId="940" builtinId="9" hidden="1"/>
    <cellStyle name="Followed Hyperlink" xfId="952" builtinId="9" hidden="1"/>
    <cellStyle name="Followed Hyperlink" xfId="964" builtinId="9" hidden="1"/>
    <cellStyle name="Followed Hyperlink" xfId="972" builtinId="9" hidden="1"/>
    <cellStyle name="Followed Hyperlink" xfId="987" builtinId="9" hidden="1"/>
    <cellStyle name="Followed Hyperlink" xfId="999" builtinId="9" hidden="1"/>
    <cellStyle name="Followed Hyperlink" xfId="1008" builtinId="9" hidden="1"/>
    <cellStyle name="Followed Hyperlink" xfId="1020" builtinId="9" hidden="1"/>
    <cellStyle name="Followed Hyperlink" xfId="1012" builtinId="9" hidden="1"/>
    <cellStyle name="Followed Hyperlink" xfId="976" builtinId="9" hidden="1"/>
    <cellStyle name="Followed Hyperlink" xfId="944" builtinId="9" hidden="1"/>
    <cellStyle name="Followed Hyperlink" xfId="902" builtinId="9" hidden="1"/>
    <cellStyle name="Followed Hyperlink" xfId="870" builtinId="9" hidden="1"/>
    <cellStyle name="Followed Hyperlink" xfId="838" builtinId="9" hidden="1"/>
    <cellStyle name="Followed Hyperlink" xfId="806" builtinId="9" hidden="1"/>
    <cellStyle name="Followed Hyperlink" xfId="774" builtinId="9" hidden="1"/>
    <cellStyle name="Followed Hyperlink" xfId="742" builtinId="9" hidden="1"/>
    <cellStyle name="Followed Hyperlink" xfId="520" builtinId="9" hidden="1"/>
    <cellStyle name="Followed Hyperlink" xfId="535" builtinId="9" hidden="1"/>
    <cellStyle name="Followed Hyperlink" xfId="677" builtinId="9" hidden="1"/>
    <cellStyle name="Followed Hyperlink" xfId="685" builtinId="9" hidden="1"/>
    <cellStyle name="Followed Hyperlink" xfId="697" builtinId="9" hidden="1"/>
    <cellStyle name="Followed Hyperlink" xfId="705" builtinId="9" hidden="1"/>
    <cellStyle name="Followed Hyperlink" xfId="713" builtinId="9" hidden="1"/>
    <cellStyle name="Followed Hyperlink" xfId="725" builtinId="9" hidden="1"/>
    <cellStyle name="Followed Hyperlink" xfId="721" builtinId="9" hidden="1"/>
    <cellStyle name="Followed Hyperlink" xfId="512" builtinId="9" hidden="1"/>
    <cellStyle name="Followed Hyperlink" xfId="456" builtinId="9" hidden="1"/>
    <cellStyle name="Followed Hyperlink" xfId="472" builtinId="9" hidden="1"/>
    <cellStyle name="Followed Hyperlink" xfId="488" builtinId="9" hidden="1"/>
    <cellStyle name="Followed Hyperlink" xfId="448" builtinId="9" hidden="1"/>
    <cellStyle name="Followed Hyperlink" xfId="435" builtinId="9" hidden="1"/>
    <cellStyle name="Followed Hyperlink" xfId="410" builtinId="9" hidden="1"/>
    <cellStyle name="Followed Hyperlink" xfId="406" builtinId="9" hidden="1"/>
    <cellStyle name="Followed Hyperlink" xfId="414" builtinId="9" hidden="1"/>
    <cellStyle name="Followed Hyperlink" xfId="439" builtinId="9" hidden="1"/>
    <cellStyle name="Followed Hyperlink" xfId="418" builtinId="9" hidden="1"/>
    <cellStyle name="Followed Hyperlink" xfId="496" builtinId="9" hidden="1"/>
    <cellStyle name="Followed Hyperlink" xfId="480" builtinId="9" hidden="1"/>
    <cellStyle name="Followed Hyperlink" xfId="464" builtinId="9" hidden="1"/>
    <cellStyle name="Followed Hyperlink" xfId="443" builtinId="9" hidden="1"/>
    <cellStyle name="Followed Hyperlink" xfId="689" builtinId="9" hidden="1"/>
    <cellStyle name="Followed Hyperlink" xfId="729" builtinId="9" hidden="1"/>
    <cellStyle name="Followed Hyperlink" xfId="717" builtinId="9" hidden="1"/>
    <cellStyle name="Followed Hyperlink" xfId="709" builtinId="9" hidden="1"/>
    <cellStyle name="Followed Hyperlink" xfId="701" builtinId="9" hidden="1"/>
    <cellStyle name="Followed Hyperlink" xfId="693" builtinId="9" hidden="1"/>
    <cellStyle name="Followed Hyperlink" xfId="681" builtinId="9" hidden="1"/>
    <cellStyle name="Followed Hyperlink" xfId="673" builtinId="9" hidden="1"/>
    <cellStyle name="Followed Hyperlink" xfId="528" builtinId="9" hidden="1"/>
    <cellStyle name="Followed Hyperlink" xfId="504" builtinId="9" hidden="1"/>
    <cellStyle name="Followed Hyperlink" xfId="758" builtinId="9" hidden="1"/>
    <cellStyle name="Followed Hyperlink" xfId="790" builtinId="9" hidden="1"/>
    <cellStyle name="Followed Hyperlink" xfId="822" builtinId="9" hidden="1"/>
    <cellStyle name="Followed Hyperlink" xfId="854" builtinId="9" hidden="1"/>
    <cellStyle name="Followed Hyperlink" xfId="886" builtinId="9" hidden="1"/>
    <cellStyle name="Followed Hyperlink" xfId="921" builtinId="9" hidden="1"/>
    <cellStyle name="Followed Hyperlink" xfId="960" builtinId="9" hidden="1"/>
    <cellStyle name="Followed Hyperlink" xfId="995" builtinId="9" hidden="1"/>
    <cellStyle name="Followed Hyperlink" xfId="1024" builtinId="9" hidden="1"/>
    <cellStyle name="Followed Hyperlink" xfId="1016" builtinId="9" hidden="1"/>
    <cellStyle name="Followed Hyperlink" xfId="1004" builtinId="9" hidden="1"/>
    <cellStyle name="Followed Hyperlink" xfId="991" builtinId="9" hidden="1"/>
    <cellStyle name="Followed Hyperlink" xfId="980" builtinId="9" hidden="1"/>
    <cellStyle name="Followed Hyperlink" xfId="968" builtinId="9" hidden="1"/>
    <cellStyle name="Followed Hyperlink" xfId="956" builtinId="9" hidden="1"/>
    <cellStyle name="Followed Hyperlink" xfId="948" builtinId="9" hidden="1"/>
    <cellStyle name="Followed Hyperlink" xfId="936" builtinId="9" hidden="1"/>
    <cellStyle name="Followed Hyperlink" xfId="916" builtinId="9" hidden="1"/>
    <cellStyle name="Followed Hyperlink" xfId="906" builtinId="9" hidden="1"/>
    <cellStyle name="Followed Hyperlink" xfId="894" builtinId="9" hidden="1"/>
    <cellStyle name="Followed Hyperlink" xfId="882" builtinId="9" hidden="1"/>
    <cellStyle name="Followed Hyperlink" xfId="874" builtinId="9" hidden="1"/>
    <cellStyle name="Followed Hyperlink" xfId="862" builtinId="9" hidden="1"/>
    <cellStyle name="Followed Hyperlink" xfId="850" builtinId="9" hidden="1"/>
    <cellStyle name="Followed Hyperlink" xfId="842" builtinId="9" hidden="1"/>
    <cellStyle name="Followed Hyperlink" xfId="830" builtinId="9" hidden="1"/>
    <cellStyle name="Followed Hyperlink" xfId="818" builtinId="9" hidden="1"/>
    <cellStyle name="Followed Hyperlink" xfId="810" builtinId="9" hidden="1"/>
    <cellStyle name="Followed Hyperlink" xfId="798" builtinId="9" hidden="1"/>
    <cellStyle name="Followed Hyperlink" xfId="786" builtinId="9" hidden="1"/>
    <cellStyle name="Followed Hyperlink" xfId="778" builtinId="9" hidden="1"/>
    <cellStyle name="Followed Hyperlink" xfId="766" builtinId="9" hidden="1"/>
    <cellStyle name="Followed Hyperlink" xfId="754" builtinId="9" hidden="1"/>
    <cellStyle name="Followed Hyperlink" xfId="746" builtinId="9" hidden="1"/>
    <cellStyle name="Followed Hyperlink" xfId="1028" builtinId="9" hidden="1"/>
    <cellStyle name="Followed Hyperlink" xfId="1044" builtinId="9" hidden="1"/>
    <cellStyle name="Followed Hyperlink" xfId="1060" builtinId="9" hidden="1"/>
    <cellStyle name="Followed Hyperlink" xfId="1076" builtinId="9" hidden="1"/>
    <cellStyle name="Followed Hyperlink" xfId="1098" builtinId="9" hidden="1"/>
    <cellStyle name="Followed Hyperlink" xfId="1157" builtinId="9" hidden="1"/>
    <cellStyle name="Followed Hyperlink" xfId="1173" builtinId="9" hidden="1"/>
    <cellStyle name="Followed Hyperlink" xfId="1191" builtinId="9" hidden="1"/>
    <cellStyle name="Followed Hyperlink" xfId="1207" builtinId="9" hidden="1"/>
    <cellStyle name="Followed Hyperlink" xfId="1220" builtinId="9" hidden="1"/>
    <cellStyle name="Followed Hyperlink" xfId="1204" builtinId="9" hidden="1"/>
    <cellStyle name="Followed Hyperlink" xfId="1188" builtinId="9" hidden="1"/>
    <cellStyle name="Followed Hyperlink" xfId="1170" builtinId="9" hidden="1"/>
    <cellStyle name="Followed Hyperlink" xfId="1154" builtinId="9" hidden="1"/>
    <cellStyle name="Followed Hyperlink" xfId="1095" builtinId="9" hidden="1"/>
    <cellStyle name="Followed Hyperlink" xfId="1073" builtinId="9" hidden="1"/>
    <cellStyle name="Followed Hyperlink" xfId="1057" builtinId="9" hidden="1"/>
    <cellStyle name="Followed Hyperlink" xfId="1041" builtinId="9" hidden="1"/>
    <cellStyle name="Followed Hyperlink" xfId="1025" builtinId="9" hidden="1"/>
    <cellStyle name="Followed Hyperlink" xfId="1009" builtinId="9" hidden="1"/>
    <cellStyle name="Followed Hyperlink" xfId="992" builtinId="9" hidden="1"/>
    <cellStyle name="Followed Hyperlink" xfId="973" builtinId="9" hidden="1"/>
    <cellStyle name="Followed Hyperlink" xfId="957" builtinId="9" hidden="1"/>
    <cellStyle name="Followed Hyperlink" xfId="941" builtinId="9" hidden="1"/>
    <cellStyle name="Followed Hyperlink" xfId="918" builtinId="9" hidden="1"/>
    <cellStyle name="Followed Hyperlink" xfId="899" builtinId="9" hidden="1"/>
    <cellStyle name="Followed Hyperlink" xfId="883" builtinId="9" hidden="1"/>
    <cellStyle name="Followed Hyperlink" xfId="867" builtinId="9" hidden="1"/>
    <cellStyle name="Followed Hyperlink" xfId="851" builtinId="9" hidden="1"/>
    <cellStyle name="Followed Hyperlink" xfId="835" builtinId="9" hidden="1"/>
    <cellStyle name="Followed Hyperlink" xfId="819" builtinId="9" hidden="1"/>
    <cellStyle name="Followed Hyperlink" xfId="803" builtinId="9" hidden="1"/>
    <cellStyle name="Followed Hyperlink" xfId="787" builtinId="9" hidden="1"/>
    <cellStyle name="Followed Hyperlink" xfId="771" builtinId="9" hidden="1"/>
    <cellStyle name="Followed Hyperlink" xfId="755" builtinId="9" hidden="1"/>
    <cellStyle name="Followed Hyperlink" xfId="739" builtinId="9" hidden="1"/>
    <cellStyle name="Followed Hyperlink" xfId="718" builtinId="9" hidden="1"/>
    <cellStyle name="Followed Hyperlink" xfId="702" builtinId="9" hidden="1"/>
    <cellStyle name="Followed Hyperlink" xfId="686" builtinId="9" hidden="1"/>
    <cellStyle name="Followed Hyperlink" xfId="536" builtinId="9" hidden="1"/>
    <cellStyle name="Followed Hyperlink" xfId="506" builtinId="9" hidden="1"/>
    <cellStyle name="Followed Hyperlink" xfId="474" builtinId="9" hidden="1"/>
    <cellStyle name="Followed Hyperlink" xfId="444" builtinId="9" hidden="1"/>
    <cellStyle name="Followed Hyperlink" xfId="415" builtinId="9" hidden="1"/>
    <cellStyle name="Followed Hyperlink" xfId="399" builtinId="9" hidden="1"/>
    <cellStyle name="Followed Hyperlink" xfId="383" builtinId="9" hidden="1"/>
    <cellStyle name="Followed Hyperlink" xfId="367" builtinId="9" hidden="1"/>
    <cellStyle name="Followed Hyperlink" xfId="331" builtinId="9" hidden="1"/>
    <cellStyle name="Followed Hyperlink" xfId="315" builtinId="9" hidden="1"/>
    <cellStyle name="Followed Hyperlink" xfId="299" builtinId="9" hidden="1"/>
    <cellStyle name="Followed Hyperlink" xfId="283" builtinId="9" hidden="1"/>
    <cellStyle name="Followed Hyperlink" xfId="267" builtinId="9" hidden="1"/>
    <cellStyle name="Followed Hyperlink" xfId="250" builtinId="9" hidden="1"/>
    <cellStyle name="Followed Hyperlink" xfId="234" builtinId="9" hidden="1"/>
    <cellStyle name="Followed Hyperlink" xfId="218" builtinId="9" hidden="1"/>
    <cellStyle name="Followed Hyperlink" xfId="202" builtinId="9" hidden="1"/>
    <cellStyle name="Followed Hyperlink" xfId="186" builtinId="9" hidden="1"/>
    <cellStyle name="Followed Hyperlink" xfId="79" builtinId="9" hidden="1"/>
    <cellStyle name="Followed Hyperlink" xfId="101" builtinId="9" hidden="1"/>
    <cellStyle name="Followed Hyperlink" xfId="122" builtinId="9" hidden="1"/>
    <cellStyle name="Followed Hyperlink" xfId="142" builtinId="9" hidden="1"/>
    <cellStyle name="Followed Hyperlink" xfId="153" builtinId="9" hidden="1"/>
    <cellStyle name="Followed Hyperlink" xfId="163" builtinId="9" hidden="1"/>
    <cellStyle name="Followed Hyperlink" xfId="174" builtinId="9" hidden="1"/>
    <cellStyle name="Followed Hyperlink" xfId="148" builtinId="9" hidden="1"/>
    <cellStyle name="Followed Hyperlink" xfId="91" builtinId="9" hidden="1"/>
    <cellStyle name="Followed Hyperlink" xfId="45" builtinId="9" hidden="1"/>
    <cellStyle name="Followed Hyperlink" xfId="63" builtinId="9" hidden="1"/>
    <cellStyle name="Followed Hyperlink" xfId="21" builtinId="9" hidden="1"/>
    <cellStyle name="Followed Hyperlink" xfId="13" builtinId="9" hidden="1"/>
    <cellStyle name="Followed Hyperlink" xfId="15" builtinId="9" hidden="1"/>
    <cellStyle name="Followed Hyperlink" xfId="23" builtinId="9" hidden="1"/>
    <cellStyle name="Followed Hyperlink" xfId="65" builtinId="9" hidden="1"/>
    <cellStyle name="Followed Hyperlink" xfId="47" builtinId="9" hidden="1"/>
    <cellStyle name="Followed Hyperlink" xfId="83" builtinId="9" hidden="1"/>
    <cellStyle name="Followed Hyperlink" xfId="144" builtinId="9" hidden="1"/>
    <cellStyle name="Followed Hyperlink" xfId="175" builtinId="9" hidden="1"/>
    <cellStyle name="Followed Hyperlink" xfId="165" builtinId="9" hidden="1"/>
    <cellStyle name="Followed Hyperlink" xfId="154" builtinId="9" hidden="1"/>
    <cellStyle name="Followed Hyperlink" xfId="143" builtinId="9" hidden="1"/>
    <cellStyle name="Followed Hyperlink" xfId="126" builtinId="9" hidden="1"/>
    <cellStyle name="Followed Hyperlink" xfId="103" builtinId="9" hidden="1"/>
    <cellStyle name="Followed Hyperlink" xfId="81" builtinId="9" hidden="1"/>
    <cellStyle name="Followed Hyperlink" xfId="184" builtinId="9" hidden="1"/>
    <cellStyle name="Followed Hyperlink" xfId="200" builtinId="9" hidden="1"/>
    <cellStyle name="Followed Hyperlink" xfId="216" builtinId="9" hidden="1"/>
    <cellStyle name="Followed Hyperlink" xfId="232" builtinId="9" hidden="1"/>
    <cellStyle name="Followed Hyperlink" xfId="248" builtinId="9" hidden="1"/>
    <cellStyle name="Followed Hyperlink" xfId="265" builtinId="9" hidden="1"/>
    <cellStyle name="Followed Hyperlink" xfId="281" builtinId="9" hidden="1"/>
    <cellStyle name="Followed Hyperlink" xfId="297" builtinId="9" hidden="1"/>
    <cellStyle name="Followed Hyperlink" xfId="313" builtinId="9" hidden="1"/>
    <cellStyle name="Followed Hyperlink" xfId="329" builtinId="9" hidden="1"/>
    <cellStyle name="Followed Hyperlink" xfId="365" builtinId="9" hidden="1"/>
    <cellStyle name="Followed Hyperlink" xfId="381" builtinId="9" hidden="1"/>
    <cellStyle name="Followed Hyperlink" xfId="397" builtinId="9" hidden="1"/>
    <cellStyle name="Followed Hyperlink" xfId="413" builtinId="9" hidden="1"/>
    <cellStyle name="Followed Hyperlink" xfId="442" builtinId="9" hidden="1"/>
    <cellStyle name="Followed Hyperlink" xfId="470" builtinId="9" hidden="1"/>
    <cellStyle name="Followed Hyperlink" xfId="502" builtinId="9" hidden="1"/>
    <cellStyle name="Followed Hyperlink" xfId="534" builtinId="9" hidden="1"/>
    <cellStyle name="Followed Hyperlink" xfId="684" builtinId="9" hidden="1"/>
    <cellStyle name="Followed Hyperlink" xfId="700" builtinId="9" hidden="1"/>
    <cellStyle name="Followed Hyperlink" xfId="716" builtinId="9" hidden="1"/>
    <cellStyle name="Followed Hyperlink" xfId="732" builtinId="9" hidden="1"/>
    <cellStyle name="Followed Hyperlink" xfId="753" builtinId="9" hidden="1"/>
    <cellStyle name="Followed Hyperlink" xfId="769" builtinId="9" hidden="1"/>
    <cellStyle name="Followed Hyperlink" xfId="785" builtinId="9" hidden="1"/>
    <cellStyle name="Followed Hyperlink" xfId="801" builtinId="9" hidden="1"/>
    <cellStyle name="Followed Hyperlink" xfId="817" builtinId="9" hidden="1"/>
    <cellStyle name="Followed Hyperlink" xfId="833" builtinId="9" hidden="1"/>
    <cellStyle name="Followed Hyperlink" xfId="849" builtinId="9" hidden="1"/>
    <cellStyle name="Followed Hyperlink" xfId="865" builtinId="9" hidden="1"/>
    <cellStyle name="Followed Hyperlink" xfId="881" builtinId="9" hidden="1"/>
    <cellStyle name="Followed Hyperlink" xfId="897" builtinId="9" hidden="1"/>
    <cellStyle name="Followed Hyperlink" xfId="915" builtinId="9" hidden="1"/>
    <cellStyle name="Followed Hyperlink" xfId="939" builtinId="9" hidden="1"/>
    <cellStyle name="Followed Hyperlink" xfId="955" builtinId="9" hidden="1"/>
    <cellStyle name="Followed Hyperlink" xfId="971" builtinId="9" hidden="1"/>
    <cellStyle name="Followed Hyperlink" xfId="990" builtinId="9" hidden="1"/>
    <cellStyle name="Followed Hyperlink" xfId="1007" builtinId="9" hidden="1"/>
    <cellStyle name="Followed Hyperlink" xfId="1023" builtinId="9" hidden="1"/>
    <cellStyle name="Followed Hyperlink" xfId="1039" builtinId="9" hidden="1"/>
    <cellStyle name="Followed Hyperlink" xfId="1055" builtinId="9" hidden="1"/>
    <cellStyle name="Followed Hyperlink" xfId="1071" builtinId="9" hidden="1"/>
    <cellStyle name="Followed Hyperlink" xfId="1093" builtinId="9" hidden="1"/>
    <cellStyle name="Followed Hyperlink" xfId="1152" builtinId="9" hidden="1"/>
    <cellStyle name="Followed Hyperlink" xfId="1168" builtinId="9" hidden="1"/>
    <cellStyle name="Followed Hyperlink" xfId="1186" builtinId="9" hidden="1"/>
    <cellStyle name="Followed Hyperlink" xfId="1202" builtinId="9" hidden="1"/>
    <cellStyle name="Followed Hyperlink" xfId="1218" builtinId="9" hidden="1"/>
    <cellStyle name="Followed Hyperlink" xfId="1209" builtinId="9" hidden="1"/>
    <cellStyle name="Followed Hyperlink" xfId="1193" builtinId="9" hidden="1"/>
    <cellStyle name="Followed Hyperlink" xfId="1177" builtinId="9" hidden="1"/>
    <cellStyle name="Followed Hyperlink" xfId="1159" builtinId="9" hidden="1"/>
    <cellStyle name="Followed Hyperlink" xfId="1103" builtinId="9" hidden="1"/>
    <cellStyle name="Followed Hyperlink" xfId="1078" builtinId="9" hidden="1"/>
    <cellStyle name="Followed Hyperlink" xfId="1062" builtinId="9" hidden="1"/>
    <cellStyle name="Followed Hyperlink" xfId="1046" builtinId="9" hidden="1"/>
    <cellStyle name="Followed Hyperlink" xfId="1030" builtinId="9" hidden="1"/>
    <cellStyle name="Followed Hyperlink" xfId="1014" builtinId="9" hidden="1"/>
    <cellStyle name="Followed Hyperlink" xfId="997" builtinId="9" hidden="1"/>
    <cellStyle name="Followed Hyperlink" xfId="978" builtinId="9" hidden="1"/>
    <cellStyle name="Followed Hyperlink" xfId="962" builtinId="9" hidden="1"/>
    <cellStyle name="Followed Hyperlink" xfId="946" builtinId="9" hidden="1"/>
    <cellStyle name="Followed Hyperlink" xfId="923" builtinId="9" hidden="1"/>
    <cellStyle name="Followed Hyperlink" xfId="904" builtinId="9" hidden="1"/>
    <cellStyle name="Followed Hyperlink" xfId="888" builtinId="9" hidden="1"/>
    <cellStyle name="Followed Hyperlink" xfId="872" builtinId="9" hidden="1"/>
    <cellStyle name="Followed Hyperlink" xfId="856" builtinId="9" hidden="1"/>
    <cellStyle name="Followed Hyperlink" xfId="840" builtinId="9" hidden="1"/>
    <cellStyle name="Followed Hyperlink" xfId="824" builtinId="9" hidden="1"/>
    <cellStyle name="Followed Hyperlink" xfId="808" builtinId="9" hidden="1"/>
    <cellStyle name="Followed Hyperlink" xfId="792" builtinId="9" hidden="1"/>
    <cellStyle name="Followed Hyperlink" xfId="776" builtinId="9" hidden="1"/>
    <cellStyle name="Followed Hyperlink" xfId="760" builtinId="9" hidden="1"/>
    <cellStyle name="Followed Hyperlink" xfId="744" builtinId="9" hidden="1"/>
    <cellStyle name="Followed Hyperlink" xfId="723" builtinId="9" hidden="1"/>
    <cellStyle name="Followed Hyperlink" xfId="707" builtinId="9" hidden="1"/>
    <cellStyle name="Followed Hyperlink" xfId="691" builtinId="9" hidden="1"/>
    <cellStyle name="Followed Hyperlink" xfId="675" builtinId="9" hidden="1"/>
    <cellStyle name="Followed Hyperlink" xfId="516" builtinId="9" hidden="1"/>
    <cellStyle name="Followed Hyperlink" xfId="484" builtinId="9" hidden="1"/>
    <cellStyle name="Followed Hyperlink" xfId="452" builtinId="9" hidden="1"/>
    <cellStyle name="Followed Hyperlink" xfId="433" builtinId="9" hidden="1"/>
    <cellStyle name="Followed Hyperlink" xfId="404" builtinId="9" hidden="1"/>
    <cellStyle name="Followed Hyperlink" xfId="253" builtinId="9" hidden="1"/>
    <cellStyle name="Followed Hyperlink" xfId="266" builtinId="9" hidden="1"/>
    <cellStyle name="Followed Hyperlink" xfId="276" builtinId="9" hidden="1"/>
    <cellStyle name="Followed Hyperlink" xfId="286" builtinId="9" hidden="1"/>
    <cellStyle name="Followed Hyperlink" xfId="298" builtinId="9" hidden="1"/>
    <cellStyle name="Followed Hyperlink" xfId="308" builtinId="9" hidden="1"/>
    <cellStyle name="Followed Hyperlink" xfId="318" builtinId="9" hidden="1"/>
    <cellStyle name="Followed Hyperlink" xfId="330" builtinId="9" hidden="1"/>
    <cellStyle name="Followed Hyperlink" xfId="340" builtinId="9" hidden="1"/>
    <cellStyle name="Followed Hyperlink" xfId="370" builtinId="9" hidden="1"/>
    <cellStyle name="Followed Hyperlink" xfId="382" builtinId="9" hidden="1"/>
    <cellStyle name="Followed Hyperlink" xfId="392" builtinId="9" hidden="1"/>
    <cellStyle name="Followed Hyperlink" xfId="402" builtinId="9" hidden="1"/>
    <cellStyle name="Followed Hyperlink" xfId="372" builtinId="9" hidden="1"/>
    <cellStyle name="Followed Hyperlink" xfId="320" builtinId="9" hidden="1"/>
    <cellStyle name="Followed Hyperlink" xfId="288" builtinId="9" hidden="1"/>
    <cellStyle name="Followed Hyperlink" xfId="255" builtinId="9" hidden="1"/>
    <cellStyle name="Followed Hyperlink" xfId="211" builtinId="9" hidden="1"/>
    <cellStyle name="Followed Hyperlink" xfId="219" builtinId="9" hidden="1"/>
    <cellStyle name="Followed Hyperlink" xfId="229" builtinId="9" hidden="1"/>
    <cellStyle name="Followed Hyperlink" xfId="237" builtinId="9" hidden="1"/>
    <cellStyle name="Followed Hyperlink" xfId="223" builtinId="9" hidden="1"/>
    <cellStyle name="Followed Hyperlink" xfId="195" builtinId="9" hidden="1"/>
    <cellStyle name="Followed Hyperlink" xfId="203" builtinId="9" hidden="1"/>
    <cellStyle name="Followed Hyperlink" xfId="187" builtinId="9" hidden="1"/>
    <cellStyle name="Followed Hyperlink" xfId="177" builtinId="9" hidden="1"/>
    <cellStyle name="Followed Hyperlink" xfId="185" builtinId="9" hidden="1"/>
    <cellStyle name="Followed Hyperlink" xfId="201" builtinId="9" hidden="1"/>
    <cellStyle name="Followed Hyperlink" xfId="193" builtinId="9" hidden="1"/>
    <cellStyle name="Followed Hyperlink" xfId="239" builtinId="9" hidden="1"/>
    <cellStyle name="Followed Hyperlink" xfId="235" builtinId="9" hidden="1"/>
    <cellStyle name="Followed Hyperlink" xfId="227" builtinId="9" hidden="1"/>
    <cellStyle name="Followed Hyperlink" xfId="217" builtinId="9" hidden="1"/>
    <cellStyle name="Followed Hyperlink" xfId="209" builtinId="9" hidden="1"/>
    <cellStyle name="Followed Hyperlink" xfId="264" builtinId="9" hidden="1"/>
    <cellStyle name="Followed Hyperlink" xfId="296" builtinId="9" hidden="1"/>
    <cellStyle name="Followed Hyperlink" xfId="328" builtinId="9" hidden="1"/>
    <cellStyle name="Followed Hyperlink" xfId="380" builtinId="9" hidden="1"/>
    <cellStyle name="Followed Hyperlink" xfId="400" builtinId="9" hidden="1"/>
    <cellStyle name="Followed Hyperlink" xfId="390" builtinId="9" hidden="1"/>
    <cellStyle name="Followed Hyperlink" xfId="378" builtinId="9" hidden="1"/>
    <cellStyle name="Followed Hyperlink" xfId="368" builtinId="9" hidden="1"/>
    <cellStyle name="Followed Hyperlink" xfId="338" builtinId="9" hidden="1"/>
    <cellStyle name="Followed Hyperlink" xfId="326" builtinId="9" hidden="1"/>
    <cellStyle name="Followed Hyperlink" xfId="316" builtinId="9" hidden="1"/>
    <cellStyle name="Followed Hyperlink" xfId="306" builtinId="9" hidden="1"/>
    <cellStyle name="Followed Hyperlink" xfId="294" builtinId="9" hidden="1"/>
    <cellStyle name="Followed Hyperlink" xfId="284" builtinId="9" hidden="1"/>
    <cellStyle name="Followed Hyperlink" xfId="274" builtinId="9" hidden="1"/>
    <cellStyle name="Followed Hyperlink" xfId="261" builtinId="9" hidden="1"/>
    <cellStyle name="Followed Hyperlink" xfId="251" builtinId="9" hidden="1"/>
    <cellStyle name="Followed Hyperlink" xfId="408" builtinId="9" hidden="1"/>
    <cellStyle name="Followed Hyperlink" xfId="437" builtinId="9" hidden="1"/>
    <cellStyle name="Followed Hyperlink" xfId="460" builtinId="9" hidden="1"/>
    <cellStyle name="Followed Hyperlink" xfId="492" builtinId="9" hidden="1"/>
    <cellStyle name="Followed Hyperlink" xfId="524" builtinId="9" hidden="1"/>
    <cellStyle name="Followed Hyperlink" xfId="679" builtinId="9" hidden="1"/>
    <cellStyle name="Followed Hyperlink" xfId="695" builtinId="9" hidden="1"/>
    <cellStyle name="Followed Hyperlink" xfId="711" builtinId="9" hidden="1"/>
    <cellStyle name="Followed Hyperlink" xfId="727" builtinId="9" hidden="1"/>
    <cellStyle name="Followed Hyperlink" xfId="748" builtinId="9" hidden="1"/>
    <cellStyle name="Followed Hyperlink" xfId="764" builtinId="9" hidden="1"/>
    <cellStyle name="Followed Hyperlink" xfId="780" builtinId="9" hidden="1"/>
    <cellStyle name="Followed Hyperlink" xfId="796" builtinId="9" hidden="1"/>
    <cellStyle name="Followed Hyperlink" xfId="812" builtinId="9" hidden="1"/>
    <cellStyle name="Followed Hyperlink" xfId="828" builtinId="9" hidden="1"/>
    <cellStyle name="Followed Hyperlink" xfId="844" builtinId="9" hidden="1"/>
    <cellStyle name="Followed Hyperlink" xfId="860" builtinId="9" hidden="1"/>
    <cellStyle name="Followed Hyperlink" xfId="876" builtinId="9" hidden="1"/>
    <cellStyle name="Followed Hyperlink" xfId="892" builtinId="9" hidden="1"/>
    <cellStyle name="Followed Hyperlink" xfId="910" builtinId="9" hidden="1"/>
    <cellStyle name="Followed Hyperlink" xfId="927" builtinId="9" hidden="1"/>
    <cellStyle name="Followed Hyperlink" xfId="950" builtinId="9" hidden="1"/>
    <cellStyle name="Followed Hyperlink" xfId="966" builtinId="9" hidden="1"/>
    <cellStyle name="Followed Hyperlink" xfId="985" builtinId="9" hidden="1"/>
    <cellStyle name="Followed Hyperlink" xfId="1002" builtinId="9" hidden="1"/>
    <cellStyle name="Followed Hyperlink" xfId="1018" builtinId="9" hidden="1"/>
    <cellStyle name="Followed Hyperlink" xfId="1034" builtinId="9" hidden="1"/>
    <cellStyle name="Followed Hyperlink" xfId="1050" builtinId="9" hidden="1"/>
    <cellStyle name="Followed Hyperlink" xfId="1066" builtinId="9" hidden="1"/>
    <cellStyle name="Followed Hyperlink" xfId="1088" builtinId="9" hidden="1"/>
    <cellStyle name="Followed Hyperlink" xfId="1111" builtinId="9" hidden="1"/>
    <cellStyle name="Followed Hyperlink" xfId="1163" builtinId="9" hidden="1"/>
    <cellStyle name="Followed Hyperlink" xfId="1181" builtinId="9" hidden="1"/>
    <cellStyle name="Followed Hyperlink" xfId="1197" builtinId="9" hidden="1"/>
    <cellStyle name="Followed Hyperlink" xfId="1213" builtinId="9" hidden="1"/>
    <cellStyle name="Followed Hyperlink" xfId="1214" builtinId="9" hidden="1"/>
    <cellStyle name="Followed Hyperlink" xfId="1198" builtinId="9" hidden="1"/>
    <cellStyle name="Followed Hyperlink" xfId="1182" builtinId="9" hidden="1"/>
    <cellStyle name="Followed Hyperlink" xfId="1164" builtinId="9" hidden="1"/>
    <cellStyle name="Followed Hyperlink" xfId="1112" builtinId="9" hidden="1"/>
    <cellStyle name="Followed Hyperlink" xfId="1089" builtinId="9" hidden="1"/>
    <cellStyle name="Followed Hyperlink" xfId="1067" builtinId="9" hidden="1"/>
    <cellStyle name="Followed Hyperlink" xfId="1051" builtinId="9" hidden="1"/>
    <cellStyle name="Followed Hyperlink" xfId="1035" builtinId="9" hidden="1"/>
    <cellStyle name="Followed Hyperlink" xfId="1019" builtinId="9" hidden="1"/>
    <cellStyle name="Followed Hyperlink" xfId="1003" builtinId="9" hidden="1"/>
    <cellStyle name="Followed Hyperlink" xfId="986" builtinId="9" hidden="1"/>
    <cellStyle name="Followed Hyperlink" xfId="967" builtinId="9" hidden="1"/>
    <cellStyle name="Followed Hyperlink" xfId="951" builtinId="9" hidden="1"/>
    <cellStyle name="Followed Hyperlink" xfId="935" builtinId="9" hidden="1"/>
    <cellStyle name="Followed Hyperlink" xfId="911" builtinId="9" hidden="1"/>
    <cellStyle name="Followed Hyperlink" xfId="893" builtinId="9" hidden="1"/>
    <cellStyle name="Followed Hyperlink" xfId="877" builtinId="9" hidden="1"/>
    <cellStyle name="Followed Hyperlink" xfId="861" builtinId="9" hidden="1"/>
    <cellStyle name="Followed Hyperlink" xfId="845" builtinId="9" hidden="1"/>
    <cellStyle name="Followed Hyperlink" xfId="829" builtinId="9" hidden="1"/>
    <cellStyle name="Followed Hyperlink" xfId="813" builtinId="9" hidden="1"/>
    <cellStyle name="Followed Hyperlink" xfId="797" builtinId="9" hidden="1"/>
    <cellStyle name="Followed Hyperlink" xfId="781" builtinId="9" hidden="1"/>
    <cellStyle name="Followed Hyperlink" xfId="765" builtinId="9" hidden="1"/>
    <cellStyle name="Followed Hyperlink" xfId="749" builtinId="9" hidden="1"/>
    <cellStyle name="Followed Hyperlink" xfId="728" builtinId="9" hidden="1"/>
    <cellStyle name="Followed Hyperlink" xfId="712" builtinId="9" hidden="1"/>
    <cellStyle name="Followed Hyperlink" xfId="696" builtinId="9" hidden="1"/>
    <cellStyle name="Followed Hyperlink" xfId="680" builtinId="9" hidden="1"/>
    <cellStyle name="Followed Hyperlink" xfId="526" builtinId="9" hidden="1"/>
    <cellStyle name="Followed Hyperlink" xfId="494" builtinId="9" hidden="1"/>
    <cellStyle name="Followed Hyperlink" xfId="462" builtinId="9" hidden="1"/>
    <cellStyle name="Followed Hyperlink" xfId="438" builtinId="9" hidden="1"/>
    <cellStyle name="Followed Hyperlink" xfId="409" builtinId="9" hidden="1"/>
    <cellStyle name="Followed Hyperlink" xfId="393" builtinId="9" hidden="1"/>
    <cellStyle name="Followed Hyperlink" xfId="377" builtinId="9" hidden="1"/>
    <cellStyle name="Followed Hyperlink" xfId="361" builtinId="9" hidden="1"/>
    <cellStyle name="Followed Hyperlink" xfId="325" builtinId="9" hidden="1"/>
    <cellStyle name="Followed Hyperlink" xfId="309" builtinId="9" hidden="1"/>
    <cellStyle name="Followed Hyperlink" xfId="293" builtinId="9" hidden="1"/>
    <cellStyle name="Followed Hyperlink" xfId="277" builtinId="9" hidden="1"/>
    <cellStyle name="Followed Hyperlink" xfId="260" builtinId="9" hidden="1"/>
    <cellStyle name="Followed Hyperlink" xfId="244" builtinId="9" hidden="1"/>
    <cellStyle name="Followed Hyperlink" xfId="228" builtinId="9" hidden="1"/>
    <cellStyle name="Followed Hyperlink" xfId="212" builtinId="9" hidden="1"/>
    <cellStyle name="Followed Hyperlink" xfId="196" builtinId="9" hidden="1"/>
    <cellStyle name="Followed Hyperlink" xfId="180" builtinId="9" hidden="1"/>
    <cellStyle name="Followed Hyperlink" xfId="87" builtinId="9" hidden="1"/>
    <cellStyle name="Followed Hyperlink" xfId="109" builtinId="9" hidden="1"/>
    <cellStyle name="Followed Hyperlink" xfId="130" builtinId="9" hidden="1"/>
    <cellStyle name="Followed Hyperlink" xfId="146" builtinId="9" hidden="1"/>
    <cellStyle name="Followed Hyperlink" xfId="157" builtinId="9" hidden="1"/>
    <cellStyle name="Followed Hyperlink" xfId="167" builtinId="9" hidden="1"/>
    <cellStyle name="Followed Hyperlink" xfId="168" builtinId="9" hidden="1"/>
    <cellStyle name="Followed Hyperlink" xfId="132" builtinId="9" hidden="1"/>
    <cellStyle name="Followed Hyperlink" xfId="33" builtinId="9" hidden="1"/>
    <cellStyle name="Followed Hyperlink" xfId="53" builtinId="9" hidden="1"/>
    <cellStyle name="Followed Hyperlink" xfId="71" builtinId="9" hidden="1"/>
    <cellStyle name="Followed Hyperlink" xfId="27" builtinId="9" hidden="1"/>
    <cellStyle name="Followed Hyperlink" xfId="9" builtinId="9" hidden="1"/>
    <cellStyle name="Followed Hyperlink" xfId="19" builtinId="9" hidden="1"/>
    <cellStyle name="Followed Hyperlink" xfId="35" builtinId="9" hidden="1"/>
    <cellStyle name="Followed Hyperlink" xfId="59" builtinId="9" hidden="1"/>
    <cellStyle name="Followed Hyperlink" xfId="41" builtinId="9" hidden="1"/>
    <cellStyle name="Followed Hyperlink" xfId="107" builtinId="9" hidden="1"/>
    <cellStyle name="Followed Hyperlink" xfId="156" builtinId="9" hidden="1"/>
    <cellStyle name="Followed Hyperlink" xfId="171" builtinId="9" hidden="1"/>
    <cellStyle name="Followed Hyperlink" xfId="161" builtinId="9" hidden="1"/>
    <cellStyle name="Followed Hyperlink" xfId="150" builtinId="9" hidden="1"/>
    <cellStyle name="Followed Hyperlink" xfId="138" builtinId="9" hidden="1"/>
    <cellStyle name="Followed Hyperlink" xfId="118" builtinId="9" hidden="1"/>
    <cellStyle name="Followed Hyperlink" xfId="95" builtinId="9" hidden="1"/>
    <cellStyle name="Followed Hyperlink" xfId="73" builtinId="9" hidden="1"/>
    <cellStyle name="Followed Hyperlink" xfId="190" builtinId="9" hidden="1"/>
    <cellStyle name="Followed Hyperlink" xfId="206" builtinId="9" hidden="1"/>
    <cellStyle name="Followed Hyperlink" xfId="222" builtinId="9" hidden="1"/>
    <cellStyle name="Followed Hyperlink" xfId="238" builtinId="9" hidden="1"/>
    <cellStyle name="Followed Hyperlink" xfId="254" builtinId="9" hidden="1"/>
    <cellStyle name="Followed Hyperlink" xfId="1037" builtinId="9" hidden="1"/>
    <cellStyle name="Followed Hyperlink" xfId="1021" builtinId="9" hidden="1"/>
    <cellStyle name="Followed Hyperlink" xfId="1013" builtinId="9" hidden="1"/>
    <cellStyle name="Followed Hyperlink" xfId="1005" builtinId="9" hidden="1"/>
    <cellStyle name="Followed Hyperlink" xfId="988" builtinId="9" hidden="1"/>
    <cellStyle name="Followed Hyperlink" xfId="977" builtinId="9" hidden="1"/>
    <cellStyle name="Followed Hyperlink" xfId="969" builtinId="9" hidden="1"/>
    <cellStyle name="Followed Hyperlink" xfId="953" builtinId="9" hidden="1"/>
    <cellStyle name="Followed Hyperlink" xfId="945" builtinId="9" hidden="1"/>
    <cellStyle name="Followed Hyperlink" xfId="937" builtinId="9" hidden="1"/>
    <cellStyle name="Followed Hyperlink" xfId="913" builtinId="9" hidden="1"/>
    <cellStyle name="Followed Hyperlink" xfId="903" builtinId="9" hidden="1"/>
    <cellStyle name="Followed Hyperlink" xfId="895" builtinId="9" hidden="1"/>
    <cellStyle name="Followed Hyperlink" xfId="879" builtinId="9" hidden="1"/>
    <cellStyle name="Followed Hyperlink" xfId="871" builtinId="9" hidden="1"/>
    <cellStyle name="Followed Hyperlink" xfId="863" builtinId="9" hidden="1"/>
    <cellStyle name="Followed Hyperlink" xfId="847" builtinId="9" hidden="1"/>
    <cellStyle name="Followed Hyperlink" xfId="839" builtinId="9" hidden="1"/>
    <cellStyle name="Followed Hyperlink" xfId="831" builtinId="9" hidden="1"/>
    <cellStyle name="Followed Hyperlink" xfId="815" builtinId="9" hidden="1"/>
    <cellStyle name="Followed Hyperlink" xfId="807" builtinId="9" hidden="1"/>
    <cellStyle name="Followed Hyperlink" xfId="799" builtinId="9" hidden="1"/>
    <cellStyle name="Followed Hyperlink" xfId="783" builtinId="9" hidden="1"/>
    <cellStyle name="Followed Hyperlink" xfId="775" builtinId="9" hidden="1"/>
    <cellStyle name="Followed Hyperlink" xfId="767" builtinId="9" hidden="1"/>
    <cellStyle name="Followed Hyperlink" xfId="751" builtinId="9" hidden="1"/>
    <cellStyle name="Followed Hyperlink" xfId="743" builtinId="9" hidden="1"/>
    <cellStyle name="Followed Hyperlink" xfId="730" builtinId="9" hidden="1"/>
    <cellStyle name="Followed Hyperlink" xfId="714" builtinId="9" hidden="1"/>
    <cellStyle name="Followed Hyperlink" xfId="706" builtinId="9" hidden="1"/>
    <cellStyle name="Followed Hyperlink" xfId="698" builtinId="9" hidden="1"/>
    <cellStyle name="Followed Hyperlink" xfId="682" builtinId="9" hidden="1"/>
    <cellStyle name="Followed Hyperlink" xfId="674" builtinId="9" hidden="1"/>
    <cellStyle name="Followed Hyperlink" xfId="530" builtinId="9" hidden="1"/>
    <cellStyle name="Followed Hyperlink" xfId="498" builtinId="9" hidden="1"/>
    <cellStyle name="Followed Hyperlink" xfId="482" builtinId="9" hidden="1"/>
    <cellStyle name="Followed Hyperlink" xfId="466" builtinId="9" hidden="1"/>
    <cellStyle name="Followed Hyperlink" xfId="440" builtinId="9" hidden="1"/>
    <cellStyle name="Followed Hyperlink" xfId="432" builtinId="9" hidden="1"/>
    <cellStyle name="Followed Hyperlink" xfId="411" builtinId="9" hidden="1"/>
    <cellStyle name="Followed Hyperlink" xfId="395" builtinId="9" hidden="1"/>
    <cellStyle name="Followed Hyperlink" xfId="387" builtinId="9" hidden="1"/>
    <cellStyle name="Followed Hyperlink" xfId="379" builtinId="9" hidden="1"/>
    <cellStyle name="Followed Hyperlink" xfId="363" builtinId="9" hidden="1"/>
    <cellStyle name="Followed Hyperlink" xfId="335" builtinId="9" hidden="1"/>
    <cellStyle name="Followed Hyperlink" xfId="327" builtinId="9" hidden="1"/>
    <cellStyle name="Followed Hyperlink" xfId="311" builtinId="9" hidden="1"/>
    <cellStyle name="Followed Hyperlink" xfId="303" builtinId="9" hidden="1"/>
    <cellStyle name="Followed Hyperlink" xfId="295" builtinId="9" hidden="1"/>
    <cellStyle name="Followed Hyperlink" xfId="279" builtinId="9" hidden="1"/>
    <cellStyle name="Followed Hyperlink" xfId="271" builtinId="9" hidden="1"/>
    <cellStyle name="Followed Hyperlink" xfId="262" builtinId="9" hidden="1"/>
    <cellStyle name="Followed Hyperlink" xfId="287" builtinId="9" hidden="1"/>
    <cellStyle name="Followed Hyperlink" xfId="319" builtinId="9" hidden="1"/>
    <cellStyle name="Followed Hyperlink" xfId="371" builtinId="9" hidden="1"/>
    <cellStyle name="Followed Hyperlink" xfId="403" builtinId="9" hidden="1"/>
    <cellStyle name="Followed Hyperlink" xfId="450" builtinId="9" hidden="1"/>
    <cellStyle name="Followed Hyperlink" xfId="514" builtinId="9" hidden="1"/>
    <cellStyle name="Followed Hyperlink" xfId="690" builtinId="9" hidden="1"/>
    <cellStyle name="Followed Hyperlink" xfId="722" builtinId="9" hidden="1"/>
    <cellStyle name="Followed Hyperlink" xfId="759" builtinId="9" hidden="1"/>
    <cellStyle name="Followed Hyperlink" xfId="791" builtinId="9" hidden="1"/>
    <cellStyle name="Followed Hyperlink" xfId="823" builtinId="9" hidden="1"/>
    <cellStyle name="Followed Hyperlink" xfId="855" builtinId="9" hidden="1"/>
    <cellStyle name="Followed Hyperlink" xfId="887" builtinId="9" hidden="1"/>
    <cellStyle name="Followed Hyperlink" xfId="922" builtinId="9" hidden="1"/>
    <cellStyle name="Followed Hyperlink" xfId="961" builtinId="9" hidden="1"/>
    <cellStyle name="Followed Hyperlink" xfId="996" builtinId="9" hidden="1"/>
    <cellStyle name="Followed Hyperlink" xfId="1029" builtinId="9" hidden="1"/>
    <cellStyle name="Followed Hyperlink" xfId="1195" builtinId="9" hidden="1"/>
    <cellStyle name="Followed Hyperlink" xfId="1211" builtinId="9" hidden="1"/>
    <cellStyle name="Followed Hyperlink" xfId="1219" builtinId="9" hidden="1"/>
    <cellStyle name="Followed Hyperlink" xfId="1216" builtinId="9" hidden="1"/>
    <cellStyle name="Followed Hyperlink" xfId="1208" builtinId="9" hidden="1"/>
    <cellStyle name="Followed Hyperlink" xfId="1200" builtinId="9" hidden="1"/>
    <cellStyle name="Followed Hyperlink" xfId="1192" builtinId="9" hidden="1"/>
    <cellStyle name="Followed Hyperlink" xfId="1184" builtinId="9" hidden="1"/>
    <cellStyle name="Followed Hyperlink" xfId="1166" builtinId="9" hidden="1"/>
    <cellStyle name="Followed Hyperlink" xfId="1158" builtinId="9" hidden="1"/>
    <cellStyle name="Followed Hyperlink" xfId="1114" builtinId="9" hidden="1"/>
    <cellStyle name="Followed Hyperlink" xfId="1102" builtinId="9" hidden="1"/>
    <cellStyle name="Followed Hyperlink" xfId="1091" builtinId="9" hidden="1"/>
    <cellStyle name="Followed Hyperlink" xfId="1077" builtinId="9" hidden="1"/>
    <cellStyle name="Followed Hyperlink" xfId="1069" builtinId="9" hidden="1"/>
    <cellStyle name="Followed Hyperlink" xfId="1053" builtinId="9" hidden="1"/>
    <cellStyle name="Followed Hyperlink" xfId="1045" builtinId="9" hidden="1"/>
    <cellStyle name="Followed Hyperlink" xfId="1061" builtinId="9" hidden="1"/>
    <cellStyle name="Followed Hyperlink" xfId="1176" builtinId="9" hidden="1"/>
    <cellStyle name="Followed Hyperlink" xfId="1203" builtinId="9" hidden="1"/>
    <cellStyle name="Followed Hyperlink" xfId="1086" builtinId="9" hidden="1"/>
    <cellStyle name="Followed Hyperlink" xfId="1109" builtinId="9" hidden="1"/>
    <cellStyle name="Followed Hyperlink" xfId="1153" builtinId="9" hidden="1"/>
    <cellStyle name="Followed Hyperlink" xfId="1161" builtinId="9" hidden="1"/>
    <cellStyle name="Followed Hyperlink" xfId="1169" builtinId="9" hidden="1"/>
    <cellStyle name="Followed Hyperlink" xfId="1179" builtinId="9" hidden="1"/>
    <cellStyle name="Followed Hyperlink" xfId="1187" builtinId="9" hidden="1"/>
    <cellStyle name="Followed Hyperlink" xfId="1094" builtinId="9" hidden="1"/>
    <cellStyle name="Followed Hyperlink" xfId="1056" builtinId="9" hidden="1"/>
    <cellStyle name="Followed Hyperlink" xfId="1064" builtinId="9" hidden="1"/>
    <cellStyle name="Followed Hyperlink" xfId="1072" builtinId="9" hidden="1"/>
    <cellStyle name="Followed Hyperlink" xfId="1040" builtinId="9" hidden="1"/>
    <cellStyle name="Followed Hyperlink" xfId="1048" builtinId="9" hidden="1"/>
    <cellStyle name="Followed Hyperlink" xfId="1032" builtinId="9" hidden="1"/>
    <cellStyle name="Good 2" xfId="582" xr:uid="{00000000-0005-0000-0000-0000AA030000}"/>
    <cellStyle name="Heading 1 2" xfId="583" xr:uid="{00000000-0005-0000-0000-0000AB030000}"/>
    <cellStyle name="Heading 2 2" xfId="584" xr:uid="{00000000-0005-0000-0000-0000AC030000}"/>
    <cellStyle name="Heading 3 2" xfId="585" xr:uid="{00000000-0005-0000-0000-0000AD030000}"/>
    <cellStyle name="Heading 4 2" xfId="586" xr:uid="{00000000-0005-0000-0000-0000AE030000}"/>
    <cellStyle name="Hyperlink" xfId="519" builtinId="8" hidden="1"/>
    <cellStyle name="Hyperlink" xfId="521" builtinId="8" hidden="1"/>
    <cellStyle name="Hyperlink" xfId="525" builtinId="8" hidden="1"/>
    <cellStyle name="Hyperlink" xfId="527" builtinId="8" hidden="1"/>
    <cellStyle name="Hyperlink" xfId="529" builtinId="8" hidden="1"/>
    <cellStyle name="Hyperlink" xfId="533" builtinId="8" hidden="1"/>
    <cellStyle name="Hyperlink" xfId="523" builtinId="8" hidden="1"/>
    <cellStyle name="Hyperlink" xfId="491"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8"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4" builtinId="8" hidden="1"/>
    <cellStyle name="Hyperlink" xfId="58" builtinId="8" hidden="1"/>
    <cellStyle name="Hyperlink" xfId="60" builtinId="8" hidden="1"/>
    <cellStyle name="Hyperlink" xfId="62" builtinId="8" hidden="1"/>
    <cellStyle name="Hyperlink" xfId="64" builtinId="8" hidden="1"/>
    <cellStyle name="Hyperlink" xfId="18" builtinId="8" hidden="1"/>
    <cellStyle name="Hyperlink" xfId="20" builtinId="8" hidden="1"/>
    <cellStyle name="Hyperlink" xfId="121"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86" builtinId="8" hidden="1"/>
    <cellStyle name="Hyperlink" xfId="34" builtinId="8" hidden="1"/>
    <cellStyle name="Hyperlink" xfId="112" builtinId="8" hidden="1"/>
    <cellStyle name="Hyperlink" xfId="117" builtinId="8" hidden="1"/>
    <cellStyle name="Hyperlink" xfId="119" builtinId="8" hidden="1"/>
    <cellStyle name="Hyperlink" xfId="108" builtinId="8" hidden="1"/>
    <cellStyle name="Hyperlink" xfId="110" builtinId="8" hidden="1"/>
    <cellStyle name="Hyperlink" xfId="106" builtinId="8" hidden="1"/>
    <cellStyle name="Hyperlink" xfId="115" builtinId="8" hidden="1"/>
    <cellStyle name="Hyperlink" xfId="56" builtinId="8" hidden="1"/>
    <cellStyle name="Hyperlink" xfId="459"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49" builtinId="8" hidden="1"/>
    <cellStyle name="Hyperlink" xfId="453" builtinId="8" hidden="1"/>
    <cellStyle name="Hyperlink" xfId="455" builtinId="8" hidden="1"/>
    <cellStyle name="Hyperlink" xfId="137" builtinId="8" hidden="1"/>
    <cellStyle name="Hyperlink" xfId="135" builtinId="8" hidden="1"/>
    <cellStyle name="Hyperlink" xfId="451" builtinId="8" hidden="1"/>
    <cellStyle name="Hyperlink" xfId="495" builtinId="8" hidden="1"/>
    <cellStyle name="Hyperlink" xfId="94"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10" builtinId="8" hidden="1"/>
    <cellStyle name="Hyperlink" xfId="14" builtinId="8" hidden="1"/>
    <cellStyle name="Hyperlink" xfId="16" builtinId="8" hidden="1"/>
    <cellStyle name="Hyperlink" xfId="6" builtinId="8" hidden="1"/>
    <cellStyle name="Hyperlink" xfId="4" builtinId="8" hidden="1"/>
    <cellStyle name="Hyperlink" xfId="12" builtinId="8" hidden="1"/>
    <cellStyle name="Hyperlink" xfId="52" builtinId="8" hidden="1"/>
    <cellStyle name="Hyperlink" xfId="123"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447"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3"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457" builtinId="8" hidden="1"/>
    <cellStyle name="Hyperlink" xfId="461"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531" builtinId="8" hidden="1"/>
    <cellStyle name="Hyperlink" xfId="475" builtinId="8" hidden="1"/>
    <cellStyle name="Hyperlink" xfId="82" builtinId="8" hidden="1"/>
    <cellStyle name="Hyperlink" xfId="84" builtinId="8" hidden="1"/>
    <cellStyle name="Hyperlink" xfId="88" builtinId="8" hidden="1"/>
    <cellStyle name="Hyperlink" xfId="90" builtinId="8" hidden="1"/>
    <cellStyle name="Hyperlink" xfId="78" builtinId="8" hidden="1"/>
    <cellStyle name="Hyperlink" xfId="80" builtinId="8" hidden="1"/>
    <cellStyle name="Hyperlink" xfId="76" builtinId="8" hidden="1"/>
    <cellStyle name="Hyperlink 2" xfId="424" xr:uid="{00000000-0005-0000-0000-0000AF030000}"/>
    <cellStyle name="Input 2" xfId="587" xr:uid="{00000000-0005-0000-0000-0000B0030000}"/>
    <cellStyle name="Lien hypertexte 2" xfId="588" xr:uid="{00000000-0005-0000-0000-0000B2030000}"/>
    <cellStyle name="Linked Cell 2" xfId="589" xr:uid="{00000000-0005-0000-0000-000022040000}"/>
    <cellStyle name="Monétaire0" xfId="347" xr:uid="{00000000-0005-0000-0000-000023040000}"/>
    <cellStyle name="Monétaire0 2" xfId="425" xr:uid="{00000000-0005-0000-0000-000024040000}"/>
    <cellStyle name="Neutral 2" xfId="590" xr:uid="{00000000-0005-0000-0000-000025040000}"/>
    <cellStyle name="Normal" xfId="0" builtinId="0"/>
    <cellStyle name="Normal 10" xfId="591" xr:uid="{00000000-0005-0000-0000-000027040000}"/>
    <cellStyle name="Normal 10 2" xfId="930" xr:uid="{00000000-0005-0000-0000-000028040000}"/>
    <cellStyle name="Normal 10 3" xfId="1116" xr:uid="{00000000-0005-0000-0000-000029040000}"/>
    <cellStyle name="Normal 11" xfId="2" xr:uid="{00000000-0005-0000-0000-00002A040000}"/>
    <cellStyle name="Normal 11 2" xfId="592" xr:uid="{00000000-0005-0000-0000-00002B040000}"/>
    <cellStyle name="Normal 12" xfId="114" xr:uid="{00000000-0005-0000-0000-00002C040000}"/>
    <cellStyle name="Normal 12 2" xfId="593" xr:uid="{00000000-0005-0000-0000-00002D040000}"/>
    <cellStyle name="Normal 12 2 2" xfId="1130" xr:uid="{00000000-0005-0000-0000-00002E040000}"/>
    <cellStyle name="Normal 12 3" xfId="1083" xr:uid="{00000000-0005-0000-0000-00002F040000}"/>
    <cellStyle name="Normal 13" xfId="594" xr:uid="{00000000-0005-0000-0000-000030040000}"/>
    <cellStyle name="Normal 13 2" xfId="982" xr:uid="{00000000-0005-0000-0000-000031040000}"/>
    <cellStyle name="Normal 14" xfId="595" xr:uid="{00000000-0005-0000-0000-000032040000}"/>
    <cellStyle name="Normal 15" xfId="431" xr:uid="{00000000-0005-0000-0000-000033040000}"/>
    <cellStyle name="Normal 15 2" xfId="596" xr:uid="{00000000-0005-0000-0000-000034040000}"/>
    <cellStyle name="Normal 15 2 2" xfId="1119" xr:uid="{00000000-0005-0000-0000-000035040000}"/>
    <cellStyle name="Normal 15 3" xfId="734" xr:uid="{00000000-0005-0000-0000-000036040000}"/>
    <cellStyle name="Normal 15 4" xfId="737" xr:uid="{00000000-0005-0000-0000-000037040000}"/>
    <cellStyle name="Normal 16" xfId="597" xr:uid="{00000000-0005-0000-0000-000038040000}"/>
    <cellStyle name="Normal 17" xfId="598" xr:uid="{00000000-0005-0000-0000-000039040000}"/>
    <cellStyle name="Normal 18" xfId="599" xr:uid="{00000000-0005-0000-0000-00003A040000}"/>
    <cellStyle name="Normal 19" xfId="600" xr:uid="{00000000-0005-0000-0000-00003B040000}"/>
    <cellStyle name="Normal 2" xfId="3" xr:uid="{00000000-0005-0000-0000-00003C040000}"/>
    <cellStyle name="Normal 2 2" xfId="348" xr:uid="{00000000-0005-0000-0000-00003D040000}"/>
    <cellStyle name="Normal 2 2 2" xfId="430" xr:uid="{00000000-0005-0000-0000-00003E040000}"/>
    <cellStyle name="Normal 2 2 3" xfId="1229" xr:uid="{00000000-0005-0000-0000-00003F040000}"/>
    <cellStyle name="Normal 2 3" xfId="426" xr:uid="{00000000-0005-0000-0000-000040040000}"/>
    <cellStyle name="Normal 2 4" xfId="601" xr:uid="{00000000-0005-0000-0000-000041040000}"/>
    <cellStyle name="Normal 2 5" xfId="602" xr:uid="{00000000-0005-0000-0000-000042040000}"/>
    <cellStyle name="Normal 2 6" xfId="917" xr:uid="{00000000-0005-0000-0000-000043040000}"/>
    <cellStyle name="Normal 20" xfId="603" xr:uid="{00000000-0005-0000-0000-000044040000}"/>
    <cellStyle name="Normal 20 2" xfId="1127" xr:uid="{00000000-0005-0000-0000-000045040000}"/>
    <cellStyle name="Normal 21" xfId="604" xr:uid="{00000000-0005-0000-0000-000046040000}"/>
    <cellStyle name="Normal 21 2" xfId="1148" xr:uid="{00000000-0005-0000-0000-000047040000}"/>
    <cellStyle name="Normal 22" xfId="605" xr:uid="{00000000-0005-0000-0000-000048040000}"/>
    <cellStyle name="Normal 22 2" xfId="1139" xr:uid="{00000000-0005-0000-0000-000049040000}"/>
    <cellStyle name="Normal 23" xfId="606" xr:uid="{00000000-0005-0000-0000-00004A040000}"/>
    <cellStyle name="Normal 23 2" xfId="1142" xr:uid="{00000000-0005-0000-0000-00004B040000}"/>
    <cellStyle name="Normal 24" xfId="607" xr:uid="{00000000-0005-0000-0000-00004C040000}"/>
    <cellStyle name="Normal 24 2" xfId="1145" xr:uid="{00000000-0005-0000-0000-00004D040000}"/>
    <cellStyle name="Normal 25" xfId="608" xr:uid="{00000000-0005-0000-0000-00004E040000}"/>
    <cellStyle name="Normal 25 2" xfId="1144" xr:uid="{00000000-0005-0000-0000-00004F040000}"/>
    <cellStyle name="Normal 26" xfId="609" xr:uid="{00000000-0005-0000-0000-000050040000}"/>
    <cellStyle name="Normal 27" xfId="610" xr:uid="{00000000-0005-0000-0000-000051040000}"/>
    <cellStyle name="Normal 27 2" xfId="1147" xr:uid="{00000000-0005-0000-0000-000052040000}"/>
    <cellStyle name="Normal 28" xfId="611" xr:uid="{00000000-0005-0000-0000-000053040000}"/>
    <cellStyle name="Normal 28 2" xfId="1146" xr:uid="{00000000-0005-0000-0000-000054040000}"/>
    <cellStyle name="Normal 29" xfId="612" xr:uid="{00000000-0005-0000-0000-000055040000}"/>
    <cellStyle name="Normal 29 2" xfId="1135" xr:uid="{00000000-0005-0000-0000-000056040000}"/>
    <cellStyle name="Normal 3" xfId="342" xr:uid="{00000000-0005-0000-0000-000057040000}"/>
    <cellStyle name="Normal 3 10" xfId="1104" xr:uid="{00000000-0005-0000-0000-000058040000}"/>
    <cellStyle name="Normal 3 11" xfId="1224" xr:uid="{00000000-0005-0000-0000-000059040000}"/>
    <cellStyle name="Normal 3 2" xfId="429" xr:uid="{00000000-0005-0000-0000-00005A040000}"/>
    <cellStyle name="Normal 3 2 2" xfId="613" xr:uid="{00000000-0005-0000-0000-00005B040000}"/>
    <cellStyle name="Normal 3 2 2 2" xfId="932" xr:uid="{00000000-0005-0000-0000-00005C040000}"/>
    <cellStyle name="Normal 3 2 2 3" xfId="1079" xr:uid="{00000000-0005-0000-0000-00005D040000}"/>
    <cellStyle name="Normal 3 2 2 4" xfId="1099" xr:uid="{00000000-0005-0000-0000-00005E040000}"/>
    <cellStyle name="Normal 3 2 2 5" xfId="1122" xr:uid="{00000000-0005-0000-0000-00005F040000}"/>
    <cellStyle name="Normal 3 2 3" xfId="614" xr:uid="{00000000-0005-0000-0000-000060040000}"/>
    <cellStyle name="Normal 3 2 4" xfId="615" xr:uid="{00000000-0005-0000-0000-000061040000}"/>
    <cellStyle name="Normal 3 2 4 2" xfId="616" xr:uid="{00000000-0005-0000-0000-000062040000}"/>
    <cellStyle name="Normal 3 2 4 2 2" xfId="1121" xr:uid="{00000000-0005-0000-0000-000063040000}"/>
    <cellStyle name="Normal 3 2 5" xfId="617" xr:uid="{00000000-0005-0000-0000-000064040000}"/>
    <cellStyle name="Normal 3 2 6" xfId="618" xr:uid="{00000000-0005-0000-0000-000065040000}"/>
    <cellStyle name="Normal 3 2 6 2" xfId="1118" xr:uid="{00000000-0005-0000-0000-000066040000}"/>
    <cellStyle name="Normal 3 2 7" xfId="1105" xr:uid="{00000000-0005-0000-0000-000067040000}"/>
    <cellStyle name="Normal 3 3" xfId="619" xr:uid="{00000000-0005-0000-0000-000068040000}"/>
    <cellStyle name="Normal 3 4" xfId="620" xr:uid="{00000000-0005-0000-0000-000069040000}"/>
    <cellStyle name="Normal 3 4 2" xfId="1133" xr:uid="{00000000-0005-0000-0000-00006A040000}"/>
    <cellStyle name="Normal 3 5" xfId="621" xr:uid="{00000000-0005-0000-0000-00006B040000}"/>
    <cellStyle name="Normal 3 6" xfId="622" xr:uid="{00000000-0005-0000-0000-00006C040000}"/>
    <cellStyle name="Normal 3 7" xfId="623" xr:uid="{00000000-0005-0000-0000-00006D040000}"/>
    <cellStyle name="Normal 3 8" xfId="624" xr:uid="{00000000-0005-0000-0000-00006E040000}"/>
    <cellStyle name="Normal 3 8 2" xfId="1136" xr:uid="{00000000-0005-0000-0000-00006F040000}"/>
    <cellStyle name="Normal 3 9" xfId="625" xr:uid="{00000000-0005-0000-0000-000070040000}"/>
    <cellStyle name="Normal 30" xfId="626" xr:uid="{00000000-0005-0000-0000-000071040000}"/>
    <cellStyle name="Normal 30 2" xfId="1128" xr:uid="{00000000-0005-0000-0000-000072040000}"/>
    <cellStyle name="Normal 31" xfId="627" xr:uid="{00000000-0005-0000-0000-000073040000}"/>
    <cellStyle name="Normal 31 2" xfId="1149" xr:uid="{00000000-0005-0000-0000-000074040000}"/>
    <cellStyle name="Normal 32" xfId="628" xr:uid="{00000000-0005-0000-0000-000075040000}"/>
    <cellStyle name="Normal 33" xfId="629" xr:uid="{00000000-0005-0000-0000-000076040000}"/>
    <cellStyle name="Normal 34" xfId="933" xr:uid="{00000000-0005-0000-0000-000077040000}"/>
    <cellStyle name="Normal 35" xfId="1000" xr:uid="{00000000-0005-0000-0000-000078040000}"/>
    <cellStyle name="Normal 36" xfId="1174" xr:uid="{00000000-0005-0000-0000-000079040000}"/>
    <cellStyle name="Normal 37" xfId="1175" xr:uid="{00000000-0005-0000-0000-00007A040000}"/>
    <cellStyle name="Normal 38" xfId="1222" xr:uid="{00000000-0005-0000-0000-00007B040000}"/>
    <cellStyle name="Normal 39" xfId="1230" xr:uid="{20728078-42C3-D546-B67E-00984B11122C}"/>
    <cellStyle name="Normal 4" xfId="349" xr:uid="{00000000-0005-0000-0000-00007C040000}"/>
    <cellStyle name="Normal 4 2" xfId="630" xr:uid="{00000000-0005-0000-0000-00007D040000}"/>
    <cellStyle name="Normal 4 3" xfId="631" xr:uid="{00000000-0005-0000-0000-00007E040000}"/>
    <cellStyle name="Normal 4 4" xfId="670" xr:uid="{00000000-0005-0000-0000-00007F040000}"/>
    <cellStyle name="Normal 4 5" xfId="928" xr:uid="{00000000-0005-0000-0000-000080040000}"/>
    <cellStyle name="Normal 4 5 2" xfId="1100" xr:uid="{00000000-0005-0000-0000-000081040000}"/>
    <cellStyle name="Normal 4 6" xfId="1125" xr:uid="{00000000-0005-0000-0000-000082040000}"/>
    <cellStyle name="Normal 40" xfId="1232" xr:uid="{ED412F0A-D169-AF48-B22B-D52381EF1B51}"/>
    <cellStyle name="Normal 40 2" xfId="1234" xr:uid="{61E70B3B-B0CC-494C-A1C8-ED677E097F7B}"/>
    <cellStyle name="Normal 41" xfId="1233" xr:uid="{1507882C-D916-8544-9C44-3B82D8D9DF9E}"/>
    <cellStyle name="Normal 5" xfId="350" xr:uid="{00000000-0005-0000-0000-000083040000}"/>
    <cellStyle name="Normal 5 2" xfId="632" xr:uid="{00000000-0005-0000-0000-000084040000}"/>
    <cellStyle name="Normal 6" xfId="351" xr:uid="{00000000-0005-0000-0000-000085040000}"/>
    <cellStyle name="Normal 6 2" xfId="633" xr:uid="{00000000-0005-0000-0000-000086040000}"/>
    <cellStyle name="Normal 6 3" xfId="1228" xr:uid="{00000000-0005-0000-0000-000087040000}"/>
    <cellStyle name="Normal 7" xfId="352" xr:uid="{00000000-0005-0000-0000-000088040000}"/>
    <cellStyle name="Normal 7 2" xfId="634" xr:uid="{00000000-0005-0000-0000-000089040000}"/>
    <cellStyle name="Normal 8" xfId="353" xr:uid="{00000000-0005-0000-0000-00008A040000}"/>
    <cellStyle name="Normal 8 2" xfId="635" xr:uid="{00000000-0005-0000-0000-00008B040000}"/>
    <cellStyle name="Normal 9" xfId="419" xr:uid="{00000000-0005-0000-0000-00008C040000}"/>
    <cellStyle name="Normal_AppendixTables(NationalAccountsData).xls" xfId="341" xr:uid="{00000000-0005-0000-0000-00008D040000}"/>
    <cellStyle name="Note 2" xfId="636" xr:uid="{00000000-0005-0000-0000-00008E040000}"/>
    <cellStyle name="Note 3" xfId="637" xr:uid="{00000000-0005-0000-0000-00008F040000}"/>
    <cellStyle name="Output 2" xfId="638" xr:uid="{00000000-0005-0000-0000-000090040000}"/>
    <cellStyle name="Percent" xfId="1" builtinId="5"/>
    <cellStyle name="Percent 10" xfId="639" xr:uid="{00000000-0005-0000-0000-000091040000}"/>
    <cellStyle name="Percent 10 2" xfId="983" xr:uid="{00000000-0005-0000-0000-000092040000}"/>
    <cellStyle name="Percent 11" xfId="640" xr:uid="{00000000-0005-0000-0000-000093040000}"/>
    <cellStyle name="Percent 12" xfId="641" xr:uid="{00000000-0005-0000-0000-000094040000}"/>
    <cellStyle name="Percent 12 2" xfId="642" xr:uid="{00000000-0005-0000-0000-000095040000}"/>
    <cellStyle name="Percent 12 2 2" xfId="1120" xr:uid="{00000000-0005-0000-0000-000096040000}"/>
    <cellStyle name="Percent 13" xfId="643" xr:uid="{00000000-0005-0000-0000-000097040000}"/>
    <cellStyle name="Percent 14" xfId="644" xr:uid="{00000000-0005-0000-0000-000098040000}"/>
    <cellStyle name="Percent 15" xfId="645" xr:uid="{00000000-0005-0000-0000-000099040000}"/>
    <cellStyle name="Percent 15 2" xfId="1140" xr:uid="{00000000-0005-0000-0000-00009A040000}"/>
    <cellStyle name="Percent 16" xfId="646" xr:uid="{00000000-0005-0000-0000-00009B040000}"/>
    <cellStyle name="Percent 16 2" xfId="1137" xr:uid="{00000000-0005-0000-0000-00009C040000}"/>
    <cellStyle name="Percent 17" xfId="934" xr:uid="{00000000-0005-0000-0000-00009D040000}"/>
    <cellStyle name="Percent 18" xfId="1082" xr:uid="{00000000-0005-0000-0000-00009E040000}"/>
    <cellStyle name="Percent 19" xfId="1223" xr:uid="{00000000-0005-0000-0000-00009F040000}"/>
    <cellStyle name="Percent 2" xfId="263" xr:uid="{00000000-0005-0000-0000-0000A0040000}"/>
    <cellStyle name="Percent 2 2" xfId="647" xr:uid="{00000000-0005-0000-0000-0000A1040000}"/>
    <cellStyle name="Percent 2 2 2" xfId="1123" xr:uid="{00000000-0005-0000-0000-0000A2040000}"/>
    <cellStyle name="Percent 2 3" xfId="648" xr:uid="{00000000-0005-0000-0000-0000A3040000}"/>
    <cellStyle name="Percent 2 4" xfId="649" xr:uid="{00000000-0005-0000-0000-0000A4040000}"/>
    <cellStyle name="Percent 2 5" xfId="1226" xr:uid="{00000000-0005-0000-0000-0000A5040000}"/>
    <cellStyle name="Percent 20" xfId="1231" xr:uid="{9B64955A-BD71-594B-BBA0-FAC6CC3AF67E}"/>
    <cellStyle name="Percent 21" xfId="1235" xr:uid="{7BC4C14F-DAC1-1D43-B67B-EC9A1E799F13}"/>
    <cellStyle name="Percent 3" xfId="427" xr:uid="{00000000-0005-0000-0000-0000A6040000}"/>
    <cellStyle name="Percent 3 2" xfId="650" xr:uid="{00000000-0005-0000-0000-0000A7040000}"/>
    <cellStyle name="Percent 4" xfId="651" xr:uid="{00000000-0005-0000-0000-0000A8040000}"/>
    <cellStyle name="Percent 4 2" xfId="671" xr:uid="{00000000-0005-0000-0000-0000A9040000}"/>
    <cellStyle name="Percent 4 3" xfId="929" xr:uid="{00000000-0005-0000-0000-0000AA040000}"/>
    <cellStyle name="Percent 4 3 2" xfId="1101" xr:uid="{00000000-0005-0000-0000-0000AB040000}"/>
    <cellStyle name="Percent 4 4" xfId="1126" xr:uid="{00000000-0005-0000-0000-0000AC040000}"/>
    <cellStyle name="Percent 5" xfId="652" xr:uid="{00000000-0005-0000-0000-0000AD040000}"/>
    <cellStyle name="Percent 6" xfId="653" xr:uid="{00000000-0005-0000-0000-0000AE040000}"/>
    <cellStyle name="Percent 6 2" xfId="654" xr:uid="{00000000-0005-0000-0000-0000AF040000}"/>
    <cellStyle name="Percent 7" xfId="655" xr:uid="{00000000-0005-0000-0000-0000B0040000}"/>
    <cellStyle name="Percent 7 2" xfId="1106" xr:uid="{00000000-0005-0000-0000-0000B1040000}"/>
    <cellStyle name="Percent 8" xfId="656" xr:uid="{00000000-0005-0000-0000-0000B2040000}"/>
    <cellStyle name="Percent 8 2" xfId="984" xr:uid="{00000000-0005-0000-0000-0000B3040000}"/>
    <cellStyle name="Percent 8 3" xfId="1117" xr:uid="{00000000-0005-0000-0000-0000B4040000}"/>
    <cellStyle name="Percent 9" xfId="657" xr:uid="{00000000-0005-0000-0000-0000B5040000}"/>
    <cellStyle name="Percent 9 2" xfId="1084" xr:uid="{00000000-0005-0000-0000-0000B6040000}"/>
    <cellStyle name="Percent 9 3" xfId="1131" xr:uid="{00000000-0005-0000-0000-0000B7040000}"/>
    <cellStyle name="Pourcentage 2" xfId="354" xr:uid="{00000000-0005-0000-0000-0000B8040000}"/>
    <cellStyle name="Pourcentage 3" xfId="355" xr:uid="{00000000-0005-0000-0000-0000B9040000}"/>
    <cellStyle name="Pourcentage 3 2" xfId="356" xr:uid="{00000000-0005-0000-0000-0000BA040000}"/>
    <cellStyle name="Pourcentage 4" xfId="357" xr:uid="{00000000-0005-0000-0000-0000BB040000}"/>
    <cellStyle name="Pourcentage 4 2" xfId="658" xr:uid="{00000000-0005-0000-0000-0000BC040000}"/>
    <cellStyle name="Pourcentage 5" xfId="659" xr:uid="{00000000-0005-0000-0000-0000BD040000}"/>
    <cellStyle name="Satisfaisant" xfId="660" xr:uid="{00000000-0005-0000-0000-0000BF040000}"/>
    <cellStyle name="Standard 11" xfId="358" xr:uid="{00000000-0005-0000-0000-0000C0040000}"/>
    <cellStyle name="style_col_headings" xfId="359" xr:uid="{00000000-0005-0000-0000-0000C1040000}"/>
    <cellStyle name="Titre" xfId="661" xr:uid="{00000000-0005-0000-0000-0000C2040000}"/>
    <cellStyle name="Titre 1" xfId="662" xr:uid="{00000000-0005-0000-0000-0000C3040000}"/>
    <cellStyle name="Titre 2" xfId="663" xr:uid="{00000000-0005-0000-0000-0000C4040000}"/>
    <cellStyle name="Titre 3" xfId="664" xr:uid="{00000000-0005-0000-0000-0000C5040000}"/>
    <cellStyle name="Titre 4" xfId="665" xr:uid="{00000000-0005-0000-0000-0000C6040000}"/>
    <cellStyle name="Total 2" xfId="666" xr:uid="{00000000-0005-0000-0000-0000C7040000}"/>
    <cellStyle name="Vérification" xfId="667" xr:uid="{00000000-0005-0000-0000-0000C8040000}"/>
    <cellStyle name="Virgule fixe" xfId="360" xr:uid="{00000000-0005-0000-0000-0000C9040000}"/>
    <cellStyle name="Virgule fixe 2" xfId="428" xr:uid="{00000000-0005-0000-0000-0000CA040000}"/>
    <cellStyle name="Warning Text 2" xfId="668" xr:uid="{00000000-0005-0000-0000-0000CB040000}"/>
    <cellStyle name="一般 2 3" xfId="908" xr:uid="{00000000-0005-0000-0000-0000CC040000}"/>
    <cellStyle name="一般 3" xfId="909" xr:uid="{00000000-0005-0000-0000-0000CD040000}"/>
  </cellStyles>
  <dxfs count="23">
    <dxf>
      <numFmt numFmtId="1" formatCode="0"/>
    </dxf>
    <dxf>
      <alignment horizontal="general" vertical="bottom" textRotation="0" wrapText="1" indent="0" justifyLastLine="0" shrinkToFit="0" readingOrder="0"/>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9" defaultPivotStyle="PivotStyleMedium4"/>
  <colors>
    <mruColors>
      <color rgb="FFF9FCFF"/>
      <color rgb="FFEDEAE6"/>
      <color rgb="FFECDEE1"/>
      <color rgb="FFF2D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noFill/>
            </a:ln>
          </c:spPr>
          <c:xVal>
            <c:numRef>
              <c:f>TableA4!$P$10:$P$52</c:f>
              <c:numCache>
                <c:formatCode>0%</c:formatCode>
                <c:ptCount val="43"/>
                <c:pt idx="0">
                  <c:v>0.43561327527257365</c:v>
                </c:pt>
                <c:pt idx="1">
                  <c:v>0.63707162800450889</c:v>
                </c:pt>
                <c:pt idx="3">
                  <c:v>0.51079708096514354</c:v>
                </c:pt>
                <c:pt idx="4">
                  <c:v>1.0459478672026534</c:v>
                </c:pt>
                <c:pt idx="5">
                  <c:v>0.62424587574706658</c:v>
                </c:pt>
                <c:pt idx="6">
                  <c:v>0.37469158681083548</c:v>
                </c:pt>
                <c:pt idx="7">
                  <c:v>0.83980010002856997</c:v>
                </c:pt>
                <c:pt idx="8">
                  <c:v>0.35113512632375482</c:v>
                </c:pt>
                <c:pt idx="9">
                  <c:v>0.28285909683503752</c:v>
                </c:pt>
                <c:pt idx="10">
                  <c:v>0.2338030357460614</c:v>
                </c:pt>
                <c:pt idx="11">
                  <c:v>0.13830806972928111</c:v>
                </c:pt>
                <c:pt idx="13">
                  <c:v>0.67304135369080642</c:v>
                </c:pt>
                <c:pt idx="16">
                  <c:v>0.18583546955900887</c:v>
                </c:pt>
                <c:pt idx="17">
                  <c:v>4.7053689258015251E-2</c:v>
                </c:pt>
                <c:pt idx="18">
                  <c:v>0.12269555518747587</c:v>
                </c:pt>
                <c:pt idx="19">
                  <c:v>0.54583244130060771</c:v>
                </c:pt>
                <c:pt idx="23">
                  <c:v>0.37935721698885838</c:v>
                </c:pt>
                <c:pt idx="24">
                  <c:v>0.38665659545495995</c:v>
                </c:pt>
                <c:pt idx="25">
                  <c:v>0.38815750454674208</c:v>
                </c:pt>
                <c:pt idx="26">
                  <c:v>0.58760425366217361</c:v>
                </c:pt>
                <c:pt idx="27">
                  <c:v>0.52588557151835713</c:v>
                </c:pt>
                <c:pt idx="28">
                  <c:v>0.29554344801039062</c:v>
                </c:pt>
                <c:pt idx="29">
                  <c:v>0.45408528644092888</c:v>
                </c:pt>
                <c:pt idx="30">
                  <c:v>0.60791032866305494</c:v>
                </c:pt>
                <c:pt idx="32">
                  <c:v>0.18138526162148752</c:v>
                </c:pt>
                <c:pt idx="33">
                  <c:v>0.49212306945558248</c:v>
                </c:pt>
                <c:pt idx="34">
                  <c:v>0.31509012804501185</c:v>
                </c:pt>
                <c:pt idx="36">
                  <c:v>0.18729308232823494</c:v>
                </c:pt>
                <c:pt idx="37">
                  <c:v>0.23320832282540019</c:v>
                </c:pt>
                <c:pt idx="38">
                  <c:v>0.12897932451908642</c:v>
                </c:pt>
                <c:pt idx="39">
                  <c:v>0.55897274397359109</c:v>
                </c:pt>
                <c:pt idx="40">
                  <c:v>0.14628968956737795</c:v>
                </c:pt>
                <c:pt idx="41">
                  <c:v>0.18815911779605865</c:v>
                </c:pt>
                <c:pt idx="42">
                  <c:v>0.363045392813305</c:v>
                </c:pt>
              </c:numCache>
            </c:numRef>
          </c:xVal>
          <c:yVal>
            <c:numRef>
              <c:f>TableA4!$Q$10:$Q$52</c:f>
              <c:numCache>
                <c:formatCode>0%</c:formatCode>
                <c:ptCount val="43"/>
                <c:pt idx="0">
                  <c:v>0.25488124316983574</c:v>
                </c:pt>
                <c:pt idx="1">
                  <c:v>0.26847341805206931</c:v>
                </c:pt>
                <c:pt idx="3">
                  <c:v>0.16606770279075128</c:v>
                </c:pt>
                <c:pt idx="4">
                  <c:v>0.17710496544712098</c:v>
                </c:pt>
                <c:pt idx="5">
                  <c:v>0.41779324861589467</c:v>
                </c:pt>
                <c:pt idx="6">
                  <c:v>0.21364438937029676</c:v>
                </c:pt>
                <c:pt idx="7">
                  <c:v>0.41064854981442322</c:v>
                </c:pt>
                <c:pt idx="8">
                  <c:v>0.22014648186731803</c:v>
                </c:pt>
                <c:pt idx="9">
                  <c:v>0.16154355885776669</c:v>
                </c:pt>
                <c:pt idx="10">
                  <c:v>0.20180769652168562</c:v>
                </c:pt>
                <c:pt idx="11">
                  <c:v>0.13243130450907675</c:v>
                </c:pt>
                <c:pt idx="13">
                  <c:v>0.16333894634731203</c:v>
                </c:pt>
                <c:pt idx="16">
                  <c:v>0.15259698545154851</c:v>
                </c:pt>
                <c:pt idx="17">
                  <c:v>7.5448118962814031E-2</c:v>
                </c:pt>
                <c:pt idx="18">
                  <c:v>8.145888320207427E-2</c:v>
                </c:pt>
                <c:pt idx="19">
                  <c:v>0.33458659205576913</c:v>
                </c:pt>
                <c:pt idx="23">
                  <c:v>0.15877905866314909</c:v>
                </c:pt>
                <c:pt idx="24">
                  <c:v>0.24987466640404191</c:v>
                </c:pt>
                <c:pt idx="25">
                  <c:v>0.3547800616447801</c:v>
                </c:pt>
                <c:pt idx="26">
                  <c:v>0.24031618579004613</c:v>
                </c:pt>
                <c:pt idx="27">
                  <c:v>0.45857840919815962</c:v>
                </c:pt>
                <c:pt idx="28">
                  <c:v>0.2635832470099459</c:v>
                </c:pt>
                <c:pt idx="29">
                  <c:v>0.21960024923494834</c:v>
                </c:pt>
                <c:pt idx="30">
                  <c:v>0.27156039314384334</c:v>
                </c:pt>
                <c:pt idx="31">
                  <c:v>0.16543308667617826</c:v>
                </c:pt>
                <c:pt idx="32">
                  <c:v>2.8551659513278864E-2</c:v>
                </c:pt>
                <c:pt idx="33">
                  <c:v>0.29703816620183826</c:v>
                </c:pt>
                <c:pt idx="34">
                  <c:v>8.5595101870932569E-2</c:v>
                </c:pt>
                <c:pt idx="36">
                  <c:v>0.15551963836942637</c:v>
                </c:pt>
                <c:pt idx="37">
                  <c:v>6.4755462776257475E-2</c:v>
                </c:pt>
                <c:pt idx="38">
                  <c:v>0.2023465573582357</c:v>
                </c:pt>
                <c:pt idx="39">
                  <c:v>0.17481608797111872</c:v>
                </c:pt>
                <c:pt idx="40">
                  <c:v>4.4407051189953896E-2</c:v>
                </c:pt>
                <c:pt idx="41">
                  <c:v>0.14817462662935943</c:v>
                </c:pt>
                <c:pt idx="42">
                  <c:v>0.20661988218055255</c:v>
                </c:pt>
              </c:numCache>
            </c:numRef>
          </c:yVal>
          <c:smooth val="0"/>
          <c:extLst>
            <c:ext xmlns:c16="http://schemas.microsoft.com/office/drawing/2014/chart" uri="{C3380CC4-5D6E-409C-BE32-E72D297353CC}">
              <c16:uniqueId val="{00000000-5838-4D07-8491-39B885DD6ED3}"/>
            </c:ext>
          </c:extLst>
        </c:ser>
        <c:dLbls>
          <c:showLegendKey val="0"/>
          <c:showVal val="0"/>
          <c:showCatName val="0"/>
          <c:showSerName val="0"/>
          <c:showPercent val="0"/>
          <c:showBubbleSize val="0"/>
        </c:dLbls>
        <c:axId val="43821312"/>
        <c:axId val="43831296"/>
      </c:scatterChart>
      <c:valAx>
        <c:axId val="43821312"/>
        <c:scaling>
          <c:orientation val="minMax"/>
        </c:scaling>
        <c:delete val="0"/>
        <c:axPos val="b"/>
        <c:numFmt formatCode="0%" sourceLinked="1"/>
        <c:majorTickMark val="out"/>
        <c:minorTickMark val="none"/>
        <c:tickLblPos val="nextTo"/>
        <c:crossAx val="43831296"/>
        <c:crosses val="autoZero"/>
        <c:crossBetween val="midCat"/>
      </c:valAx>
      <c:valAx>
        <c:axId val="43831296"/>
        <c:scaling>
          <c:orientation val="minMax"/>
        </c:scaling>
        <c:delete val="0"/>
        <c:axPos val="l"/>
        <c:majorGridlines/>
        <c:numFmt formatCode="0%" sourceLinked="1"/>
        <c:majorTickMark val="out"/>
        <c:minorTickMark val="none"/>
        <c:tickLblPos val="nextTo"/>
        <c:crossAx val="43821312"/>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TableC6!#REF!</c:f>
              <c:numCache>
                <c:formatCode>General</c:formatCode>
                <c:ptCount val="1"/>
                <c:pt idx="0">
                  <c:v>1</c:v>
                </c:pt>
              </c:numCache>
            </c:numRef>
          </c:val>
          <c:smooth val="0"/>
          <c:extLst>
            <c:ext xmlns:c16="http://schemas.microsoft.com/office/drawing/2014/chart" uri="{C3380CC4-5D6E-409C-BE32-E72D297353CC}">
              <c16:uniqueId val="{00000000-F668-4BEC-8ACE-F24F6A813B89}"/>
            </c:ext>
          </c:extLst>
        </c:ser>
        <c:dLbls>
          <c:showLegendKey val="0"/>
          <c:showVal val="0"/>
          <c:showCatName val="0"/>
          <c:showSerName val="0"/>
          <c:showPercent val="0"/>
          <c:showBubbleSize val="0"/>
        </c:dLbls>
        <c:smooth val="0"/>
        <c:axId val="182580352"/>
        <c:axId val="182581888"/>
      </c:lineChart>
      <c:catAx>
        <c:axId val="182580352"/>
        <c:scaling>
          <c:orientation val="minMax"/>
        </c:scaling>
        <c:delete val="0"/>
        <c:axPos val="b"/>
        <c:majorTickMark val="out"/>
        <c:minorTickMark val="none"/>
        <c:tickLblPos val="nextTo"/>
        <c:crossAx val="182581888"/>
        <c:crosses val="autoZero"/>
        <c:auto val="1"/>
        <c:lblAlgn val="ctr"/>
        <c:lblOffset val="100"/>
        <c:noMultiLvlLbl val="0"/>
      </c:catAx>
      <c:valAx>
        <c:axId val="182581888"/>
        <c:scaling>
          <c:orientation val="minMax"/>
        </c:scaling>
        <c:delete val="0"/>
        <c:axPos val="l"/>
        <c:majorGridlines/>
        <c:numFmt formatCode="General" sourceLinked="1"/>
        <c:majorTickMark val="out"/>
        <c:minorTickMark val="none"/>
        <c:tickLblPos val="nextTo"/>
        <c:crossAx val="18258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[TWZ2022ReplicationGuideTables.xlsx]Forbes1!PivotTable1</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Forbes1!$B$1</c:f>
              <c:strCache>
                <c:ptCount val="1"/>
                <c:pt idx="0">
                  <c:v>Total</c:v>
                </c:pt>
              </c:strCache>
            </c:strRef>
          </c:tx>
          <c:spPr>
            <a:solidFill>
              <a:schemeClr val="accent1"/>
            </a:solidFill>
            <a:ln>
              <a:noFill/>
            </a:ln>
            <a:effectLst/>
          </c:spPr>
          <c:invertIfNegative val="0"/>
          <c:cat>
            <c:strRef>
              <c:f>Forbes1!$A$2:$A$15</c:f>
              <c:strCache>
                <c:ptCount val="13"/>
                <c:pt idx="0">
                  <c:v>Bahrain</c:v>
                </c:pt>
                <c:pt idx="1">
                  <c:v>Belgium</c:v>
                </c:pt>
                <c:pt idx="2">
                  <c:v>Bermuda</c:v>
                </c:pt>
                <c:pt idx="3">
                  <c:v>Cayman Islands</c:v>
                </c:pt>
                <c:pt idx="4">
                  <c:v>Hong Kong</c:v>
                </c:pt>
                <c:pt idx="5">
                  <c:v>Ireland</c:v>
                </c:pt>
                <c:pt idx="6">
                  <c:v>Lebanon</c:v>
                </c:pt>
                <c:pt idx="7">
                  <c:v>Luxembourg</c:v>
                </c:pt>
                <c:pt idx="8">
                  <c:v>Mauritius</c:v>
                </c:pt>
                <c:pt idx="9">
                  <c:v>Netherlands</c:v>
                </c:pt>
                <c:pt idx="10">
                  <c:v>Puerto Rico</c:v>
                </c:pt>
                <c:pt idx="11">
                  <c:v>Singapore</c:v>
                </c:pt>
                <c:pt idx="12">
                  <c:v>Switzerland</c:v>
                </c:pt>
              </c:strCache>
            </c:strRef>
          </c:cat>
          <c:val>
            <c:numRef>
              <c:f>Forbes1!$B$2:$B$15</c:f>
              <c:numCache>
                <c:formatCode>General</c:formatCode>
                <c:ptCount val="13"/>
                <c:pt idx="0">
                  <c:v>0.8</c:v>
                </c:pt>
                <c:pt idx="1">
                  <c:v>18.899999999999999</c:v>
                </c:pt>
                <c:pt idx="2">
                  <c:v>7.7000000000000011</c:v>
                </c:pt>
                <c:pt idx="3">
                  <c:v>0.5</c:v>
                </c:pt>
                <c:pt idx="4">
                  <c:v>92.899999999999991</c:v>
                </c:pt>
                <c:pt idx="5">
                  <c:v>9</c:v>
                </c:pt>
                <c:pt idx="6">
                  <c:v>0.6</c:v>
                </c:pt>
                <c:pt idx="7">
                  <c:v>1.6999999999999993</c:v>
                </c:pt>
                <c:pt idx="8">
                  <c:v>-0.3</c:v>
                </c:pt>
                <c:pt idx="9">
                  <c:v>44.999999999999993</c:v>
                </c:pt>
                <c:pt idx="10">
                  <c:v>0.6</c:v>
                </c:pt>
                <c:pt idx="11">
                  <c:v>18.2</c:v>
                </c:pt>
                <c:pt idx="12">
                  <c:v>68.8</c:v>
                </c:pt>
              </c:numCache>
            </c:numRef>
          </c:val>
          <c:extLst>
            <c:ext xmlns:c16="http://schemas.microsoft.com/office/drawing/2014/chart" uri="{C3380CC4-5D6E-409C-BE32-E72D297353CC}">
              <c16:uniqueId val="{00000000-CCA4-164B-BAF3-6DC8C1BE0127}"/>
            </c:ext>
          </c:extLst>
        </c:ser>
        <c:dLbls>
          <c:showLegendKey val="0"/>
          <c:showVal val="0"/>
          <c:showCatName val="0"/>
          <c:showSerName val="0"/>
          <c:showPercent val="0"/>
          <c:showBubbleSize val="0"/>
        </c:dLbls>
        <c:gapWidth val="219"/>
        <c:overlap val="-27"/>
        <c:axId val="398012832"/>
        <c:axId val="398013160"/>
      </c:barChart>
      <c:catAx>
        <c:axId val="39801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013160"/>
        <c:crosses val="autoZero"/>
        <c:auto val="1"/>
        <c:lblAlgn val="ctr"/>
        <c:lblOffset val="100"/>
        <c:noMultiLvlLbl val="0"/>
      </c:catAx>
      <c:valAx>
        <c:axId val="398013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012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20</xdr:col>
      <xdr:colOff>209550</xdr:colOff>
      <xdr:row>29</xdr:row>
      <xdr:rowOff>25400</xdr:rowOff>
    </xdr:from>
    <xdr:to>
      <xdr:col>25</xdr:col>
      <xdr:colOff>654050</xdr:colOff>
      <xdr:row>43</xdr:row>
      <xdr:rowOff>101600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904874</xdr:colOff>
      <xdr:row>76</xdr:row>
      <xdr:rowOff>23131</xdr:rowOff>
    </xdr:from>
    <xdr:to>
      <xdr:col>17</xdr:col>
      <xdr:colOff>1245053</xdr:colOff>
      <xdr:row>90</xdr:row>
      <xdr:rowOff>99331</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139700</xdr:colOff>
      <xdr:row>2</xdr:row>
      <xdr:rowOff>76200</xdr:rowOff>
    </xdr:from>
    <xdr:to>
      <xdr:col>14</xdr:col>
      <xdr:colOff>444500</xdr:colOff>
      <xdr:row>16</xdr:row>
      <xdr:rowOff>152400</xdr:rowOff>
    </xdr:to>
    <xdr:graphicFrame macro="">
      <xdr:nvGraphicFramePr>
        <xdr:cNvPr id="2" name="Chart 1">
          <a:extLst>
            <a:ext uri="{FF2B5EF4-FFF2-40B4-BE49-F238E27FC236}">
              <a16:creationId xmlns:a16="http://schemas.microsoft.com/office/drawing/2014/main" id="{48EB30F8-5023-CF47-BB49-506B76F3D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C:/Users/drm808/Dropbox/International%20tax%20enforcement/RawData/TWZRawDat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row>
      </sheetData>
      <sheetData sheetId="15">
        <row r="1">
          <cell r="B1" t="str">
            <v>Agriculture, forestry and fishing (A) ;  Agriculture ;</v>
          </cell>
        </row>
        <row r="12">
          <cell r="DF12">
            <v>1.1000000000000001</v>
          </cell>
        </row>
        <row r="13">
          <cell r="DF13">
            <v>1.3</v>
          </cell>
        </row>
        <row r="14">
          <cell r="DF14">
            <v>1.3</v>
          </cell>
        </row>
        <row r="15">
          <cell r="DF15">
            <v>0.9</v>
          </cell>
        </row>
        <row r="16">
          <cell r="DF16">
            <v>0.2</v>
          </cell>
        </row>
        <row r="17">
          <cell r="DF17">
            <v>-0.5</v>
          </cell>
        </row>
        <row r="18">
          <cell r="DF18">
            <v>-0.7</v>
          </cell>
        </row>
        <row r="19">
          <cell r="DF19">
            <v>-0.2</v>
          </cell>
        </row>
        <row r="20">
          <cell r="DF20">
            <v>1.1000000000000001</v>
          </cell>
        </row>
        <row r="21">
          <cell r="DF21">
            <v>2</v>
          </cell>
        </row>
        <row r="22">
          <cell r="DF22">
            <v>1.9</v>
          </cell>
        </row>
        <row r="23">
          <cell r="DF23">
            <v>1.7</v>
          </cell>
        </row>
        <row r="24">
          <cell r="DF24">
            <v>1.3</v>
          </cell>
        </row>
        <row r="25">
          <cell r="DF25">
            <v>1.1000000000000001</v>
          </cell>
        </row>
        <row r="26">
          <cell r="DF26">
            <v>1.5</v>
          </cell>
        </row>
        <row r="27">
          <cell r="DF27">
            <v>1.8</v>
          </cell>
        </row>
        <row r="28">
          <cell r="DF28">
            <v>1.9</v>
          </cell>
        </row>
        <row r="29">
          <cell r="DF29">
            <v>1.5</v>
          </cell>
        </row>
        <row r="30">
          <cell r="DF30">
            <v>1.2</v>
          </cell>
        </row>
        <row r="31">
          <cell r="DF31">
            <v>1.6</v>
          </cell>
        </row>
        <row r="32">
          <cell r="DF32">
            <v>1.9</v>
          </cell>
        </row>
        <row r="33">
          <cell r="DF33">
            <v>1.5</v>
          </cell>
        </row>
        <row r="34">
          <cell r="DF34">
            <v>1</v>
          </cell>
        </row>
        <row r="35">
          <cell r="DF35">
            <v>0.2</v>
          </cell>
        </row>
        <row r="36">
          <cell r="DF36">
            <v>-0.1</v>
          </cell>
        </row>
        <row r="37">
          <cell r="DF37">
            <v>0.4</v>
          </cell>
        </row>
        <row r="38">
          <cell r="DF38">
            <v>1.1000000000000001</v>
          </cell>
        </row>
        <row r="39">
          <cell r="DF39">
            <v>2</v>
          </cell>
        </row>
        <row r="40">
          <cell r="DF40">
            <v>2.2000000000000002</v>
          </cell>
        </row>
        <row r="41">
          <cell r="DF41">
            <v>1.9</v>
          </cell>
        </row>
        <row r="42">
          <cell r="DF42">
            <v>1.6</v>
          </cell>
        </row>
        <row r="43">
          <cell r="DF43">
            <v>0.9</v>
          </cell>
        </row>
        <row r="44">
          <cell r="DF44">
            <v>0.6</v>
          </cell>
        </row>
        <row r="45">
          <cell r="DF45">
            <v>1</v>
          </cell>
        </row>
        <row r="46">
          <cell r="DF46">
            <v>1.9</v>
          </cell>
        </row>
        <row r="47">
          <cell r="DF47">
            <v>2.5</v>
          </cell>
        </row>
        <row r="48">
          <cell r="DF48">
            <v>2</v>
          </cell>
        </row>
        <row r="49">
          <cell r="DF49">
            <v>1.2</v>
          </cell>
        </row>
        <row r="50">
          <cell r="DF50">
            <v>1.3</v>
          </cell>
        </row>
        <row r="51">
          <cell r="DF51">
            <v>1.7</v>
          </cell>
        </row>
        <row r="52">
          <cell r="DF52">
            <v>2.2999999999999998</v>
          </cell>
        </row>
        <row r="53">
          <cell r="DF53">
            <v>1.9</v>
          </cell>
        </row>
        <row r="54">
          <cell r="DF54">
            <v>1.4</v>
          </cell>
        </row>
        <row r="55">
          <cell r="DF55">
            <v>0.9</v>
          </cell>
        </row>
        <row r="56">
          <cell r="DF56">
            <v>0.4</v>
          </cell>
        </row>
        <row r="57">
          <cell r="DF57">
            <v>0.7</v>
          </cell>
        </row>
        <row r="58">
          <cell r="DF58">
            <v>1.3</v>
          </cell>
        </row>
        <row r="59">
          <cell r="DF59">
            <v>1.1000000000000001</v>
          </cell>
        </row>
        <row r="60">
          <cell r="DF60">
            <v>0.8</v>
          </cell>
        </row>
        <row r="61">
          <cell r="DF61">
            <v>0.2</v>
          </cell>
        </row>
        <row r="62">
          <cell r="DF62">
            <v>0.1</v>
          </cell>
        </row>
        <row r="63">
          <cell r="DF63">
            <v>0.8</v>
          </cell>
        </row>
        <row r="64">
          <cell r="DF64">
            <v>1.2</v>
          </cell>
        </row>
        <row r="65">
          <cell r="DF65">
            <v>1.2</v>
          </cell>
        </row>
        <row r="66">
          <cell r="DF66">
            <v>1.4</v>
          </cell>
        </row>
        <row r="67">
          <cell r="DF67">
            <v>1.4</v>
          </cell>
        </row>
        <row r="68">
          <cell r="DF68">
            <v>1</v>
          </cell>
        </row>
        <row r="69">
          <cell r="DF69">
            <v>0.3</v>
          </cell>
        </row>
        <row r="70">
          <cell r="DF70">
            <v>-0.4</v>
          </cell>
        </row>
        <row r="71">
          <cell r="DF71">
            <v>-0.4</v>
          </cell>
        </row>
        <row r="72">
          <cell r="DF72">
            <v>0.6</v>
          </cell>
        </row>
        <row r="73">
          <cell r="DF73">
            <v>1.3</v>
          </cell>
        </row>
        <row r="74">
          <cell r="DF74">
            <v>0.6</v>
          </cell>
        </row>
        <row r="75">
          <cell r="DF75">
            <v>0.2</v>
          </cell>
        </row>
        <row r="76">
          <cell r="DF76">
            <v>0.5</v>
          </cell>
        </row>
        <row r="77">
          <cell r="DF77">
            <v>1.2</v>
          </cell>
        </row>
        <row r="78">
          <cell r="DF78">
            <v>1.7</v>
          </cell>
        </row>
        <row r="79">
          <cell r="DF79">
            <v>0.9</v>
          </cell>
        </row>
        <row r="80">
          <cell r="DF80">
            <v>0.3</v>
          </cell>
        </row>
        <row r="81">
          <cell r="DF81">
            <v>0.4</v>
          </cell>
        </row>
        <row r="82">
          <cell r="DF82">
            <v>0.2</v>
          </cell>
        </row>
        <row r="83">
          <cell r="DF83">
            <v>0</v>
          </cell>
        </row>
        <row r="84">
          <cell r="DF84">
            <v>0</v>
          </cell>
        </row>
        <row r="85">
          <cell r="DF85">
            <v>0.4</v>
          </cell>
        </row>
        <row r="86">
          <cell r="DF86">
            <v>0.9</v>
          </cell>
        </row>
        <row r="87">
          <cell r="DF87">
            <v>1.4</v>
          </cell>
        </row>
        <row r="88">
          <cell r="DF88">
            <v>1.4</v>
          </cell>
        </row>
        <row r="89">
          <cell r="DF89">
            <v>0.9</v>
          </cell>
        </row>
        <row r="90">
          <cell r="DF90">
            <v>0.5</v>
          </cell>
        </row>
        <row r="91">
          <cell r="DF91">
            <v>0.6</v>
          </cell>
        </row>
        <row r="92">
          <cell r="DF92">
            <v>0.9</v>
          </cell>
        </row>
        <row r="93">
          <cell r="DF93">
            <v>0.9</v>
          </cell>
        </row>
        <row r="94">
          <cell r="DF94">
            <v>0.5</v>
          </cell>
        </row>
        <row r="95">
          <cell r="DF95">
            <v>0.7</v>
          </cell>
        </row>
        <row r="96">
          <cell r="DF96">
            <v>0.9</v>
          </cell>
        </row>
        <row r="97">
          <cell r="DF97">
            <v>1.3</v>
          </cell>
        </row>
        <row r="98">
          <cell r="DF98">
            <v>1.4</v>
          </cell>
        </row>
        <row r="99">
          <cell r="DF99">
            <v>1</v>
          </cell>
        </row>
        <row r="100">
          <cell r="DF100">
            <v>0.3</v>
          </cell>
        </row>
        <row r="101">
          <cell r="DF101">
            <v>-0.1</v>
          </cell>
        </row>
        <row r="102">
          <cell r="DF102">
            <v>-0.2</v>
          </cell>
        </row>
        <row r="103">
          <cell r="DF103">
            <v>-0.5</v>
          </cell>
        </row>
        <row r="104">
          <cell r="DF104">
            <v>-1.2</v>
          </cell>
        </row>
        <row r="105">
          <cell r="DF105">
            <v>-1</v>
          </cell>
        </row>
        <row r="106">
          <cell r="DF106">
            <v>0.3</v>
          </cell>
        </row>
        <row r="107">
          <cell r="DF107">
            <v>1.7</v>
          </cell>
        </row>
        <row r="108">
          <cell r="DF108">
            <v>2.2999999999999998</v>
          </cell>
        </row>
        <row r="109">
          <cell r="DF109">
            <v>2</v>
          </cell>
        </row>
        <row r="110">
          <cell r="DF110">
            <v>1.4</v>
          </cell>
        </row>
        <row r="111">
          <cell r="DF111">
            <v>0.9</v>
          </cell>
        </row>
        <row r="112">
          <cell r="DF112">
            <v>0.9</v>
          </cell>
        </row>
        <row r="113">
          <cell r="DF113">
            <v>1.5</v>
          </cell>
        </row>
        <row r="114">
          <cell r="DF114">
            <v>1.7</v>
          </cell>
        </row>
        <row r="115">
          <cell r="DF115">
            <v>1.3</v>
          </cell>
        </row>
        <row r="116">
          <cell r="DF116">
            <v>0.5</v>
          </cell>
        </row>
        <row r="117">
          <cell r="DF117">
            <v>0</v>
          </cell>
        </row>
        <row r="118">
          <cell r="DF118">
            <v>0.1</v>
          </cell>
        </row>
        <row r="119">
          <cell r="DF119">
            <v>0.6</v>
          </cell>
        </row>
        <row r="120">
          <cell r="DF120">
            <v>1</v>
          </cell>
        </row>
        <row r="121">
          <cell r="DF121">
            <v>1.4</v>
          </cell>
        </row>
        <row r="122">
          <cell r="DF122">
            <v>1.6</v>
          </cell>
        </row>
        <row r="123">
          <cell r="DF123">
            <v>1.8</v>
          </cell>
        </row>
        <row r="124">
          <cell r="DF124">
            <v>1.5</v>
          </cell>
        </row>
        <row r="125">
          <cell r="DF125">
            <v>0.8</v>
          </cell>
        </row>
        <row r="126">
          <cell r="DF126">
            <v>0.4</v>
          </cell>
        </row>
        <row r="127">
          <cell r="DF127">
            <v>0.7</v>
          </cell>
        </row>
        <row r="128">
          <cell r="DF128">
            <v>1.2</v>
          </cell>
        </row>
        <row r="129">
          <cell r="DF129">
            <v>1.6</v>
          </cell>
        </row>
        <row r="130">
          <cell r="DF130">
            <v>1.4</v>
          </cell>
        </row>
        <row r="131">
          <cell r="DF131">
            <v>0.9</v>
          </cell>
        </row>
        <row r="132">
          <cell r="DF132">
            <v>0.5</v>
          </cell>
        </row>
        <row r="133">
          <cell r="DF133">
            <v>0.2</v>
          </cell>
        </row>
        <row r="134">
          <cell r="DF134">
            <v>0.2</v>
          </cell>
        </row>
        <row r="135">
          <cell r="DF135">
            <v>0</v>
          </cell>
        </row>
        <row r="136">
          <cell r="DF136">
            <v>-0.4</v>
          </cell>
        </row>
        <row r="137">
          <cell r="DF137">
            <v>-0.4</v>
          </cell>
        </row>
        <row r="138">
          <cell r="DF138">
            <v>-0.3</v>
          </cell>
        </row>
        <row r="139">
          <cell r="DF139">
            <v>0.1</v>
          </cell>
        </row>
        <row r="140">
          <cell r="DF140">
            <v>0.4</v>
          </cell>
        </row>
        <row r="141">
          <cell r="DF141">
            <v>0.5</v>
          </cell>
        </row>
        <row r="142">
          <cell r="DF142">
            <v>0.9</v>
          </cell>
        </row>
        <row r="143">
          <cell r="DF143">
            <v>1.3</v>
          </cell>
        </row>
        <row r="144">
          <cell r="DF144">
            <v>1.4</v>
          </cell>
        </row>
        <row r="145">
          <cell r="DF145">
            <v>1</v>
          </cell>
        </row>
        <row r="146">
          <cell r="DF146">
            <v>0.5</v>
          </cell>
        </row>
        <row r="147">
          <cell r="DF147">
            <v>0.7</v>
          </cell>
        </row>
        <row r="148">
          <cell r="DF148">
            <v>1.3</v>
          </cell>
        </row>
        <row r="149">
          <cell r="DF149">
            <v>1.6</v>
          </cell>
        </row>
        <row r="150">
          <cell r="DF150">
            <v>1.4</v>
          </cell>
        </row>
        <row r="151">
          <cell r="DF151">
            <v>0.9</v>
          </cell>
        </row>
        <row r="152">
          <cell r="DF152">
            <v>0.5</v>
          </cell>
        </row>
        <row r="153">
          <cell r="DF153">
            <v>0.5</v>
          </cell>
        </row>
        <row r="154">
          <cell r="DF154">
            <v>0.7</v>
          </cell>
        </row>
        <row r="155">
          <cell r="DF155">
            <v>1.1000000000000001</v>
          </cell>
        </row>
        <row r="156">
          <cell r="DF156">
            <v>1.2</v>
          </cell>
        </row>
        <row r="157">
          <cell r="DF157">
            <v>1</v>
          </cell>
        </row>
        <row r="158">
          <cell r="DF158">
            <v>0.9</v>
          </cell>
        </row>
        <row r="159">
          <cell r="DF159">
            <v>0.8</v>
          </cell>
        </row>
        <row r="160">
          <cell r="DF160">
            <v>0.9</v>
          </cell>
        </row>
        <row r="161">
          <cell r="DF161">
            <v>1.3</v>
          </cell>
        </row>
        <row r="162">
          <cell r="DF162">
            <v>1.5</v>
          </cell>
        </row>
        <row r="163">
          <cell r="DF163">
            <v>1.3</v>
          </cell>
        </row>
        <row r="164">
          <cell r="DF164">
            <v>0.9</v>
          </cell>
        </row>
        <row r="165">
          <cell r="DF165">
            <v>0.9</v>
          </cell>
        </row>
        <row r="166">
          <cell r="DF166">
            <v>1.3</v>
          </cell>
        </row>
        <row r="167">
          <cell r="DF167">
            <v>1.5</v>
          </cell>
        </row>
        <row r="168">
          <cell r="DF168">
            <v>1.3</v>
          </cell>
        </row>
        <row r="169">
          <cell r="DF169">
            <v>0.9</v>
          </cell>
        </row>
        <row r="170">
          <cell r="DF170">
            <v>0.8</v>
          </cell>
        </row>
        <row r="171">
          <cell r="DF171">
            <v>1</v>
          </cell>
        </row>
        <row r="172">
          <cell r="DF172">
            <v>1.2</v>
          </cell>
        </row>
        <row r="173">
          <cell r="DF173">
            <v>1</v>
          </cell>
        </row>
        <row r="174">
          <cell r="DF174">
            <v>0.5</v>
          </cell>
        </row>
        <row r="175">
          <cell r="DF175">
            <v>0.2</v>
          </cell>
        </row>
        <row r="176">
          <cell r="DF176">
            <v>0.2</v>
          </cell>
        </row>
        <row r="177">
          <cell r="DF177">
            <v>0.5</v>
          </cell>
        </row>
        <row r="178">
          <cell r="DF178">
            <v>1</v>
          </cell>
        </row>
        <row r="179">
          <cell r="DF179">
            <v>1.1000000000000001</v>
          </cell>
        </row>
        <row r="180">
          <cell r="DF180">
            <v>1.1000000000000001</v>
          </cell>
        </row>
        <row r="181">
          <cell r="DF181">
            <v>1.2</v>
          </cell>
        </row>
        <row r="182">
          <cell r="DF182">
            <v>1.1000000000000001</v>
          </cell>
        </row>
        <row r="183">
          <cell r="DF183">
            <v>0.8</v>
          </cell>
        </row>
        <row r="184">
          <cell r="DF184">
            <v>0.4</v>
          </cell>
        </row>
        <row r="185">
          <cell r="DF185">
            <v>0.2</v>
          </cell>
        </row>
        <row r="186">
          <cell r="DF186">
            <v>0.7</v>
          </cell>
        </row>
        <row r="187">
          <cell r="DF187">
            <v>1.2</v>
          </cell>
        </row>
        <row r="188">
          <cell r="DF188">
            <v>1.5</v>
          </cell>
        </row>
        <row r="189">
          <cell r="DF189">
            <v>1.2</v>
          </cell>
        </row>
        <row r="190">
          <cell r="DF190">
            <v>0.8</v>
          </cell>
        </row>
        <row r="191">
          <cell r="DF191">
            <v>0.7</v>
          </cell>
        </row>
        <row r="192">
          <cell r="DF192">
            <v>0.7</v>
          </cell>
        </row>
        <row r="193">
          <cell r="DF193">
            <v>0.7</v>
          </cell>
        </row>
        <row r="194">
          <cell r="DF194">
            <v>0.8</v>
          </cell>
        </row>
        <row r="195">
          <cell r="DF195">
            <v>0.8</v>
          </cell>
        </row>
        <row r="196">
          <cell r="DF196">
            <v>0.7</v>
          </cell>
        </row>
        <row r="197">
          <cell r="DF197">
            <v>0.5</v>
          </cell>
        </row>
        <row r="198">
          <cell r="DF198">
            <v>0.6</v>
          </cell>
        </row>
        <row r="199">
          <cell r="DF199">
            <v>1</v>
          </cell>
        </row>
        <row r="200">
          <cell r="DF200">
            <v>1.3</v>
          </cell>
        </row>
        <row r="201">
          <cell r="DF201">
            <v>1.2</v>
          </cell>
        </row>
        <row r="202">
          <cell r="DF202">
            <v>1</v>
          </cell>
        </row>
        <row r="203">
          <cell r="DF203">
            <v>0.9</v>
          </cell>
        </row>
        <row r="204">
          <cell r="DF204">
            <v>0.8</v>
          </cell>
        </row>
        <row r="205">
          <cell r="DF205">
            <v>0.8</v>
          </cell>
        </row>
        <row r="206">
          <cell r="DF206">
            <v>0.5</v>
          </cell>
        </row>
        <row r="207">
          <cell r="DF207">
            <v>0.3</v>
          </cell>
        </row>
        <row r="208">
          <cell r="DF208">
            <v>0.3</v>
          </cell>
        </row>
        <row r="209">
          <cell r="DF209">
            <v>0.5</v>
          </cell>
        </row>
        <row r="210">
          <cell r="DF210">
            <v>0.6</v>
          </cell>
        </row>
        <row r="211">
          <cell r="DF211">
            <v>0.6</v>
          </cell>
        </row>
        <row r="212">
          <cell r="DF212">
            <v>0.5</v>
          </cell>
        </row>
        <row r="213">
          <cell r="DF213">
            <v>0.6</v>
          </cell>
        </row>
        <row r="214">
          <cell r="DF214">
            <v>0.7</v>
          </cell>
        </row>
        <row r="215">
          <cell r="DF215">
            <v>0.7</v>
          </cell>
        </row>
        <row r="216">
          <cell r="DF216">
            <v>0.5</v>
          </cell>
        </row>
        <row r="217">
          <cell r="DF217">
            <v>0.5</v>
          </cell>
        </row>
        <row r="218">
          <cell r="DF218">
            <v>0.8</v>
          </cell>
        </row>
        <row r="219">
          <cell r="DF219">
            <v>1.1000000000000001</v>
          </cell>
        </row>
        <row r="220">
          <cell r="DF220">
            <v>1.3</v>
          </cell>
        </row>
        <row r="221">
          <cell r="DF221">
            <v>1</v>
          </cell>
        </row>
        <row r="222">
          <cell r="DF222">
            <v>0.8</v>
          </cell>
        </row>
        <row r="223">
          <cell r="DF223">
            <v>0.6</v>
          </cell>
        </row>
        <row r="224">
          <cell r="DF224">
            <v>0.4</v>
          </cell>
        </row>
        <row r="225">
          <cell r="DF225">
            <v>0.4</v>
          </cell>
        </row>
        <row r="226">
          <cell r="DF226">
            <v>0.5</v>
          </cell>
        </row>
        <row r="227">
          <cell r="DF227">
            <v>0.7</v>
          </cell>
        </row>
        <row r="228">
          <cell r="DF228">
            <v>0.8</v>
          </cell>
        </row>
        <row r="229">
          <cell r="DF229">
            <v>0.7</v>
          </cell>
        </row>
        <row r="230">
          <cell r="DF230">
            <v>0.6</v>
          </cell>
        </row>
        <row r="231">
          <cell r="DF231">
            <v>0.5</v>
          </cell>
        </row>
        <row r="232">
          <cell r="DF232">
            <v>0.6</v>
          </cell>
        </row>
        <row r="233">
          <cell r="DF233">
            <v>0.6</v>
          </cell>
        </row>
        <row r="234">
          <cell r="DF234">
            <v>0.6</v>
          </cell>
        </row>
        <row r="235">
          <cell r="DF235">
            <v>0.6</v>
          </cell>
        </row>
        <row r="236">
          <cell r="DF236">
            <v>0.8</v>
          </cell>
        </row>
        <row r="237">
          <cell r="DF237">
            <v>0.8</v>
          </cell>
        </row>
        <row r="238">
          <cell r="DF238">
            <v>0.6</v>
          </cell>
        </row>
        <row r="239">
          <cell r="DF239">
            <v>0.4</v>
          </cell>
        </row>
        <row r="240">
          <cell r="DF240">
            <v>0.4</v>
          </cell>
        </row>
        <row r="241">
          <cell r="DF241">
            <v>0.6</v>
          </cell>
        </row>
        <row r="242">
          <cell r="DF242">
            <v>0.7</v>
          </cell>
        </row>
        <row r="243">
          <cell r="DF243">
            <v>0.6</v>
          </cell>
        </row>
        <row r="244">
          <cell r="DF244">
            <v>0.6</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TWZ2022AppendixTable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udvig Wier" refreshedDate="44413.416463888891" createdVersion="6" refreshedVersion="6" minRefreshableVersion="3" recordCount="2000" xr:uid="{81B6B898-F091-5F45-8EA6-C0FF4076BE72}">
  <cacheSource type="worksheet">
    <worksheetSource ref="A1:K2001" sheet="Forbes2" r:id="rId2"/>
  </cacheSource>
  <cacheFields count="11">
    <cacheField name="Company" numFmtId="0">
      <sharedItems/>
    </cacheField>
    <cacheField name="Sector" numFmtId="0">
      <sharedItems containsBlank="1"/>
    </cacheField>
    <cacheField name="Industry" numFmtId="0">
      <sharedItems containsBlank="1"/>
    </cacheField>
    <cacheField name="Continent" numFmtId="0">
      <sharedItems containsBlank="1"/>
    </cacheField>
    <cacheField name="Country" numFmtId="0">
      <sharedItems count="64">
        <s v="Australia"/>
        <s v="Austria"/>
        <s v="Bahrain"/>
        <s v="Belgium"/>
        <s v="Bermuda"/>
        <s v="Brazil"/>
        <s v="Canada"/>
        <s v="Cayman Islands"/>
        <s v="Chile"/>
        <s v="China"/>
        <s v="Colombia"/>
        <s v="Czech Republic"/>
        <s v="Denmark"/>
        <s v="Egypt"/>
        <s v="Finland"/>
        <s v="France"/>
        <s v="Germany"/>
        <s v="Greece"/>
        <s v="Hong Kong"/>
        <s v="Hungary"/>
        <s v="India"/>
        <s v="Indonesia"/>
        <s v="Ireland"/>
        <s v="Israel"/>
        <s v="Italy"/>
        <s v="Japan"/>
        <s v="Jordan"/>
        <s v="Kazakhstan"/>
        <s v="Kuwait"/>
        <s v="Lebanon"/>
        <s v="Luxembourg"/>
        <s v="Malaysia"/>
        <s v="Mauritius"/>
        <s v="Mexico"/>
        <s v="Morocco"/>
        <s v="Netherlands"/>
        <s v="Nigeria"/>
        <s v="Norway"/>
        <s v="Oman"/>
        <s v="Pakistan"/>
        <s v="Peru"/>
        <s v="Philippines"/>
        <s v="Poland"/>
        <s v="Portugal"/>
        <s v="Puerto Rico"/>
        <s v="Qatar"/>
        <s v="Russia"/>
        <s v="Saudi Arabia"/>
        <s v="Singapore"/>
        <s v="South Africa"/>
        <s v="South Korea"/>
        <s v="Spain"/>
        <s v="Sweden"/>
        <s v="Switzerland"/>
        <s v="Taiwan"/>
        <s v="Thailand"/>
        <s v="Togo"/>
        <s v="Turkey"/>
        <s v="United Arab Emirates"/>
        <s v="United Kingdom"/>
        <s v="United States"/>
        <s v="North America"/>
        <s v="Venezuela"/>
        <s v="Vietnam"/>
      </sharedItems>
    </cacheField>
    <cacheField name="Market Value" numFmtId="0">
      <sharedItems containsMixedTypes="1" containsNumber="1" minValue="0" maxValue="483.1"/>
    </cacheField>
    <cacheField name="Sales" numFmtId="0">
      <sharedItems containsSemiMixedTypes="0" containsString="0" containsNumber="1" minValue="0" maxValue="476.5"/>
    </cacheField>
    <cacheField name="Profits" numFmtId="0">
      <sharedItems containsSemiMixedTypes="0" containsString="0" containsNumber="1" minValue="-13.4" maxValue="84"/>
    </cacheField>
    <cacheField name="Assets" numFmtId="0">
      <sharedItems containsSemiMixedTypes="0" containsString="0" containsNumber="1" minValue="-0.2" maxValue="3270.1"/>
    </cacheField>
    <cacheField name="Rank" numFmtId="0">
      <sharedItems containsSemiMixedTypes="0" containsString="0" containsNumber="1" minValue="1" maxValue="1999"/>
    </cacheField>
    <cacheField name="Forbes Webpage" numFmtId="0">
      <sharedItems containsMixedTypes="1" containsNumber="1" containsInteger="1" minValue="152" maxValue="18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s v="BHP Billiton"/>
    <s v="Materials"/>
    <s v="Diversified Metals &amp; Mining"/>
    <s v="Australia"/>
    <x v="0"/>
    <n v="182.3"/>
    <n v="67.7"/>
    <n v="14.8"/>
    <n v="151"/>
    <n v="44"/>
    <s v="http://www.forbes.com/companies/bhp-billiton/"/>
  </r>
  <r>
    <s v="Commonwealth Bank"/>
    <s v="Financials"/>
    <s v="Major Banks"/>
    <s v="Australia"/>
    <x v="0"/>
    <n v="114.5"/>
    <n v="41.5"/>
    <n v="7.9"/>
    <n v="699.9"/>
    <n v="49"/>
    <s v="http://www.forbes.com/companies/commonwealth-bank/"/>
  </r>
  <r>
    <s v="Westpac Banking Group"/>
    <s v="Financials"/>
    <s v="Major Banks"/>
    <s v="Australia"/>
    <x v="0"/>
    <n v="99"/>
    <n v="38.4"/>
    <n v="6.8"/>
    <n v="651.4"/>
    <n v="60"/>
    <s v="http://www.forbes.com/companies/westpac-banking/"/>
  </r>
  <r>
    <s v="National Australia Bank"/>
    <s v="Financials"/>
    <s v="Major Banks"/>
    <s v="Australia"/>
    <x v="0"/>
    <n v="75.3"/>
    <n v="36.9"/>
    <n v="5.4"/>
    <n v="755.9"/>
    <n v="74"/>
    <s v="http://www.forbes.com/companies/national-australia-bank/"/>
  </r>
  <r>
    <s v="ANZ"/>
    <s v="Financials"/>
    <s v="Major Banks"/>
    <s v="Australia"/>
    <x v="0"/>
    <n v="83.9"/>
    <n v="34"/>
    <n v="6.2"/>
    <n v="659.7"/>
    <n v="75"/>
    <s v="http://www.forbes.com/companies/anz/"/>
  </r>
  <r>
    <s v="Wesfarmers"/>
    <s v="Consumer Staples"/>
    <s v="Food Retail"/>
    <s v="Australia"/>
    <x v="0"/>
    <n v="43.5"/>
    <n v="58.5"/>
    <n v="2.2999999999999998"/>
    <n v="39.299999999999997"/>
    <n v="205"/>
    <s v="http://www.forbes.com/companies/wesfarmers/"/>
  </r>
  <r>
    <s v="Telstra"/>
    <s v="Telecommunication Services"/>
    <s v="Telecommunications services"/>
    <s v="Australia"/>
    <x v="0"/>
    <n v="58.1"/>
    <n v="24.7"/>
    <n v="3.8"/>
    <n v="35.6"/>
    <n v="225"/>
    <s v="http://www.forbes.com/companies/telstra/"/>
  </r>
  <r>
    <s v="Woolworths"/>
    <s v="Consumer Staples"/>
    <s v="Food Retail"/>
    <s v="Australia"/>
    <x v="0"/>
    <n v="41.3"/>
    <n v="58.3"/>
    <n v="2.2999999999999998"/>
    <n v="21.7"/>
    <n v="284"/>
    <s v="http://www.forbes.com/companies/woolworths/"/>
  </r>
  <r>
    <s v="AMP"/>
    <s v="Financials"/>
    <s v="Investment Services"/>
    <s v="Australia"/>
    <x v="0"/>
    <n v="13.5"/>
    <n v="19.399999999999999"/>
    <n v="0.6"/>
    <n v="119.2"/>
    <n v="431"/>
    <s v="http://www.forbes.com/companies/amp/"/>
  </r>
  <r>
    <s v="Macquarie Group"/>
    <s v="Financials"/>
    <s v="Investment Services"/>
    <s v="Australia"/>
    <x v="0"/>
    <n v="17.2"/>
    <n v="10.3"/>
    <n v="0.9"/>
    <n v="144.6"/>
    <n v="432"/>
    <s v="http://www.forbes.com/companies/macquarie-group/"/>
  </r>
  <r>
    <s v="Fortescue Metals Group"/>
    <s v="Materials"/>
    <s v="Iron &amp; Steel"/>
    <s v="Australia"/>
    <x v="0"/>
    <n v="15.3"/>
    <n v="10.6"/>
    <n v="3"/>
    <n v="22.9"/>
    <n v="507"/>
    <s v="http://www.forbes.com/companies/fortescue-metals-group/"/>
  </r>
  <r>
    <s v="Suncorp Group"/>
    <s v="Financials"/>
    <s v="Diversified Insurance"/>
    <s v="Australia"/>
    <x v="0"/>
    <n v="15.2"/>
    <n v="15.6"/>
    <n v="0.4"/>
    <n v="84.2"/>
    <n v="539"/>
    <s v="http://www.forbes.com/companies/suncorp-group/"/>
  </r>
  <r>
    <s v="Woodside Petroleum"/>
    <s v="Energy"/>
    <s v="Oil &amp; Gas Operations"/>
    <s v="Australia"/>
    <x v="0"/>
    <n v="29.4"/>
    <n v="6.2"/>
    <n v="1.7"/>
    <n v="23.8"/>
    <n v="579"/>
    <s v="http://www.forbes.com/companies/woodside-petroleum/"/>
  </r>
  <r>
    <s v="Insurance Australia Group"/>
    <s v="Financials"/>
    <s v="Property &amp; Casualty Insurance"/>
    <s v="Australia"/>
    <x v="0"/>
    <n v="11.9"/>
    <n v="9"/>
    <n v="0.9"/>
    <n v="23.7"/>
    <n v="667"/>
    <s v="http://www.forbes.com/companies/insurance-australia-group/"/>
  </r>
  <r>
    <s v="Westfield Group"/>
    <s v="Financials"/>
    <s v="Real Estate"/>
    <s v="Australia"/>
    <x v="0"/>
    <n v="19.7"/>
    <n v="2.2999999999999998"/>
    <n v="1.5"/>
    <n v="31.2"/>
    <n v="712"/>
    <s v="http://www.forbes.com/companies/westfield-group/"/>
  </r>
  <r>
    <s v="QBE Insurance Group"/>
    <s v="Financials"/>
    <s v="Property &amp; Casualty Insurance"/>
    <s v="Australia"/>
    <x v="0"/>
    <n v="14.7"/>
    <n v="16.100000000000001"/>
    <n v="-0.3"/>
    <n v="47.3"/>
    <n v="734"/>
    <s v="http://www.forbes.com/companies/qbe-insurance-group/"/>
  </r>
  <r>
    <s v="Origin Energy"/>
    <s v="Utilities"/>
    <s v="Electric Utilities"/>
    <s v="Australia"/>
    <x v="0"/>
    <n v="14.5"/>
    <n v="14"/>
    <n v="0.2"/>
    <n v="27.2"/>
    <n v="852"/>
    <s v="http://www.forbes.com/companies/origin-energy/"/>
  </r>
  <r>
    <s v="CSL"/>
    <s v="Health Care"/>
    <s v="Biotechs"/>
    <s v="Australia"/>
    <x v="0"/>
    <n v="31.1"/>
    <n v="5"/>
    <n v="1.2"/>
    <n v="6.2"/>
    <n v="928"/>
    <s v="http://www.forbes.com/companies/csl/"/>
  </r>
  <r>
    <s v="Amcor"/>
    <s v="Materials"/>
    <s v="Containers &amp; Packaging"/>
    <s v="Australia"/>
    <x v="0"/>
    <n v="11.5"/>
    <n v="11.2"/>
    <n v="0.5"/>
    <n v="9"/>
    <n v="1004"/>
    <s v="http://www.forbes.com/companies/amcor/"/>
  </r>
  <r>
    <s v="Brambles"/>
    <s v="Consumer Discretionary"/>
    <s v="Business &amp; Personal Services"/>
    <s v="Australia"/>
    <x v="0"/>
    <n v="13.4"/>
    <n v="5.6"/>
    <n v="1.3"/>
    <n v="7.5"/>
    <n v="1007"/>
    <s v="http://www.forbes.com/companies/brambles/"/>
  </r>
  <r>
    <s v="Lend Lease Group"/>
    <s v="Financials"/>
    <s v="Real Estate"/>
    <s v="Australia"/>
    <x v="0"/>
    <n v="6"/>
    <n v="12.1"/>
    <n v="0.5"/>
    <n v="13.8"/>
    <n v="1076"/>
    <s v="http://www.forbes.com/companies/lend-lease-group/"/>
  </r>
  <r>
    <s v="Santos"/>
    <s v="Energy"/>
    <s v="Oil &amp; Gas Operations"/>
    <s v="Australia"/>
    <x v="0"/>
    <n v="12.1"/>
    <n v="3.5"/>
    <n v="0.5"/>
    <n v="18.399999999999999"/>
    <n v="1111"/>
    <s v="http://www.forbes.com/companies/santos/"/>
  </r>
  <r>
    <s v="Caltex Australia"/>
    <s v="Energy"/>
    <s v="Oil &amp; Gas Operations"/>
    <s v="Australia"/>
    <x v="0"/>
    <n v="5.4"/>
    <n v="23.5"/>
    <n v="0.5"/>
    <n v="5.4"/>
    <n v="1185"/>
    <s v="http://www.forbes.com/companies/caltex-australia/"/>
  </r>
  <r>
    <s v="Westfield Retail Trust"/>
    <s v="Financials"/>
    <s v="Real Estate"/>
    <s v="Australia"/>
    <x v="0"/>
    <n v="8.3000000000000007"/>
    <n v="0.5"/>
    <n v="0.7"/>
    <n v="12.3"/>
    <n v="1286"/>
    <s v="http://www.forbes.com/companies/westfield-retail-trust/"/>
  </r>
  <r>
    <s v="Orica"/>
    <s v="Materials"/>
    <s v="Diversified Metals &amp; Mining"/>
    <s v="Australia"/>
    <x v="0"/>
    <n v="7.4"/>
    <n v="6.8"/>
    <n v="0.6"/>
    <n v="8"/>
    <n v="1319"/>
    <s v="http://www.forbes.com/companies/orica/"/>
  </r>
  <r>
    <s v="AGL Energy"/>
    <s v="Utilities"/>
    <s v="Electric Utilities"/>
    <s v="Australia"/>
    <x v="0"/>
    <n v="7.8"/>
    <n v="9.1999999999999993"/>
    <n v="0.3"/>
    <n v="12.5"/>
    <n v="1345"/>
    <s v="http://www.forbes.com/companies/agl-energy/"/>
  </r>
  <r>
    <s v="Qantas Airways"/>
    <s v="Industrials"/>
    <s v="Airline"/>
    <s v="Australia"/>
    <x v="0"/>
    <n v="2.2000000000000002"/>
    <n v="14.9"/>
    <n v="-0.3"/>
    <n v="17.899999999999999"/>
    <n v="1356"/>
    <s v="http://www.forbes.com/companies/qantas-airways/"/>
  </r>
  <r>
    <s v="Stockland Australia"/>
    <s v="Financials"/>
    <s v="Real Estate"/>
    <s v="Australia"/>
    <x v="0"/>
    <n v="8"/>
    <n v="1.8"/>
    <n v="0.5"/>
    <n v="13.1"/>
    <n v="1386"/>
    <s v="http://www.forbes.com/companies/stockland-australia/"/>
  </r>
  <r>
    <s v="Crown Resorts"/>
    <s v="Consumer Discretionary"/>
    <s v="Casinos &amp; Gaming"/>
    <s v="Australia"/>
    <x v="0"/>
    <n v="11.2"/>
    <n v="2.8"/>
    <n v="0.6"/>
    <n v="5.8"/>
    <n v="1449"/>
    <s v="http://www.forbes.com/companies/crown-resorts/"/>
  </r>
  <r>
    <s v="Bendigo &amp; Adelaide Bank"/>
    <s v="Financials"/>
    <s v="Regional Banks"/>
    <s v="Australia"/>
    <x v="0"/>
    <n v="4.3"/>
    <n v="3.1"/>
    <n v="0.3"/>
    <n v="54"/>
    <n v="1482"/>
    <s v="http://www.forbes.com/companies/bendigo-adelaide-bank/"/>
  </r>
  <r>
    <s v="Aurizon Holdings"/>
    <s v="Industrials"/>
    <s v="Railroads"/>
    <s v="Australia"/>
    <x v="0"/>
    <n v="10.1"/>
    <n v="3.7"/>
    <n v="0.4"/>
    <n v="9.3000000000000007"/>
    <n v="1657"/>
    <s v="http://www.forbes.com/companies/aurizon-holdings/"/>
  </r>
  <r>
    <s v="Nine Entertainment Co. Holdings Pty"/>
    <m/>
    <m/>
    <s v="Australia"/>
    <x v="0"/>
    <n v="2.1"/>
    <n v="1.3"/>
    <n v="1.2"/>
    <n v="3.1"/>
    <n v="1748"/>
    <s v="http://www.forbes.com/companies/nine-entertainment/"/>
  </r>
  <r>
    <s v="Bank of Queensland"/>
    <s v="Financials"/>
    <s v="Regional Banks"/>
    <s v="Australia"/>
    <x v="0"/>
    <n v="3.8"/>
    <n v="2.5"/>
    <n v="0.2"/>
    <n v="37.9"/>
    <n v="1805"/>
    <s v="http://www.forbes.com/companies/bank-of-queensland/"/>
  </r>
  <r>
    <s v="Metcash"/>
    <s v="Consumer Staples"/>
    <s v="Food Retail"/>
    <s v="Australia"/>
    <x v="0"/>
    <n v="2.1"/>
    <n v="13.1"/>
    <n v="0.2"/>
    <n v="4.2"/>
    <n v="1890"/>
    <s v="http://www.forbes.com/companies/metcash/"/>
  </r>
  <r>
    <s v="Newcrest Mining"/>
    <s v="Materials"/>
    <s v="Diversified Metals &amp; Mining"/>
    <s v="Australia"/>
    <x v="0"/>
    <n v="6.9"/>
    <n v="3.8"/>
    <n v="-5.8"/>
    <n v="15.7"/>
    <n v="1922"/>
    <s v="http://www.forbes.com/companies/newcrest-mining/"/>
  </r>
  <r>
    <s v="GPT Group"/>
    <s v="Financials"/>
    <s v="Real Estate"/>
    <s v="Australia"/>
    <x v="0"/>
    <n v="5.7"/>
    <n v="0.6"/>
    <n v="0.6"/>
    <n v="8.4"/>
    <n v="1947"/>
    <s v="http://www.forbes.com/companies/gpt-group/"/>
  </r>
  <r>
    <s v="OMV Group"/>
    <s v="Energy"/>
    <s v="Oil &amp; Gas Operations"/>
    <s v="Europe"/>
    <x v="1"/>
    <n v="14.8"/>
    <n v="56.3"/>
    <n v="1.5"/>
    <n v="43.8"/>
    <n v="326"/>
    <s v="http://www.forbes.com/companies/omv-group/"/>
  </r>
  <r>
    <s v="Raiffeisen Bank International"/>
    <s v="Financials"/>
    <s v="Major Banks"/>
    <s v="Europe"/>
    <x v="1"/>
    <n v="10.1"/>
    <n v="11.1"/>
    <n v="0.7"/>
    <n v="177.4"/>
    <n v="536"/>
    <s v="http://www.forbes.com/companies/raiffeisen-bank-international/"/>
  </r>
  <r>
    <s v="Erste Group Bank"/>
    <s v="Financials"/>
    <s v="Major Banks"/>
    <s v="Europe"/>
    <x v="1"/>
    <n v="14.4"/>
    <n v="12.6"/>
    <n v="0.1"/>
    <n v="275.39999999999998"/>
    <n v="694"/>
    <s v="http://www.forbes.com/companies/erste-group-bank/"/>
  </r>
  <r>
    <s v="Vienna Insurance Group"/>
    <s v="Financials"/>
    <s v="Diversified Insurance"/>
    <s v="Europe"/>
    <x v="1"/>
    <n v="6.4"/>
    <n v="13.3"/>
    <n v="0.4"/>
    <n v="55"/>
    <n v="809"/>
    <s v="http://www.forbes.com/companies/vienna-insurance-group/"/>
  </r>
  <r>
    <s v="Voestalpine"/>
    <s v="Materials"/>
    <s v="Iron &amp; Steel"/>
    <s v="Europe"/>
    <x v="1"/>
    <n v="7.7"/>
    <n v="14.9"/>
    <n v="0.6"/>
    <n v="17"/>
    <n v="841"/>
    <s v="http://www.forbes.com/companies/voestalpine/"/>
  </r>
  <r>
    <s v="Uniqa"/>
    <s v="Financials"/>
    <s v="Diversified Insurance"/>
    <s v="Europe"/>
    <x v="1"/>
    <n v="4.0999999999999996"/>
    <n v="8.5"/>
    <n v="0.4"/>
    <n v="40"/>
    <n v="1108"/>
    <s v="http://www.forbes.com/companies/uniqa/"/>
  </r>
  <r>
    <s v="Verbund"/>
    <s v="Utilities"/>
    <s v="Electric Utilities"/>
    <s v="Europe"/>
    <x v="1"/>
    <n v="7.2"/>
    <n v="4.3"/>
    <n v="0.8"/>
    <n v="17.600000000000001"/>
    <n v="1151"/>
    <s v="http://www.forbes.com/companies/verbund/"/>
  </r>
  <r>
    <s v="STRABAG"/>
    <s v="Industrials"/>
    <s v="Construction Services"/>
    <s v="Europe"/>
    <x v="1"/>
    <n v="2.7"/>
    <n v="16.5"/>
    <n v="0.2"/>
    <n v="13.9"/>
    <n v="1425"/>
    <s v="http://www.forbes.com/companies/strabag/"/>
  </r>
  <r>
    <s v="Volksbank"/>
    <s v="Financials"/>
    <s v="Regional Banks"/>
    <s v="Europe"/>
    <x v="1"/>
    <n v="0.3"/>
    <n v="1.3"/>
    <n v="-0.5"/>
    <n v="31.6"/>
    <n v="1886"/>
    <s v="http://www.forbes.com/companies/volksbank/"/>
  </r>
  <r>
    <s v="Andritz"/>
    <s v="Industrials"/>
    <s v="Other Industrial Equipment"/>
    <s v="Europe"/>
    <x v="1"/>
    <n v="6.5"/>
    <n v="7.6"/>
    <n v="0.1"/>
    <n v="7.7"/>
    <n v="1924"/>
    <s v="http://www.forbes.com/companies/andritz/"/>
  </r>
  <r>
    <s v="Ahli United Bank"/>
    <s v="Financials"/>
    <s v="Regional Banks"/>
    <s v="Asia"/>
    <x v="2"/>
    <n v="4.7"/>
    <n v="1.3"/>
    <n v="0.6"/>
    <n v="32.700000000000003"/>
    <n v="1322"/>
    <s v="http://www.forbes.com/companies/ahli-united-bank/"/>
  </r>
  <r>
    <s v="Arab Banking"/>
    <s v="Financials"/>
    <s v="Regional Banks"/>
    <s v="Asia"/>
    <x v="2"/>
    <n v="1.6"/>
    <n v="1.4"/>
    <n v="0.2"/>
    <n v="26.5"/>
    <n v="1991"/>
    <s v="http://www.forbes.com/companies/arab-banking/"/>
  </r>
  <r>
    <s v="Anheuser-Busch InBev"/>
    <s v="Consumer Staples"/>
    <s v="Beverages"/>
    <s v="Europe"/>
    <x v="3"/>
    <n v="171.2"/>
    <n v="43.2"/>
    <n v="14.5"/>
    <n v="141.69999999999999"/>
    <n v="64"/>
    <s v="http://www.forbes.com/companies/anheuser-busch-inbev/"/>
  </r>
  <r>
    <s v="KBC Group"/>
    <s v="Financials"/>
    <s v="Major Banks"/>
    <s v="Europe"/>
    <x v="3"/>
    <n v="26.3"/>
    <n v="17.2"/>
    <n v="1.3"/>
    <n v="338.8"/>
    <n v="260"/>
    <s v="http://www.forbes.com/companies/kbc-group/"/>
  </r>
  <r>
    <s v="Solvay"/>
    <s v="Materials"/>
    <s v="Diversified Chemicals"/>
    <s v="Europe"/>
    <x v="3"/>
    <n v="13.4"/>
    <n v="15.1"/>
    <n v="0.4"/>
    <n v="25.4"/>
    <n v="737"/>
    <s v="http://www.forbes.com/companies/solvay/"/>
  </r>
  <r>
    <s v="Belgacom"/>
    <s v="Telecommunication Services"/>
    <s v="Telecommunications services"/>
    <s v="Europe"/>
    <x v="3"/>
    <n v="10.7"/>
    <n v="8.3000000000000007"/>
    <n v="0.8"/>
    <n v="11.6"/>
    <n v="905"/>
    <s v="http://www.forbes.com/companies/belgacom/"/>
  </r>
  <r>
    <s v="Dexia"/>
    <s v="Financials"/>
    <s v="Major Banks"/>
    <s v="Europe"/>
    <x v="3"/>
    <n v="0.1"/>
    <n v="20.2"/>
    <n v="-1.4"/>
    <n v="307.8"/>
    <n v="932"/>
    <s v="http://www.forbes.com/companies/dexia/"/>
  </r>
  <r>
    <s v="Banque nationale de Belgique"/>
    <s v="Financials"/>
    <s v="Major Banks"/>
    <s v="Europe"/>
    <x v="3"/>
    <n v="1.9"/>
    <n v="2.9"/>
    <n v="1.7"/>
    <n v="144.69999999999999"/>
    <n v="934"/>
    <s v="http://www.forbes.com/companies/banque-nationale-de-belgique/"/>
  </r>
  <r>
    <s v="Delhaize Group"/>
    <s v="Consumer Staples"/>
    <s v="Food Retail"/>
    <s v="Europe"/>
    <x v="3"/>
    <n v="7.3"/>
    <n v="28.5"/>
    <n v="0.2"/>
    <n v="16"/>
    <n v="1059"/>
    <s v="http://www.forbes.com/companies/delhaize-group/"/>
  </r>
  <r>
    <s v="Colruyt"/>
    <s v="Consumer Staples"/>
    <s v="Food Retail"/>
    <s v="Europe"/>
    <x v="3"/>
    <n v="8.9"/>
    <n v="11.1"/>
    <n v="0.5"/>
    <n v="4.9000000000000004"/>
    <n v="1139"/>
    <s v="http://www.forbes.com/companies/colruyt/"/>
  </r>
  <r>
    <s v="UCB"/>
    <s v="Health Care"/>
    <s v="Pharmaceuticals"/>
    <s v="Europe"/>
    <x v="3"/>
    <n v="15.3"/>
    <n v="4.5"/>
    <n v="0.3"/>
    <n v="13.7"/>
    <n v="1383"/>
    <s v="http://www.forbes.com/companies/ucb/"/>
  </r>
  <r>
    <s v="Umicore"/>
    <s v="Materials"/>
    <s v="Diversified Metals &amp; Mining"/>
    <s v="Europe"/>
    <x v="3"/>
    <n v="5.6"/>
    <n v="13"/>
    <n v="0.2"/>
    <n v="4.8"/>
    <n v="1736"/>
    <s v="http://www.forbes.com/companies/umicore/"/>
  </r>
  <r>
    <s v="Ackermans &amp; van Haaren"/>
    <s v="Financials"/>
    <s v="Investment Services"/>
    <s v="Europe"/>
    <x v="3"/>
    <n v="4.2"/>
    <n v="0.9"/>
    <n v="0.4"/>
    <n v="15"/>
    <n v="1897"/>
    <s v="http://www.forbes.com/companies/ackermans-van-haaren/"/>
  </r>
  <r>
    <s v="Seadrill"/>
    <s v="Energy"/>
    <s v="Oil Services &amp; Equipment"/>
    <s v="North America"/>
    <x v="4"/>
    <n v="16.399999999999999"/>
    <n v="5.3"/>
    <n v="2.7"/>
    <n v="26.3"/>
    <n v="628"/>
    <s v="http://www.forbes.com/companies/seadrill/"/>
  </r>
  <r>
    <s v="Everest Re Group"/>
    <s v="Financials"/>
    <s v="Diversified Insurance"/>
    <s v="North America"/>
    <x v="4"/>
    <n v="8.6"/>
    <n v="5.3"/>
    <n v="1.2"/>
    <n v="19.8"/>
    <n v="886"/>
    <s v="http://www.forbes.com/companies/everest-re-group/"/>
  </r>
  <r>
    <s v="PartnerRe"/>
    <s v="Financials"/>
    <s v="Diversified Insurance"/>
    <s v="North America"/>
    <x v="4"/>
    <n v="5.2"/>
    <n v="5.8"/>
    <n v="0.7"/>
    <n v="23"/>
    <n v="1134"/>
    <s v="http://www.forbes.com/companies/partnerre/"/>
  </r>
  <r>
    <s v="Arch Capital Group"/>
    <s v="Financials"/>
    <s v="Property &amp; Casualty Insurance"/>
    <s v="North America"/>
    <x v="4"/>
    <n v="7.7"/>
    <n v="3.5"/>
    <n v="0.7"/>
    <n v="19.600000000000001"/>
    <n v="1149"/>
    <s v="http://www.forbes.com/companies/arch-capital-group/"/>
  </r>
  <r>
    <s v="Axis Capital Holdings"/>
    <s v="Financials"/>
    <s v="Diversified Insurance"/>
    <s v="North America"/>
    <x v="4"/>
    <n v="5.0999999999999996"/>
    <n v="4.2"/>
    <n v="0.7"/>
    <n v="17.8"/>
    <n v="1391"/>
    <s v="http://www.forbes.com/companies/axis-capital-holdings/"/>
  </r>
  <r>
    <s v="Assured Guaranty"/>
    <s v="Financials"/>
    <s v="Diversified Insurance"/>
    <s v="North America"/>
    <x v="4"/>
    <n v="4.7"/>
    <n v="1.2"/>
    <n v="0.8"/>
    <n v="16.100000000000001"/>
    <n v="1453"/>
    <s v="http://www.forbes.com/companies/assured-guaranty/"/>
  </r>
  <r>
    <s v="Nabors Industries"/>
    <s v="Energy"/>
    <s v="Oil Services &amp; Equipment"/>
    <s v="North America"/>
    <x v="4"/>
    <n v="7.3"/>
    <n v="6.2"/>
    <n v="0.1"/>
    <n v="12.2"/>
    <n v="1631"/>
    <s v="http://www.forbes.com/companies/nabors-industries/"/>
  </r>
  <r>
    <s v="Catlin Group"/>
    <s v="Financials"/>
    <s v="Property &amp; Casualty Insurance"/>
    <s v="North America"/>
    <x v="4"/>
    <n v="3.2"/>
    <n v="4.0999999999999996"/>
    <n v="0.4"/>
    <n v="14.2"/>
    <n v="1854"/>
    <s v="http://www.forbes.com/companies/catlin-group/"/>
  </r>
  <r>
    <s v="Signet Jewelers"/>
    <s v="Consumer Discretionary"/>
    <s v="Specialty Stores"/>
    <s v="North America"/>
    <x v="4"/>
    <n v="8.6"/>
    <n v="4.2"/>
    <n v="0.4"/>
    <n v="4"/>
    <n v="1858"/>
    <s v="http://www.forbes.com/companies/signet-jewelers/"/>
  </r>
  <r>
    <s v="Petrobras"/>
    <s v="Energy"/>
    <s v="Oil &amp; Gas Operations"/>
    <s v="South America"/>
    <x v="5"/>
    <n v="86.8"/>
    <n v="141.19999999999999"/>
    <n v="10.9"/>
    <n v="319.2"/>
    <n v="30"/>
    <s v="http://www.forbes.com/companies/petrobras/"/>
  </r>
  <r>
    <s v="ItaÃƒÂº Unibanco Holding"/>
    <s v="Financials"/>
    <s v="Major Banks"/>
    <s v="South America"/>
    <x v="5"/>
    <n v="74.900000000000006"/>
    <n v="67.2"/>
    <n v="7.6"/>
    <n v="435.4"/>
    <n v="46"/>
    <s v="http://www.forbes.com/companies/itau-unibanco-holding/"/>
  </r>
  <r>
    <s v="Banco Bradesco"/>
    <s v="Financials"/>
    <s v="Regional Banks"/>
    <s v="South America"/>
    <x v="5"/>
    <n v="58.5"/>
    <n v="74.099999999999994"/>
    <n v="5.6"/>
    <n v="384.9"/>
    <n v="63"/>
    <s v="http://www.forbes.com/companies/banco-bradesco/"/>
  </r>
  <r>
    <s v="Banco do Brasil"/>
    <s v="Financials"/>
    <s v="Major Banks"/>
    <s v="South America"/>
    <x v="5"/>
    <n v="28.3"/>
    <n v="68.599999999999994"/>
    <n v="7.3"/>
    <n v="552.70000000000005"/>
    <n v="104"/>
    <s v="http://www.forbes.com/companies/banco-do-brasil/"/>
  </r>
  <r>
    <s v="Vale"/>
    <s v="Materials"/>
    <s v="Iron &amp; Steel"/>
    <s v="South America"/>
    <x v="5"/>
    <n v="71.400000000000006"/>
    <n v="47.6"/>
    <n v="0.1"/>
    <n v="123.7"/>
    <n v="442"/>
    <s v="http://www.forbes.com/companies/vale/"/>
  </r>
  <r>
    <s v="JBS"/>
    <s v="Consumer Staples"/>
    <s v="Food Processing"/>
    <s v="South America"/>
    <x v="5"/>
    <n v="9.6"/>
    <n v="43"/>
    <n v="0.4"/>
    <n v="29.1"/>
    <n v="637"/>
    <s v="http://www.forbes.com/companies/jbs/"/>
  </r>
  <r>
    <s v="Grupo PÃƒÂ£o de AÃƒÂ§ÃƒÂºcar"/>
    <s v="Consumer Staples"/>
    <s v="Food Retail"/>
    <s v="South America"/>
    <x v="5"/>
    <n v="11.7"/>
    <n v="26.7"/>
    <n v="0.5"/>
    <n v="16.100000000000001"/>
    <n v="710"/>
    <s v="http://www.forbes.com/companies/grupo-pao-de-acucar/"/>
  </r>
  <r>
    <s v="BRF-Brasil Foods"/>
    <s v="Consumer Staples"/>
    <s v="Food Processing"/>
    <s v="South America"/>
    <x v="5"/>
    <n v="17.5"/>
    <n v="14.1"/>
    <n v="0.5"/>
    <n v="13.7"/>
    <n v="751"/>
    <s v="http://www.forbes.com/companies/brf-brasil-foods/"/>
  </r>
  <r>
    <s v="ItaÃƒÂºsa"/>
    <s v="Industrials"/>
    <s v="Conglomerates"/>
    <s v="South America"/>
    <x v="5"/>
    <n v="22.8"/>
    <n v="2.6"/>
    <n v="2.6"/>
    <n v="17.8"/>
    <n v="755"/>
    <s v="http://www.forbes.com/companies/itausa/"/>
  </r>
  <r>
    <s v="Oi"/>
    <s v="Telecommunication Services"/>
    <s v="Telecommunications services"/>
    <s v="South America"/>
    <x v="5"/>
    <n v="2.2999999999999998"/>
    <n v="13.2"/>
    <n v="0.7"/>
    <n v="29.7"/>
    <n v="872"/>
    <s v="http://www.forbes.com/companies/oi/"/>
  </r>
  <r>
    <s v="Cemig"/>
    <s v="Utilities"/>
    <s v="Electric Utilities"/>
    <s v="South America"/>
    <x v="5"/>
    <n v="8.6999999999999993"/>
    <n v="6.8"/>
    <n v="1.4"/>
    <n v="12.6"/>
    <n v="914"/>
    <s v="http://www.forbes.com/companies/cemig/"/>
  </r>
  <r>
    <s v="Cielo"/>
    <s v="Consumer Discretionary"/>
    <s v="Business &amp; Personal Services"/>
    <s v="South America"/>
    <x v="5"/>
    <n v="25.3"/>
    <n v="3.1"/>
    <n v="1.2"/>
    <n v="5.6"/>
    <n v="1044"/>
    <s v="http://www.forbes.com/companies/cielo/"/>
  </r>
  <r>
    <s v="EletrobrÃƒÂ¡s"/>
    <s v="Utilities"/>
    <s v="Electric Utilities"/>
    <s v="South America"/>
    <x v="5"/>
    <n v="4.5"/>
    <n v="15.3"/>
    <n v="-2.9"/>
    <n v="58.7"/>
    <n v="1060"/>
    <s v="http://www.forbes.com/companies/eletrobras/"/>
  </r>
  <r>
    <s v="Sabesp"/>
    <s v="Utilities"/>
    <s v="Diversified Utilities"/>
    <s v="South America"/>
    <x v="5"/>
    <n v="6.5"/>
    <n v="5.3"/>
    <n v="1"/>
    <n v="12.8"/>
    <n v="1157"/>
    <s v="http://www.forbes.com/companies/sabesp/"/>
  </r>
  <r>
    <s v="CPFL Energia"/>
    <s v="Utilities"/>
    <s v="Electric Utilities"/>
    <s v="South America"/>
    <x v="5"/>
    <n v="7.8"/>
    <n v="7.2"/>
    <n v="0.4"/>
    <n v="13.2"/>
    <n v="1166"/>
    <s v="http://www.forbes.com/companies/cpfl-energia/"/>
  </r>
  <r>
    <s v="Braskem"/>
    <s v="Materials"/>
    <s v="Specialized Chemicals"/>
    <s v="South America"/>
    <x v="5"/>
    <n v="5.3"/>
    <n v="19"/>
    <n v="0.2"/>
    <n v="20.5"/>
    <n v="1179"/>
    <s v="http://www.forbes.com/companies/braskem/"/>
  </r>
  <r>
    <s v="Metalurgica Gerdau"/>
    <s v="Materials"/>
    <s v="Iron &amp; Steel"/>
    <s v="South America"/>
    <x v="5"/>
    <n v="2.9"/>
    <n v="18.5"/>
    <n v="0.2"/>
    <n v="24.8"/>
    <n v="1181"/>
    <s v="http://www.forbes.com/companies/metalurgica-gerdau/"/>
  </r>
  <r>
    <s v="CSN"/>
    <s v="Materials"/>
    <s v="Iron &amp; Steel"/>
    <s v="South America"/>
    <x v="5"/>
    <n v="6.2"/>
    <n v="8"/>
    <n v="0.2"/>
    <n v="21.4"/>
    <n v="1362"/>
    <s v="http://www.forbes.com/companies/csn/"/>
  </r>
  <r>
    <s v="CCR"/>
    <s v="Industrials"/>
    <s v="Other Transportation"/>
    <s v="South America"/>
    <x v="5"/>
    <n v="13.2"/>
    <n v="2.8"/>
    <n v="0.6"/>
    <n v="5.9"/>
    <n v="1366"/>
    <s v="http://www.forbes.com/companies/ccr/"/>
  </r>
  <r>
    <s v="BM&amp;F Bovespa"/>
    <s v="Financials"/>
    <s v="Investment Services"/>
    <s v="South America"/>
    <x v="5"/>
    <n v="8.6999999999999993"/>
    <n v="1"/>
    <n v="0.5"/>
    <n v="11"/>
    <n v="1467"/>
    <s v="http://www.forbes.com/companies/bmf-bovespa/"/>
  </r>
  <r>
    <s v="Cosan"/>
    <s v="Consumer Staples"/>
    <s v="Food Processing"/>
    <s v="South America"/>
    <x v="5"/>
    <n v="3.1"/>
    <n v="14.2"/>
    <n v="0.1"/>
    <n v="12.6"/>
    <n v="1529"/>
    <s v="http://www.forbes.com/companies/cosan/"/>
  </r>
  <r>
    <s v="Embraer"/>
    <s v="Industrials"/>
    <s v="Aerospace &amp; Defense"/>
    <s v="South America"/>
    <x v="5"/>
    <n v="6.6"/>
    <n v="6.3"/>
    <n v="0.4"/>
    <n v="10.1"/>
    <n v="1544"/>
    <s v="http://www.forbes.com/companies/embraer/"/>
  </r>
  <r>
    <s v="Porto Seguro"/>
    <s v="Financials"/>
    <s v="Diversified Insurance"/>
    <s v="South America"/>
    <x v="5"/>
    <n v="4.5999999999999996"/>
    <n v="6.2"/>
    <n v="0.7"/>
    <n v="8.6"/>
    <n v="1585"/>
    <s v="http://www.forbes.com/companies/porto-seguro/"/>
  </r>
  <r>
    <s v="Banrisul"/>
    <s v="Financials"/>
    <s v="Regional Banks"/>
    <s v="South America"/>
    <x v="5"/>
    <n v="2.2999999999999998"/>
    <n v="3.6"/>
    <n v="0.4"/>
    <n v="22.6"/>
    <n v="1670"/>
    <s v="http://www.forbes.com/companies/banrisul/"/>
  </r>
  <r>
    <s v="WEG"/>
    <s v="Industrials"/>
    <s v="Electrical Equipment"/>
    <s v="South America"/>
    <x v="5"/>
    <n v="8.6999999999999993"/>
    <n v="3.2"/>
    <n v="0.4"/>
    <n v="4.3"/>
    <n v="1832"/>
    <s v="http://www.forbes.com/companies/weg/"/>
  </r>
  <r>
    <s v="Royal Bank of Canada"/>
    <s v="Financials"/>
    <s v="Major Banks"/>
    <s v="North America"/>
    <x v="6"/>
    <n v="95.7"/>
    <n v="37.799999999999997"/>
    <n v="8"/>
    <n v="811.4"/>
    <n v="55"/>
    <s v="http://www.forbes.com/companies/royal-bank-of-canada/"/>
  </r>
  <r>
    <s v="TD Bank Group"/>
    <s v="Financials"/>
    <s v="Major Banks"/>
    <s v="North America"/>
    <x v="6"/>
    <n v="86.2"/>
    <n v="31.3"/>
    <n v="6.6"/>
    <n v="815.2"/>
    <n v="76"/>
    <s v="http://www.forbes.com/companies/td-bank-group/"/>
  </r>
  <r>
    <s v="Bank of Nova Scotia"/>
    <s v="Financials"/>
    <s v="Major Banks"/>
    <s v="North America"/>
    <x v="6"/>
    <n v="71.2"/>
    <n v="27.7"/>
    <n v="6.3"/>
    <n v="702.1"/>
    <n v="95"/>
    <s v="http://www.forbes.com/companies/bank-of-nova-scotia/"/>
  </r>
  <r>
    <s v="Bank of Montreal"/>
    <s v="Financials"/>
    <s v="Major Banks"/>
    <s v="North America"/>
    <x v="6"/>
    <n v="43.3"/>
    <n v="20.100000000000001"/>
    <n v="4"/>
    <n v="531.6"/>
    <n v="146"/>
    <s v="http://www.forbes.com/companies/bank-of-montreal/"/>
  </r>
  <r>
    <s v="Suncor Energy"/>
    <s v="Energy"/>
    <s v="Oil &amp; Gas Operations"/>
    <s v="North America"/>
    <x v="6"/>
    <n v="51.5"/>
    <n v="38.4"/>
    <n v="3.8"/>
    <n v="73.7"/>
    <n v="149"/>
    <s v="http://www.forbes.com/companies/suncor-energy/"/>
  </r>
  <r>
    <s v="Manulife Financial"/>
    <s v="Financials"/>
    <s v="Life &amp; Health Insurance"/>
    <s v="North America"/>
    <x v="6"/>
    <n v="36"/>
    <n v="17.600000000000001"/>
    <n v="3"/>
    <n v="467"/>
    <n v="173"/>
    <s v="http://www.forbes.com/companies/manulife-financial/"/>
  </r>
  <r>
    <s v="Canadian Imperial Bank"/>
    <s v="Financials"/>
    <s v="Major Banks"/>
    <s v="North America"/>
    <x v="6"/>
    <n v="34.4"/>
    <n v="16.7"/>
    <n v="3.6"/>
    <n v="359.6"/>
    <n v="182"/>
    <s v="http://www.forbes.com/companies/canadian-imperial-bank/"/>
  </r>
  <r>
    <s v="Brookfield Asset Management"/>
    <s v="Financials"/>
    <s v="Real Estate"/>
    <s v="North America"/>
    <x v="6"/>
    <n v="25.2"/>
    <n v="20.8"/>
    <n v="2.1"/>
    <n v="112.7"/>
    <n v="238"/>
    <s v="http://www.forbes.com/companies/brookfield-asset-management/"/>
  </r>
  <r>
    <s v="Sun Life Financial"/>
    <s v="Financials"/>
    <s v="Life &amp; Health Insurance"/>
    <s v="North America"/>
    <x v="6"/>
    <n v="21.1"/>
    <n v="17.899999999999999"/>
    <n v="1.7"/>
    <n v="184.4"/>
    <n v="271"/>
    <s v="http://www.forbes.com/companies/sun-life-financial/"/>
  </r>
  <r>
    <s v="Canadian Natural Resources"/>
    <s v="Energy"/>
    <s v="Oil &amp; Gas Operations"/>
    <s v="North America"/>
    <x v="6"/>
    <n v="42"/>
    <n v="15.7"/>
    <n v="2.2000000000000002"/>
    <n v="50.4"/>
    <n v="278"/>
    <s v="http://www.forbes.com/companies/canadian-natural-resources/"/>
  </r>
  <r>
    <s v="BCE"/>
    <s v="Telecommunication Services"/>
    <s v="Telecommunications services"/>
    <s v="North America"/>
    <x v="6"/>
    <n v="33.700000000000003"/>
    <n v="19.8"/>
    <n v="2"/>
    <n v="42.7"/>
    <n v="290"/>
    <s v="http://www.forbes.com/companies/bce/"/>
  </r>
  <r>
    <s v="Husky Energy"/>
    <s v="Energy"/>
    <s v="Oil &amp; Gas Operations"/>
    <s v="North America"/>
    <x v="6"/>
    <n v="30"/>
    <n v="22.3"/>
    <n v="1.8"/>
    <n v="35.6"/>
    <n v="315"/>
    <s v="http://www.forbes.com/companies/husky-energy/"/>
  </r>
  <r>
    <s v="Power Corp of Canada"/>
    <s v="Financials"/>
    <s v="Life &amp; Health Insurance"/>
    <s v="North America"/>
    <x v="6"/>
    <n v="12.7"/>
    <n v="31.7"/>
    <n v="1"/>
    <n v="319.89999999999998"/>
    <n v="333"/>
    <s v="http://www.forbes.com/companies/power-corp-of-canada/"/>
  </r>
  <r>
    <s v="Enbridge"/>
    <s v="Energy"/>
    <s v="Oil Services &amp; Equipment"/>
    <s v="North America"/>
    <x v="6"/>
    <n v="38.5"/>
    <n v="32.200000000000003"/>
    <n v="0.6"/>
    <n v="54.2"/>
    <n v="344"/>
    <s v="http://www.forbes.com/companies/enbridge/"/>
  </r>
  <r>
    <s v="Canadian National Railway"/>
    <s v="Industrials"/>
    <s v="Railroads"/>
    <s v="North America"/>
    <x v="6"/>
    <n v="46.7"/>
    <n v="10.3"/>
    <n v="2.5"/>
    <n v="28.7"/>
    <n v="387"/>
    <s v="http://www.forbes.com/companies/canadian-national-railway/"/>
  </r>
  <r>
    <s v="TransCanada"/>
    <s v="Energy"/>
    <s v="Oil Services &amp; Equipment"/>
    <s v="North America"/>
    <x v="6"/>
    <n v="35.4"/>
    <n v="8.5"/>
    <n v="1.7"/>
    <n v="53.3"/>
    <n v="390"/>
    <s v="http://www.forbes.com/companies/transcanada/"/>
  </r>
  <r>
    <s v="Magna International"/>
    <s v="Consumer Discretionary"/>
    <s v="Auto &amp; Truck Parts"/>
    <s v="North America"/>
    <x v="6"/>
    <n v="21.9"/>
    <n v="34.799999999999997"/>
    <n v="1.6"/>
    <n v="18"/>
    <n v="409"/>
    <s v="http://www.forbes.com/companies/magna-international/"/>
  </r>
  <r>
    <s v="Rogers Communications"/>
    <s v="Telecommunication Services"/>
    <s v="Telecommunications services"/>
    <s v="North America"/>
    <x v="6"/>
    <n v="21.6"/>
    <n v="12.3"/>
    <n v="1.6"/>
    <n v="22.2"/>
    <n v="479"/>
    <s v="http://www.forbes.com/companies/rogers-communications/"/>
  </r>
  <r>
    <s v="National Bank of Canada"/>
    <s v="Financials"/>
    <s v="Major Banks"/>
    <s v="North America"/>
    <x v="6"/>
    <n v="13.3"/>
    <n v="7"/>
    <n v="1.5"/>
    <n v="175.2"/>
    <n v="493"/>
    <s v="http://www.forbes.com/companies/national-bank-of-canada/"/>
  </r>
  <r>
    <s v="Cenovus Energy"/>
    <s v="Energy"/>
    <s v="Oil &amp; Gas Operations"/>
    <s v="North America"/>
    <x v="6"/>
    <n v="21.8"/>
    <n v="18.100000000000001"/>
    <n v="0.6"/>
    <n v="24.1"/>
    <n v="523"/>
    <s v="http://www.forbes.com/companies/cenovus-energy/"/>
  </r>
  <r>
    <s v="TELUS"/>
    <s v="Telecommunication Services"/>
    <s v="Telecommunications services"/>
    <s v="North America"/>
    <x v="6"/>
    <n v="22.3"/>
    <n v="11"/>
    <n v="1.3"/>
    <n v="20.3"/>
    <n v="542"/>
    <s v="http://www.forbes.com/companies/telus/"/>
  </r>
  <r>
    <s v="Potash of Saskatchewan"/>
    <s v="Materials"/>
    <s v="Specialized Chemicals"/>
    <s v="North America"/>
    <x v="6"/>
    <n v="30.1"/>
    <n v="7.3"/>
    <n v="1.8"/>
    <n v="18"/>
    <n v="582"/>
    <s v="http://www.forbes.com/companies/potash-of-saskatchewan/"/>
  </r>
  <r>
    <s v="George Weston"/>
    <s v="Consumer Staples"/>
    <s v="Food Retail"/>
    <s v="North America"/>
    <x v="6"/>
    <n v="9.5"/>
    <n v="32.6"/>
    <n v="0.7"/>
    <n v="23.2"/>
    <n v="599"/>
    <s v="http://www.forbes.com/companies/george-weston/"/>
  </r>
  <r>
    <s v="Agrium"/>
    <s v="Materials"/>
    <s v="Specialized Chemicals"/>
    <s v="North America"/>
    <x v="6"/>
    <n v="14"/>
    <n v="15.9"/>
    <n v="1.1000000000000001"/>
    <n v="16"/>
    <n v="601"/>
    <s v="http://www.forbes.com/companies/agrium/"/>
  </r>
  <r>
    <s v="Teck Resources"/>
    <s v="Materials"/>
    <s v="Diversified Metals &amp; Mining"/>
    <s v="North America"/>
    <x v="6"/>
    <n v="12.6"/>
    <n v="9.1"/>
    <n v="0.9"/>
    <n v="34.1"/>
    <n v="604"/>
    <s v="http://www.forbes.com/companies/teck-resources/"/>
  </r>
  <r>
    <s v="Couche Tard"/>
    <s v="Consumer Discretionary"/>
    <s v="Specialty Stores"/>
    <s v="North America"/>
    <x v="6"/>
    <n v="15.3"/>
    <n v="37.700000000000003"/>
    <n v="0.8"/>
    <n v="10.4"/>
    <n v="638"/>
    <s v="http://www.forbes.com/companies/couche-tard/"/>
  </r>
  <r>
    <s v="Bombardier"/>
    <s v="Industrials"/>
    <s v="Aerospace &amp; Defense"/>
    <s v="North America"/>
    <x v="6"/>
    <n v="6.7"/>
    <n v="18.2"/>
    <n v="0.6"/>
    <n v="29.4"/>
    <n v="740"/>
    <s v="http://www.forbes.com/companies/bombardier/"/>
  </r>
  <r>
    <s v="Canadian Pacific Railway"/>
    <s v="Industrials"/>
    <s v="Railroads"/>
    <s v="North America"/>
    <x v="6"/>
    <n v="26.5"/>
    <n v="6"/>
    <n v="0.8"/>
    <n v="16.100000000000001"/>
    <n v="750"/>
    <s v="http://www.forbes.com/companies/canadian-pacific-railway/"/>
  </r>
  <r>
    <s v="Barrick Gold"/>
    <s v="Materials"/>
    <s v="Diversified Metals &amp; Mining"/>
    <s v="North America"/>
    <x v="6"/>
    <n v="20.8"/>
    <n v="12.6"/>
    <n v="-10.4"/>
    <n v="37.4"/>
    <n v="771"/>
    <s v="http://www.forbes.com/companies/barrick-gold/"/>
  </r>
  <r>
    <s v="Valeant Pharmaceuticals"/>
    <s v="Health Care"/>
    <s v="Pharmaceuticals"/>
    <s v="North America"/>
    <x v="6"/>
    <n v="44.6"/>
    <n v="5.8"/>
    <n v="-0.9"/>
    <n v="28"/>
    <n v="921"/>
    <s v="http://www.forbes.com/companies/valeant-pharmaceuticals/"/>
  </r>
  <r>
    <s v="Onex"/>
    <s v="Financials"/>
    <s v="Investment Services"/>
    <s v="North America"/>
    <x v="6"/>
    <n v="6.2"/>
    <n v="29"/>
    <n v="-0.6"/>
    <n v="36.9"/>
    <n v="947"/>
    <s v="http://www.forbes.com/companies/onex/"/>
  </r>
  <r>
    <s v="CGI Group"/>
    <s v="Information Technology"/>
    <s v="Computer Services"/>
    <s v="North America"/>
    <x v="6"/>
    <n v="9.6"/>
    <n v="9.9"/>
    <n v="0.6"/>
    <n v="11.1"/>
    <n v="974"/>
    <s v="http://www.forbes.com/companies/cgi-group/"/>
  </r>
  <r>
    <s v="Canadian Tire"/>
    <s v="Consumer Discretionary"/>
    <s v="Specialty Stores"/>
    <s v="North America"/>
    <x v="6"/>
    <n v="7.6"/>
    <n v="11.4"/>
    <n v="0.5"/>
    <n v="12.8"/>
    <n v="988"/>
    <s v="http://www.forbes.com/companies/canadian-tire/"/>
  </r>
  <r>
    <s v="Intact Financial"/>
    <s v="Financials"/>
    <s v="Property &amp; Casualty Insurance"/>
    <s v="North America"/>
    <x v="6"/>
    <n v="8.3000000000000007"/>
    <n v="7.2"/>
    <n v="0.4"/>
    <n v="18.100000000000001"/>
    <n v="1058"/>
    <s v="http://www.forbes.com/companies/intact-financial/"/>
  </r>
  <r>
    <s v="Shaw Communications"/>
    <s v="Consumer Discretionary"/>
    <s v="Broadcasting &amp; Cable"/>
    <s v="North America"/>
    <x v="6"/>
    <n v="10.9"/>
    <n v="5.0999999999999996"/>
    <n v="0.7"/>
    <n v="11.9"/>
    <n v="1072"/>
    <s v="http://www.forbes.com/companies/shaw-communications/"/>
  </r>
  <r>
    <s v="Fairfax Financial"/>
    <s v="Financials"/>
    <s v="Property &amp; Casualty Insurance"/>
    <s v="North America"/>
    <x v="6"/>
    <n v="9.8000000000000007"/>
    <n v="5.8"/>
    <n v="-0.6"/>
    <n v="36"/>
    <n v="1136"/>
    <s v="http://www.forbes.com/companies/fairfax-financial/"/>
  </r>
  <r>
    <s v="Goldcorp"/>
    <s v="Materials"/>
    <s v="Diversified Metals &amp; Mining"/>
    <s v="North America"/>
    <x v="6"/>
    <n v="19.899999999999999"/>
    <n v="3.8"/>
    <n v="-2.7"/>
    <n v="29.6"/>
    <n v="1160"/>
    <s v="http://www.forbes.com/companies/goldcorp/"/>
  </r>
  <r>
    <s v="Saputo"/>
    <s v="Consumer Staples"/>
    <s v="Food Processing"/>
    <s v="North America"/>
    <x v="6"/>
    <n v="9.8000000000000007"/>
    <n v="8.5"/>
    <n v="0.5"/>
    <n v="5.2"/>
    <n v="1164"/>
    <s v="http://www.forbes.com/companies/saputo/"/>
  </r>
  <r>
    <s v="Encana"/>
    <s v="Energy"/>
    <s v="Oil &amp; Gas Operations"/>
    <s v="North America"/>
    <x v="6"/>
    <n v="15.8"/>
    <n v="5.7"/>
    <n v="0.2"/>
    <n v="17.600000000000001"/>
    <n v="1189"/>
    <s v="http://www.forbes.com/companies/encana/"/>
  </r>
  <r>
    <s v="Industrial Alliance Insurance"/>
    <s v="Financials"/>
    <s v="Life &amp; Health Insurance"/>
    <s v="North America"/>
    <x v="6"/>
    <n v="4.0999999999999996"/>
    <n v="6.3"/>
    <n v="0.4"/>
    <n v="39.9"/>
    <n v="1220"/>
    <s v="http://www.forbes.com/companies/industrial-alliance-insurance/"/>
  </r>
  <r>
    <s v="First Quantum Minerals"/>
    <s v="Materials"/>
    <s v="Diversified Metals &amp; Mining"/>
    <s v="North America"/>
    <x v="6"/>
    <n v="10.7"/>
    <n v="3.6"/>
    <n v="0.5"/>
    <n v="15.5"/>
    <n v="1253"/>
    <s v="http://www.forbes.com/companies/first-quantum-minerals/"/>
  </r>
  <r>
    <s v="Empire"/>
    <s v="Consumer Staples"/>
    <s v="Food Retail"/>
    <s v="North America"/>
    <x v="6"/>
    <n v="5.6"/>
    <n v="18.600000000000001"/>
    <n v="0.3"/>
    <n v="11.1"/>
    <n v="1274"/>
    <s v="http://www.forbes.com/companies/empire/"/>
  </r>
  <r>
    <s v="Canadian Oil Sands"/>
    <s v="Energy"/>
    <s v="Oil &amp; Gas Operations"/>
    <s v="North America"/>
    <x v="6"/>
    <n v="10.1"/>
    <n v="3.9"/>
    <n v="0.8"/>
    <n v="9.6"/>
    <n v="1296"/>
    <s v="http://www.forbes.com/companies/canadian-oil-sands/"/>
  </r>
  <r>
    <s v="Metro Inc"/>
    <s v="Consumer Staples"/>
    <s v="Food Retail"/>
    <s v="North America"/>
    <x v="6"/>
    <n v="5.2"/>
    <n v="11.1"/>
    <n v="0.7"/>
    <n v="4.9000000000000004"/>
    <n v="1305"/>
    <s v="http://www.forbes.com/companies/metro-inc/"/>
  </r>
  <r>
    <s v="Talisman Energy"/>
    <s v="Energy"/>
    <s v="Oil &amp; Gas Operations"/>
    <s v="North America"/>
    <x v="6"/>
    <n v="10.3"/>
    <n v="4.7"/>
    <n v="-1.2"/>
    <n v="19.2"/>
    <n v="1405"/>
    <s v="http://www.forbes.com/companies/talisman-energy/"/>
  </r>
  <r>
    <s v="E-L Financial"/>
    <s v="Financials"/>
    <s v="Diversified Insurance"/>
    <s v="North America"/>
    <x v="6"/>
    <n v="2.6"/>
    <n v="2.1"/>
    <n v="0.7"/>
    <n v="15"/>
    <n v="1510"/>
    <s v="http://www.forbes.com/companies/e-l-financial/"/>
  </r>
  <r>
    <s v="Pembina Pipeline"/>
    <s v="Energy"/>
    <s v="Oil &amp; Gas Operations"/>
    <s v="North America"/>
    <x v="6"/>
    <n v="12.1"/>
    <n v="4.9000000000000004"/>
    <n v="0.3"/>
    <n v="8.6"/>
    <n v="1533"/>
    <s v="http://www.forbes.com/companies/pembina-pipeline/"/>
  </r>
  <r>
    <s v="Fortis (Canada)"/>
    <s v="Utilities"/>
    <s v="Electric Utilities"/>
    <s v="North America"/>
    <x v="6"/>
    <n v="6.1"/>
    <n v="3.9"/>
    <n v="0.4"/>
    <n v="16.899999999999999"/>
    <n v="1582"/>
    <s v="http://www.forbes.com/companies/fortis-canada/"/>
  </r>
  <r>
    <s v="Crescent Point Energy"/>
    <s v="Energy"/>
    <s v="Oil &amp; Gas Operations"/>
    <s v="North America"/>
    <x v="6"/>
    <n v="14.6"/>
    <n v="2.8"/>
    <n v="0.1"/>
    <n v="12.3"/>
    <n v="1586"/>
    <s v="http://www.forbes.com/companies/crescent-point-energy/"/>
  </r>
  <r>
    <s v="SNC-Lavalin Group"/>
    <s v="Industrials"/>
    <s v="Construction Services"/>
    <s v="North America"/>
    <x v="6"/>
    <n v="6.7"/>
    <n v="7.7"/>
    <n v="0"/>
    <n v="11.1"/>
    <n v="1632"/>
    <s v="http://www.forbes.com/companies/snc-lavalin-group/"/>
  </r>
  <r>
    <s v="Atco"/>
    <s v="Utilities"/>
    <s v="Electric Utilities"/>
    <s v="North America"/>
    <x v="6"/>
    <n v="5.5"/>
    <n v="4.2"/>
    <n v="0.4"/>
    <n v="15.1"/>
    <n v="1674"/>
    <s v="http://www.forbes.com/companies/atco/"/>
  </r>
  <r>
    <s v="Pacific Rubiales Energy"/>
    <s v="Energy"/>
    <s v="Oil &amp; Gas Operations"/>
    <s v="North America"/>
    <x v="6"/>
    <n v="5.9"/>
    <n v="4.5999999999999996"/>
    <n v="0.4"/>
    <n v="11.2"/>
    <n v="1704"/>
    <s v="http://www.forbes.com/companies/pacific-rubiales-energy/"/>
  </r>
  <r>
    <s v="Air Canada"/>
    <s v="Industrials"/>
    <s v="Airline"/>
    <s v="North America"/>
    <x v="6"/>
    <n v="1.4"/>
    <n v="12"/>
    <n v="0"/>
    <n v="8.9"/>
    <n v="1882"/>
    <s v="http://www.forbes.com/companies/air-canada/"/>
  </r>
  <r>
    <s v="Tim Hortons"/>
    <s v="Consumer Discretionary"/>
    <s v="Restaurants"/>
    <s v="North America"/>
    <x v="6"/>
    <n v="7.7"/>
    <n v="3.2"/>
    <n v="0.4"/>
    <n v="2.2999999999999998"/>
    <n v="1892"/>
    <s v="http://www.forbes.com/companies/tim-hortons/"/>
  </r>
  <r>
    <s v="Laurentian Bank"/>
    <s v="Financials"/>
    <s v="Regional Banks"/>
    <s v="North America"/>
    <x v="6"/>
    <n v="1.2"/>
    <n v="1.4"/>
    <n v="0.1"/>
    <n v="30.2"/>
    <n v="1906"/>
    <s v="http://www.forbes.com/companies/laurentian-bank/"/>
  </r>
  <r>
    <s v="Silver Wheaton"/>
    <s v="Materials"/>
    <s v="Diversified Metals &amp; Mining"/>
    <s v="North America"/>
    <x v="6"/>
    <n v="8.1999999999999993"/>
    <n v="0.7"/>
    <n v="0.4"/>
    <n v="4.4000000000000004"/>
    <n v="1916"/>
    <s v="http://www.forbes.com/companies/silver-wheaton/"/>
  </r>
  <r>
    <s v="Cameco"/>
    <s v="Materials"/>
    <s v="Diversified Metals &amp; Mining"/>
    <s v="North America"/>
    <x v="6"/>
    <n v="9.5"/>
    <n v="2.4"/>
    <n v="0.3"/>
    <n v="7.6"/>
    <n v="1996"/>
    <s v="http://www.forbes.com/companies/cameco/"/>
  </r>
  <r>
    <s v="Herbalife"/>
    <s v="Consumer Staples"/>
    <s v="Food Retail"/>
    <s v="North America"/>
    <x v="7"/>
    <n v="5.9"/>
    <n v="4.8"/>
    <n v="0.5"/>
    <n v="2.5"/>
    <n v="1771"/>
    <s v="http://www.forbes.com/companies/herbalife/"/>
  </r>
  <r>
    <s v="Falabella"/>
    <s v="Consumer Discretionary"/>
    <s v="Department Stores"/>
    <s v="South America"/>
    <x v="8"/>
    <n v="21.6"/>
    <n v="13.2"/>
    <n v="0.9"/>
    <n v="18.2"/>
    <n v="581"/>
    <s v="http://www.forbes.com/companies/falabella/"/>
  </r>
  <r>
    <s v="Cencosud"/>
    <s v="Consumer Staples"/>
    <s v="Food Retail"/>
    <s v="South America"/>
    <x v="8"/>
    <n v="9"/>
    <n v="20.7"/>
    <n v="0.5"/>
    <n v="19.2"/>
    <n v="777"/>
    <s v="http://www.forbes.com/companies/cencosud/"/>
  </r>
  <r>
    <s v="AntarChile"/>
    <s v="Financials"/>
    <s v="Investment Services"/>
    <s v="South America"/>
    <x v="8"/>
    <n v="6.1"/>
    <n v="24.4"/>
    <n v="0.5"/>
    <n v="22.1"/>
    <n v="819"/>
    <s v="http://www.forbes.com/companies/antarchile/"/>
  </r>
  <r>
    <s v="Latam Airlines"/>
    <s v="Industrials"/>
    <s v="Airline"/>
    <s v="South America"/>
    <x v="8"/>
    <n v="8.1999999999999993"/>
    <n v="12.9"/>
    <n v="-0.3"/>
    <n v="22.6"/>
    <n v="1050"/>
    <s v="http://www.forbes.com/companies/latam-airlines/"/>
  </r>
  <r>
    <s v="BCI-Banco Credito"/>
    <s v="Financials"/>
    <s v="Regional Banks"/>
    <s v="South America"/>
    <x v="8"/>
    <n v="6.1"/>
    <n v="3.2"/>
    <n v="0.6"/>
    <n v="38.5"/>
    <n v="1141"/>
    <s v="http://www.forbes.com/companies/bci-banco-credito/"/>
  </r>
  <r>
    <s v="Quinenco"/>
    <s v="Industrials"/>
    <s v="Conglomerates"/>
    <s v="South America"/>
    <x v="8"/>
    <n v="3.5"/>
    <n v="8.6"/>
    <n v="0.3"/>
    <n v="56.7"/>
    <n v="1162"/>
    <s v="http://www.forbes.com/companies/quinenco/"/>
  </r>
  <r>
    <s v="CorpBanca"/>
    <s v="Financials"/>
    <s v="Regional Banks"/>
    <s v="South America"/>
    <x v="8"/>
    <n v="4"/>
    <n v="2.2999999999999998"/>
    <n v="0.3"/>
    <n v="33.299999999999997"/>
    <n v="1638"/>
    <s v="http://www.forbes.com/companies/corpbanca/"/>
  </r>
  <r>
    <s v="SQM"/>
    <s v="Materials"/>
    <s v="Diversified Chemicals"/>
    <s v="South America"/>
    <x v="8"/>
    <n v="8.3000000000000007"/>
    <n v="2.2000000000000002"/>
    <n v="0.5"/>
    <n v="4.8"/>
    <n v="1722"/>
    <s v="http://www.forbes.com/companies/sqm/"/>
  </r>
  <r>
    <s v="ICBC"/>
    <s v="Financials"/>
    <s v="Major Banks"/>
    <s v="Asia"/>
    <x v="9"/>
    <n v="215.6"/>
    <n v="148.69999999999999"/>
    <n v="42.7"/>
    <n v="3124.9"/>
    <n v="1"/>
    <s v="http://www.forbes.com/companies/icbc/"/>
  </r>
  <r>
    <s v="China Construction Bank"/>
    <s v="Financials"/>
    <s v="Regional Banks"/>
    <s v="Asia"/>
    <x v="9"/>
    <n v="174.4"/>
    <n v="121.3"/>
    <n v="34.200000000000003"/>
    <n v="2449.5"/>
    <n v="2"/>
    <s v="http://www.forbes.com/companies/china-construction-bank/"/>
  </r>
  <r>
    <s v="Agricultural Bank of China"/>
    <s v="Financials"/>
    <s v="Regional Banks"/>
    <s v="Asia"/>
    <x v="9"/>
    <n v="141.1"/>
    <n v="136.4"/>
    <n v="27"/>
    <n v="2405.4"/>
    <n v="3"/>
    <s v="http://www.forbes.com/companies/agricultural-bank-of-china/"/>
  </r>
  <r>
    <s v="Bank of China"/>
    <s v="Financials"/>
    <s v="Major Banks"/>
    <s v="Asia"/>
    <x v="9"/>
    <n v="124.2"/>
    <n v="105.1"/>
    <n v="25.5"/>
    <n v="2291.8000000000002"/>
    <n v="9"/>
    <s v="http://www.forbes.com/companies/bank-of-china/"/>
  </r>
  <r>
    <s v="PetroChina"/>
    <s v="Energy"/>
    <s v="Oil &amp; Gas Operations"/>
    <s v="Asia"/>
    <x v="9"/>
    <n v="202"/>
    <n v="328.5"/>
    <n v="21.1"/>
    <n v="386.9"/>
    <n v="10"/>
    <s v="http://www.forbes.com/companies/petrochina/"/>
  </r>
  <r>
    <s v="Sinopec-China Petroleum"/>
    <s v="Energy"/>
    <s v="Oil &amp; Gas Operations"/>
    <s v="Asia"/>
    <x v="9"/>
    <n v="94.7"/>
    <n v="445.3"/>
    <n v="10.9"/>
    <n v="228.4"/>
    <n v="29"/>
    <s v="http://www.forbes.com/companies/sinopec-china-petroleum/"/>
  </r>
  <r>
    <s v="Ping An Insurance Group"/>
    <s v="Financials"/>
    <s v="Diversified Insurance"/>
    <s v="Asia"/>
    <x v="9"/>
    <n v="66.099999999999994"/>
    <n v="59"/>
    <n v="4.5999999999999996"/>
    <n v="552.79999999999995"/>
    <n v="62"/>
    <s v="http://www.forbes.com/companies/ping-an-insurance/"/>
  </r>
  <r>
    <s v="Bank of Communications"/>
    <s v="Financials"/>
    <s v="Major Banks"/>
    <s v="Asia"/>
    <x v="9"/>
    <n v="48.7"/>
    <n v="46.6"/>
    <n v="10.1"/>
    <n v="942.2"/>
    <n v="65"/>
    <s v="http://www.forbes.com/companies/bank-of-communications/"/>
  </r>
  <r>
    <s v="China Life Insurance"/>
    <s v="Financials"/>
    <s v="Life &amp; Health Insurance"/>
    <s v="Asia"/>
    <x v="9"/>
    <n v="79.8"/>
    <n v="68.400000000000006"/>
    <n v="4"/>
    <n v="327.2"/>
    <n v="66"/>
    <s v="http://www.forbes.com/companies/china-life-insurance/"/>
  </r>
  <r>
    <s v="China Merchants Bank"/>
    <s v="Financials"/>
    <s v="Major Banks"/>
    <s v="Asia"/>
    <x v="9"/>
    <n v="45.2"/>
    <n v="32.200000000000003"/>
    <n v="8.1"/>
    <n v="634.70000000000005"/>
    <n v="102"/>
    <s v="http://www.forbes.com/companies/china-merchants-bank/"/>
  </r>
  <r>
    <s v="China Minsheng Banking"/>
    <s v="Financials"/>
    <s v="Regional Banks"/>
    <s v="Asia"/>
    <x v="9"/>
    <n v="33.6"/>
    <n v="34.1"/>
    <n v="6.8"/>
    <n v="541.20000000000005"/>
    <n v="121"/>
    <s v="http://www.forbes.com/companies/china-minsheng-banking/"/>
  </r>
  <r>
    <s v="China Shenhua Energy"/>
    <s v="Materials"/>
    <s v="Diversified Metals &amp; Mining"/>
    <s v="Asia"/>
    <x v="9"/>
    <n v="57.6"/>
    <n v="42.8"/>
    <n v="7.2"/>
    <n v="80.400000000000006"/>
    <n v="124"/>
    <s v="http://www.forbes.com/companies/china-shenhua-energy/"/>
  </r>
  <r>
    <s v="Industrial Bank"/>
    <s v="Financials"/>
    <s v="Regional Banks"/>
    <s v="Asia"/>
    <x v="9"/>
    <n v="28.8"/>
    <n v="32.700000000000003"/>
    <n v="6.7"/>
    <n v="593.5"/>
    <n v="129"/>
    <s v="http://www.forbes.com/companies/industrial-bank/"/>
  </r>
  <r>
    <s v="Shanghai Pudong Development"/>
    <s v="Financials"/>
    <s v="Regional Banks"/>
    <s v="Asia"/>
    <x v="9"/>
    <n v="29.2"/>
    <n v="31.7"/>
    <n v="6.7"/>
    <n v="607.9"/>
    <n v="130"/>
    <s v="http://www.forbes.com/companies/shanghai-pudong-development/"/>
  </r>
  <r>
    <s v="China Citic Bank"/>
    <s v="Financials"/>
    <s v="Regional Banks"/>
    <s v="Asia"/>
    <x v="9"/>
    <n v="32.5"/>
    <n v="27.8"/>
    <n v="5.7"/>
    <n v="555.6"/>
    <n v="134"/>
    <s v="http://www.forbes.com/companies/china-citic-bank/"/>
  </r>
  <r>
    <s v="China Telecom"/>
    <s v="Telecommunication Services"/>
    <s v="Telecommunications services"/>
    <s v="Asia"/>
    <x v="9"/>
    <n v="37.4"/>
    <n v="52.3"/>
    <n v="2.9"/>
    <n v="89.7"/>
    <n v="150"/>
    <s v="http://www.forbes.com/companies/china-telecom/"/>
  </r>
  <r>
    <s v="SAIC Motor"/>
    <s v="Consumer Discretionary"/>
    <s v="Auto &amp; Truck Manufacturers"/>
    <s v="Asia"/>
    <x v="9"/>
    <n v="24.7"/>
    <n v="88.3"/>
    <n v="4"/>
    <n v="56.4"/>
    <n v="175"/>
    <s v="http://www.forbes.com/companies/saic-motor/"/>
  </r>
  <r>
    <s v="China Everbright Bank"/>
    <s v="Financials"/>
    <s v="Regional Banks"/>
    <s v="Asia"/>
    <x v="9"/>
    <n v="18.600000000000001"/>
    <n v="21.2"/>
    <n v="4.2"/>
    <n v="404.2"/>
    <n v="206"/>
    <s v="http://www.forbes.com/companies/china-everbright-bank/"/>
  </r>
  <r>
    <s v="China State Construction"/>
    <s v="Industrials"/>
    <s v="Construction Services"/>
    <s v="Asia"/>
    <x v="9"/>
    <n v="14"/>
    <n v="88.1"/>
    <n v="2.5"/>
    <n v="123.4"/>
    <n v="223"/>
    <s v="http://www.forbes.com/companies/china-state-construction/"/>
  </r>
  <r>
    <s v="China Pacific Insurance"/>
    <s v="Financials"/>
    <s v="Life &amp; Health Insurance"/>
    <s v="Asia"/>
    <x v="9"/>
    <n v="23.2"/>
    <n v="33.200000000000003"/>
    <n v="1.6"/>
    <n v="118.6"/>
    <n v="227"/>
    <s v="http://www.forbes.com/companies/china-pacific-insurance/"/>
  </r>
  <r>
    <s v="People's Insurance Company"/>
    <s v="Financials"/>
    <s v="Property &amp; Casualty Insurance"/>
    <s v="Asia"/>
    <x v="9"/>
    <n v="17.7"/>
    <n v="42.3"/>
    <n v="1.5"/>
    <n v="114.9"/>
    <n v="248"/>
    <s v="http://www.forbes.com/companies/peoples-insurance-company/"/>
  </r>
  <r>
    <s v="Ping An Bank"/>
    <s v="Financials"/>
    <s v="Regional Banks"/>
    <s v="Asia"/>
    <x v="9"/>
    <n v="16.600000000000001"/>
    <n v="17.100000000000001"/>
    <n v="2.5"/>
    <n v="312.5"/>
    <n v="274"/>
    <s v="http://www.forbes.com/companies/ping-an-bank/"/>
  </r>
  <r>
    <s v="China Vanke"/>
    <s v="Financials"/>
    <s v="Real Estate"/>
    <s v="Asia"/>
    <x v="9"/>
    <n v="14.9"/>
    <n v="22"/>
    <n v="2.5"/>
    <n v="79.2"/>
    <n v="305"/>
    <s v="http://www.forbes.com/companies/china-vanke/"/>
  </r>
  <r>
    <s v="China Communications Construction"/>
    <s v="Industrials"/>
    <s v="Construction Services"/>
    <s v="Asia"/>
    <x v="9"/>
    <n v="11.2"/>
    <n v="52.8"/>
    <n v="2"/>
    <n v="85.6"/>
    <n v="306"/>
    <s v="http://www.forbes.com/companies/china-communications-construction/"/>
  </r>
  <r>
    <s v="China Railway Construction"/>
    <s v="Industrials"/>
    <s v="Construction Services"/>
    <s v="Asia"/>
    <x v="9"/>
    <n v="10.5"/>
    <n v="89.9"/>
    <n v="1.7"/>
    <n v="87.5"/>
    <n v="311"/>
    <s v="http://www.forbes.com/companies/china-railway-construction/"/>
  </r>
  <r>
    <s v="Huaxia Bank"/>
    <s v="Financials"/>
    <s v="Regional Banks"/>
    <s v="Asia"/>
    <x v="9"/>
    <n v="12"/>
    <n v="12.9"/>
    <n v="2.4"/>
    <n v="253.5"/>
    <n v="365"/>
    <s v="http://www.forbes.com/companies/huaxia-bank/"/>
  </r>
  <r>
    <s v="Huaneng Power International"/>
    <s v="Utilities"/>
    <s v="Electric Utilities"/>
    <s v="Asia"/>
    <x v="9"/>
    <n v="12.1"/>
    <n v="21.8"/>
    <n v="1.7"/>
    <n v="43.1"/>
    <n v="401"/>
    <s v="http://www.forbes.com/companies/huaneng-power-international/"/>
  </r>
  <r>
    <s v="Tencent Holdings"/>
    <s v="Information Technology"/>
    <s v="Computer Services"/>
    <s v="Asia"/>
    <x v="9"/>
    <n v="135.4"/>
    <n v="9.8000000000000007"/>
    <n v="2.5"/>
    <n v="17.7"/>
    <n v="426"/>
    <s v="http://www.forbes.com/companies/tencent-holdings/"/>
  </r>
  <r>
    <s v="Bank of Beijing"/>
    <s v="Financials"/>
    <s v="Regional Banks"/>
    <s v="Asia"/>
    <x v="9"/>
    <n v="10.8"/>
    <n v="9.8000000000000007"/>
    <n v="2.1"/>
    <n v="197.2"/>
    <n v="429"/>
    <s v="http://www.forbes.com/companies/bank-of-beijing/"/>
  </r>
  <r>
    <s v="New China Life Insurance"/>
    <s v="Financials"/>
    <s v="Life &amp; Health Insurance"/>
    <s v="Asia"/>
    <x v="9"/>
    <n v="10.199999999999999"/>
    <n v="18.7"/>
    <n v="0.7"/>
    <n v="88.6"/>
    <n v="474"/>
    <s v="http://www.forbes.com/companies/new-china-life-insurance/"/>
  </r>
  <r>
    <s v="Gree Electric Appliances"/>
    <s v="Consumer Discretionary"/>
    <s v="Household Appliances"/>
    <s v="Asia"/>
    <x v="9"/>
    <n v="13.7"/>
    <n v="17.899999999999999"/>
    <n v="1.6"/>
    <n v="21.2"/>
    <n v="501"/>
    <s v="http://www.forbes.com/companies/gree-electric-appliances/"/>
  </r>
  <r>
    <s v="Poly Real Estate"/>
    <s v="Financials"/>
    <s v="Real Estate"/>
    <s v="Asia"/>
    <x v="9"/>
    <n v="8.9"/>
    <n v="13.1"/>
    <n v="1.7"/>
    <n v="51.5"/>
    <n v="511"/>
    <s v="http://www.forbes.com/companies/poly-real-estate/"/>
  </r>
  <r>
    <s v="Baoshan Iron &amp; Steel"/>
    <s v="Materials"/>
    <s v="Iron &amp; Steel"/>
    <s v="Asia"/>
    <x v="9"/>
    <n v="10.4"/>
    <n v="30.8"/>
    <n v="0.7"/>
    <n v="37.4"/>
    <n v="512"/>
    <s v="http://www.forbes.com/companies/baoshan-iron-steel/"/>
  </r>
  <r>
    <s v="Evergrande Real Estate"/>
    <s v="Financials"/>
    <s v="Real Estate"/>
    <s v="Asia"/>
    <x v="9"/>
    <n v="7.2"/>
    <n v="11.4"/>
    <n v="1.6"/>
    <n v="44.7"/>
    <n v="600"/>
    <s v="http://www.forbes.com/companies/evergrande-real-estate/"/>
  </r>
  <r>
    <s v="Anhui Conch Cement"/>
    <s v="Materials"/>
    <s v="Construction Materials"/>
    <s v="Asia"/>
    <x v="9"/>
    <n v="22.8"/>
    <n v="9"/>
    <n v="1.5"/>
    <n v="15.4"/>
    <n v="603"/>
    <s v="http://www.forbes.com/companies/anhui-conch-cement/"/>
  </r>
  <r>
    <s v="Daqin Railway"/>
    <s v="Industrials"/>
    <s v="Railroads"/>
    <s v="Asia"/>
    <x v="9"/>
    <n v="16"/>
    <n v="7.9"/>
    <n v="2"/>
    <n v="16.399999999999999"/>
    <n v="641"/>
    <s v="http://www.forbes.com/companies/daqin-railway/"/>
  </r>
  <r>
    <s v="China National Building"/>
    <s v="Materials"/>
    <s v="Construction Materials"/>
    <s v="Asia"/>
    <x v="9"/>
    <n v="5.4"/>
    <n v="19.2"/>
    <n v="0.9"/>
    <n v="48.2"/>
    <n v="650"/>
    <s v="http://www.forbes.com/companies/china-national-building/"/>
  </r>
  <r>
    <s v="China Cinda Asset Management"/>
    <m/>
    <m/>
    <s v="Asia"/>
    <x v="9"/>
    <n v="20.100000000000001"/>
    <n v="4"/>
    <n v="1.2"/>
    <n v="46.2"/>
    <n v="685"/>
    <s v="http://www.forbes.com/companies/china-cinda-asset-management/"/>
  </r>
  <r>
    <s v="CSR"/>
    <s v="Industrials"/>
    <s v="Heavy Equipment"/>
    <s v="Asia"/>
    <x v="9"/>
    <n v="11.6"/>
    <n v="14.1"/>
    <n v="0.6"/>
    <n v="19"/>
    <n v="693"/>
    <s v="http://www.forbes.com/companies/csr/"/>
  </r>
  <r>
    <s v="GD Power Development"/>
    <s v="Utilities"/>
    <s v="Electric Utilities"/>
    <s v="Asia"/>
    <x v="9"/>
    <n v="6.6"/>
    <n v="10.8"/>
    <n v="1"/>
    <n v="40.4"/>
    <n v="698"/>
    <s v="http://www.forbes.com/companies/gd-power-development/"/>
  </r>
  <r>
    <s v="China Coal Energy"/>
    <s v="Materials"/>
    <s v="Diversified Metals &amp; Mining"/>
    <s v="Asia"/>
    <x v="9"/>
    <n v="7.3"/>
    <n v="13.2"/>
    <n v="0.7"/>
    <n v="35.5"/>
    <n v="701"/>
    <s v="http://www.forbes.com/companies/china-coal-energy/"/>
  </r>
  <r>
    <s v="Midea Group Co. Ltd."/>
    <s v="Consumer Discretionary"/>
    <s v="Household Appliances"/>
    <s v="Asia"/>
    <x v="9"/>
    <n v="12.8"/>
    <n v="19.600000000000001"/>
    <n v="0.6"/>
    <n v="16"/>
    <n v="703"/>
    <s v="http://www.forbes.com/companies/gd-midea-holding/"/>
  </r>
  <r>
    <s v="Baidu"/>
    <s v="Information Technology"/>
    <s v="Computer Services"/>
    <s v="Asia"/>
    <x v="9"/>
    <n v="55.8"/>
    <n v="5.2"/>
    <n v="1.7"/>
    <n v="11.7"/>
    <n v="723"/>
    <s v="http://www.forbes.com/companies/baidu/"/>
  </r>
  <r>
    <s v="Citic Securities"/>
    <s v="Financials"/>
    <s v="Investment Services"/>
    <s v="Asia"/>
    <x v="9"/>
    <n v="19"/>
    <n v="2.7"/>
    <n v="0.9"/>
    <n v="44.8"/>
    <n v="732"/>
    <s v="http://www.forbes.com/companies/citic-securities/"/>
  </r>
  <r>
    <s v="Dongfeng Motor Group"/>
    <s v="Consumer Discretionary"/>
    <s v="Auto &amp; Truck Manufacturers"/>
    <s v="Asia"/>
    <x v="9"/>
    <n v="12.4"/>
    <n v="6.1"/>
    <n v="1.5"/>
    <n v="19.2"/>
    <n v="739"/>
    <s v="http://www.forbes.com/companies/dongfeng-motor-group/"/>
  </r>
  <r>
    <s v="Fosun International"/>
    <s v="Materials"/>
    <s v="Iron &amp; Steel"/>
    <s v="Asia"/>
    <x v="9"/>
    <n v="8.1999999999999993"/>
    <n v="8.3000000000000007"/>
    <n v="0.9"/>
    <n v="30.2"/>
    <n v="751"/>
    <s v="http://www.forbes.com/companies/fosun-international/"/>
  </r>
  <r>
    <s v="Metallurgical Corp of China"/>
    <s v="Industrials"/>
    <s v="Construction Services"/>
    <s v="Asia"/>
    <x v="9"/>
    <n v="5"/>
    <n v="32.1"/>
    <n v="0.5"/>
    <n v="53.3"/>
    <n v="759"/>
    <s v="http://www.forbes.com/companies/metallurgical-corp-of-china/"/>
  </r>
  <r>
    <s v="China Yangtze Power"/>
    <s v="Utilities"/>
    <s v="Electric Utilities"/>
    <s v="Asia"/>
    <x v="9"/>
    <n v="15.3"/>
    <n v="3.8"/>
    <n v="1.5"/>
    <n v="25.4"/>
    <n v="794"/>
    <s v="http://www.forbes.com/companies/china-yangtze-power/"/>
  </r>
  <r>
    <s v="China CNR"/>
    <s v="Industrials"/>
    <s v="Heavy Equipment"/>
    <s v="Asia"/>
    <x v="9"/>
    <n v="7.9"/>
    <n v="14.6"/>
    <n v="0.6"/>
    <n v="19.8"/>
    <n v="796"/>
    <s v="http://www.forbes.com/companies/china-cnr/"/>
  </r>
  <r>
    <s v="Sinohydro Group"/>
    <s v="Industrials"/>
    <s v="Construction Services"/>
    <s v="Asia"/>
    <x v="9"/>
    <n v="4.3"/>
    <n v="19.7"/>
    <n v="0.6"/>
    <n v="35.4"/>
    <n v="802"/>
    <s v="http://www.forbes.com/companies/sinohydro-group/"/>
  </r>
  <r>
    <s v="Longfor Properties"/>
    <s v="Financials"/>
    <s v="Real Estate"/>
    <s v="Asia"/>
    <x v="9"/>
    <n v="7.6"/>
    <n v="6.8"/>
    <n v="1.3"/>
    <n v="23.8"/>
    <n v="808"/>
    <s v="http://www.forbes.com/companies/longfor-properties/"/>
  </r>
  <r>
    <s v="China Shipbuilding Industry"/>
    <s v="Industrials"/>
    <s v="Heavy Equipment"/>
    <s v="Asia"/>
    <x v="9"/>
    <n v="13.2"/>
    <n v="7.9"/>
    <n v="0.4"/>
    <n v="28.6"/>
    <n v="822"/>
    <s v="http://www.forbes.com/companies/china-shipbuilding-industry/"/>
  </r>
  <r>
    <s v="Great Wall Motor"/>
    <s v="Consumer Discretionary"/>
    <s v="Auto &amp; Truck Manufacturers"/>
    <s v="Asia"/>
    <x v="9"/>
    <n v="15.4"/>
    <n v="8.9"/>
    <n v="1.3"/>
    <n v="8.6999999999999993"/>
    <n v="839"/>
    <s v="http://www.forbes.com/companies/great-wall-motor/"/>
  </r>
  <r>
    <s v="Datang International Power"/>
    <s v="Utilities"/>
    <s v="Electric Utilities"/>
    <s v="Asia"/>
    <x v="9"/>
    <n v="4.9000000000000004"/>
    <n v="12.1"/>
    <n v="0.6"/>
    <n v="49.2"/>
    <n v="862"/>
    <s v="http://www.forbes.com/companies/datang-international-power/"/>
  </r>
  <r>
    <s v="Kweichow Moutai"/>
    <s v="Consumer Staples"/>
    <s v="Beverages"/>
    <s v="Asia"/>
    <x v="9"/>
    <n v="27.2"/>
    <n v="4.5999999999999996"/>
    <n v="2.5"/>
    <n v="9.1999999999999993"/>
    <n v="875"/>
    <s v="http://www.forbes.com/companies/kweichow-moutai/"/>
  </r>
  <r>
    <s v="Jiangxi Copper"/>
    <s v="Materials"/>
    <s v="Diversified Metals &amp; Mining"/>
    <s v="Asia"/>
    <x v="9"/>
    <n v="5.8"/>
    <n v="28.5"/>
    <n v="0.6"/>
    <n v="14.7"/>
    <n v="891"/>
    <s v="http://www.forbes.com/companies/jiangxi-copper/"/>
  </r>
  <r>
    <s v="Sinopharm Group"/>
    <s v="Health Care"/>
    <s v="Pharmaceuticals"/>
    <s v="Asia"/>
    <x v="9"/>
    <n v="7.1"/>
    <n v="27.1"/>
    <n v="0.4"/>
    <n v="17.399999999999999"/>
    <n v="903"/>
    <s v="http://www.forbes.com/companies/sinopharm-group/"/>
  </r>
  <r>
    <s v="Zhejiang Zheneng Electric Power"/>
    <s v="Utilities"/>
    <s v="Electric Utilities"/>
    <s v="Asia"/>
    <x v="9"/>
    <n v="9.1999999999999993"/>
    <n v="7.5"/>
    <n v="0.7"/>
    <n v="15.2"/>
    <n v="917"/>
    <s v="http://www.forbes.com/companies/zhejiang-zheneng-electric-power/"/>
  </r>
  <r>
    <s v="Shanghai International Port"/>
    <s v="Industrials"/>
    <s v="Other Transportation"/>
    <s v="Asia"/>
    <x v="9"/>
    <n v="17.399999999999999"/>
    <n v="4.5999999999999996"/>
    <n v="0.9"/>
    <n v="14.6"/>
    <n v="928"/>
    <s v="http://www.forbes.com/companies/shanghai-international-port/"/>
  </r>
  <r>
    <s v="Huadian Power International"/>
    <s v="Utilities"/>
    <s v="Electric Utilities"/>
    <s v="Asia"/>
    <x v="9"/>
    <n v="3.6"/>
    <n v="10.8"/>
    <n v="0.7"/>
    <n v="28.5"/>
    <n v="935"/>
    <s v="http://www.forbes.com/companies/huadian-power-international/"/>
  </r>
  <r>
    <s v="Shanghai Electric Group"/>
    <s v="Industrials"/>
    <s v="Heavy Equipment"/>
    <s v="Asia"/>
    <x v="9"/>
    <n v="7.3"/>
    <n v="12.8"/>
    <n v="0.4"/>
    <n v="21.4"/>
    <n v="938"/>
    <s v="http://www.forbes.com/companies/shanghai-electric-group/"/>
  </r>
  <r>
    <s v="Aluminum Corp of China"/>
    <s v="Materials"/>
    <s v="Aluminum"/>
    <s v="Asia"/>
    <x v="9"/>
    <n v="6.6"/>
    <n v="28.1"/>
    <n v="0.2"/>
    <n v="33"/>
    <n v="940"/>
    <s v="http://www.forbes.com/companies/aluminum-corp-of-china/"/>
  </r>
  <r>
    <s v="Haitong Securities"/>
    <s v="Financials"/>
    <s v="Investment Services"/>
    <s v="Asia"/>
    <x v="9"/>
    <n v="14.4"/>
    <n v="2.1"/>
    <n v="0.7"/>
    <n v="22.2"/>
    <n v="945"/>
    <s v="http://www.forbes.com/companies/haitong-securities/"/>
  </r>
  <r>
    <s v="China Oilfield Services"/>
    <s v="Energy"/>
    <s v="Oil Services &amp; Equipment"/>
    <s v="Asia"/>
    <x v="9"/>
    <n v="12.8"/>
    <n v="4.5"/>
    <n v="1.1000000000000001"/>
    <n v="13.1"/>
    <n v="989"/>
    <s v="http://www.forbes.com/companies/china-oilfield-service/"/>
  </r>
  <r>
    <s v="Weichai Power"/>
    <s v="Industrials"/>
    <s v="Heavy Equipment"/>
    <s v="Asia"/>
    <x v="9"/>
    <n v="7.7"/>
    <n v="9.4"/>
    <n v="0.6"/>
    <n v="13"/>
    <n v="1003"/>
    <s v="http://www.forbes.com/companies/weichai-power/"/>
  </r>
  <r>
    <s v="Qingdao Haier"/>
    <s v="Consumer Discretionary"/>
    <s v="Household Appliances"/>
    <s v="Asia"/>
    <x v="9"/>
    <n v="7.1"/>
    <n v="13.8"/>
    <n v="0.6"/>
    <n v="9.9"/>
    <n v="1009"/>
    <s v="http://www.forbes.com/companies/qingdao-haier/"/>
  </r>
  <r>
    <s v="Shaanxi Coal Industry"/>
    <s v="Materials"/>
    <s v="Diversified Metals &amp; Mining"/>
    <s v="Asia"/>
    <x v="9"/>
    <n v="6.7"/>
    <n v="7"/>
    <n v="1"/>
    <n v="13.1"/>
    <n v="1016"/>
    <s v="http://www.forbes.com/companies/shaanxi-coal-industry/"/>
  </r>
  <r>
    <s v="Chongqing Rural Bank"/>
    <s v="Financials"/>
    <s v="Regional Banks"/>
    <s v="Asia"/>
    <x v="9"/>
    <n v="4.0999999999999996"/>
    <n v="4.3"/>
    <n v="1"/>
    <n v="81.099999999999994"/>
    <n v="1021"/>
    <s v="http://www.forbes.com/companies/chongqing-rural-bank/"/>
  </r>
  <r>
    <s v="Guangzhou R&amp;F"/>
    <s v="Financials"/>
    <s v="Real Estate"/>
    <s v="Asia"/>
    <x v="9"/>
    <n v="4.5999999999999996"/>
    <n v="5.9"/>
    <n v="1.2"/>
    <n v="23.2"/>
    <n v="1028"/>
    <s v="http://www.forbes.com/companies/guangzhou-rf/"/>
  </r>
  <r>
    <s v="Tingyi Holding"/>
    <s v="Consumer Staples"/>
    <s v="Food Processing"/>
    <s v="Asia"/>
    <x v="9"/>
    <n v="16.2"/>
    <n v="10.9"/>
    <n v="0.4"/>
    <n v="8.4"/>
    <n v="1039"/>
    <s v="http://www.forbes.com/companies/tingyi-holding/"/>
  </r>
  <r>
    <s v="Henan Shuanghui Investment"/>
    <s v="Consumer Staples"/>
    <s v="Food Processing"/>
    <s v="Asia"/>
    <x v="9"/>
    <n v="14"/>
    <n v="7.3"/>
    <n v="0.6"/>
    <n v="3.3"/>
    <n v="1054"/>
    <s v="http://www.forbes.com/companies/henan-shuanghui-investment/"/>
  </r>
  <r>
    <s v="China Eastern Airlines"/>
    <s v="Industrials"/>
    <s v="Airline"/>
    <s v="Asia"/>
    <x v="9"/>
    <n v="4.8"/>
    <n v="14.3"/>
    <n v="0.4"/>
    <n v="22.8"/>
    <n v="1069"/>
    <s v="http://www.forbes.com/companies/china-eastern-airlines/"/>
  </r>
  <r>
    <s v="Huishang Bank Corporation Limited"/>
    <s v="Financials"/>
    <s v="Regional Banks"/>
    <s v="Asia"/>
    <x v="9"/>
    <n v="5"/>
    <n v="3.2"/>
    <n v="0.8"/>
    <n v="63.1"/>
    <n v="1088"/>
    <s v="http://www.forbes.com/companies/huishang-bank-corporation-limited/"/>
  </r>
  <r>
    <s v="China Southern Airlines"/>
    <s v="Industrials"/>
    <s v="Airline"/>
    <s v="Asia"/>
    <x v="9"/>
    <n v="3.7"/>
    <n v="15.9"/>
    <n v="0.3"/>
    <n v="27.3"/>
    <n v="1093"/>
    <s v="http://www.forbes.com/companies/china-southern-airlines/"/>
  </r>
  <r>
    <s v="Bank of Ningbo"/>
    <s v="Financials"/>
    <s v="Regional Banks"/>
    <s v="Asia"/>
    <x v="9"/>
    <n v="4.0999999999999996"/>
    <n v="3.9"/>
    <n v="0.8"/>
    <n v="73.900000000000006"/>
    <n v="1098"/>
    <s v="http://www.forbes.com/companies/bank-of-ningbo/"/>
  </r>
  <r>
    <s v="Bank of Nanjing"/>
    <s v="Financials"/>
    <s v="Regional Banks"/>
    <s v="Asia"/>
    <x v="9"/>
    <n v="3.7"/>
    <n v="3.3"/>
    <n v="0.7"/>
    <n v="69.599999999999994"/>
    <n v="1116"/>
    <s v="http://www.forbes.com/companies/bank-of-nanjing/"/>
  </r>
  <r>
    <s v="Suning Appliance"/>
    <s v="Consumer Discretionary"/>
    <s v="Specialty Stores"/>
    <s v="Asia"/>
    <x v="9"/>
    <n v="8.6"/>
    <n v="17.100000000000001"/>
    <n v="0.2"/>
    <n v="13.6"/>
    <n v="1123"/>
    <s v="http://www.forbes.com/companies/suning-appliance/"/>
  </r>
  <r>
    <s v="BYD"/>
    <s v="Consumer Discretionary"/>
    <s v="Auto &amp; Truck Manufacturers"/>
    <s v="Asia"/>
    <x v="9"/>
    <n v="17.2"/>
    <n v="8.4"/>
    <n v="0.1"/>
    <n v="12.9"/>
    <n v="1133"/>
    <s v="http://www.forbes.com/companies/byd/"/>
  </r>
  <r>
    <s v="Inner Mongolia Yili"/>
    <s v="Consumer Staples"/>
    <s v="Food Processing"/>
    <s v="Asia"/>
    <x v="9"/>
    <n v="12.1"/>
    <n v="7.3"/>
    <n v="0.5"/>
    <n v="5.2"/>
    <n v="1176"/>
    <s v="http://www.forbes.com/companies/inner-mongolia-yili/"/>
  </r>
  <r>
    <s v="Zoomlion Heavy Industry"/>
    <s v="Industrials"/>
    <s v="Heavy Equipment"/>
    <s v="Asia"/>
    <x v="9"/>
    <n v="6.1"/>
    <n v="6.2"/>
    <n v="0.6"/>
    <n v="14.8"/>
    <n v="1176"/>
    <s v="http://www.forbes.com/companies/zoomlion-heavy-industry/"/>
  </r>
  <r>
    <s v="Hebei Iron &amp; Steel"/>
    <s v="Materials"/>
    <s v="Iron &amp; Steel"/>
    <s v="Asia"/>
    <x v="9"/>
    <n v="3.3"/>
    <n v="17.399999999999999"/>
    <n v="0"/>
    <n v="26.1"/>
    <n v="1187"/>
    <s v="http://www.forbes.com/companies/hebei-iron-steel/"/>
  </r>
  <r>
    <s v="Want Want China"/>
    <s v="Consumer Staples"/>
    <s v="Food Processing"/>
    <s v="Asia"/>
    <x v="9"/>
    <n v="20.3"/>
    <n v="3.8"/>
    <n v="0.7"/>
    <n v="4.3"/>
    <n v="1200"/>
    <s v="http://www.forbes.com/companies/want-want-china/"/>
  </r>
  <r>
    <s v="Wuliangye Yibin"/>
    <s v="Consumer Staples"/>
    <s v="Beverages"/>
    <s v="Asia"/>
    <x v="9"/>
    <n v="10.5"/>
    <n v="3.8"/>
    <n v="1.5"/>
    <n v="7.2"/>
    <n v="1222"/>
    <s v="http://www.forbes.com/companies/wuliangye-yibin/"/>
  </r>
  <r>
    <s v="Sino-Ocean Land Holdings"/>
    <s v="Financials"/>
    <s v="Real Estate"/>
    <s v="Asia"/>
    <x v="9"/>
    <n v="3.9"/>
    <n v="5.0999999999999996"/>
    <n v="0.7"/>
    <n v="22.8"/>
    <n v="1228"/>
    <s v="http://www.forbes.com/companies/sino-ocean-land-holdings/"/>
  </r>
  <r>
    <s v="Xiamen C&amp;D"/>
    <s v="Industrials"/>
    <s v="Trading Companies"/>
    <s v="Asia"/>
    <x v="9"/>
    <n v="2.4"/>
    <n v="16.2"/>
    <n v="0.4"/>
    <n v="11.6"/>
    <n v="1243"/>
    <s v="http://www.forbes.com/companies/xiamen-cd/"/>
  </r>
  <r>
    <s v="Harbin Bank"/>
    <s v="Financials"/>
    <s v="Regional Banks"/>
    <s v="Asia"/>
    <x v="9"/>
    <n v="1.1000000000000001"/>
    <n v="2.6"/>
    <n v="0.5"/>
    <n v="53.2"/>
    <n v="1249"/>
    <s v="http://www.forbes.com/companies/harbin-bank/"/>
  </r>
  <r>
    <s v="Gemdale"/>
    <s v="Financials"/>
    <s v="Real Estate"/>
    <s v="Asia"/>
    <x v="9"/>
    <n v="5"/>
    <n v="6.3"/>
    <n v="0.5"/>
    <n v="19.2"/>
    <n v="1267"/>
    <s v="http://www.forbes.com/companies/gemdale/"/>
  </r>
  <r>
    <s v="Greentown China Holdings"/>
    <s v="Financials"/>
    <s v="Real Estate"/>
    <s v="Asia"/>
    <x v="9"/>
    <n v="2.5"/>
    <n v="4.7"/>
    <n v="0.8"/>
    <n v="20.2"/>
    <n v="1271"/>
    <s v="http://www.forbes.com/companies/greentown-china-holdings/"/>
  </r>
  <r>
    <s v="China Cosco Holdings"/>
    <s v="Industrials"/>
    <s v="Other Transportation"/>
    <s v="Asia"/>
    <x v="9"/>
    <n v="5.5"/>
    <n v="10.1"/>
    <n v="0"/>
    <n v="26.7"/>
    <n v="1282"/>
    <s v="http://www.forbes.com/companies/china-cosco-holdings/"/>
  </r>
  <r>
    <s v="GF Securities"/>
    <s v="Financials"/>
    <s v="Investment Services"/>
    <s v="Asia"/>
    <x v="9"/>
    <n v="9.5"/>
    <n v="1.2"/>
    <n v="0.4"/>
    <n v="17.5"/>
    <n v="1286"/>
    <s v="http://www.forbes.com/companies/gf-securities/"/>
  </r>
  <r>
    <s v="BBMG"/>
    <s v="Materials"/>
    <s v="Construction Materials"/>
    <s v="Asia"/>
    <x v="9"/>
    <n v="4.7"/>
    <n v="7"/>
    <n v="0.5"/>
    <n v="16.3"/>
    <n v="1291"/>
    <s v="http://www.forbes.com/companies/bbmg/"/>
  </r>
  <r>
    <s v="China Merchants Property"/>
    <s v="Financials"/>
    <s v="Real Estate"/>
    <s v="Asia"/>
    <x v="9"/>
    <n v="5"/>
    <n v="4.5999999999999996"/>
    <n v="0.7"/>
    <n v="22.1"/>
    <n v="1297"/>
    <s v="http://www.forbes.com/companies/china-merchants-property/"/>
  </r>
  <r>
    <s v="China National Chemical"/>
    <s v="Industrials"/>
    <s v="Construction Services"/>
    <s v="Asia"/>
    <x v="9"/>
    <n v="4.9000000000000004"/>
    <n v="9.6999999999999993"/>
    <n v="0.6"/>
    <n v="11"/>
    <n v="1313"/>
    <s v="http://www.forbes.com/companies/china-national-chemical/"/>
  </r>
  <r>
    <s v="TCL Corp"/>
    <s v="Consumer Discretionary"/>
    <s v="Consumer Electronics"/>
    <s v="Asia"/>
    <x v="9"/>
    <n v="3.5"/>
    <n v="13.8"/>
    <n v="0.3"/>
    <n v="12.9"/>
    <n v="1335"/>
    <s v="http://www.forbes.com/companies/tcl-corp/"/>
  </r>
  <r>
    <s v="China International Marine"/>
    <s v="Industrials"/>
    <s v="Heavy Equipment"/>
    <s v="Asia"/>
    <x v="9"/>
    <n v="6.2"/>
    <n v="9.3000000000000007"/>
    <n v="0.4"/>
    <n v="12"/>
    <n v="1349"/>
    <s v="http://www.forbes.com/companies/china-international-marine/"/>
  </r>
  <r>
    <s v="Shanghai Construction"/>
    <s v="Industrials"/>
    <s v="Construction Services"/>
    <s v="Asia"/>
    <x v="9"/>
    <n v="2.8"/>
    <n v="16.2"/>
    <n v="0.3"/>
    <n v="15.8"/>
    <n v="1360"/>
    <s v="http://www.forbes.com/companies/shanghai-construction/"/>
  </r>
  <r>
    <s v="Jiangsu Yanghe Brewery"/>
    <s v="Consumer Staples"/>
    <s v="Beverages"/>
    <s v="Asia"/>
    <x v="9"/>
    <n v="9"/>
    <n v="2.6"/>
    <n v="0.9"/>
    <n v="4.4000000000000004"/>
    <n v="1382"/>
    <s v="http://www.forbes.com/companies/jiangsu-yanghe-brewery/"/>
  </r>
  <r>
    <s v="Zijin Mining Group"/>
    <s v="Materials"/>
    <s v="Diversified Metals &amp; Mining"/>
    <s v="Asia"/>
    <x v="9"/>
    <n v="4.5999999999999996"/>
    <n v="8.1"/>
    <n v="0.5"/>
    <n v="11.1"/>
    <n v="1389"/>
    <s v="http://www.forbes.com/companies/zijin-mining-group/"/>
  </r>
  <r>
    <s v="Sany Heavy Industry"/>
    <s v="Industrials"/>
    <s v="Heavy Equipment"/>
    <s v="Asia"/>
    <x v="9"/>
    <n v="6.9"/>
    <n v="5.8"/>
    <n v="0.5"/>
    <n v="11.1"/>
    <n v="1396"/>
    <s v="http://www.forbes.com/companies/sany-heavy-industry/"/>
  </r>
  <r>
    <s v="Wuhan Iron &amp; Steel"/>
    <s v="Materials"/>
    <s v="Iron &amp; Steel"/>
    <s v="Asia"/>
    <x v="9"/>
    <n v="3.4"/>
    <n v="14.7"/>
    <n v="0.1"/>
    <n v="15.9"/>
    <n v="1402"/>
    <s v="http://www.forbes.com/companies/wuhan-iron-steel/"/>
  </r>
  <r>
    <s v="Guangdong Electric Power"/>
    <m/>
    <m/>
    <s v="Asia"/>
    <x v="9"/>
    <n v="3.3"/>
    <n v="6.6"/>
    <n v="0.6"/>
    <n v="11.1"/>
    <n v="1445"/>
    <s v="http://www.forbes.com/companies/guangdong-electric/"/>
  </r>
  <r>
    <s v="Shanghai Pharmaceuticals"/>
    <s v="Consumer Staples"/>
    <s v="Drug Retail"/>
    <s v="Asia"/>
    <x v="9"/>
    <n v="5.8"/>
    <n v="12.1"/>
    <n v="0.4"/>
    <n v="9"/>
    <n v="1446"/>
    <s v="http://www.forbes.com/companies/shanghai-pharmaceuticals/"/>
  </r>
  <r>
    <s v="Netease"/>
    <s v="Information Technology"/>
    <s v="Computer Services"/>
    <s v="Asia"/>
    <x v="9"/>
    <n v="9.1"/>
    <n v="1.5"/>
    <n v="0.7"/>
    <n v="4.0999999999999996"/>
    <n v="1456"/>
    <s v="http://www.forbes.com/companies/netease/"/>
  </r>
  <r>
    <s v="SDIC Power Holdings"/>
    <s v="Energy"/>
    <s v="Oil &amp; Gas Operations"/>
    <s v="Asia"/>
    <x v="9"/>
    <n v="5"/>
    <n v="4.2"/>
    <n v="0.5"/>
    <n v="25.6"/>
    <n v="1458"/>
    <s v="http://www.forbes.com/companies/sdic-power-holdings/"/>
  </r>
  <r>
    <s v="Shenzhen Overseas"/>
    <s v="Consumer Discretionary"/>
    <s v="Hotels &amp; Motels"/>
    <s v="Asia"/>
    <x v="9"/>
    <n v="5.5"/>
    <n v="3.7"/>
    <n v="0.7"/>
    <n v="14.5"/>
    <n v="1459"/>
    <s v="http://www.forbes.com/companies/shenzhen-overseas/"/>
  </r>
  <r>
    <s v="SOHO China"/>
    <s v="Financials"/>
    <s v="Real Estate"/>
    <s v="Asia"/>
    <x v="9"/>
    <n v="4.3"/>
    <n v="2.4"/>
    <n v="1.2"/>
    <n v="12.9"/>
    <n v="1462"/>
    <s v="http://www.forbes.com/companies/soho-china/"/>
  </r>
  <r>
    <s v="China Longyuan Power"/>
    <s v="Utilities"/>
    <s v="Diversified Utilities"/>
    <s v="Asia"/>
    <x v="9"/>
    <n v="8.1999999999999993"/>
    <n v="3.1"/>
    <n v="0.3"/>
    <n v="18.3"/>
    <n v="1466"/>
    <s v="http://www.forbes.com/companies/china-longyuan-power/"/>
  </r>
  <r>
    <s v="Chongqing Changan Auto"/>
    <s v="Consumer Discretionary"/>
    <s v="Auto &amp; Truck Manufacturers"/>
    <s v="Asia"/>
    <x v="9"/>
    <n v="7.7"/>
    <n v="5.8"/>
    <n v="0.5"/>
    <n v="8.1999999999999993"/>
    <n v="1469"/>
    <s v="http://www.forbes.com/companies/chongqing-changan-aut/"/>
  </r>
  <r>
    <s v="Yanzhou Coal Mining"/>
    <s v="Materials"/>
    <s v="Diversified Metals &amp; Mining"/>
    <s v="Asia"/>
    <x v="9"/>
    <n v="4.5"/>
    <n v="9.4"/>
    <n v="0.3"/>
    <n v="19.600000000000001"/>
    <n v="1472"/>
    <s v="http://www.forbes.com/companies/yanzhou-coal-mining/"/>
  </r>
  <r>
    <s v="Sunac China Holdings"/>
    <m/>
    <m/>
    <s v="Asia"/>
    <x v="9"/>
    <n v="2"/>
    <n v="5"/>
    <n v="0.5"/>
    <n v="16.100000000000001"/>
    <n v="1474"/>
    <s v="http://www.forbes.com/companies/sunac-china-holdings/"/>
  </r>
  <r>
    <s v="Hengan International Group"/>
    <s v="Consumer Staples"/>
    <s v="Household/Personal Care"/>
    <s v="Asia"/>
    <x v="9"/>
    <n v="12.9"/>
    <n v="2.7"/>
    <n v="0.5"/>
    <n v="5.2"/>
    <n v="1478"/>
    <s v="http://www.forbes.com/companies/hengan-international-group/"/>
  </r>
  <r>
    <s v="Angang Steel"/>
    <s v="Materials"/>
    <s v="Iron &amp; Steel"/>
    <s v="Asia"/>
    <x v="9"/>
    <n v="3.6"/>
    <n v="12.2"/>
    <n v="0.1"/>
    <n v="15.3"/>
    <n v="1492"/>
    <s v="http://www.forbes.com/companies/angang-steel/"/>
  </r>
  <r>
    <s v="Shanxi Taigang Stainless"/>
    <s v="Materials"/>
    <s v="Iron &amp; Steel"/>
    <s v="Asia"/>
    <x v="9"/>
    <n v="2.2000000000000002"/>
    <n v="17.600000000000001"/>
    <n v="0.1"/>
    <n v="12"/>
    <n v="1497"/>
    <s v="http://www.forbes.com/companies/shanxi-taigang-stainless/"/>
  </r>
  <r>
    <s v="China Hongqiao Group"/>
    <s v="Materials"/>
    <s v="Diversified Metals &amp; Mining"/>
    <s v="Asia"/>
    <x v="9"/>
    <n v="3.9"/>
    <n v="4.8"/>
    <n v="0.9"/>
    <n v="10.8"/>
    <n v="1509"/>
    <s v="http://www.forbes.com/companies/china-hongqiao-group/"/>
  </r>
  <r>
    <s v="Bank of Chongqing"/>
    <s v="Financials"/>
    <s v="Regional Banks"/>
    <s v="Asia"/>
    <x v="9"/>
    <n v="1.7"/>
    <n v="1.8"/>
    <n v="0.4"/>
    <n v="34.200000000000003"/>
    <n v="1516"/>
    <s v="http://www.forbes.com/companies/bank-of-chongqing/"/>
  </r>
  <r>
    <s v="Dongfang Electric"/>
    <s v="Industrials"/>
    <s v="Electrical Equipment"/>
    <s v="Asia"/>
    <x v="9"/>
    <n v="3.9"/>
    <n v="6.9"/>
    <n v="0.4"/>
    <n v="12.9"/>
    <n v="1550"/>
    <s v="http://www.forbes.com/companies/dongfang-electric/"/>
  </r>
  <r>
    <s v="SINOPEC Engineering (Group)"/>
    <m/>
    <m/>
    <s v="Asia"/>
    <x v="9"/>
    <n v="5"/>
    <n v="7.1"/>
    <n v="0.6"/>
    <n v="7.8"/>
    <n v="1558"/>
    <s v="http://www.forbes.com/companies/sinopec-engineering-group/"/>
  </r>
  <r>
    <s v="China Merchants Securities"/>
    <s v="Financials"/>
    <s v="Investment Services"/>
    <s v="Asia"/>
    <x v="9"/>
    <n v="7.7"/>
    <n v="1.4"/>
    <n v="0.4"/>
    <n v="13.7"/>
    <n v="1565"/>
    <s v="http://www.forbes.com/companies/china-merchants-securities/"/>
  </r>
  <r>
    <s v="Hikvision"/>
    <s v="Information Technology"/>
    <s v="Electronics"/>
    <s v="Asia"/>
    <x v="9"/>
    <n v="11.4"/>
    <n v="1.5"/>
    <n v="0.4"/>
    <n v="2"/>
    <n v="1572"/>
    <s v="http://www.forbes.com/companies/hikvision/"/>
  </r>
  <r>
    <s v="Huatai Securities"/>
    <s v="Financials"/>
    <s v="Investment Services"/>
    <s v="Asia"/>
    <x v="9"/>
    <n v="6.9"/>
    <n v="1.1000000000000001"/>
    <n v="0.3"/>
    <n v="16.5"/>
    <n v="1579"/>
    <s v="http://www.forbes.com/companies/huatai-securities/"/>
  </r>
  <r>
    <s v="Minmetals Development"/>
    <s v="Industrials"/>
    <s v="Trading Companies"/>
    <s v="Asia"/>
    <x v="9"/>
    <n v="1.9"/>
    <n v="28.6"/>
    <n v="0.1"/>
    <n v="8.3000000000000007"/>
    <n v="1597"/>
    <s v="http://www.forbes.com/companies/minmetals-development/"/>
  </r>
  <r>
    <s v="China Communications Services"/>
    <s v="Telecommunication Services"/>
    <s v="Telecommunications services"/>
    <s v="Asia"/>
    <x v="9"/>
    <n v="3.1"/>
    <n v="11.1"/>
    <n v="0.4"/>
    <n v="8"/>
    <n v="1626"/>
    <s v="http://www.forbes.com/companies/china-communications-services/"/>
  </r>
  <r>
    <s v="China National Materials"/>
    <s v="Industrials"/>
    <s v="Other Industrial Equipment"/>
    <s v="Asia"/>
    <x v="9"/>
    <n v="0.7"/>
    <n v="8.5"/>
    <n v="0.1"/>
    <n v="15.6"/>
    <n v="1641"/>
    <s v="http://www.forbes.com/companies/china-national-materials/"/>
  </r>
  <r>
    <s v="Maanshan Iron &amp; Steel"/>
    <s v="Materials"/>
    <s v="Iron &amp; Steel"/>
    <s v="Asia"/>
    <x v="9"/>
    <n v="2"/>
    <n v="12"/>
    <n v="0"/>
    <n v="11.8"/>
    <n v="1642"/>
    <s v="http://www.forbes.com/companies/maanshan-iron-steel/"/>
  </r>
  <r>
    <s v="China Gezhouba"/>
    <s v="Industrials"/>
    <s v="Construction Services"/>
    <s v="Asia"/>
    <x v="9"/>
    <n v="2.9"/>
    <n v="9.1"/>
    <n v="0.3"/>
    <n v="14"/>
    <n v="1655"/>
    <s v="http://www.forbes.com/companies/china-gezhouba/"/>
  </r>
  <r>
    <s v="BOE Technology Group"/>
    <s v="Information Technology"/>
    <s v="Electronics"/>
    <s v="Asia"/>
    <x v="9"/>
    <n v="4.8"/>
    <n v="5.4"/>
    <n v="0.4"/>
    <n v="14.8"/>
    <n v="1668"/>
    <s v="http://www.forbes.com/companies/boe-technology-group/"/>
  </r>
  <r>
    <s v="Gansu Jiu Steel Group Hongxing Iron &amp; Steel"/>
    <s v="Materials"/>
    <s v="Iron &amp; Steel"/>
    <s v="Asia"/>
    <x v="9"/>
    <n v="2.2000000000000002"/>
    <n v="13.1"/>
    <n v="-0.4"/>
    <n v="9.9"/>
    <n v="1715"/>
    <s v="http://www.forbes.com/companies/gansu-jiu-steel-group-hongxing-iron-steel/"/>
  </r>
  <r>
    <s v="Hainan Airlines"/>
    <s v="Industrials"/>
    <s v="Airline"/>
    <s v="Asia"/>
    <x v="9"/>
    <n v="3.6"/>
    <n v="4.8"/>
    <n v="0.3"/>
    <n v="17.100000000000001"/>
    <n v="1731"/>
    <s v="http://www.forbes.com/companies/hainan-airlines/"/>
  </r>
  <r>
    <s v="Great Wall Technology"/>
    <s v="Consumer Discretionary"/>
    <s v="Consumer Electronics"/>
    <s v="Asia"/>
    <x v="9"/>
    <n v="0.5"/>
    <n v="15.1"/>
    <n v="0"/>
    <n v="9"/>
    <n v="1740"/>
    <s v="http://www.forbes.com/companies/great-wall-technology/"/>
  </r>
  <r>
    <s v="Guangzhou Automobile Group Co. Ltd."/>
    <s v="Consumer Discretionary"/>
    <s v="Auto &amp; Truck Manufacturers"/>
    <s v="Asia"/>
    <x v="9"/>
    <n v="7.4"/>
    <n v="3"/>
    <n v="0.4"/>
    <n v="9.5"/>
    <n v="1763"/>
    <s v="http://www.forbes.com/companies/guangzhou-automobile/"/>
  </r>
  <r>
    <s v="Shanghai Material Trading"/>
    <s v="Industrials"/>
    <s v="Trading Companies"/>
    <s v="Asia"/>
    <x v="9"/>
    <n v="0.8"/>
    <n v="16.899999999999999"/>
    <n v="-0.1"/>
    <n v="2"/>
    <n v="1772"/>
    <s v="http://www.forbes.com/companies/shanghai-material-trading/"/>
  </r>
  <r>
    <s v="Kaisa Group Holdings"/>
    <s v="Financials"/>
    <s v="Consumer Financial Services"/>
    <s v="Asia"/>
    <x v="9"/>
    <n v="1.8"/>
    <n v="3.2"/>
    <n v="0.5"/>
    <n v="14.5"/>
    <n v="1786"/>
    <s v="http://www.forbes.com/companies/kaisa-group-holdings/"/>
  </r>
  <r>
    <s v="Hunan Valin Steel"/>
    <s v="Materials"/>
    <s v="Iron &amp; Steel"/>
    <s v="Asia"/>
    <x v="9"/>
    <n v="0.9"/>
    <n v="9.6999999999999993"/>
    <n v="0"/>
    <n v="11.7"/>
    <n v="1786"/>
    <s v="http://www.forbes.com/companies/hunan-valin-steel/"/>
  </r>
  <r>
    <s v="Yunnan Baiyao Group"/>
    <s v="Health Care"/>
    <s v="Pharmaceuticals"/>
    <s v="Asia"/>
    <x v="9"/>
    <n v="9.1999999999999993"/>
    <n v="2.6"/>
    <n v="0.4"/>
    <n v="2.1"/>
    <n v="1807"/>
    <s v="http://www.forbes.com/companies/yunnan-baiyao-group/"/>
  </r>
  <r>
    <s v="NetDragon Websoft"/>
    <s v="Consumer Discretionary"/>
    <s v="Recreational Products"/>
    <s v="Asia"/>
    <x v="9"/>
    <n v="1"/>
    <n v="0.1"/>
    <n v="1"/>
    <n v="0.9"/>
    <n v="1811"/>
    <s v="http://www.forbes.com/companies/netdragon-websoft/"/>
  </r>
  <r>
    <s v="Inner Mongolia Baotou Steel"/>
    <s v="Materials"/>
    <s v="Iron &amp; Steel"/>
    <s v="Asia"/>
    <x v="9"/>
    <n v="5.2"/>
    <n v="6.1"/>
    <n v="0"/>
    <n v="14.9"/>
    <n v="1838"/>
    <s v="http://www.forbes.com/companies/inner-mongolia-baotou-steel/"/>
  </r>
  <r>
    <s v="Tsingtao Brewery"/>
    <s v="Consumer Staples"/>
    <s v="Beverages"/>
    <s v="Asia"/>
    <x v="9"/>
    <n v="9.8000000000000007"/>
    <n v="4.2"/>
    <n v="0.3"/>
    <n v="4.5"/>
    <n v="1865"/>
    <s v="http://www.forbes.com/companies/tsingtao-brewery/"/>
  </r>
  <r>
    <s v="Pang Da Automobile Trade"/>
    <s v="Consumer Discretionary"/>
    <s v="Specialty Stores"/>
    <s v="Asia"/>
    <x v="9"/>
    <n v="2.2000000000000002"/>
    <n v="9.8000000000000007"/>
    <n v="-0.1"/>
    <n v="10.199999999999999"/>
    <n v="1873"/>
    <s v="http://www.forbes.com/companies/pang-da-automobile-trade/"/>
  </r>
  <r>
    <s v="Financial Street Holdings"/>
    <s v="Financials"/>
    <s v="Real Estate"/>
    <s v="Asia"/>
    <x v="9"/>
    <n v="2.5"/>
    <n v="3.2"/>
    <n v="0.5"/>
    <n v="12.6"/>
    <n v="1880"/>
    <s v="http://www.forbes.com/companies/financial-street-holdings/"/>
  </r>
  <r>
    <s v="Yang Quan Coal Industry"/>
    <s v="Materials"/>
    <s v="Diversified Metals &amp; Mining"/>
    <s v="Asia"/>
    <x v="9"/>
    <n v="2.2999999999999998"/>
    <n v="13.1"/>
    <n v="0.2"/>
    <n v="5"/>
    <n v="1887"/>
    <s v="http://www.forbes.com/companies/yang-quan-coal-industry/"/>
  </r>
  <r>
    <s v="Tongling Nonferrous Metals"/>
    <s v="Materials"/>
    <s v="Diversified Metals &amp; Mining"/>
    <s v="Asia"/>
    <x v="9"/>
    <n v="2.1"/>
    <n v="12.4"/>
    <n v="0.1"/>
    <n v="7.4"/>
    <n v="1928"/>
    <s v="http://www.forbes.com/companies/tongling-nonferrous-metals/"/>
  </r>
  <r>
    <s v="Wanhua Chemical Group"/>
    <s v="Materials"/>
    <s v="Specialized Chemicals"/>
    <s v="Asia"/>
    <x v="9"/>
    <n v="6.3"/>
    <n v="3.2"/>
    <n v="0.5"/>
    <n v="4.5999999999999996"/>
    <n v="1937"/>
    <s v="http://www.forbes.com/companies/wanhua-chemical-group/"/>
  </r>
  <r>
    <s v="Sinomach Automobile"/>
    <m/>
    <m/>
    <s v="Asia"/>
    <x v="9"/>
    <n v="1.5"/>
    <n v="12.2"/>
    <n v="0.1"/>
    <n v="3.8"/>
    <n v="1942"/>
    <s v="http://www.forbes.com/companies/sinomach-automobile/"/>
  </r>
  <r>
    <s v="Sichuan Changhong Electric"/>
    <m/>
    <m/>
    <s v="Asia"/>
    <x v="9"/>
    <n v="2.5"/>
    <n v="9.1999999999999993"/>
    <n v="0.1"/>
    <n v="10"/>
    <n v="1944"/>
    <s v="http://www.forbes.com/companies/sichuan-changhong-electric/"/>
  </r>
  <r>
    <s v="China Fortune Land Development"/>
    <m/>
    <m/>
    <s v="Asia"/>
    <x v="9"/>
    <n v="6"/>
    <n v="2.9"/>
    <n v="0.4"/>
    <n v="10.199999999999999"/>
    <n v="1957"/>
    <s v="http://www.forbes.com/companies/china-fortune-land-development/"/>
  </r>
  <r>
    <s v="New Hope Liuhe"/>
    <s v="Consumer Staples"/>
    <s v="Food Processing"/>
    <s v="Asia"/>
    <x v="9"/>
    <n v="3.3"/>
    <n v="11.1"/>
    <n v="0.3"/>
    <n v="4.7"/>
    <n v="1964"/>
    <s v="http://www.forbes.com/companies/new-hope-liuhe/"/>
  </r>
  <r>
    <s v="Shui On Land"/>
    <s v="Financials"/>
    <s v="Real Estate"/>
    <s v="Asia"/>
    <x v="9"/>
    <n v="2.2000000000000002"/>
    <n v="1.7"/>
    <n v="0.3"/>
    <n v="16.3"/>
    <n v="1965"/>
    <s v="http://www.forbes.com/companies/shui-on-land/"/>
  </r>
  <r>
    <s v="Shandong Iron and Steel"/>
    <s v="Materials"/>
    <s v="Iron &amp; Steel"/>
    <s v="Asia"/>
    <x v="9"/>
    <n v="1.7"/>
    <n v="11"/>
    <n v="-0.3"/>
    <n v="8.8000000000000007"/>
    <n v="1968"/>
    <s v="http://www.forbes.com/companies/shandong-iron-and-steel/"/>
  </r>
  <r>
    <s v="Yunnan Yuntianhua"/>
    <s v="Materials"/>
    <s v="Specialized Chemicals"/>
    <s v="Asia"/>
    <x v="9"/>
    <n v="1.6"/>
    <n v="6.5"/>
    <n v="0.1"/>
    <n v="12.8"/>
    <n v="1990"/>
    <s v="http://www.forbes.com/companies/yunnan-yuntianhua/"/>
  </r>
  <r>
    <s v="Ecopetrol"/>
    <s v="Energy"/>
    <s v="Oil &amp; Gas Operations"/>
    <s v="South America"/>
    <x v="10"/>
    <n v="83.6"/>
    <n v="37.700000000000003"/>
    <n v="7"/>
    <n v="68.5"/>
    <n v="128"/>
    <s v="http://www.forbes.com/companies/ecopetrol/"/>
  </r>
  <r>
    <s v="Grupo Aval"/>
    <s v="Financials"/>
    <s v="Investment Services"/>
    <s v="South America"/>
    <x v="10"/>
    <n v="13.3"/>
    <n v="9"/>
    <n v="0.8"/>
    <n v="72"/>
    <n v="553"/>
    <s v="http://www.forbes.com/companies/grupo-aval/"/>
  </r>
  <r>
    <s v="Bancolombia"/>
    <s v="Financials"/>
    <s v="Regional Banks"/>
    <s v="South America"/>
    <x v="10"/>
    <n v="13.3"/>
    <n v="5.9"/>
    <n v="0.8"/>
    <n v="67.7"/>
    <n v="644"/>
    <s v="http://www.forbes.com/companies/bancolombia/"/>
  </r>
  <r>
    <s v="Banco Davivienda"/>
    <s v="Financials"/>
    <s v="Regional Banks"/>
    <s v="South America"/>
    <x v="10"/>
    <n v="5.8"/>
    <n v="3.1"/>
    <n v="0.5"/>
    <n v="28.2"/>
    <n v="1363"/>
    <s v="http://www.forbes.com/companies/banco-davivienda/"/>
  </r>
  <r>
    <s v="Grupo Argos"/>
    <s v="Materials"/>
    <s v="Construction Materials"/>
    <s v="South America"/>
    <x v="10"/>
    <n v="8.4"/>
    <n v="4.0999999999999996"/>
    <n v="0.2"/>
    <n v="14.3"/>
    <n v="1816"/>
    <s v="http://www.forbes.com/companies/grupo-argos/"/>
  </r>
  <r>
    <s v="Empresa de Energia de Bogota"/>
    <s v="Utilities"/>
    <s v="Electric Utilities"/>
    <s v="South America"/>
    <x v="10"/>
    <n v="7.4"/>
    <n v="1"/>
    <n v="0.5"/>
    <n v="8.4"/>
    <n v="1831"/>
    <s v="http://www.forbes.com/companies/empresa-de-energia-de-bogota/"/>
  </r>
  <r>
    <s v="CEZ Group"/>
    <s v="Utilities"/>
    <s v="Electric Utilities"/>
    <s v="Europe"/>
    <x v="11"/>
    <n v="15.3"/>
    <n v="11.1"/>
    <n v="1.8"/>
    <n v="32.299999999999997"/>
    <n v="485"/>
    <s v="http://www.forbes.com/companies/cez-group/"/>
  </r>
  <r>
    <s v="MÃƒÂ¸ller-Maersk"/>
    <s v="Industrials"/>
    <s v="Other Transportation"/>
    <s v="Europe"/>
    <x v="12"/>
    <n v="51.7"/>
    <n v="47.4"/>
    <n v="3.6"/>
    <n v="74.5"/>
    <n v="142"/>
    <s v="http://www.forbes.com/companies/moller-maersk/"/>
  </r>
  <r>
    <s v="Danske Bank"/>
    <s v="Financials"/>
    <s v="Major Banks"/>
    <s v="Europe"/>
    <x v="12"/>
    <n v="28.3"/>
    <n v="20.8"/>
    <n v="1.3"/>
    <n v="596"/>
    <n v="231"/>
    <s v="http://www.forbes.com/companies/danske-bank/"/>
  </r>
  <r>
    <s v="Novo Nordisk"/>
    <s v="Health Care"/>
    <s v="Pharmaceuticals"/>
    <s v="Europe"/>
    <x v="12"/>
    <n v="119.6"/>
    <n v="14.9"/>
    <n v="4.5"/>
    <n v="13"/>
    <n v="399"/>
    <s v="http://www.forbes.com/companies/novo-nordisk/"/>
  </r>
  <r>
    <s v="Carlsberg"/>
    <s v="Consumer Staples"/>
    <s v="Beverages"/>
    <s v="Europe"/>
    <x v="12"/>
    <n v="15.2"/>
    <n v="11.8"/>
    <n v="1"/>
    <n v="27.9"/>
    <n v="565"/>
    <s v="http://www.forbes.com/companies/carlsberg/"/>
  </r>
  <r>
    <s v="Coloplast"/>
    <s v="Health Care"/>
    <s v="Medical Equipment &amp; Supplies"/>
    <s v="Europe"/>
    <x v="12"/>
    <n v="17.3"/>
    <n v="2.1"/>
    <n v="0.5"/>
    <n v="1.6"/>
    <n v="1353"/>
    <s v="http://www.forbes.com/companies/coloplast/"/>
  </r>
  <r>
    <s v="TDC"/>
    <s v="Telecommunication Services"/>
    <s v="Telecommunications services"/>
    <s v="Europe"/>
    <x v="12"/>
    <n v="7.4"/>
    <n v="4.4000000000000004"/>
    <n v="0.6"/>
    <n v="11.2"/>
    <n v="1451"/>
    <s v="http://www.forbes.com/companies/tdc/"/>
  </r>
  <r>
    <s v="Jyske Bank"/>
    <s v="Financials"/>
    <s v="Regional Banks"/>
    <s v="Europe"/>
    <x v="12"/>
    <n v="4.0999999999999996"/>
    <n v="1.8"/>
    <n v="0.3"/>
    <n v="48.4"/>
    <n v="1517"/>
    <s v="http://www.forbes.com/companies/jyske-bank/"/>
  </r>
  <r>
    <s v="ISS"/>
    <m/>
    <m/>
    <s v="Europe"/>
    <x v="12"/>
    <n v="6.3"/>
    <n v="14"/>
    <n v="-0.1"/>
    <n v="9"/>
    <n v="1552"/>
    <s v="http://www.forbes.com/companies/iss/"/>
  </r>
  <r>
    <s v="Novozymes"/>
    <s v="Health Care"/>
    <s v="Biotechs"/>
    <s v="Europe"/>
    <x v="12"/>
    <n v="13.8"/>
    <n v="2.1"/>
    <n v="0.4"/>
    <n v="3"/>
    <n v="1554"/>
    <s v="http://www.forbes.com/companies/novozymes/"/>
  </r>
  <r>
    <s v="Vestas Wind Systems"/>
    <s v="Industrials"/>
    <s v="Electrical Equipment"/>
    <s v="Europe"/>
    <x v="12"/>
    <n v="9.4"/>
    <n v="8.1"/>
    <n v="-0.1"/>
    <n v="7.8"/>
    <n v="1574"/>
    <s v="http://www.forbes.com/companies/vestas-wind-systems/"/>
  </r>
  <r>
    <s v="OW Bunker"/>
    <m/>
    <m/>
    <s v="Europe"/>
    <x v="12"/>
    <n v="1.2"/>
    <n v="17"/>
    <n v="0.1"/>
    <n v="1.8"/>
    <n v="1768"/>
    <s v="http://www.forbes.com/companies/ow-bunker/"/>
  </r>
  <r>
    <s v="Pandora"/>
    <s v="Consumer Staples"/>
    <s v="Household/Personal Care"/>
    <s v="Europe"/>
    <x v="12"/>
    <n v="8.5"/>
    <n v="1.6"/>
    <n v="0.4"/>
    <n v="1.7"/>
    <n v="1840"/>
    <s v="http://www.forbes.com/companies/pandora/"/>
  </r>
  <r>
    <s v="DSV"/>
    <s v="Industrials"/>
    <s v="Trucking"/>
    <s v="Europe"/>
    <x v="12"/>
    <n v="5.6"/>
    <n v="8.1"/>
    <n v="0.3"/>
    <n v="4.3"/>
    <n v="1916"/>
    <s v="http://www.forbes.com/companies/dsv/"/>
  </r>
  <r>
    <s v="Sydbank"/>
    <s v="Financials"/>
    <s v="Regional Banks"/>
    <s v="Europe"/>
    <x v="12"/>
    <n v="1.9"/>
    <n v="1"/>
    <n v="0"/>
    <n v="27.3"/>
    <n v="1963"/>
    <s v="http://www.forbes.com/companies/sydbank/"/>
  </r>
  <r>
    <s v="Commercial International Bank"/>
    <s v="Financials"/>
    <s v="Regional Banks"/>
    <s v="Africa"/>
    <x v="13"/>
    <n v="4.8"/>
    <n v="1.7"/>
    <n v="0.4"/>
    <n v="16.399999999999999"/>
    <n v="1750"/>
    <s v="http://www.forbes.com/companies/commercial-international-bank/"/>
  </r>
  <r>
    <s v="Sampo"/>
    <s v="Financials"/>
    <s v="Diversified Insurance"/>
    <s v="Europe"/>
    <x v="14"/>
    <n v="29.7"/>
    <n v="8.6999999999999993"/>
    <n v="1.9"/>
    <n v="44.3"/>
    <n v="408"/>
    <s v="http://www.forbes.com/companies/sampo/"/>
  </r>
  <r>
    <s v="Fortum"/>
    <s v="Utilities"/>
    <s v="Electric Utilities"/>
    <s v="Europe"/>
    <x v="14"/>
    <n v="20.3"/>
    <n v="8"/>
    <n v="1.6"/>
    <n v="33.6"/>
    <n v="513"/>
    <s v="http://www.forbes.com/companies/fortum/"/>
  </r>
  <r>
    <s v="Nokia"/>
    <s v="Information Technology"/>
    <s v="Communications Equipment"/>
    <s v="Europe"/>
    <x v="14"/>
    <n v="28.1"/>
    <n v="27.5"/>
    <n v="-0.8"/>
    <n v="34.700000000000003"/>
    <n v="631"/>
    <s v="http://www.forbes.com/companies/nokia/"/>
  </r>
  <r>
    <s v="UPM-Kymmene"/>
    <s v="Materials"/>
    <s v="Paper &amp; Paper Products"/>
    <s v="Europe"/>
    <x v="14"/>
    <n v="9.3000000000000007"/>
    <n v="13.3"/>
    <n v="0.4"/>
    <n v="20.100000000000001"/>
    <n v="829"/>
    <s v="http://www.forbes.com/companies/upm-kymmene/"/>
  </r>
  <r>
    <s v="Kone"/>
    <s v="Industrials"/>
    <s v="Construction Services"/>
    <s v="Europe"/>
    <x v="14"/>
    <n v="21.6"/>
    <n v="9.1999999999999993"/>
    <n v="0.9"/>
    <n v="7.4"/>
    <n v="836"/>
    <s v="http://www.forbes.com/companies/kone/"/>
  </r>
  <r>
    <s v="Pohjola Bank"/>
    <s v="Financials"/>
    <s v="Regional Banks"/>
    <s v="Europe"/>
    <x v="14"/>
    <n v="7.3"/>
    <n v="2.6"/>
    <n v="0.6"/>
    <n v="60.2"/>
    <n v="1015"/>
    <s v="http://www.forbes.com/companies/pohjola-bank/"/>
  </r>
  <r>
    <s v="Neste Oil"/>
    <s v="Energy"/>
    <s v="Oil &amp; Gas Operations"/>
    <s v="Europe"/>
    <x v="14"/>
    <n v="5.3"/>
    <n v="23.2"/>
    <n v="0.7"/>
    <n v="9.6999999999999993"/>
    <n v="1034"/>
    <s v="http://www.forbes.com/companies/neste-oil/"/>
  </r>
  <r>
    <s v="Stora Enso"/>
    <s v="Materials"/>
    <s v="Paper &amp; Paper Products"/>
    <s v="Europe"/>
    <x v="14"/>
    <n v="8.5"/>
    <n v="14"/>
    <n v="-0.1"/>
    <n v="17.600000000000001"/>
    <n v="1081"/>
    <s v="http://www.forbes.com/companies/stora-enso/"/>
  </r>
  <r>
    <s v="WÃƒÂ¤rtsilÃƒÂ¤"/>
    <s v="Industrials"/>
    <s v="Heavy Equipment"/>
    <s v="Europe"/>
    <x v="14"/>
    <n v="11"/>
    <n v="6.2"/>
    <n v="0.5"/>
    <n v="7.2"/>
    <n v="1240"/>
    <s v="http://www.forbes.com/companies/wartsila/"/>
  </r>
  <r>
    <s v="Metso"/>
    <s v="Industrials"/>
    <s v="Other Industrial Equipment"/>
    <s v="Europe"/>
    <x v="14"/>
    <n v="5.9"/>
    <n v="7.9"/>
    <n v="0.4"/>
    <n v="5.0999999999999996"/>
    <n v="1577"/>
    <s v="http://www.forbes.com/companies/metso/"/>
  </r>
  <r>
    <s v="Outokumpu"/>
    <s v="Materials"/>
    <s v="Iron &amp; Steel"/>
    <s v="Europe"/>
    <x v="14"/>
    <n v="2.7"/>
    <n v="9"/>
    <n v="-1.3"/>
    <n v="12.2"/>
    <n v="1793"/>
    <s v="http://www.forbes.com/companies/outokumpu/"/>
  </r>
  <r>
    <s v="Kesko"/>
    <s v="Consumer Staples"/>
    <s v="Food Retail"/>
    <s v="Europe"/>
    <x v="14"/>
    <n v="4.4000000000000004"/>
    <n v="12.4"/>
    <n v="0.2"/>
    <n v="6"/>
    <n v="1924"/>
    <s v="http://www.forbes.com/companies/kesko/"/>
  </r>
  <r>
    <s v="BNP Paribas"/>
    <s v="Financials"/>
    <s v="Major Banks"/>
    <s v="Europe"/>
    <x v="15"/>
    <n v="98.6"/>
    <n v="123.2"/>
    <n v="6.4"/>
    <n v="2480.5"/>
    <n v="24"/>
    <s v="http://www.forbes.com/companies/bnp-paribas/"/>
  </r>
  <r>
    <s v="Total"/>
    <s v="Energy"/>
    <s v="Oil &amp; Gas Operations"/>
    <s v="Europe"/>
    <x v="15"/>
    <n v="149.80000000000001"/>
    <n v="227.9"/>
    <n v="11.2"/>
    <n v="239.1"/>
    <n v="25"/>
    <s v="http://www.forbes.com/companies/total/"/>
  </r>
  <r>
    <s v="AXA Group"/>
    <s v="Financials"/>
    <s v="Diversified Insurance"/>
    <s v="Europe"/>
    <x v="15"/>
    <n v="63.4"/>
    <n v="138.9"/>
    <n v="6"/>
    <n v="1018.9"/>
    <n v="33"/>
    <s v="http://www.forbes.com/companies/axa-group/"/>
  </r>
  <r>
    <s v="EDF"/>
    <s v="Utilities"/>
    <s v="Electric Utilities"/>
    <s v="Europe"/>
    <x v="15"/>
    <n v="75.8"/>
    <n v="100.4"/>
    <n v="4.5"/>
    <n v="353.9"/>
    <n v="50"/>
    <s v="http://www.forbes.com/companies/edf/"/>
  </r>
  <r>
    <s v="Sanofi"/>
    <s v="Health Care"/>
    <s v="Pharmaceuticals"/>
    <s v="Europe"/>
    <x v="15"/>
    <n v="137.1"/>
    <n v="43.7"/>
    <n v="4.9000000000000004"/>
    <n v="132.4"/>
    <n v="87"/>
    <s v="http://www.forbes.com/companies/sanofi/"/>
  </r>
  <r>
    <s v="Credit Agricole"/>
    <s v="Financials"/>
    <s v="Major Banks"/>
    <s v="Europe"/>
    <x v="15"/>
    <n v="41"/>
    <n v="65.3"/>
    <n v="3.3"/>
    <n v="2117.6999999999998"/>
    <n v="89"/>
    <s v="http://www.forbes.com/companies/credit-agricole/"/>
  </r>
  <r>
    <s v="SociÃƒÂ©tÃƒÂ© GÃƒÂ©nÃƒÂ©rale"/>
    <s v="Financials"/>
    <s v="Major Banks"/>
    <s v="Europe"/>
    <x v="15"/>
    <n v="50"/>
    <n v="45.6"/>
    <n v="2.9"/>
    <n v="1702.1"/>
    <n v="103"/>
    <s v="http://www.forbes.com/companies/societe-generale/"/>
  </r>
  <r>
    <s v="EADS"/>
    <s v="Industrials"/>
    <s v="Aerospace &amp; Defense"/>
    <s v="Europe"/>
    <x v="15"/>
    <n v="56.9"/>
    <n v="78.7"/>
    <n v="1.9"/>
    <n v="128.6"/>
    <n v="131"/>
    <s v="http://www.forbes.com/companies/eads/"/>
  </r>
  <r>
    <s v="France Telecom"/>
    <s v="Telecommunication Services"/>
    <s v="Telecommunications services"/>
    <s v="Europe"/>
    <x v="15"/>
    <n v="39"/>
    <n v="54.4"/>
    <n v="2.5"/>
    <n v="118.3"/>
    <n v="144"/>
    <s v="http://www.forbes.com/companies/france-telecom/"/>
  </r>
  <r>
    <s v="VINCI"/>
    <s v="Industrials"/>
    <s v="Construction Services"/>
    <s v="Europe"/>
    <x v="15"/>
    <n v="44.2"/>
    <n v="54.1"/>
    <n v="2.6"/>
    <n v="86.9"/>
    <n v="147"/>
    <s v="http://www.forbes.com/companies/vinci/"/>
  </r>
  <r>
    <s v="L'OrÃƒÂ©al Group"/>
    <s v="Consumer Staples"/>
    <s v="Household/Personal Care"/>
    <s v="Europe"/>
    <x v="15"/>
    <n v="98.7"/>
    <n v="30.5"/>
    <n v="3.9"/>
    <n v="43.1"/>
    <n v="172"/>
    <s v="http://www.forbes.com/companies/loreal-group/"/>
  </r>
  <r>
    <s v="Christian Dior"/>
    <s v="Consumer Discretionary"/>
    <s v="Apparel/Accessories"/>
    <s v="Europe"/>
    <x v="15"/>
    <n v="34.4"/>
    <n v="38.4"/>
    <n v="1.8"/>
    <n v="82.9"/>
    <n v="192"/>
    <s v="http://www.forbes.com/companies/christian-dior/"/>
  </r>
  <r>
    <s v="Schneider Electric"/>
    <s v="Industrials"/>
    <s v="Electrical Equipment"/>
    <s v="Europe"/>
    <x v="15"/>
    <n v="50.7"/>
    <n v="31.3"/>
    <n v="2.5"/>
    <n v="51"/>
    <n v="196"/>
    <s v="http://www.forbes.com/companies/schneider-electric/"/>
  </r>
  <r>
    <s v="Carrefour"/>
    <s v="Consumer Staples"/>
    <s v="Food Retail"/>
    <s v="Europe"/>
    <x v="15"/>
    <n v="27.4"/>
    <n v="99.4"/>
    <n v="1.7"/>
    <n v="60"/>
    <n v="212"/>
    <s v="http://www.forbes.com/companies/carrefour/"/>
  </r>
  <r>
    <s v="Danone"/>
    <s v="Consumer Staples"/>
    <s v="Food Processing"/>
    <s v="Europe"/>
    <x v="15"/>
    <n v="41.8"/>
    <n v="28.3"/>
    <n v="1.9"/>
    <n v="42.6"/>
    <n v="242"/>
    <s v="http://www.forbes.com/companies/danone/"/>
  </r>
  <r>
    <s v="Natixis"/>
    <s v="Financials"/>
    <s v="Major Banks"/>
    <s v="Europe"/>
    <x v="15"/>
    <n v="23.6"/>
    <n v="21.6"/>
    <n v="1.2"/>
    <n v="702.9"/>
    <n v="251"/>
    <s v="http://www.forbes.com/companies/natixis/"/>
  </r>
  <r>
    <s v="Renault"/>
    <s v="Consumer Discretionary"/>
    <s v="Auto &amp; Truck Manufacturers"/>
    <s v="Europe"/>
    <x v="15"/>
    <n v="28.7"/>
    <n v="54.3"/>
    <n v="0.8"/>
    <n v="103.3"/>
    <n v="262"/>
    <s v="http://www.forbes.com/companies/renault/"/>
  </r>
  <r>
    <s v="CNP Assurances"/>
    <s v="Financials"/>
    <s v="Diversified Insurance"/>
    <s v="Europe"/>
    <x v="15"/>
    <n v="14.6"/>
    <n v="36.200000000000003"/>
    <n v="1.3"/>
    <n v="455.1"/>
    <n v="265"/>
    <s v="http://www.forbes.com/companies/cnp-assurances/"/>
  </r>
  <r>
    <s v="Saint-Gobain"/>
    <s v="Materials"/>
    <s v="Construction Materials"/>
    <s v="Europe"/>
    <x v="15"/>
    <n v="34.5"/>
    <n v="55.5"/>
    <n v="0.8"/>
    <n v="63"/>
    <n v="277"/>
    <s v="http://www.forbes.com/companies/saint-gobain/"/>
  </r>
  <r>
    <s v="Air Liquide"/>
    <s v="Materials"/>
    <s v="Specialized Chemicals"/>
    <s v="Europe"/>
    <x v="15"/>
    <n v="42.1"/>
    <n v="20.2"/>
    <n v="2.2000000000000002"/>
    <n v="34.6"/>
    <n v="293"/>
    <s v="http://www.forbes.com/companies/air-liquide/"/>
  </r>
  <r>
    <s v="Safran"/>
    <s v="Industrials"/>
    <s v="Aerospace &amp; Defense"/>
    <s v="Europe"/>
    <x v="15"/>
    <n v="29"/>
    <n v="19.5"/>
    <n v="1.4"/>
    <n v="33"/>
    <n v="351"/>
    <s v="http://www.forbes.com/companies/safran/"/>
  </r>
  <r>
    <s v="Michelin Group"/>
    <s v="Consumer Discretionary"/>
    <s v="Auto &amp; Truck Parts"/>
    <s v="Europe"/>
    <x v="15"/>
    <n v="23.6"/>
    <n v="26.9"/>
    <n v="1.5"/>
    <n v="28.5"/>
    <n v="359"/>
    <s v="http://www.forbes.com/companies/michelin-group/"/>
  </r>
  <r>
    <s v="Lafarge"/>
    <s v="Materials"/>
    <s v="Construction Materials"/>
    <s v="Europe"/>
    <x v="15"/>
    <n v="23.1"/>
    <n v="20.2"/>
    <n v="0.8"/>
    <n v="51.1"/>
    <n v="381"/>
    <s v="http://www.forbes.com/companies/lafarge/"/>
  </r>
  <r>
    <s v="Pernod Ricard"/>
    <s v="Consumer Staples"/>
    <s v="Beverages"/>
    <s v="Europe"/>
    <x v="15"/>
    <n v="30.6"/>
    <n v="10.9"/>
    <n v="1.6"/>
    <n v="38.299999999999997"/>
    <n v="398"/>
    <s v="http://www.forbes.com/companies/pernod-ricard/"/>
  </r>
  <r>
    <s v="GDF SUEZ"/>
    <s v="Utilities"/>
    <s v="Electric Utilities"/>
    <s v="Europe"/>
    <x v="15"/>
    <n v="64.599999999999994"/>
    <n v="118.6"/>
    <n v="-12.3"/>
    <n v="219.9"/>
    <n v="405"/>
    <s v="http://www.forbes.com/companies/gdf-suez/"/>
  </r>
  <r>
    <s v="Alstom"/>
    <s v="Industrials"/>
    <s v="Conglomerates"/>
    <s v="Europe"/>
    <x v="15"/>
    <n v="9.1"/>
    <n v="26.6"/>
    <n v="1"/>
    <n v="41.2"/>
    <n v="493"/>
    <s v="http://www.forbes.com/companies/alstom/"/>
  </r>
  <r>
    <s v="Thales"/>
    <s v="Industrials"/>
    <s v="Aerospace &amp; Defense"/>
    <s v="Europe"/>
    <x v="15"/>
    <n v="13.8"/>
    <n v="18.2"/>
    <n v="0.8"/>
    <n v="29.6"/>
    <n v="527"/>
    <s v="http://www.forbes.com/companies/thales/"/>
  </r>
  <r>
    <s v="CIC Group"/>
    <s v="Financials"/>
    <s v="Major Banks"/>
    <s v="Europe"/>
    <x v="15"/>
    <n v="8.5"/>
    <n v="9.6999999999999993"/>
    <n v="1.1000000000000001"/>
    <n v="321"/>
    <n v="538"/>
    <s v="http://www.forbes.com/companies/cic-group/"/>
  </r>
  <r>
    <s v="Vivendi"/>
    <s v="Telecommunication Services"/>
    <s v="Telecommunications services"/>
    <s v="Europe"/>
    <x v="15"/>
    <n v="37.299999999999997"/>
    <n v="31.6"/>
    <n v="-1.3"/>
    <n v="67.8"/>
    <n v="548"/>
    <s v="http://www.forbes.com/companies/vivendi/"/>
  </r>
  <r>
    <s v="Publicis Groupe"/>
    <s v="Consumer Discretionary"/>
    <s v="Advertising"/>
    <s v="Europe"/>
    <x v="15"/>
    <n v="18.399999999999999"/>
    <n v="9.1999999999999993"/>
    <n v="1.1000000000000001"/>
    <n v="23.6"/>
    <n v="589"/>
    <s v="http://www.forbes.com/companies/publicis-groupe/"/>
  </r>
  <r>
    <s v="Sodexo"/>
    <s v="Consumer Discretionary"/>
    <s v="Business &amp; Personal Services"/>
    <s v="Europe"/>
    <x v="15"/>
    <n v="16.5"/>
    <n v="24.1"/>
    <n v="0.6"/>
    <n v="16.600000000000001"/>
    <n v="613"/>
    <s v="http://www.forbes.com/companies/sodexo/"/>
  </r>
  <r>
    <s v="Unibail-Rodamco"/>
    <s v="Financials"/>
    <s v="Real Estate"/>
    <s v="Europe"/>
    <x v="15"/>
    <n v="25.2"/>
    <n v="2.2999999999999998"/>
    <n v="1.7"/>
    <n v="44.6"/>
    <n v="622"/>
    <s v="http://www.forbes.com/companies/unibail-rodamco/"/>
  </r>
  <r>
    <s v="Bouygues"/>
    <s v="Industrials"/>
    <s v="Construction Services"/>
    <s v="Europe"/>
    <x v="15"/>
    <n v="13.4"/>
    <n v="44.3"/>
    <n v="-1"/>
    <n v="47.3"/>
    <n v="660"/>
    <s v="http://www.forbes.com/companies/bouygues/"/>
  </r>
  <r>
    <s v="Scor"/>
    <s v="Financials"/>
    <s v="Diversified Insurance"/>
    <s v="Europe"/>
    <x v="15"/>
    <n v="6.5"/>
    <n v="12.8"/>
    <n v="0.7"/>
    <n v="45.5"/>
    <n v="695"/>
    <s v="http://www.forbes.com/companies/scor/"/>
  </r>
  <r>
    <s v="Technip"/>
    <s v="Energy"/>
    <s v="Oil Services &amp; Equipment"/>
    <s v="Europe"/>
    <x v="15"/>
    <n v="11.4"/>
    <n v="12.4"/>
    <n v="0.7"/>
    <n v="18.3"/>
    <n v="697"/>
    <s v="http://www.forbes.com/companies/technip/"/>
  </r>
  <r>
    <s v="Veolia Environnement"/>
    <s v="Utilities"/>
    <s v="Diversified Utilities"/>
    <s v="Europe"/>
    <x v="15"/>
    <n v="10.8"/>
    <n v="29.6"/>
    <n v="-0.2"/>
    <n v="49.9"/>
    <n v="719"/>
    <s v="http://www.forbes.com/companies/veolia-environnement/"/>
  </r>
  <r>
    <s v="Kering"/>
    <s v="Consumer Discretionary"/>
    <s v="Apparel/Accessories"/>
    <s v="Europe"/>
    <x v="15"/>
    <n v="25.8"/>
    <n v="12.9"/>
    <n v="0.1"/>
    <n v="31.4"/>
    <n v="763"/>
    <s v="http://www.forbes.com/companies/kering/"/>
  </r>
  <r>
    <s v="Peugeot"/>
    <s v="Consumer Discretionary"/>
    <s v="Auto &amp; Truck Manufacturers"/>
    <s v="Europe"/>
    <x v="15"/>
    <n v="6.6"/>
    <n v="71.8"/>
    <n v="-3.1"/>
    <n v="82.2"/>
    <n v="775"/>
    <s v="http://www.forbes.com/companies/peugeot/"/>
  </r>
  <r>
    <s v="Capgemini"/>
    <s v="Information Technology"/>
    <s v="Computer Services"/>
    <s v="Europe"/>
    <x v="15"/>
    <n v="11.8"/>
    <n v="13.4"/>
    <n v="0.6"/>
    <n v="14"/>
    <n v="798"/>
    <s v="http://www.forbes.com/companies/capgemini/"/>
  </r>
  <r>
    <s v="Valeo"/>
    <s v="Consumer Discretionary"/>
    <s v="Auto &amp; Truck Parts"/>
    <s v="Europe"/>
    <x v="15"/>
    <n v="11.2"/>
    <n v="16.100000000000001"/>
    <n v="0.6"/>
    <n v="12.5"/>
    <n v="805"/>
    <s v="http://www.forbes.com/companies/valeo/"/>
  </r>
  <r>
    <s v="Alcatel-Lucent"/>
    <s v="Information Technology"/>
    <s v="Communications Equipment"/>
    <s v="Europe"/>
    <x v="15"/>
    <n v="11.2"/>
    <n v="19.2"/>
    <n v="-1.7"/>
    <n v="30.2"/>
    <n v="838"/>
    <s v="http://www.forbes.com/companies/alcatel-lucent/"/>
  </r>
  <r>
    <s v="Eiffage"/>
    <s v="Industrials"/>
    <s v="Construction Services"/>
    <s v="Europe"/>
    <x v="15"/>
    <n v="6.7"/>
    <n v="18.899999999999999"/>
    <n v="0.3"/>
    <n v="37.700000000000003"/>
    <n v="847"/>
    <s v="http://www.forbes.com/companies/eiffage/"/>
  </r>
  <r>
    <s v="Essilor International"/>
    <s v="Health Care"/>
    <s v="Medical Equipment &amp; Supplies"/>
    <s v="Europe"/>
    <x v="15"/>
    <n v="21.3"/>
    <n v="6.7"/>
    <n v="0.8"/>
    <n v="10.4"/>
    <n v="863"/>
    <s v="http://www.forbes.com/companies/essilor-international/"/>
  </r>
  <r>
    <s v="Areva"/>
    <s v="Utilities"/>
    <s v="Diversified Utilities"/>
    <s v="Europe"/>
    <x v="15"/>
    <n v="9.9"/>
    <n v="12"/>
    <n v="-0.7"/>
    <n v="41.3"/>
    <n v="906"/>
    <s v="http://www.forbes.com/companies/areva/"/>
  </r>
  <r>
    <s v="Financiere de l'Odet"/>
    <s v="Industrials"/>
    <s v="Conglomerates"/>
    <s v="Europe"/>
    <x v="15"/>
    <n v="6"/>
    <n v="13.1"/>
    <n v="0.6"/>
    <n v="19.600000000000001"/>
    <n v="916"/>
    <s v="http://www.forbes.com/companies/financiere-de-lodet/"/>
  </r>
  <r>
    <s v="Finatis"/>
    <s v="Consumer Staples"/>
    <s v="Food Retail"/>
    <s v="Europe"/>
    <x v="15"/>
    <n v="0.6"/>
    <n v="65.5"/>
    <n v="0.1"/>
    <n v="56.6"/>
    <n v="923"/>
    <s v="http://www.forbes.com/companies/finatis/"/>
  </r>
  <r>
    <s v="HermÃƒÂ¨s International"/>
    <s v="Consumer Discretionary"/>
    <s v="Apparel/Accessories"/>
    <s v="Europe"/>
    <x v="15"/>
    <n v="34.799999999999997"/>
    <n v="5"/>
    <n v="1"/>
    <n v="4.5999999999999996"/>
    <n v="941"/>
    <s v="http://www.forbes.com/companies/hermes-international/"/>
  </r>
  <r>
    <s v="Dassault Aviation"/>
    <s v="Industrials"/>
    <s v="Aerospace &amp; Defense"/>
    <s v="Europe"/>
    <x v="15"/>
    <n v="14.2"/>
    <n v="6.1"/>
    <n v="0.6"/>
    <n v="13.9"/>
    <n v="948"/>
    <s v="http://www.forbes.com/companies/dassault-aviation/"/>
  </r>
  <r>
    <s v="Wendel"/>
    <s v="Financials"/>
    <s v="Investment Services"/>
    <s v="Europe"/>
    <x v="15"/>
    <n v="7.7"/>
    <n v="8.5"/>
    <n v="0.4"/>
    <n v="18.7"/>
    <n v="1005"/>
    <s v="http://www.forbes.com/companies/wendel/"/>
  </r>
  <r>
    <s v="Legrand"/>
    <s v="Industrials"/>
    <s v="Electrical Equipment"/>
    <s v="Europe"/>
    <x v="15"/>
    <n v="16.5"/>
    <n v="5.9"/>
    <n v="0.7"/>
    <n v="9.1"/>
    <n v="1022"/>
    <s v="http://www.forbes.com/companies/legrand/"/>
  </r>
  <r>
    <s v="Air France-KLM"/>
    <s v="Industrials"/>
    <s v="Airline"/>
    <s v="Europe"/>
    <x v="15"/>
    <n v="4.7"/>
    <n v="34"/>
    <n v="-2.4"/>
    <n v="35"/>
    <n v="1036"/>
    <s v="http://www.forbes.com/companies/air-france-klm/"/>
  </r>
  <r>
    <s v="LagardÃƒÂ¨re"/>
    <s v="Consumer Discretionary"/>
    <s v="Printing &amp; Publishing"/>
    <s v="Europe"/>
    <x v="15"/>
    <n v="5.2"/>
    <n v="9.5"/>
    <n v="1.7"/>
    <n v="11.1"/>
    <n v="1038"/>
    <s v="http://www.forbes.com/companies/lagardere/"/>
  </r>
  <r>
    <s v="Rexel"/>
    <s v="Information Technology"/>
    <s v="Electronics"/>
    <s v="Europe"/>
    <x v="15"/>
    <n v="7.4"/>
    <n v="17.3"/>
    <n v="0.3"/>
    <n v="14.5"/>
    <n v="1100"/>
    <s v="http://www.forbes.com/companies/rexel/"/>
  </r>
  <r>
    <s v="Eurazeo"/>
    <s v="Financials"/>
    <s v="Investment Services"/>
    <s v="Europe"/>
    <x v="15"/>
    <n v="5.8"/>
    <n v="5.7"/>
    <n v="0.7"/>
    <n v="16.899999999999999"/>
    <n v="1144"/>
    <s v="http://www.forbes.com/companies/eurazeo/"/>
  </r>
  <r>
    <s v="ATOS"/>
    <s v="Information Technology"/>
    <s v="Computer Services"/>
    <s v="Europe"/>
    <x v="15"/>
    <n v="8.9"/>
    <n v="11.4"/>
    <n v="0.3"/>
    <n v="9.6999999999999993"/>
    <n v="1198"/>
    <s v="http://www.forbes.com/companies/atos/"/>
  </r>
  <r>
    <s v="Aeroports de Paris"/>
    <s v="Industrials"/>
    <s v="Other Transportation"/>
    <s v="Europe"/>
    <x v="15"/>
    <n v="12.6"/>
    <n v="3.7"/>
    <n v="0.4"/>
    <n v="13.3"/>
    <n v="1318"/>
    <s v="http://www.forbes.com/companies/aeroports-de-paris/"/>
  </r>
  <r>
    <s v="Vallourec"/>
    <s v="Industrials"/>
    <s v="Other Industrial Equipment"/>
    <s v="Europe"/>
    <x v="15"/>
    <n v="6.8"/>
    <n v="7.4"/>
    <n v="0.3"/>
    <n v="12.8"/>
    <n v="1352"/>
    <s v="http://www.forbes.com/companies/vallourec/"/>
  </r>
  <r>
    <s v="Iliad"/>
    <s v="Information Technology"/>
    <s v="Computer Services"/>
    <s v="Europe"/>
    <x v="15"/>
    <n v="16.5"/>
    <n v="5"/>
    <n v="0.4"/>
    <n v="6.6"/>
    <n v="1398"/>
    <s v="http://www.forbes.com/companies/iliad/"/>
  </r>
  <r>
    <s v="FonciÃƒÂ¨re des RÃƒÂ©gions"/>
    <s v="Financials"/>
    <s v="Real Estate"/>
    <s v="Europe"/>
    <x v="15"/>
    <n v="5.8"/>
    <n v="1.2"/>
    <n v="0.5"/>
    <n v="23.7"/>
    <n v="1399"/>
    <s v="http://www.forbes.com/companies/fonciere-des-regions/"/>
  </r>
  <r>
    <s v="Accor"/>
    <s v="Consumer Discretionary"/>
    <s v="Hotels &amp; Motels"/>
    <s v="Europe"/>
    <x v="15"/>
    <n v="12"/>
    <n v="7.4"/>
    <n v="0.2"/>
    <n v="9.6999999999999993"/>
    <n v="1418"/>
    <s v="http://www.forbes.com/companies/accor/"/>
  </r>
  <r>
    <s v="Zodiac Aerospace"/>
    <s v="Industrials"/>
    <s v="Aerospace &amp; Defense"/>
    <s v="Europe"/>
    <x v="15"/>
    <n v="9.8000000000000007"/>
    <n v="5.0999999999999996"/>
    <n v="0.5"/>
    <n v="5.7"/>
    <n v="1419"/>
    <s v="http://www.forbes.com/companies/zodiac-aerospace/"/>
  </r>
  <r>
    <s v="Gecina"/>
    <s v="Financials"/>
    <s v="Real Estate"/>
    <s v="Europe"/>
    <x v="15"/>
    <n v="8.1999999999999993"/>
    <n v="1"/>
    <n v="0.4"/>
    <n v="15.2"/>
    <n v="1424"/>
    <s v="http://www.forbes.com/companies/gecina/"/>
  </r>
  <r>
    <s v="Dassault Systemes"/>
    <s v="Information Technology"/>
    <s v="Software &amp; Programming"/>
    <s v="Europe"/>
    <x v="15"/>
    <n v="14.8"/>
    <n v="2.7"/>
    <n v="0.5"/>
    <n v="5.8"/>
    <n v="1431"/>
    <s v="http://www.forbes.com/companies/dassault-systemes/"/>
  </r>
  <r>
    <s v="Arkema"/>
    <s v="Materials"/>
    <s v="Diversified Chemicals"/>
    <s v="Europe"/>
    <x v="15"/>
    <n v="7.2"/>
    <n v="8.1"/>
    <n v="0.2"/>
    <n v="7.5"/>
    <n v="1791"/>
    <s v="http://www.forbes.com/companies/arkema/"/>
  </r>
  <r>
    <s v="Eutelsat Communications"/>
    <s v="Consumer Discretionary"/>
    <s v="Broadcasting &amp; Cable"/>
    <s v="Europe"/>
    <x v="15"/>
    <n v="7.3"/>
    <n v="1.7"/>
    <n v="0.4"/>
    <n v="8.8000000000000007"/>
    <n v="1851"/>
    <s v="http://www.forbes.com/companies/eutelsat-communications/"/>
  </r>
  <r>
    <s v="Icade"/>
    <s v="Financials"/>
    <s v="Real Estate"/>
    <s v="Europe"/>
    <x v="15"/>
    <n v="7.3"/>
    <n v="1.9"/>
    <n v="0.2"/>
    <n v="14.2"/>
    <n v="1942"/>
    <s v="http://www.forbes.com/companies/icade/"/>
  </r>
  <r>
    <s v="Volkswagen Group"/>
    <s v="Consumer Discretionary"/>
    <s v="Auto &amp; Truck Manufacturers"/>
    <s v="Europe"/>
    <x v="16"/>
    <n v="119"/>
    <n v="261.5"/>
    <n v="12"/>
    <n v="446.9"/>
    <n v="19"/>
    <s v="http://www.forbes.com/companies/volkswagen-group/"/>
  </r>
  <r>
    <s v="Allianz"/>
    <s v="Financials"/>
    <s v="Diversified Insurance"/>
    <s v="Europe"/>
    <x v="16"/>
    <n v="77.2"/>
    <n v="131.4"/>
    <n v="8"/>
    <n v="963.1"/>
    <n v="27"/>
    <s v="http://www.forbes.com/companies/allianz/"/>
  </r>
  <r>
    <s v="Daimler"/>
    <s v="Consumer Discretionary"/>
    <s v="Auto &amp; Truck Manufacturers"/>
    <s v="Europe"/>
    <x v="16"/>
    <n v="102.9"/>
    <n v="156.6"/>
    <n v="9.1"/>
    <n v="232.2"/>
    <n v="31"/>
    <s v="http://www.forbes.com/companies/daimler/"/>
  </r>
  <r>
    <s v="BMW Group"/>
    <s v="Consumer Discretionary"/>
    <s v="Auto &amp; Truck Manufacturers"/>
    <s v="Europe"/>
    <x v="16"/>
    <n v="83.4"/>
    <n v="101"/>
    <n v="7.1"/>
    <n v="190.7"/>
    <n v="48"/>
    <s v="http://www.forbes.com/companies/bmw-group/"/>
  </r>
  <r>
    <s v="Siemens"/>
    <s v="Industrials"/>
    <s v="Conglomerates"/>
    <s v="Europe"/>
    <x v="16"/>
    <n v="114.2"/>
    <n v="99.7"/>
    <n v="6"/>
    <n v="140.1"/>
    <n v="53"/>
    <s v="http://www.forbes.com/companies/siemens/"/>
  </r>
  <r>
    <s v="BASF"/>
    <s v="Materials"/>
    <s v="Diversified Chemicals"/>
    <s v="Europe"/>
    <x v="16"/>
    <n v="102.3"/>
    <n v="98.2"/>
    <n v="6.4"/>
    <n v="88.7"/>
    <n v="72"/>
    <s v="http://www.forbes.com/companies/basf/"/>
  </r>
  <r>
    <s v="Munich Re"/>
    <s v="Financials"/>
    <s v="Diversified Insurance"/>
    <s v="Europe"/>
    <x v="16"/>
    <n v="38.9"/>
    <n v="88"/>
    <n v="4.4000000000000004"/>
    <n v="343.1"/>
    <n v="92"/>
    <s v="http://www.forbes.com/companies/munich-re/"/>
  </r>
  <r>
    <s v="E.ON"/>
    <s v="Utilities"/>
    <s v="Electric Utilities"/>
    <s v="Europe"/>
    <x v="16"/>
    <n v="37.6"/>
    <n v="162.6"/>
    <n v="2.8"/>
    <n v="180.1"/>
    <n v="113"/>
    <s v="http://www.forbes.com/companies/eon/"/>
  </r>
  <r>
    <s v="Bayer"/>
    <s v="Materials"/>
    <s v="Diversified Chemicals"/>
    <s v="Europe"/>
    <x v="16"/>
    <n v="111.3"/>
    <n v="53.3"/>
    <n v="4.2"/>
    <n v="70.7"/>
    <n v="120"/>
    <s v="http://www.forbes.com/companies/bayer/"/>
  </r>
  <r>
    <s v="Deutsche Telekom"/>
    <s v="Telecommunication Services"/>
    <s v="Telecommunications services"/>
    <s v="Europe"/>
    <x v="16"/>
    <n v="71.2"/>
    <n v="79.8"/>
    <n v="1.2"/>
    <n v="162.80000000000001"/>
    <n v="145"/>
    <s v="http://www.forbes.com/companies/deutsche-telekom/"/>
  </r>
  <r>
    <s v="Deutsche Post"/>
    <s v="Industrials"/>
    <s v="Air Courier"/>
    <s v="Europe"/>
    <x v="16"/>
    <n v="45.4"/>
    <n v="73.099999999999994"/>
    <n v="2.8"/>
    <n v="48.9"/>
    <n v="163"/>
    <s v="http://www.forbes.com/companies/deutsche-post/"/>
  </r>
  <r>
    <s v="Deutsche Bank"/>
    <s v="Financials"/>
    <s v="Major Banks"/>
    <s v="Europe"/>
    <x v="16"/>
    <n v="46.5"/>
    <n v="61.1"/>
    <n v="0.9"/>
    <n v="2220.4"/>
    <n v="167"/>
    <s v="http://www.forbes.com/companies/deutsche-bank/"/>
  </r>
  <r>
    <s v="SAP"/>
    <s v="Information Technology"/>
    <s v="Software &amp; Programming"/>
    <s v="Europe"/>
    <x v="16"/>
    <n v="97.1"/>
    <n v="22.3"/>
    <n v="4.4000000000000004"/>
    <n v="37.299999999999997"/>
    <n v="207"/>
    <s v="http://www.forbes.com/companies/sap/"/>
  </r>
  <r>
    <s v="Continental"/>
    <s v="Consumer Discretionary"/>
    <s v="Auto &amp; Truck Parts"/>
    <s v="Europe"/>
    <x v="16"/>
    <n v="48.7"/>
    <n v="44.3"/>
    <n v="2.6"/>
    <n v="37"/>
    <n v="215"/>
    <s v="http://www.forbes.com/companies/continental/"/>
  </r>
  <r>
    <s v="Linde"/>
    <s v="Materials"/>
    <s v="Diversified Chemicals"/>
    <s v="Europe"/>
    <x v="16"/>
    <n v="37"/>
    <n v="22.1"/>
    <n v="1.7"/>
    <n v="45.1"/>
    <n v="275"/>
    <s v="http://www.forbes.com/companies/linde/"/>
  </r>
  <r>
    <s v="Fresenius"/>
    <s v="Health Care"/>
    <s v="Medical Equipment &amp; Supplies"/>
    <s v="Europe"/>
    <x v="16"/>
    <n v="27.8"/>
    <n v="27"/>
    <n v="1.3"/>
    <n v="45.1"/>
    <n v="303"/>
    <s v="http://www.forbes.com/companies/fresenius/"/>
  </r>
  <r>
    <s v="Henkel"/>
    <s v="Consumer Staples"/>
    <s v="Household/Personal Care"/>
    <s v="Europe"/>
    <x v="16"/>
    <n v="46.4"/>
    <n v="21.7"/>
    <n v="2.1"/>
    <n v="26.7"/>
    <n v="312"/>
    <s v="http://www.forbes.com/companies/henkel/"/>
  </r>
  <r>
    <s v="Merck"/>
    <s v="Health Care"/>
    <s v="Pharmaceuticals"/>
    <s v="Europe"/>
    <x v="16"/>
    <n v="36.299999999999997"/>
    <n v="14.7"/>
    <n v="1.6"/>
    <n v="28.7"/>
    <n v="372"/>
    <s v="http://www.forbes.com/companies/merck/"/>
  </r>
  <r>
    <s v="Talanx"/>
    <s v="Financials"/>
    <s v="Diversified Insurance"/>
    <s v="Europe"/>
    <x v="16"/>
    <n v="9.1999999999999993"/>
    <n v="36.700000000000003"/>
    <n v="1"/>
    <n v="174"/>
    <n v="389"/>
    <s v="http://www.forbes.com/companies/talanx/"/>
  </r>
  <r>
    <s v="HeidelbergCement"/>
    <s v="Materials"/>
    <s v="Construction Materials"/>
    <s v="Europe"/>
    <x v="16"/>
    <n v="16.5"/>
    <n v="18.5"/>
    <n v="1"/>
    <n v="37"/>
    <n v="434"/>
    <s v="http://www.forbes.com/companies/heidelbergcement/"/>
  </r>
  <r>
    <s v="RWE Group"/>
    <s v="Utilities"/>
    <s v="Electric Utilities"/>
    <s v="Europe"/>
    <x v="16"/>
    <n v="25.1"/>
    <n v="68.2"/>
    <n v="-3.6"/>
    <n v="111.8"/>
    <n v="505"/>
    <s v="http://www.forbes.com/companies/rwe-group/"/>
  </r>
  <r>
    <s v="Adidas"/>
    <s v="Consumer Discretionary"/>
    <s v="Apparel/Accessories"/>
    <s v="Europe"/>
    <x v="16"/>
    <n v="22.8"/>
    <n v="19.2"/>
    <n v="1"/>
    <n v="16"/>
    <n v="522"/>
    <s v="http://www.forbes.com/companies/adidas/"/>
  </r>
  <r>
    <s v="Evonik"/>
    <m/>
    <m/>
    <s v="Europe"/>
    <x v="16"/>
    <n v="18.3"/>
    <n v="17.100000000000001"/>
    <n v="0.7"/>
    <n v="21.9"/>
    <n v="552"/>
    <s v="http://www.forbes.com/companies/evonik/"/>
  </r>
  <r>
    <s v="Commerzbank"/>
    <s v="Financials"/>
    <s v="Major Banks"/>
    <s v="Europe"/>
    <x v="16"/>
    <n v="21.7"/>
    <n v="21.6"/>
    <n v="0.1"/>
    <n v="803"/>
    <n v="556"/>
    <s v="http://www.forbes.com/companies/commerzbank/"/>
  </r>
  <r>
    <s v="Porsche Automobil Holding"/>
    <s v="Consumer Discretionary"/>
    <s v="Auto &amp; Truck Manufacturers"/>
    <s v="Europe"/>
    <x v="16"/>
    <n v="32.299999999999997"/>
    <n v="0"/>
    <n v="3.2"/>
    <n v="43.1"/>
    <n v="577"/>
    <s v="http://www.forbes.com/companies/porsche-automobil-holding/"/>
  </r>
  <r>
    <s v="Deutsche Lufthansa"/>
    <s v="Industrials"/>
    <s v="Airline"/>
    <s v="Europe"/>
    <x v="16"/>
    <n v="12.3"/>
    <n v="39.9"/>
    <n v="0.4"/>
    <n v="40.1"/>
    <n v="580"/>
    <s v="http://www.forbes.com/companies/deutsche-lufthansa/"/>
  </r>
  <r>
    <s v="ThyssenKrupp Group"/>
    <s v="Industrials"/>
    <s v="Conglomerates"/>
    <s v="Europe"/>
    <x v="16"/>
    <n v="15.5"/>
    <n v="51.6"/>
    <n v="-2"/>
    <n v="48.9"/>
    <n v="624"/>
    <s v="http://www.forbes.com/companies/thyssenkrupp-group/"/>
  </r>
  <r>
    <s v="Metro Group"/>
    <s v="Consumer Staples"/>
    <s v="Food Retail"/>
    <s v="Europe"/>
    <x v="16"/>
    <n v="13.4"/>
    <n v="81"/>
    <n v="-0.1"/>
    <n v="45.2"/>
    <n v="642"/>
    <s v="http://www.forbes.com/companies/metro-group/"/>
  </r>
  <r>
    <s v="Deutsche Boerse"/>
    <s v="Financials"/>
    <s v="Investment Services"/>
    <s v="Europe"/>
    <x v="16"/>
    <n v="15.5"/>
    <n v="3"/>
    <n v="0.6"/>
    <n v="260.89999999999998"/>
    <n v="718"/>
    <s v="http://www.forbes.com/companies/deutsche-boerse/"/>
  </r>
  <r>
    <s v="EnBW-Energie Baden"/>
    <s v="Utilities"/>
    <s v="Electric Utilities"/>
    <s v="Europe"/>
    <x v="16"/>
    <n v="9.6999999999999993"/>
    <n v="27.3"/>
    <n v="0.1"/>
    <n v="49.8"/>
    <n v="770"/>
    <s v="http://www.forbes.com/companies/enbw-energie-baden/"/>
  </r>
  <r>
    <s v="Beiersdorf"/>
    <s v="Consumer Staples"/>
    <s v="Household/Personal Care"/>
    <s v="Europe"/>
    <x v="16"/>
    <n v="24.7"/>
    <n v="8.1999999999999993"/>
    <n v="0.7"/>
    <n v="8"/>
    <n v="895"/>
    <s v="http://www.forbes.com/companies/beiersdorf/"/>
  </r>
  <r>
    <s v="Brenntag"/>
    <s v="Materials"/>
    <s v="Specialized Chemicals"/>
    <s v="Europe"/>
    <x v="16"/>
    <n v="9.6"/>
    <n v="13"/>
    <n v="0.5"/>
    <n v="7.8"/>
    <n v="1095"/>
    <s v="http://www.forbes.com/companies/brenntag/"/>
  </r>
  <r>
    <s v="SÃƒÂ¼dzucker"/>
    <s v="Consumer Staples"/>
    <s v="Food Processing"/>
    <s v="Europe"/>
    <x v="16"/>
    <n v="5.7"/>
    <n v="10.4"/>
    <n v="0.6"/>
    <n v="12.5"/>
    <n v="1120"/>
    <s v="http://www.forbes.com/companies/sudzucker/"/>
  </r>
  <r>
    <s v="W&amp;W-WÃƒÂ¼stenrot"/>
    <s v="Financials"/>
    <s v="Investment Services"/>
    <s v="Europe"/>
    <x v="16"/>
    <n v="2.2999999999999998"/>
    <n v="9"/>
    <n v="0.2"/>
    <n v="100.1"/>
    <n v="1156"/>
    <s v="http://www.forbes.com/companies/ww-wustenrot/"/>
  </r>
  <r>
    <s v="TUI"/>
    <s v="Consumer Discretionary"/>
    <s v="Business &amp; Personal Services"/>
    <s v="Europe"/>
    <x v="16"/>
    <n v="4.3"/>
    <n v="24.4"/>
    <n v="0"/>
    <n v="17.5"/>
    <n v="1252"/>
    <s v="http://www.forbes.com/companies/tui/"/>
  </r>
  <r>
    <s v="Infineon Technologies"/>
    <s v="Information Technology"/>
    <s v="Semiconductors"/>
    <s v="Europe"/>
    <x v="16"/>
    <n v="13.7"/>
    <n v="5.3"/>
    <n v="0.5"/>
    <n v="8.1"/>
    <n v="1316"/>
    <s v="http://www.forbes.com/companies/infineon-technologies/"/>
  </r>
  <r>
    <s v="Deutsche Annington Immobilien"/>
    <m/>
    <m/>
    <s v="Europe"/>
    <x v="16"/>
    <n v="6.8"/>
    <n v="1.9"/>
    <n v="0.6"/>
    <n v="15.3"/>
    <n v="1341"/>
    <s v="http://www.forbes.com/companies/deutsche-annington-immobilien/"/>
  </r>
  <r>
    <s v="GEA Group"/>
    <s v="Industrials"/>
    <s v="Conglomerates"/>
    <s v="Europe"/>
    <x v="16"/>
    <n v="9"/>
    <n v="5.7"/>
    <n v="0.4"/>
    <n v="8.9"/>
    <n v="1395"/>
    <s v="http://www.forbes.com/companies/gea-group/"/>
  </r>
  <r>
    <s v="NÃƒÂ¼rnberger"/>
    <s v="Financials"/>
    <s v="Diversified Insurance"/>
    <s v="Europe"/>
    <x v="16"/>
    <n v="1.1000000000000001"/>
    <n v="6.2"/>
    <n v="0.1"/>
    <n v="36.299999999999997"/>
    <n v="1483"/>
    <s v="http://www.forbes.com/companies/nurnberger/"/>
  </r>
  <r>
    <s v="K+S"/>
    <s v="Materials"/>
    <s v="Diversified Chemicals"/>
    <s v="Europe"/>
    <x v="16"/>
    <n v="6.2"/>
    <n v="5.0999999999999996"/>
    <n v="0.5"/>
    <n v="8.8000000000000007"/>
    <n v="1592"/>
    <s v="http://www.forbes.com/companies/k-plus-s/"/>
  </r>
  <r>
    <s v="Lanxess"/>
    <s v="Materials"/>
    <s v="Diversified Chemicals"/>
    <s v="Europe"/>
    <x v="16"/>
    <n v="6.3"/>
    <n v="11"/>
    <n v="-0.2"/>
    <n v="9.4"/>
    <n v="1607"/>
    <s v="http://www.forbes.com/companies/lanxess/"/>
  </r>
  <r>
    <s v="Aareal Bank"/>
    <s v="Financials"/>
    <s v="Thrifts &amp; Mortgage Finance"/>
    <s v="Europe"/>
    <x v="16"/>
    <n v="2.7"/>
    <n v="1.3"/>
    <n v="0.2"/>
    <n v="59.2"/>
    <n v="1653"/>
    <s v="http://www.forbes.com/companies/aareal-bank/"/>
  </r>
  <r>
    <s v="Salzgitter"/>
    <s v="Materials"/>
    <s v="Iron &amp; Steel"/>
    <s v="Europe"/>
    <x v="16"/>
    <n v="2.4"/>
    <n v="12.3"/>
    <n v="-0.7"/>
    <n v="11.1"/>
    <n v="1674"/>
    <s v="http://www.forbes.com/companies/salzgitter/"/>
  </r>
  <r>
    <s v="ProSiebenSat1 Media"/>
    <s v="Consumer Discretionary"/>
    <s v="Broadcasting &amp; Cable"/>
    <s v="Europe"/>
    <x v="16"/>
    <n v="9.9"/>
    <n v="3.5"/>
    <n v="0.4"/>
    <n v="4.9000000000000004"/>
    <n v="1683"/>
    <s v="http://www.forbes.com/companies/prosieben-sat1-media/"/>
  </r>
  <r>
    <s v="Hugo Boss"/>
    <s v="Consumer Discretionary"/>
    <s v="Apparel/Accessories"/>
    <s v="Europe"/>
    <x v="16"/>
    <n v="9.1999999999999993"/>
    <n v="3.2"/>
    <n v="0.4"/>
    <n v="2.1"/>
    <n v="1690"/>
    <s v="http://www.forbes.com/companies/hugo-boss/"/>
  </r>
  <r>
    <s v="BayWa"/>
    <s v="Consumer Discretionary"/>
    <s v="Specialty Stores"/>
    <s v="Europe"/>
    <x v="16"/>
    <n v="2"/>
    <n v="19.5"/>
    <n v="0.2"/>
    <n v="6.9"/>
    <n v="1695"/>
    <s v="http://www.forbes.com/companies/baywa/"/>
  </r>
  <r>
    <s v="Bilfinger"/>
    <s v="Industrials"/>
    <s v="Construction Services"/>
    <s v="Europe"/>
    <x v="16"/>
    <n v="5.6"/>
    <n v="11.2"/>
    <n v="0.2"/>
    <n v="9"/>
    <n v="1743"/>
    <s v="http://www.forbes.com/companies/bilfinger/"/>
  </r>
  <r>
    <s v="Aurubis"/>
    <s v="Materials"/>
    <s v="Diversified Metals &amp; Mining"/>
    <s v="Europe"/>
    <x v="16"/>
    <n v="2.4"/>
    <n v="15.6"/>
    <n v="-0.3"/>
    <n v="5.6"/>
    <n v="1796"/>
    <s v="http://www.forbes.com/companies/aurubis/"/>
  </r>
  <r>
    <s v="IKB Deutsche"/>
    <s v="Financials"/>
    <s v="Regional Banks"/>
    <s v="Europe"/>
    <x v="16"/>
    <n v="1.1000000000000001"/>
    <n v="3.3"/>
    <n v="-0.2"/>
    <n v="34.9"/>
    <n v="1852"/>
    <s v="http://www.forbes.com/companies/ikb-deutsche/"/>
  </r>
  <r>
    <s v="Fraport"/>
    <s v="Industrials"/>
    <s v="Other Transportation"/>
    <s v="Europe"/>
    <x v="16"/>
    <n v="6.9"/>
    <n v="3.4"/>
    <n v="0.3"/>
    <n v="13.1"/>
    <n v="1884"/>
    <s v="http://www.forbes.com/companies/fraport/"/>
  </r>
  <r>
    <s v="DVB Bank"/>
    <s v="Financials"/>
    <s v="Regional Banks"/>
    <s v="Europe"/>
    <x v="16"/>
    <n v="1.6"/>
    <n v="1"/>
    <n v="0.1"/>
    <n v="31.9"/>
    <n v="1884"/>
    <s v="http://www.forbes.com/companies/dvb-bank/"/>
  </r>
  <r>
    <s v="OSRAM Licht"/>
    <m/>
    <m/>
    <s v="Europe"/>
    <x v="16"/>
    <n v="6.7"/>
    <n v="6.9"/>
    <n v="0"/>
    <n v="6.1"/>
    <n v="1952"/>
    <s v="http://www.forbes.com/companies/osram-licht/"/>
  </r>
  <r>
    <s v="Piraeus Bank"/>
    <s v="Financials"/>
    <s v="Regional Banks"/>
    <s v="Europe"/>
    <x v="17"/>
    <n v="13.9"/>
    <n v="5.5"/>
    <n v="3.4"/>
    <n v="126.8"/>
    <n v="502"/>
    <s v="http://www.forbes.com/companies/piraeus-bank/"/>
  </r>
  <r>
    <s v="Alpha Bank"/>
    <s v="Financials"/>
    <s v="Regional Banks"/>
    <s v="Europe"/>
    <x v="17"/>
    <n v="10.5"/>
    <n v="5.2"/>
    <n v="3"/>
    <n v="99.3"/>
    <n v="586"/>
    <s v="http://www.forbes.com/companies/alpha-bank/"/>
  </r>
  <r>
    <s v="National Bank of Greece"/>
    <s v="Financials"/>
    <s v="Major Banks"/>
    <s v="Europe"/>
    <x v="17"/>
    <n v="13.4"/>
    <n v="5"/>
    <n v="1.1000000000000001"/>
    <n v="152.9"/>
    <n v="607"/>
    <s v="http://www.forbes.com/companies/national-bank-of-greece/"/>
  </r>
  <r>
    <s v="Bank of Greece"/>
    <s v="Financials"/>
    <s v="Major Banks"/>
    <s v="Europe"/>
    <x v="17"/>
    <n v="0.4"/>
    <n v="2.8"/>
    <n v="1.1000000000000001"/>
    <n v="150.9"/>
    <n v="979"/>
    <s v="http://www.forbes.com/companies/bank-of-greece/"/>
  </r>
  <r>
    <s v="Hellenic Telecom"/>
    <s v="Telecommunication Services"/>
    <s v="Telecommunications services"/>
    <s v="Europe"/>
    <x v="17"/>
    <n v="8.1"/>
    <n v="5.4"/>
    <n v="0.4"/>
    <n v="10.8"/>
    <n v="1406"/>
    <s v="http://www.forbes.com/companies/hellenic-telecom/"/>
  </r>
  <r>
    <s v="Public Power"/>
    <s v="Utilities"/>
    <s v="Electric Utilities"/>
    <s v="Europe"/>
    <x v="17"/>
    <n v="3.9"/>
    <n v="7.9"/>
    <n v="-0.3"/>
    <n v="21.8"/>
    <n v="1523"/>
    <s v="http://www.forbes.com/companies/public-power/"/>
  </r>
  <r>
    <s v="Hellenic Petroleum"/>
    <s v="Energy"/>
    <s v="Oil &amp; Gas Operations"/>
    <s v="Europe"/>
    <x v="17"/>
    <n v="3.1"/>
    <n v="12.8"/>
    <n v="-0.4"/>
    <n v="9.9"/>
    <n v="1741"/>
    <s v="http://www.forbes.com/companies/hellenic-petroleum/"/>
  </r>
  <r>
    <s v="Motor Oil"/>
    <s v="Energy"/>
    <s v="Oil &amp; Gas Operations"/>
    <s v="Europe"/>
    <x v="17"/>
    <n v="1.5"/>
    <n v="12.3"/>
    <n v="0"/>
    <n v="3.3"/>
    <n v="1935"/>
    <s v="http://www.forbes.com/companies/motor-oil/"/>
  </r>
  <r>
    <s v="China Mobile"/>
    <s v="Telecommunication Services"/>
    <s v="Telecommunications services"/>
    <s v="Asia"/>
    <x v="18"/>
    <n v="184.6"/>
    <n v="102.5"/>
    <n v="19.8"/>
    <n v="192.8"/>
    <n v="28"/>
    <s v="http://www.forbes.com/companies/china-mobile/"/>
  </r>
  <r>
    <s v="CNOOC"/>
    <s v="Energy"/>
    <s v="Oil &amp; Gas Operations"/>
    <s v="Asia"/>
    <x v="18"/>
    <n v="67.2"/>
    <n v="43"/>
    <n v="10.6"/>
    <n v="102.7"/>
    <n v="108"/>
    <s v="http://www.forbes.com/companies/cnooc/"/>
  </r>
  <r>
    <s v="Hutchison Whampoa"/>
    <s v="Industrials"/>
    <s v="Conglomerates"/>
    <s v="Asia"/>
    <x v="18"/>
    <n v="57.8"/>
    <n v="33"/>
    <n v="4"/>
    <n v="105.2"/>
    <n v="136"/>
    <s v="http://www.forbes.com/companies/hutchison-whampoa/"/>
  </r>
  <r>
    <s v="AIA Group"/>
    <s v="Financials"/>
    <s v="Life &amp; Health Insurance"/>
    <s v="Asia"/>
    <x v="18"/>
    <n v="58"/>
    <n v="20.7"/>
    <n v="2.8"/>
    <n v="145.19999999999999"/>
    <n v="164"/>
    <s v="http://www.forbes.com/companies/aia-group/"/>
  </r>
  <r>
    <s v="China Unicom"/>
    <s v="Telecommunication Services"/>
    <s v="Telecommunications services"/>
    <s v="Asia"/>
    <x v="18"/>
    <n v="31.6"/>
    <n v="48"/>
    <n v="1.7"/>
    <n v="87.5"/>
    <n v="193"/>
    <s v="http://www.forbes.com/companies/china-unicom/"/>
  </r>
  <r>
    <s v="Jardine Matheson"/>
    <s v="Industrials"/>
    <s v="Conglomerates"/>
    <s v="Asia"/>
    <x v="18"/>
    <n v="43.4"/>
    <n v="39.5"/>
    <n v="1.6"/>
    <n v="63.8"/>
    <n v="208"/>
    <s v="http://www.forbes.com/companies/jardine-matheson/"/>
  </r>
  <r>
    <s v="China Railway Group"/>
    <s v="Industrials"/>
    <s v="Construction Services"/>
    <s v="Asia"/>
    <x v="18"/>
    <n v="10"/>
    <n v="85.9"/>
    <n v="1.5"/>
    <n v="102.3"/>
    <n v="320"/>
    <s v="http://www.forbes.com/companies/china-railway-group/"/>
  </r>
  <r>
    <s v="Sun Hung Kai Properties"/>
    <s v="Financials"/>
    <s v="Real Estate"/>
    <s v="Asia"/>
    <x v="18"/>
    <n v="33.4"/>
    <n v="7.1"/>
    <n v="4.7"/>
    <n v="69.5"/>
    <n v="361"/>
    <s v="http://www.forbes.com/companies/sun-hung-kai-properties/"/>
  </r>
  <r>
    <s v="Cheung Kong Holdings"/>
    <s v="Financials"/>
    <s v="Real Estate"/>
    <s v="Asia"/>
    <x v="18"/>
    <n v="39"/>
    <n v="2.6"/>
    <n v="4.5"/>
    <n v="55.3"/>
    <n v="516"/>
    <s v="http://www.forbes.com/companies/cheung-kong-holdings/"/>
  </r>
  <r>
    <s v="CLP Holdings"/>
    <s v="Utilities"/>
    <s v="Electric Utilities"/>
    <s v="Asia"/>
    <x v="18"/>
    <n v="19.2"/>
    <n v="13.5"/>
    <n v="0.8"/>
    <n v="27.3"/>
    <n v="530"/>
    <s v="http://www.forbes.com/companies/clp-holdings/"/>
  </r>
  <r>
    <s v="Swire Pacific"/>
    <s v="Industrials"/>
    <s v="Conglomerates"/>
    <s v="Asia"/>
    <x v="18"/>
    <n v="17.7"/>
    <n v="6.6"/>
    <n v="1.7"/>
    <n v="45"/>
    <n v="531"/>
    <s v="http://www.forbes.com/companies/swire-pacific/"/>
  </r>
  <r>
    <s v="China Resources Land"/>
    <s v="Financials"/>
    <s v="Real Estate"/>
    <s v="Asia"/>
    <x v="18"/>
    <n v="12.9"/>
    <n v="9.3000000000000007"/>
    <n v="1.9"/>
    <n v="36.299999999999997"/>
    <n v="534"/>
    <s v="http://www.forbes.com/companies/china-resources-land/"/>
  </r>
  <r>
    <s v="Lenovo Group"/>
    <s v="Information Technology"/>
    <s v="Computer Hardware"/>
    <s v="Asia"/>
    <x v="18"/>
    <n v="11.9"/>
    <n v="37.200000000000003"/>
    <n v="0.8"/>
    <n v="19.5"/>
    <n v="566"/>
    <s v="http://www.forbes.com/companies/lenovo-group/"/>
  </r>
  <r>
    <s v="China Resources Power"/>
    <s v="Utilities"/>
    <s v="Electric Utilities"/>
    <s v="Asia"/>
    <x v="18"/>
    <n v="12.6"/>
    <n v="9"/>
    <n v="1.5"/>
    <n v="27.6"/>
    <n v="595"/>
    <s v="http://www.forbes.com/companies/china-resources-power/"/>
  </r>
  <r>
    <s v="MTR"/>
    <s v="Industrials"/>
    <s v="Railroads"/>
    <s v="Asia"/>
    <x v="18"/>
    <n v="21.7"/>
    <n v="5"/>
    <n v="1.7"/>
    <n v="27.8"/>
    <n v="632"/>
    <s v="http://www.forbes.com/companies/mtr/"/>
  </r>
  <r>
    <s v="Country Garden Holdings"/>
    <s v="Financials"/>
    <s v="Real Estate"/>
    <s v="Asia"/>
    <x v="18"/>
    <n v="8"/>
    <n v="10.199999999999999"/>
    <n v="1.4"/>
    <n v="34.1"/>
    <n v="633"/>
    <s v="http://www.forbes.com/companies/country-garden-holdings/"/>
  </r>
  <r>
    <s v="Li &amp; Fung"/>
    <s v="Industrials"/>
    <s v="Trading Companies"/>
    <s v="Asia"/>
    <x v="18"/>
    <n v="12.5"/>
    <n v="20.7"/>
    <n v="0.8"/>
    <n v="12.5"/>
    <n v="690"/>
    <s v="http://www.forbes.com/companies/li-fung/"/>
  </r>
  <r>
    <s v="Henderson Land"/>
    <s v="Financials"/>
    <s v="Real Estate"/>
    <s v="Asia"/>
    <x v="18"/>
    <n v="15.7"/>
    <n v="3"/>
    <n v="2.1"/>
    <n v="39.200000000000003"/>
    <n v="692"/>
    <s v="http://www.forbes.com/companies/henderson-land/"/>
  </r>
  <r>
    <s v="New World Development"/>
    <s v="Financials"/>
    <s v="Real Estate"/>
    <s v="Asia"/>
    <x v="18"/>
    <n v="8.8000000000000007"/>
    <n v="6.4"/>
    <n v="1.1000000000000001"/>
    <n v="45.7"/>
    <n v="704"/>
    <s v="http://www.forbes.com/companies/new-world-development/"/>
  </r>
  <r>
    <s v="Wheelock &amp; Co"/>
    <s v="Financials"/>
    <s v="Real Estate"/>
    <s v="Asia"/>
    <x v="18"/>
    <n v="8.1"/>
    <n v="4.3"/>
    <n v="3.1"/>
    <n v="62.8"/>
    <n v="729"/>
    <s v="http://www.forbes.com/companies/wheelock-co/"/>
  </r>
  <r>
    <s v="Galaxy Entertainment"/>
    <s v="Consumer Discretionary"/>
    <s v="Casinos &amp; Gaming"/>
    <s v="Asia"/>
    <x v="18"/>
    <n v="39.700000000000003"/>
    <n v="8.5"/>
    <n v="1.3"/>
    <n v="6"/>
    <n v="742"/>
    <s v="http://www.forbes.com/companies/galaxy-entertainment/"/>
  </r>
  <r>
    <s v="Citic Pacific"/>
    <s v="Materials"/>
    <s v="Iron &amp; Steel"/>
    <s v="Asia"/>
    <x v="18"/>
    <n v="6.5"/>
    <n v="11.4"/>
    <n v="0.8"/>
    <n v="34.5"/>
    <n v="754"/>
    <s v="http://www.forbes.com/companies/citic-pacific/"/>
  </r>
  <r>
    <s v="Shimao Property Holdings"/>
    <s v="Financials"/>
    <s v="Real Estate"/>
    <s v="Asia"/>
    <x v="18"/>
    <n v="7.6"/>
    <n v="6.8"/>
    <n v="1.2"/>
    <n v="29"/>
    <n v="788"/>
    <s v="http://www.forbes.com/companies/shimao-property-holdings/"/>
  </r>
  <r>
    <s v="Bank of East Asia"/>
    <s v="Financials"/>
    <s v="Regional Banks"/>
    <s v="Asia"/>
    <x v="18"/>
    <n v="9.1"/>
    <n v="4.0999999999999996"/>
    <n v="0.9"/>
    <n v="97.2"/>
    <n v="817"/>
    <s v="http://www.forbes.com/companies/bank-of-east-asia/"/>
  </r>
  <r>
    <s v="SJM Holdings"/>
    <s v="Consumer Discretionary"/>
    <s v="Casinos &amp; Gaming"/>
    <s v="Asia"/>
    <x v="18"/>
    <n v="16.5"/>
    <n v="11.3"/>
    <n v="1"/>
    <n v="5.5"/>
    <n v="825"/>
    <s v="http://www.forbes.com/companies/sjm-holdings/"/>
  </r>
  <r>
    <s v="Chow Tai Fook Jewellery"/>
    <s v="Consumer Discretionary"/>
    <s v="Apparel/Accessories"/>
    <s v="Asia"/>
    <x v="18"/>
    <n v="15.8"/>
    <n v="9"/>
    <n v="0.9"/>
    <n v="6.9"/>
    <n v="893"/>
    <s v="http://www.forbes.com/companies/chow-tai-fook-jewellery/"/>
  </r>
  <r>
    <s v="Power Assets Holdings"/>
    <s v="Utilities"/>
    <s v="Electric Utilities"/>
    <s v="Asia"/>
    <x v="18"/>
    <n v="18.7"/>
    <n v="1.3"/>
    <n v="1.4"/>
    <n v="13.6"/>
    <n v="904"/>
    <s v="http://www.forbes.com/companies/power-assets-holdings/"/>
  </r>
  <r>
    <s v="Hong Kong &amp; China Gas"/>
    <s v="Utilities"/>
    <s v="Natural Gas Utilities"/>
    <s v="Asia"/>
    <x v="18"/>
    <n v="21.2"/>
    <n v="3.6"/>
    <n v="0.9"/>
    <n v="13.7"/>
    <n v="951"/>
    <s v="http://www.forbes.com/companies/hong-kong-china-gas/"/>
  </r>
  <r>
    <s v="Link REIT"/>
    <s v="Financials"/>
    <s v="Real Estate"/>
    <s v="Asia"/>
    <x v="18"/>
    <n v="11.4"/>
    <n v="0.9"/>
    <n v="2.5"/>
    <n v="13.4"/>
    <n v="954"/>
    <s v="http://www.forbes.com/companies/link-reit/"/>
  </r>
  <r>
    <s v="Cathay Pacific Airways"/>
    <s v="Industrials"/>
    <s v="Airline"/>
    <s v="Asia"/>
    <x v="18"/>
    <n v="7.4"/>
    <n v="13"/>
    <n v="0.3"/>
    <n v="22.1"/>
    <n v="972"/>
    <s v="http://www.forbes.com/companies/cathay-pacific/"/>
  </r>
  <r>
    <s v="Noble Group"/>
    <s v="Industrials"/>
    <s v="Conglomerates"/>
    <s v="Asia"/>
    <x v="18"/>
    <n v="6.3"/>
    <n v="97.9"/>
    <n v="0.2"/>
    <n v="19.7"/>
    <n v="975"/>
    <s v="http://www.forbes.com/companies/noble-group/"/>
  </r>
  <r>
    <s v="Sun Art Retail Group"/>
    <s v="Consumer Discretionary"/>
    <s v="Specialty Stores"/>
    <s v="Asia"/>
    <x v="18"/>
    <n v="11.9"/>
    <n v="14"/>
    <n v="0.5"/>
    <n v="8.1999999999999993"/>
    <n v="1010"/>
    <s v="http://www.forbes.com/companies/sun-art-retail-group/"/>
  </r>
  <r>
    <s v="Melco Crown Entertainment"/>
    <s v="Consumer Discretionary"/>
    <s v="Casinos &amp; Gaming"/>
    <s v="Asia"/>
    <x v="18"/>
    <n v="22.1"/>
    <n v="5.0999999999999996"/>
    <n v="0.6"/>
    <n v="8.8000000000000007"/>
    <n v="1067"/>
    <s v="http://www.forbes.com/companies/melco-crown-entertainment/"/>
  </r>
  <r>
    <s v="China Resources Enterprise"/>
    <s v="Consumer Discretionary"/>
    <s v="Specialty Stores"/>
    <s v="Asia"/>
    <x v="18"/>
    <n v="6.8"/>
    <n v="18.899999999999999"/>
    <n v="0.2"/>
    <n v="20"/>
    <n v="1068"/>
    <s v="http://www.forbes.com/companies/china-resources-enterprise/"/>
  </r>
  <r>
    <s v="Hong Kong Exchanges"/>
    <s v="Financials"/>
    <s v="Investment Services"/>
    <s v="Asia"/>
    <x v="18"/>
    <n v="17.899999999999999"/>
    <n v="1"/>
    <n v="0.6"/>
    <n v="11.1"/>
    <n v="1144"/>
    <s v="http://www.forbes.com/companies/hong-kong-exchanges/"/>
  </r>
  <r>
    <s v="Hang Lung Group"/>
    <s v="Financials"/>
    <s v="Real Estate"/>
    <s v="Asia"/>
    <x v="18"/>
    <n v="6.8"/>
    <n v="1.3"/>
    <n v="0.6"/>
    <n v="25.7"/>
    <n v="1175"/>
    <s v="http://www.forbes.com/companies/hang-lung-group/"/>
  </r>
  <r>
    <s v="Beijing Enterprises"/>
    <s v="Utilities"/>
    <s v="Natural Gas Utilities"/>
    <s v="Asia"/>
    <x v="18"/>
    <n v="11.4"/>
    <n v="4.9000000000000004"/>
    <n v="0.5"/>
    <n v="12.5"/>
    <n v="1196"/>
    <s v="http://www.forbes.com/companies/beijing-enterprises/"/>
  </r>
  <r>
    <s v="China Taiping Insurance"/>
    <s v="Financials"/>
    <s v="Diversified Insurance"/>
    <s v="Asia"/>
    <x v="18"/>
    <n v="4.4000000000000004"/>
    <n v="11.9"/>
    <n v="0.2"/>
    <n v="40.299999999999997"/>
    <n v="1197"/>
    <s v="http://www.forbes.com/companies/china-taiping-insurance/"/>
  </r>
  <r>
    <s v="ZTE"/>
    <s v="Information Technology"/>
    <s v="Communications Equipment"/>
    <s v="Asia"/>
    <x v="18"/>
    <n v="7.2"/>
    <n v="12.1"/>
    <n v="0.2"/>
    <n v="16.7"/>
    <n v="1220"/>
    <s v="http://www.forbes.com/companies/zte/"/>
  </r>
  <r>
    <s v="Agile Property Holdings"/>
    <s v="Financials"/>
    <s v="Real Estate"/>
    <s v="Asia"/>
    <x v="18"/>
    <n v="2.9"/>
    <n v="5.4"/>
    <n v="0.8"/>
    <n v="16.7"/>
    <n v="1256"/>
    <s v="http://www.forbes.com/companies/agile-property-holdings/"/>
  </r>
  <r>
    <s v="Michael Kors Holdings"/>
    <s v="Consumer Discretionary"/>
    <s v="Apparel/Accessories"/>
    <s v="Asia"/>
    <x v="18"/>
    <n v="19.399999999999999"/>
    <n v="3"/>
    <n v="0.6"/>
    <n v="2"/>
    <n v="1262"/>
    <s v="http://www.forbes.com/companies/michael-kors-holdings/"/>
  </r>
  <r>
    <s v="Belle International Holdings"/>
    <s v="Consumer Discretionary"/>
    <s v="Apparel/Footwear Retail"/>
    <s v="Asia"/>
    <x v="18"/>
    <n v="8.4"/>
    <n v="5.9"/>
    <n v="0.7"/>
    <n v="5.5"/>
    <n v="1277"/>
    <s v="http://www.forbes.com/companies/belle-international-holdings/"/>
  </r>
  <r>
    <s v="China Merchants Holdings"/>
    <s v="Industrials"/>
    <s v="Other Transportation"/>
    <s v="Asia"/>
    <x v="18"/>
    <n v="8.3000000000000007"/>
    <n v="1.3"/>
    <n v="0.5"/>
    <n v="11.1"/>
    <n v="1468"/>
    <s v="http://www.forbes.com/companies/china-merchants-holdings/"/>
  </r>
  <r>
    <s v="Sino Land"/>
    <s v="Financials"/>
    <s v="Real Estate"/>
    <s v="Asia"/>
    <x v="18"/>
    <n v="3.8"/>
    <n v="0.7"/>
    <n v="0.6"/>
    <n v="17.399999999999999"/>
    <n v="1551"/>
    <s v="http://www.forbes.com/companies/sino-land/"/>
  </r>
  <r>
    <s v="China Mengniu Dairy"/>
    <s v="Consumer Staples"/>
    <s v="Food Processing"/>
    <s v="Asia"/>
    <x v="18"/>
    <n v="10"/>
    <n v="7.1"/>
    <n v="0.3"/>
    <n v="4.4000000000000004"/>
    <n v="1564"/>
    <s v="http://www.forbes.com/companies/china-mengniu-dairy/"/>
  </r>
  <r>
    <s v="Hopson Development Holdings"/>
    <s v="Financials"/>
    <s v="Real Estate"/>
    <s v="Asia"/>
    <x v="18"/>
    <n v="2.1"/>
    <n v="2"/>
    <n v="0.5"/>
    <n v="17.399999999999999"/>
    <n v="1601"/>
    <s v="http://www.forbes.com/companies/hopson-development/"/>
  </r>
  <r>
    <s v="Franshion Properties (China)"/>
    <s v="Financials"/>
    <s v="Consumer Financial Services"/>
    <s v="Asia"/>
    <x v="18"/>
    <n v="3.1"/>
    <n v="2.7"/>
    <n v="0.5"/>
    <n v="15.6"/>
    <n v="1625"/>
    <s v="http://www.forbes.com/companies/franshion-properties-china/"/>
  </r>
  <r>
    <s v="Brilliance China Automotive Holdings"/>
    <m/>
    <m/>
    <s v="Asia"/>
    <x v="18"/>
    <n v="7.7"/>
    <n v="1"/>
    <n v="0.5"/>
    <n v="3.1"/>
    <n v="1680"/>
    <s v="http://www.forbes.com/companies/brilliance-china-automotive-holdings/"/>
  </r>
  <r>
    <s v="China Agri-Industries"/>
    <s v="Materials"/>
    <s v="Diversified Chemicals"/>
    <s v="Asia"/>
    <x v="18"/>
    <n v="2.1"/>
    <n v="12.2"/>
    <n v="0.2"/>
    <n v="10.7"/>
    <n v="1698"/>
    <s v="http://www.forbes.com/companies/china-agri-industries/"/>
  </r>
  <r>
    <s v="Honbridge Holdings"/>
    <m/>
    <m/>
    <s v="Asia"/>
    <x v="18"/>
    <n v="1.3"/>
    <n v="0"/>
    <n v="1.2"/>
    <n v="2"/>
    <n v="1734"/>
    <s v="http://www.forbes.com/companies/honbridge-holdings/"/>
  </r>
  <r>
    <s v="Chinese Estates"/>
    <s v="Financials"/>
    <s v="Real Estate"/>
    <s v="Asia"/>
    <x v="18"/>
    <n v="4.7"/>
    <n v="0.9"/>
    <n v="0.8"/>
    <n v="9.8000000000000007"/>
    <n v="1750"/>
    <s v="http://www.forbes.com/companies/chinese-estates/"/>
  </r>
  <r>
    <s v="Hysan Development"/>
    <s v="Financials"/>
    <s v="Real Estate"/>
    <s v="Asia"/>
    <x v="18"/>
    <n v="4.5999999999999996"/>
    <n v="0.4"/>
    <n v="0.8"/>
    <n v="9.8000000000000007"/>
    <n v="1763"/>
    <s v="http://www.forbes.com/companies/hysan-development/"/>
  </r>
  <r>
    <s v="Wing Hang Bank"/>
    <s v="Financials"/>
    <s v="Regional Banks"/>
    <s v="Asia"/>
    <x v="18"/>
    <n v="4.9000000000000004"/>
    <n v="0.9"/>
    <n v="0.3"/>
    <n v="27.6"/>
    <n v="1821"/>
    <s v="http://www.forbes.com/companies/wing-hang-bank/"/>
  </r>
  <r>
    <s v="Guangdong Investment"/>
    <s v="Utilities"/>
    <s v="Diversified Utilities"/>
    <s v="Asia"/>
    <x v="18"/>
    <n v="6.3"/>
    <n v="1"/>
    <n v="0.6"/>
    <n v="5.3"/>
    <n v="1835"/>
    <s v="http://www.forbes.com/companies/guangdong-investment/"/>
  </r>
  <r>
    <s v="Yuexiu Property Co."/>
    <s v="Financials"/>
    <s v="Real Estate"/>
    <s v="Asia"/>
    <x v="18"/>
    <n v="1.9"/>
    <n v="2.2999999999999998"/>
    <n v="0.5"/>
    <n v="12.9"/>
    <n v="1867"/>
    <s v="http://www.forbes.com/companies/yuexiu-property/"/>
  </r>
  <r>
    <s v="First Pacific"/>
    <s v="Financials"/>
    <s v="Investment Services"/>
    <s v="Asia"/>
    <x v="18"/>
    <n v="4.4000000000000004"/>
    <n v="6.2"/>
    <n v="0.2"/>
    <n v="15.6"/>
    <n v="1869"/>
    <s v="http://www.forbes.com/companies/first-pacific/"/>
  </r>
  <r>
    <s v="Shangri-La Asia"/>
    <s v="Consumer Discretionary"/>
    <s v="Hotels &amp; Motels"/>
    <s v="Asia"/>
    <x v="18"/>
    <n v="5.0999999999999996"/>
    <n v="2.1"/>
    <n v="0.4"/>
    <n v="12.9"/>
    <n v="1959"/>
    <s v="http://www.forbes.com/companies/shangri-la-asia/"/>
  </r>
  <r>
    <s v="TPV Technology"/>
    <s v="Information Technology"/>
    <s v="Computer Storage Devices"/>
    <s v="Asia"/>
    <x v="18"/>
    <n v="0.4"/>
    <n v="12"/>
    <n v="0"/>
    <n v="6.3"/>
    <n v="1968"/>
    <s v="http://www.forbes.com/companies/tpv-technology/"/>
  </r>
  <r>
    <s v="MOL Hungarian Oil"/>
    <s v="Energy"/>
    <s v="Oil &amp; Gas Operations"/>
    <s v="Europe"/>
    <x v="19"/>
    <n v="5.6"/>
    <n v="24.2"/>
    <n v="0.1"/>
    <n v="21.5"/>
    <n v="1105"/>
    <s v="http://www.forbes.com/companies/mol-hungarian-oil/"/>
  </r>
  <r>
    <s v="OTP Bank"/>
    <s v="Financials"/>
    <s v="Regional Banks"/>
    <s v="Europe"/>
    <x v="19"/>
    <n v="5.3"/>
    <n v="6.2"/>
    <n v="0.3"/>
    <n v="48.2"/>
    <n v="1270"/>
    <s v="http://www.forbes.com/companies/otp-bank/"/>
  </r>
  <r>
    <s v="Reliance Industries"/>
    <s v="Energy"/>
    <s v="Oil &amp; Gas Operations"/>
    <s v="Asia"/>
    <x v="20"/>
    <n v="50.9"/>
    <n v="72.8"/>
    <n v="3.8"/>
    <n v="67.2"/>
    <n v="135"/>
    <s v="http://www.forbes.com/companies/reliance-industries/"/>
  </r>
  <r>
    <s v="State Bank of India"/>
    <s v="Financials"/>
    <s v="Regional Banks"/>
    <s v="Asia"/>
    <x v="20"/>
    <n v="23.6"/>
    <n v="37.1"/>
    <n v="3.3"/>
    <n v="376.8"/>
    <n v="155"/>
    <s v="http://www.forbes.com/companies/state-bank-of-india/"/>
  </r>
  <r>
    <s v="Oil &amp; Natural Gas"/>
    <s v="Energy"/>
    <s v="Oil &amp; Gas Operations"/>
    <s v="Asia"/>
    <x v="20"/>
    <n v="46.4"/>
    <n v="29.6"/>
    <n v="4.5"/>
    <n v="53.8"/>
    <n v="176"/>
    <s v="http://www.forbes.com/companies/oil-natural-gas/"/>
  </r>
  <r>
    <s v="ICICI Bank"/>
    <s v="Financials"/>
    <s v="Regional Banks"/>
    <s v="Asia"/>
    <x v="20"/>
    <n v="23.7"/>
    <n v="13.3"/>
    <n v="1.8"/>
    <n v="124.2"/>
    <n v="304"/>
    <s v="http://www.forbes.com/companies/icici-bank/"/>
  </r>
  <r>
    <s v="Tata Motors"/>
    <s v="Consumer Discretionary"/>
    <s v="Auto &amp; Truck Manufacturers"/>
    <s v="Asia"/>
    <x v="20"/>
    <n v="19.899999999999999"/>
    <n v="34.5"/>
    <n v="1.8"/>
    <n v="32.4"/>
    <n v="332"/>
    <s v="http://www.forbes.com/companies/tata-motors/"/>
  </r>
  <r>
    <s v="Indian Oil"/>
    <s v="Energy"/>
    <s v="Oil &amp; Gas Operations"/>
    <s v="Asia"/>
    <x v="20"/>
    <n v="11.1"/>
    <n v="74.599999999999994"/>
    <n v="0.8"/>
    <n v="43.7"/>
    <n v="416"/>
    <s v="http://www.forbes.com/companies/indian-oil/"/>
  </r>
  <r>
    <s v="HDFC Bank"/>
    <s v="Financials"/>
    <s v="Regional Banks"/>
    <s v="Asia"/>
    <x v="20"/>
    <n v="29.6"/>
    <n v="7.9"/>
    <n v="1.3"/>
    <n v="75"/>
    <n v="421"/>
    <s v="http://www.forbes.com/companies/hdfc-bank/"/>
  </r>
  <r>
    <s v="NTPC"/>
    <s v="Utilities"/>
    <s v="Electric Utilities"/>
    <s v="Asia"/>
    <x v="20"/>
    <n v="16.8"/>
    <n v="12.3"/>
    <n v="2.2999999999999998"/>
    <n v="35.5"/>
    <n v="424"/>
    <s v="http://www.forbes.com/companies/ntpc/"/>
  </r>
  <r>
    <s v="Coal India"/>
    <s v="Materials"/>
    <s v="Diversified Metals &amp; Mining"/>
    <s v="Asia"/>
    <x v="20"/>
    <n v="30.6"/>
    <n v="12.6"/>
    <n v="3.2"/>
    <n v="18.399999999999999"/>
    <n v="428"/>
    <s v="http://www.forbes.com/companies/coal-india/"/>
  </r>
  <r>
    <s v="Larsen &amp; Toubro"/>
    <s v="Industrials"/>
    <s v="Construction Services"/>
    <s v="Asia"/>
    <x v="20"/>
    <n v="19.8"/>
    <n v="13.5"/>
    <n v="1"/>
    <n v="26.7"/>
    <n v="500"/>
    <s v="http://www.forbes.com/companies/larsen-toubro/"/>
  </r>
  <r>
    <s v="HDFC"/>
    <s v="Financials"/>
    <s v="Consumer Financial Services"/>
    <s v="Asia"/>
    <x v="20"/>
    <n v="23.2"/>
    <n v="6.6"/>
    <n v="1.2"/>
    <n v="43.5"/>
    <n v="535"/>
    <s v="http://www.forbes.com/companies/hdfc/"/>
  </r>
  <r>
    <s v="Tata Consultancy Services"/>
    <s v="Information Technology"/>
    <s v="Computer Services"/>
    <s v="Asia"/>
    <x v="20"/>
    <n v="71.2"/>
    <n v="13.1"/>
    <n v="3"/>
    <n v="9.1999999999999993"/>
    <n v="542"/>
    <s v="http://www.forbes.com/companies/tata-consultancy-services/"/>
  </r>
  <r>
    <s v="Bharti Airtel"/>
    <s v="Telecommunication Services"/>
    <s v="Telecommunications services"/>
    <s v="Asia"/>
    <x v="20"/>
    <n v="21.1"/>
    <n v="14.3"/>
    <n v="0.4"/>
    <n v="29.2"/>
    <n v="625"/>
    <s v="http://www.forbes.com/companies/bharti-airtel/"/>
  </r>
  <r>
    <s v="Axis Bank"/>
    <s v="Financials"/>
    <s v="Regional Banks"/>
    <s v="Asia"/>
    <x v="20"/>
    <n v="11.5"/>
    <n v="6.3"/>
    <n v="1"/>
    <n v="62.7"/>
    <n v="630"/>
    <s v="http://www.forbes.com/companies/axis-bank/"/>
  </r>
  <r>
    <s v="Infosys"/>
    <s v="Information Technology"/>
    <s v="Computer Services"/>
    <s v="Asia"/>
    <x v="20"/>
    <n v="31.7"/>
    <n v="8.1"/>
    <n v="1.7"/>
    <n v="8.6999999999999993"/>
    <n v="726"/>
    <s v="http://www.forbes.com/companies/infosys/"/>
  </r>
  <r>
    <s v="Punjab National Bank"/>
    <s v="Financials"/>
    <s v="Regional Banks"/>
    <s v="Asia"/>
    <x v="20"/>
    <n v="4.5"/>
    <n v="8.6999999999999993"/>
    <n v="0.9"/>
    <n v="91.4"/>
    <n v="795"/>
    <s v="http://www.forbes.com/companies/punjab-national-bank/"/>
  </r>
  <r>
    <s v="Bank of Baroda"/>
    <s v="Financials"/>
    <s v="Regional Banks"/>
    <s v="Asia"/>
    <x v="20"/>
    <n v="5.2"/>
    <n v="7.5"/>
    <n v="0.9"/>
    <n v="102.9"/>
    <n v="801"/>
    <s v="http://www.forbes.com/companies/bank-of-baroda/"/>
  </r>
  <r>
    <s v="Mahindra &amp; Mahindra"/>
    <s v="Consumer Discretionary"/>
    <s v="Auto &amp; Truck Manufacturers"/>
    <s v="Asia"/>
    <x v="20"/>
    <n v="9.9"/>
    <n v="12.4"/>
    <n v="0.7"/>
    <n v="14.1"/>
    <n v="803"/>
    <s v="http://www.forbes.com/companies/mahindra-mahindra/"/>
  </r>
  <r>
    <s v="ITC"/>
    <s v="Consumer Staples"/>
    <s v="Tobacco"/>
    <s v="Asia"/>
    <x v="20"/>
    <n v="46.9"/>
    <n v="5.8"/>
    <n v="1.4"/>
    <n v="6.6"/>
    <n v="830"/>
    <s v="http://www.forbes.com/companies/itc/"/>
  </r>
  <r>
    <s v="Wipro"/>
    <s v="Information Technology"/>
    <s v="Computer Services"/>
    <s v="Asia"/>
    <x v="20"/>
    <n v="23.1"/>
    <n v="7.1"/>
    <n v="1.2"/>
    <n v="7.8"/>
    <n v="849"/>
    <s v="http://www.forbes.com/companies/wipro/"/>
  </r>
  <r>
    <s v="Bharat Heavy Electricals"/>
    <s v="Industrials"/>
    <s v="Electrical Equipment"/>
    <s v="Asia"/>
    <x v="20"/>
    <n v="8"/>
    <n v="8.9"/>
    <n v="1.2"/>
    <n v="13.2"/>
    <n v="873"/>
    <s v="http://www.forbes.com/companies/bharat-heavy-electricals/"/>
  </r>
  <r>
    <s v="GAIL India"/>
    <s v="Utilities"/>
    <s v="Natural Gas Utilities"/>
    <s v="Asia"/>
    <x v="20"/>
    <n v="8"/>
    <n v="9.3000000000000007"/>
    <n v="0.8"/>
    <n v="12.2"/>
    <n v="955"/>
    <s v="http://www.forbes.com/companies/gail-india/"/>
  </r>
  <r>
    <s v="Hindalco Industries"/>
    <s v="Materials"/>
    <s v="Aluminum"/>
    <s v="Asia"/>
    <x v="20"/>
    <n v="4.8"/>
    <n v="14.6"/>
    <n v="0.6"/>
    <n v="22.7"/>
    <n v="957"/>
    <s v="http://www.forbes.com/companies/hindalco-industries/"/>
  </r>
  <r>
    <s v="Canara Bank"/>
    <s v="Financials"/>
    <s v="Major Banks"/>
    <s v="Asia"/>
    <x v="20"/>
    <n v="2"/>
    <n v="6.9"/>
    <n v="0.5"/>
    <n v="77.2"/>
    <n v="966"/>
    <s v="http://www.forbes.com/companies/canara-bank/"/>
  </r>
  <r>
    <s v="Bank of India"/>
    <s v="Financials"/>
    <s v="Regional Banks"/>
    <s v="Asia"/>
    <x v="20"/>
    <n v="2.4"/>
    <n v="6.6"/>
    <n v="0.5"/>
    <n v="84"/>
    <n v="976"/>
    <s v="http://www.forbes.com/companies/bank-of-india/"/>
  </r>
  <r>
    <s v="Tata Steel"/>
    <s v="Materials"/>
    <s v="Iron &amp; Steel"/>
    <s v="Asia"/>
    <x v="20"/>
    <n v="6.5"/>
    <n v="23.8"/>
    <n v="-1.3"/>
    <n v="27.2"/>
    <n v="983"/>
    <s v="http://www.forbes.com/companies/tata-steel/"/>
  </r>
  <r>
    <s v="Power Grid of India"/>
    <s v="Utilities"/>
    <s v="Electric Utilities"/>
    <s v="Asia"/>
    <x v="20"/>
    <n v="9.5"/>
    <n v="2.4"/>
    <n v="0.8"/>
    <n v="22"/>
    <n v="1011"/>
    <s v="http://www.forbes.com/companies/power-grid-of-india/"/>
  </r>
  <r>
    <s v="Bharat Petroleum"/>
    <s v="Energy"/>
    <s v="Oil &amp; Gas Operations"/>
    <s v="Asia"/>
    <x v="20"/>
    <n v="5.4"/>
    <n v="40.299999999999997"/>
    <n v="0.3"/>
    <n v="14.9"/>
    <n v="1045"/>
    <s v="http://www.forbes.com/companies/bharat-petroleum/"/>
  </r>
  <r>
    <s v="HCL Technologies"/>
    <s v="Information Technology"/>
    <s v="Software &amp; Programming"/>
    <s v="Asia"/>
    <x v="20"/>
    <n v="16.600000000000001"/>
    <n v="4.7"/>
    <n v="0.7"/>
    <n v="4.2"/>
    <n v="1153"/>
    <s v="http://www.forbes.com/companies/hcl-technologies/"/>
  </r>
  <r>
    <s v="Hindustan Petroleum"/>
    <s v="Energy"/>
    <s v="Oil &amp; Gas Operations"/>
    <s v="Asia"/>
    <x v="20"/>
    <n v="1.7"/>
    <n v="35"/>
    <n v="0.1"/>
    <n v="17.100000000000001"/>
    <n v="1211"/>
    <s v="http://www.forbes.com/companies/hindustan-petroleum/"/>
  </r>
  <r>
    <s v="Power Finance"/>
    <s v="Consumer Discretionary"/>
    <s v="Business &amp; Personal Services"/>
    <s v="Asia"/>
    <x v="20"/>
    <n v="4.2"/>
    <n v="3.2"/>
    <n v="0.8"/>
    <n v="31.2"/>
    <n v="1226"/>
    <s v="http://www.forbes.com/companies/power-finance/"/>
  </r>
  <r>
    <s v="Union Bank of India"/>
    <s v="Financials"/>
    <s v="Regional Banks"/>
    <s v="Asia"/>
    <x v="20"/>
    <n v="1.4"/>
    <n v="5.2"/>
    <n v="0.4"/>
    <n v="57.6"/>
    <n v="1229"/>
    <s v="http://www.forbes.com/companies/union-bank-of-india/"/>
  </r>
  <r>
    <s v="Adani Enterprises"/>
    <s v="Industrials"/>
    <s v="Trading Companies"/>
    <s v="Asia"/>
    <x v="20"/>
    <n v="6.5"/>
    <n v="8.6"/>
    <n v="0.3"/>
    <n v="19.5"/>
    <n v="1233"/>
    <s v="http://www.forbes.com/companies/adani-enterprises/"/>
  </r>
  <r>
    <s v="Kotak Mahindra Bank"/>
    <s v="Financials"/>
    <s v="Regional Banks"/>
    <s v="Asia"/>
    <x v="20"/>
    <n v="9.9"/>
    <n v="2.9"/>
    <n v="0.4"/>
    <n v="18.3"/>
    <n v="1254"/>
    <s v="http://www.forbes.com/companies/kotak-mahindra-bank/"/>
  </r>
  <r>
    <s v="IDBI Bank"/>
    <s v="Financials"/>
    <s v="Regional Banks"/>
    <s v="Asia"/>
    <x v="20"/>
    <n v="1.7"/>
    <n v="5.2"/>
    <n v="0.3"/>
    <n v="59.4"/>
    <n v="1290"/>
    <s v="http://www.forbes.com/companies/idbi-bank/"/>
  </r>
  <r>
    <s v="Sun Pharma Industries"/>
    <s v="Health Care"/>
    <s v="Pharmaceuticals"/>
    <s v="Asia"/>
    <x v="20"/>
    <n v="19.899999999999999"/>
    <n v="2.1"/>
    <n v="0.5"/>
    <n v="4.0999999999999996"/>
    <n v="1293"/>
    <s v="http://www.forbes.com/companies/sun-pharma-industries/"/>
  </r>
  <r>
    <s v="Steel Authority of India"/>
    <s v="Materials"/>
    <s v="Iron &amp; Steel"/>
    <s v="Asia"/>
    <x v="20"/>
    <n v="4.9000000000000004"/>
    <n v="8.1999999999999993"/>
    <n v="0.4"/>
    <n v="15.9"/>
    <n v="1328"/>
    <s v="http://www.forbes.com/companies/steel-authority-of-india/"/>
  </r>
  <r>
    <s v="Rural Electrification"/>
    <s v="Financials"/>
    <s v="Investment Services"/>
    <s v="Asia"/>
    <x v="20"/>
    <n v="3.7"/>
    <n v="2.5"/>
    <n v="0.7"/>
    <n v="24"/>
    <n v="1338"/>
    <s v="http://www.forbes.com/companies/rural-electrification/"/>
  </r>
  <r>
    <s v="NMDC"/>
    <s v="Materials"/>
    <s v="Diversified Metals &amp; Mining"/>
    <s v="Asia"/>
    <x v="20"/>
    <n v="9.1"/>
    <n v="1.9"/>
    <n v="1"/>
    <n v="5.4"/>
    <n v="1365"/>
    <s v="http://www.forbes.com/companies/nmdc/"/>
  </r>
  <r>
    <s v="Syndicate Bank"/>
    <s v="Financials"/>
    <s v="Regional Banks"/>
    <s v="Asia"/>
    <x v="20"/>
    <n v="1"/>
    <n v="3.4"/>
    <n v="0.4"/>
    <n v="39.799999999999997"/>
    <n v="1438"/>
    <s v="http://www.forbes.com/companies/syndicate-bank/"/>
  </r>
  <r>
    <s v="Bajaj Auto"/>
    <s v="Consumer Discretionary"/>
    <s v="Recreational Products"/>
    <s v="Asia"/>
    <x v="20"/>
    <n v="10"/>
    <n v="3.6"/>
    <n v="0.6"/>
    <n v="2.4"/>
    <n v="1498"/>
    <s v="http://www.forbes.com/companies/bajaj-auto/"/>
  </r>
  <r>
    <s v="Central Bank of India"/>
    <s v="Financials"/>
    <s v="Regional Banks"/>
    <s v="Asia"/>
    <x v="20"/>
    <n v="1.1000000000000001"/>
    <n v="4.3"/>
    <n v="0.2"/>
    <n v="49.5"/>
    <n v="1637"/>
    <s v="http://www.forbes.com/companies/central-bank-of-india/"/>
  </r>
  <r>
    <s v="Indian Bank"/>
    <s v="Financials"/>
    <s v="Regional Banks"/>
    <s v="Asia"/>
    <x v="20"/>
    <n v="0.9"/>
    <n v="2.8"/>
    <n v="0.3"/>
    <n v="30"/>
    <n v="1734"/>
    <s v="http://www.forbes.com/companies/indian-bank/"/>
  </r>
  <r>
    <s v="Indian Overseas Bank"/>
    <s v="Financials"/>
    <s v="Regional Banks"/>
    <s v="Asia"/>
    <x v="20"/>
    <n v="1"/>
    <n v="4.0999999999999996"/>
    <n v="0.1"/>
    <n v="41.9"/>
    <n v="1748"/>
    <s v="http://www.forbes.com/companies/indian-overseas-bank/"/>
  </r>
  <r>
    <s v="Corporation Bank"/>
    <s v="Financials"/>
    <s v="Regional Banks"/>
    <s v="Asia"/>
    <x v="20"/>
    <n v="0.8"/>
    <n v="3.1"/>
    <n v="0.3"/>
    <n v="35.6"/>
    <n v="1789"/>
    <s v="http://www.forbes.com/companies/corporation-bank/"/>
  </r>
  <r>
    <s v="Allahabad Bank"/>
    <s v="Financials"/>
    <s v="Regional Banks"/>
    <s v="Asia"/>
    <x v="20"/>
    <n v="0.8"/>
    <n v="3.5"/>
    <n v="0.2"/>
    <n v="37.700000000000003"/>
    <n v="1810"/>
    <s v="http://www.forbes.com/companies/allahabad-bank/"/>
  </r>
  <r>
    <s v="UCO Bank"/>
    <s v="Financials"/>
    <s v="Regional Banks"/>
    <s v="Asia"/>
    <x v="20"/>
    <n v="1.2"/>
    <n v="3.2"/>
    <n v="0.1"/>
    <n v="33.9"/>
    <n v="1860"/>
    <s v="http://www.forbes.com/companies/uco-bank/"/>
  </r>
  <r>
    <s v="Oriental Bank of Commerce"/>
    <s v="Financials"/>
    <s v="Regional Banks"/>
    <s v="Asia"/>
    <x v="20"/>
    <n v="1.1000000000000001"/>
    <n v="3.5"/>
    <n v="0.2"/>
    <n v="32.200000000000003"/>
    <n v="1875"/>
    <s v="http://www.forbes.com/companies/oriental-bank-of-commerce/"/>
  </r>
  <r>
    <s v="NHPC"/>
    <s v="Utilities"/>
    <s v="Electric Utilities"/>
    <s v="Asia"/>
    <x v="20"/>
    <n v="3.6"/>
    <n v="1.1000000000000001"/>
    <n v="0.5"/>
    <n v="12"/>
    <n v="1901"/>
    <s v="http://www.forbes.com/companies/nhpc/"/>
  </r>
  <r>
    <s v="Hero Motocorp"/>
    <s v="Consumer Discretionary"/>
    <s v="Recreational Products"/>
    <s v="Asia"/>
    <x v="20"/>
    <n v="7.5"/>
    <n v="4.2"/>
    <n v="0.4"/>
    <n v="1.6"/>
    <n v="1910"/>
    <s v="http://www.forbes.com/companies/hero-motocorp/"/>
  </r>
  <r>
    <s v="Jindal Steel &amp; Power"/>
    <s v="Materials"/>
    <s v="Iron &amp; Steel"/>
    <s v="Asia"/>
    <x v="20"/>
    <n v="4.5999999999999996"/>
    <n v="3.5"/>
    <n v="0.5"/>
    <n v="10.4"/>
    <n v="1953"/>
    <s v="http://www.forbes.com/companies/jindal-steel-power/"/>
  </r>
  <r>
    <s v="Andhra Bank"/>
    <s v="Financials"/>
    <s v="Regional Banks"/>
    <s v="Asia"/>
    <x v="20"/>
    <n v="0.6"/>
    <n v="2.7"/>
    <n v="0.2"/>
    <n v="27.2"/>
    <n v="1975"/>
    <s v="http://www.forbes.com/companies/andhra-bank/"/>
  </r>
  <r>
    <s v="Grasim Industries"/>
    <s v="Materials"/>
    <s v="Construction Materials"/>
    <s v="Asia"/>
    <x v="20"/>
    <n v="4.4000000000000004"/>
    <n v="5.0999999999999996"/>
    <n v="0.5"/>
    <n v="7.4"/>
    <n v="1978"/>
    <s v="http://www.forbes.com/companies/grasim-industries/"/>
  </r>
  <r>
    <s v="JSW Steel"/>
    <s v="Materials"/>
    <s v="Iron &amp; Steel"/>
    <s v="Asia"/>
    <x v="20"/>
    <n v="4.0999999999999996"/>
    <n v="7"/>
    <n v="0.2"/>
    <n v="12.1"/>
    <n v="1989"/>
    <s v="http://www.forbes.com/companies/jsw-steel/"/>
  </r>
  <r>
    <s v="Bank Mandiri"/>
    <s v="Financials"/>
    <s v="Regional Banks"/>
    <s v="Asia"/>
    <x v="21"/>
    <n v="20.5"/>
    <n v="6.6"/>
    <n v="1.7"/>
    <n v="60.2"/>
    <n v="478"/>
    <s v="http://www.forbes.com/companies/bank-mandiri/"/>
  </r>
  <r>
    <s v="Bank Rakyat Indonesia"/>
    <s v="Financials"/>
    <s v="Regional Banks"/>
    <s v="Asia"/>
    <x v="21"/>
    <n v="21.8"/>
    <n v="6.3"/>
    <n v="2"/>
    <n v="51.5"/>
    <n v="484"/>
    <s v="http://www.forbes.com/companies/bank-rakyat-indonesia/"/>
  </r>
  <r>
    <s v="Bank Central Asia"/>
    <s v="Financials"/>
    <s v="Regional Banks"/>
    <s v="Asia"/>
    <x v="21"/>
    <n v="23.9"/>
    <n v="4"/>
    <n v="1.4"/>
    <n v="40.799999999999997"/>
    <n v="661"/>
    <s v="http://www.forbes.com/companies/bank-central-asia/"/>
  </r>
  <r>
    <s v="Telekom Indonesia"/>
    <s v="Telecommunication Services"/>
    <s v="Telecommunications services"/>
    <s v="Asia"/>
    <x v="21"/>
    <n v="19.399999999999999"/>
    <n v="7.9"/>
    <n v="1.4"/>
    <n v="10.5"/>
    <n v="768"/>
    <s v="http://www.forbes.com/companies/telekom-indonesia/"/>
  </r>
  <r>
    <s v="Bank Negara Indonesia"/>
    <s v="Financials"/>
    <s v="Regional Banks"/>
    <s v="Asia"/>
    <x v="21"/>
    <n v="8.5"/>
    <n v="3.4"/>
    <n v="0.9"/>
    <n v="31.8"/>
    <n v="965"/>
    <s v="http://www.forbes.com/companies/bank-negara-indonesia/"/>
  </r>
  <r>
    <s v="PGN"/>
    <s v="Utilities"/>
    <s v="Natural Gas Utilities"/>
    <s v="Asia"/>
    <x v="21"/>
    <n v="11.2"/>
    <n v="3"/>
    <n v="0.9"/>
    <n v="4.4000000000000004"/>
    <n v="1311"/>
    <s v="http://www.forbes.com/companies/pgn/"/>
  </r>
  <r>
    <s v="Gudang Garam"/>
    <s v="Consumer Staples"/>
    <s v="Tobacco"/>
    <s v="Asia"/>
    <x v="21"/>
    <n v="8.6999999999999993"/>
    <n v="5.3"/>
    <n v="0.4"/>
    <n v="4.2"/>
    <n v="1547"/>
    <s v="http://www.forbes.com/companies/gudang-garam/"/>
  </r>
  <r>
    <s v="Semen Indonesia"/>
    <s v="Materials"/>
    <s v="Construction Materials"/>
    <s v="Asia"/>
    <x v="21"/>
    <n v="8.6999999999999993"/>
    <n v="2.2999999999999998"/>
    <n v="0.5"/>
    <n v="2.5"/>
    <n v="1620"/>
    <s v="http://www.forbes.com/companies/semen-indonesia/"/>
  </r>
  <r>
    <s v="Bank Danamon Indonesia"/>
    <s v="Financials"/>
    <s v="Regional Banks"/>
    <s v="Asia"/>
    <x v="21"/>
    <n v="3.8"/>
    <n v="2.5"/>
    <n v="0.4"/>
    <n v="15.1"/>
    <n v="1898"/>
    <s v="http://www.forbes.com/companies/bank-danamon-indonesia/"/>
  </r>
  <r>
    <s v="Eaton"/>
    <s v="Industrials"/>
    <s v="Other Industrial Equipment"/>
    <s v="Europe"/>
    <x v="22"/>
    <n v="36.1"/>
    <n v="22"/>
    <n v="1.9"/>
    <n v="35.5"/>
    <n v="299"/>
    <s v="http://www.forbes.com/companies/eaton/"/>
  </r>
  <r>
    <s v="Accenture"/>
    <s v="Information Technology"/>
    <s v="Computer Services"/>
    <s v="Europe"/>
    <x v="22"/>
    <n v="52.7"/>
    <n v="30.6"/>
    <n v="2.9"/>
    <n v="16.399999999999999"/>
    <n v="339"/>
    <s v="http://www.forbes.com/companies/accenture/"/>
  </r>
  <r>
    <s v="Covidien"/>
    <s v="Health Care"/>
    <s v="Medical Equipment &amp; Supplies"/>
    <s v="Europe"/>
    <x v="22"/>
    <n v="32.700000000000003"/>
    <n v="10.9"/>
    <n v="1.6"/>
    <n v="19.600000000000001"/>
    <n v="489"/>
    <s v="http://www.forbes.com/companies/covidien/"/>
  </r>
  <r>
    <s v="XL Group"/>
    <s v="Financials"/>
    <s v="Diversified Insurance"/>
    <s v="Europe"/>
    <x v="22"/>
    <n v="8.6"/>
    <n v="7.5"/>
    <n v="1.1000000000000001"/>
    <n v="45.7"/>
    <n v="669"/>
    <s v="http://www.forbes.com/companies/xl-group/"/>
  </r>
  <r>
    <s v="Seagate Technology"/>
    <s v="Information Technology"/>
    <s v="Computer Storage Devices"/>
    <s v="Europe"/>
    <x v="22"/>
    <n v="18.7"/>
    <n v="14"/>
    <n v="1.6"/>
    <n v="8.9"/>
    <n v="682"/>
    <s v="http://www.forbes.com/companies/seagate-technology/"/>
  </r>
  <r>
    <s v="Ingersoll-Rand"/>
    <s v="Industrials"/>
    <s v="Conglomerates"/>
    <s v="Europe"/>
    <x v="22"/>
    <n v="15.9"/>
    <n v="12.4"/>
    <n v="0.6"/>
    <n v="17.7"/>
    <n v="686"/>
    <s v="http://www.forbes.com/companies/ingersoll-rand/"/>
  </r>
  <r>
    <s v="CRH"/>
    <s v="Materials"/>
    <s v="Construction Materials"/>
    <s v="Europe"/>
    <x v="22"/>
    <n v="21"/>
    <n v="23.9"/>
    <n v="-0.4"/>
    <n v="28.2"/>
    <n v="708"/>
    <s v="http://www.forbes.com/companies/crh/"/>
  </r>
  <r>
    <s v="Allied Irish Banks"/>
    <s v="Financials"/>
    <s v="Regional Banks"/>
    <s v="Europe"/>
    <x v="22"/>
    <n v="105"/>
    <n v="5.2"/>
    <n v="-2.1"/>
    <n v="162.5"/>
    <n v="757"/>
    <s v="http://www.forbes.com/companies/allied-irish-banks/"/>
  </r>
  <r>
    <s v="Actavis"/>
    <s v="Health Care"/>
    <s v="Pharmaceuticals"/>
    <s v="Europe"/>
    <x v="22"/>
    <n v="36.5"/>
    <n v="8.6999999999999993"/>
    <n v="-0.8"/>
    <n v="22.7"/>
    <n v="858"/>
    <s v="http://www.forbes.com/companies/actavis/"/>
  </r>
  <r>
    <s v="Bank of Ireland"/>
    <s v="Financials"/>
    <s v="Major Banks"/>
    <s v="Europe"/>
    <x v="22"/>
    <n v="14.4"/>
    <n v="5.8"/>
    <n v="-0.6"/>
    <n v="182.1"/>
    <n v="891"/>
    <s v="http://www.forbes.com/companies/bank-of-ireland/"/>
  </r>
  <r>
    <s v="Ryanair Holdings"/>
    <s v="Industrials"/>
    <s v="Airline"/>
    <s v="Europe"/>
    <x v="22"/>
    <n v="14.7"/>
    <n v="6.7"/>
    <n v="0.7"/>
    <n v="11.4"/>
    <n v="936"/>
    <s v="http://www.forbes.com/companies/ryanair-holdings/"/>
  </r>
  <r>
    <s v="Shire"/>
    <s v="Health Care"/>
    <s v="Pharmaceuticals"/>
    <s v="Europe"/>
    <x v="22"/>
    <n v="29"/>
    <n v="5"/>
    <n v="0.7"/>
    <n v="8.3000000000000007"/>
    <n v="1041"/>
    <s v="http://www.forbes.com/companies/shire/"/>
  </r>
  <r>
    <s v="Experian"/>
    <s v="Consumer Discretionary"/>
    <s v="Business &amp; Personal Services"/>
    <s v="Europe"/>
    <x v="22"/>
    <n v="18"/>
    <n v="4.8"/>
    <n v="0.7"/>
    <n v="8.1999999999999993"/>
    <n v="1154"/>
    <s v="http://www.forbes.com/companies/experian/"/>
  </r>
  <r>
    <s v="Perrigo"/>
    <s v="Health Care"/>
    <s v="Pharmaceuticals"/>
    <s v="Europe"/>
    <x v="22"/>
    <n v="20.8"/>
    <n v="3.8"/>
    <n v="0.3"/>
    <n v="13.7"/>
    <n v="1407"/>
    <s v="http://www.forbes.com/companies/perrigo/"/>
  </r>
  <r>
    <s v="Kerry Group"/>
    <s v="Consumer Staples"/>
    <s v="Food Processing"/>
    <s v="Europe"/>
    <x v="22"/>
    <n v="13.5"/>
    <n v="7.7"/>
    <n v="0.1"/>
    <n v="7.2"/>
    <n v="1460"/>
    <s v="http://www.forbes.com/companies/kerry-group/"/>
  </r>
  <r>
    <s v="Permanent TSB Group"/>
    <s v="Financials"/>
    <s v="Investment Services"/>
    <s v="Europe"/>
    <x v="22"/>
    <n v="5.8"/>
    <n v="1.4"/>
    <n v="-0.3"/>
    <n v="51.8"/>
    <n v="1540"/>
    <s v="http://www.forbes.com/companies/permanent-tsb-group/"/>
  </r>
  <r>
    <s v="Smurfit Kappa Group"/>
    <s v="Materials"/>
    <s v="Paper &amp; Paper Products"/>
    <s v="Europe"/>
    <x v="22"/>
    <n v="5.8"/>
    <n v="10.6"/>
    <n v="0.2"/>
    <n v="11.3"/>
    <n v="1569"/>
    <s v="http://www.forbes.com/companies/smurfit-kappa-group/"/>
  </r>
  <r>
    <s v="DCC"/>
    <s v="Industrials"/>
    <s v="Conglomerates"/>
    <s v="Europe"/>
    <x v="22"/>
    <n v="4.7"/>
    <n v="16.7"/>
    <n v="0.2"/>
    <n v="5"/>
    <n v="1781"/>
    <s v="http://www.forbes.com/companies/dcc/"/>
  </r>
  <r>
    <s v="King Digital Entertainment"/>
    <m/>
    <m/>
    <s v="Europe"/>
    <x v="22"/>
    <n v="6.2"/>
    <n v="1.9"/>
    <n v="0.6"/>
    <n v="0.9"/>
    <n v="1858"/>
    <s v="http://www.forbes.com/companies/king-digital-entertainment/"/>
  </r>
  <r>
    <s v="Teva Pharmaceutical Inds"/>
    <s v="Health Care"/>
    <s v="Pharmaceuticals"/>
    <s v="Asia"/>
    <x v="23"/>
    <n v="44.6"/>
    <n v="20.3"/>
    <n v="1.3"/>
    <n v="47.5"/>
    <n v="294"/>
    <s v="http://www.forbes.com/companies/teva-pharmaceutical/"/>
  </r>
  <r>
    <s v="Bank Hapoalim"/>
    <s v="Financials"/>
    <s v="Major Banks"/>
    <s v="Asia"/>
    <x v="23"/>
    <n v="7.6"/>
    <n v="5"/>
    <n v="0.7"/>
    <n v="109.5"/>
    <n v="822"/>
    <s v="http://www.forbes.com/companies/bank-hapoalim/"/>
  </r>
  <r>
    <s v="Bank Leumi"/>
    <s v="Financials"/>
    <s v="Major Banks"/>
    <s v="Asia"/>
    <x v="23"/>
    <n v="5.8"/>
    <n v="4.5999999999999996"/>
    <n v="0.4"/>
    <n v="103.6"/>
    <n v="1143"/>
    <s v="http://www.forbes.com/companies/bank-leumi/"/>
  </r>
  <r>
    <s v="Delek Group"/>
    <s v="Financials"/>
    <s v="Investment Services"/>
    <s v="Asia"/>
    <x v="23"/>
    <n v="4.7"/>
    <n v="10.7"/>
    <n v="0.2"/>
    <n v="35.6"/>
    <n v="1273"/>
    <s v="http://www.forbes.com/companies/delek-group/"/>
  </r>
  <r>
    <s v="Check Point Software"/>
    <s v="Information Technology"/>
    <s v="Software &amp; Programming"/>
    <s v="Asia"/>
    <x v="23"/>
    <n v="13.1"/>
    <n v="1.4"/>
    <n v="0.7"/>
    <n v="4.9000000000000004"/>
    <n v="1353"/>
    <s v="http://www.forbes.com/companies/check-point-software/"/>
  </r>
  <r>
    <s v="Israel Corp"/>
    <s v="Financials"/>
    <s v="Investment Services"/>
    <s v="Asia"/>
    <x v="23"/>
    <n v="4.3"/>
    <n v="11"/>
    <n v="-0.5"/>
    <n v="15.7"/>
    <n v="1526"/>
    <s v="http://www.forbes.com/companies/israel-corp/"/>
  </r>
  <r>
    <s v="Mizrahi Tefahot Bank"/>
    <s v="Financials"/>
    <s v="Regional Banks"/>
    <s v="Asia"/>
    <x v="23"/>
    <n v="3.1"/>
    <n v="2.1"/>
    <n v="0.3"/>
    <n v="51.7"/>
    <n v="1546"/>
    <s v="http://www.forbes.com/companies/mizrahi-tefahot-bank/"/>
  </r>
  <r>
    <s v="Israel Discount Bank"/>
    <s v="Financials"/>
    <s v="Regional Banks"/>
    <s v="Asia"/>
    <x v="23"/>
    <n v="2"/>
    <n v="2.7"/>
    <n v="0.2"/>
    <n v="57.8"/>
    <n v="1660"/>
    <s v="http://www.forbes.com/companies/israel-discount-bank/"/>
  </r>
  <r>
    <s v="IDB Holding"/>
    <s v="Financials"/>
    <s v="Investment Services"/>
    <s v="Asia"/>
    <x v="23"/>
    <n v="0"/>
    <n v="8.9"/>
    <n v="-0.1"/>
    <n v="13.4"/>
    <n v="1697"/>
    <s v="http://www.forbes.com/companies/idb-holding/"/>
  </r>
  <r>
    <s v="FIBI Holdings"/>
    <s v="Financials"/>
    <s v="Regional Banks"/>
    <s v="Asia"/>
    <x v="23"/>
    <n v="0.7"/>
    <n v="1.4"/>
    <n v="0.1"/>
    <n v="30.4"/>
    <n v="1904"/>
    <s v="http://www.forbes.com/companies/fibi-holdings/"/>
  </r>
  <r>
    <s v="Eni"/>
    <s v="Energy"/>
    <s v="Oil &amp; Gas Operations"/>
    <s v="Europe"/>
    <x v="24"/>
    <n v="90.9"/>
    <n v="152.69999999999999"/>
    <n v="6.9"/>
    <n v="186.6"/>
    <n v="39"/>
    <s v="http://www.forbes.com/companies/eni/"/>
  </r>
  <r>
    <s v="Enel"/>
    <s v="Utilities"/>
    <s v="Electric Utilities"/>
    <s v="Europe"/>
    <x v="24"/>
    <n v="53.2"/>
    <n v="106.3"/>
    <n v="4.3"/>
    <n v="226.2"/>
    <n v="71"/>
    <s v="http://www.forbes.com/companies/enel/"/>
  </r>
  <r>
    <s v="Generali Group"/>
    <s v="Financials"/>
    <s v="Diversified Insurance"/>
    <s v="Europe"/>
    <x v="24"/>
    <n v="34.5"/>
    <n v="100.5"/>
    <n v="2.5"/>
    <n v="602.79999999999995"/>
    <n v="114"/>
    <s v="http://www.forbes.com/companies/generali-group/"/>
  </r>
  <r>
    <s v="EXOR"/>
    <s v="Financials"/>
    <s v="Investment Services"/>
    <s v="Europe"/>
    <x v="24"/>
    <n v="10.1"/>
    <n v="143.69999999999999"/>
    <n v="2.4"/>
    <n v="170.7"/>
    <n v="256"/>
    <s v="http://www.forbes.com/companies/exor/"/>
  </r>
  <r>
    <s v="UniCredit Group"/>
    <s v="Financials"/>
    <s v="Major Banks"/>
    <s v="Europe"/>
    <x v="24"/>
    <n v="53.8"/>
    <n v="32.799999999999997"/>
    <n v="-7.9"/>
    <n v="1165.5"/>
    <n v="435"/>
    <s v="http://www.forbes.com/companies/unicredit-group/"/>
  </r>
  <r>
    <s v="Intesa Sanpaolo"/>
    <s v="Financials"/>
    <s v="Major Banks"/>
    <s v="Europe"/>
    <x v="24"/>
    <n v="57.4"/>
    <n v="24.5"/>
    <n v="-6"/>
    <n v="863"/>
    <n v="453"/>
    <s v="http://www.forbes.com/companies/intesa-sanpaolo/"/>
  </r>
  <r>
    <s v="Telecom Italia"/>
    <s v="Telecommunication Services"/>
    <s v="Telecommunications services"/>
    <s v="Europe"/>
    <x v="24"/>
    <n v="22.8"/>
    <n v="31.1"/>
    <n v="-0.9"/>
    <n v="96.8"/>
    <n v="574"/>
    <s v="http://www.forbes.com/companies/telecom-italia/"/>
  </r>
  <r>
    <s v="Atlantia"/>
    <s v="Industrials"/>
    <s v="Other Transportation"/>
    <s v="Europe"/>
    <x v="24"/>
    <n v="21.6"/>
    <n v="4.8"/>
    <n v="0.8"/>
    <n v="40.700000000000003"/>
    <n v="676"/>
    <s v="http://www.forbes.com/companies/atlantia/"/>
  </r>
  <r>
    <s v="Luxottica Group"/>
    <s v="Consumer Discretionary"/>
    <s v="Specialty Stores"/>
    <s v="Europe"/>
    <x v="24"/>
    <n v="27.5"/>
    <n v="9.6999999999999993"/>
    <n v="0.7"/>
    <n v="11.1"/>
    <n v="742"/>
    <s v="http://www.forbes.com/companies/luxottica-group/"/>
  </r>
  <r>
    <s v="Mediolanum"/>
    <s v="Financials"/>
    <s v="Life &amp; Health Insurance"/>
    <s v="Europe"/>
    <x v="24"/>
    <n v="7.1"/>
    <n v="11.2"/>
    <n v="0.5"/>
    <n v="53.8"/>
    <n v="792"/>
    <s v="http://www.forbes.com/companies/mediolanum/"/>
  </r>
  <r>
    <s v="UBI Banca"/>
    <s v="Financials"/>
    <s v="Regional Banks"/>
    <s v="Europe"/>
    <x v="24"/>
    <n v="8.9"/>
    <n v="6.8"/>
    <n v="0.3"/>
    <n v="171.2"/>
    <n v="853"/>
    <s v="http://www.forbes.com/companies/ubi-banca/"/>
  </r>
  <r>
    <s v="Unipol Gruppo"/>
    <s v="Financials"/>
    <s v="Diversified Insurance"/>
    <s v="Europe"/>
    <x v="24"/>
    <n v="5.6"/>
    <n v="26.3"/>
    <n v="-0.1"/>
    <n v="111.2"/>
    <n v="874"/>
    <s v="http://www.forbes.com/companies/unipol-gruppo/"/>
  </r>
  <r>
    <s v="Finmeccanica"/>
    <s v="Industrials"/>
    <s v="Aerospace &amp; Defense"/>
    <s v="Europe"/>
    <x v="24"/>
    <n v="5.8"/>
    <n v="20.7"/>
    <n v="0"/>
    <n v="40.799999999999997"/>
    <n v="985"/>
    <s v="http://www.forbes.com/companies/finmeccanica/"/>
  </r>
  <r>
    <s v="Banco Popolare"/>
    <s v="Financials"/>
    <s v="Regional Banks"/>
    <s v="Europe"/>
    <x v="24"/>
    <n v="7.3"/>
    <n v="7.2"/>
    <n v="-0.8"/>
    <n v="173.7"/>
    <n v="996"/>
    <s v="http://www.forbes.com/companies/banco-popolare/"/>
  </r>
  <r>
    <s v="Terna"/>
    <s v="Utilities"/>
    <s v="Electric Utilities"/>
    <s v="Europe"/>
    <x v="24"/>
    <n v="10.9"/>
    <n v="2.5"/>
    <n v="0.7"/>
    <n v="20.2"/>
    <n v="1025"/>
    <s v="http://www.forbes.com/companies/terna/"/>
  </r>
  <r>
    <s v="Prada"/>
    <s v="Consumer Discretionary"/>
    <s v="Apparel/Accessories"/>
    <s v="Europe"/>
    <x v="24"/>
    <n v="20.8"/>
    <n v="4.7"/>
    <n v="0.9"/>
    <n v="5.0999999999999996"/>
    <n v="1073"/>
    <s v="http://www.forbes.com/companies/prada/"/>
  </r>
  <r>
    <s v="Mediobanca"/>
    <s v="Financials"/>
    <s v="Regional Banks"/>
    <s v="Europe"/>
    <x v="24"/>
    <n v="9.8000000000000007"/>
    <n v="4.4000000000000004"/>
    <n v="0"/>
    <n v="103.7"/>
    <n v="1127"/>
    <s v="http://www.forbes.com/companies/mediobanca/"/>
  </r>
  <r>
    <s v="Banca MPS"/>
    <s v="Financials"/>
    <s v="Major Banks"/>
    <s v="Europe"/>
    <x v="24"/>
    <n v="4.5"/>
    <n v="6.7"/>
    <n v="-1.9"/>
    <n v="274.39999999999998"/>
    <n v="1207"/>
    <s v="http://www.forbes.com/companies/banca-mps/"/>
  </r>
  <r>
    <s v="Pirelli &amp; C"/>
    <s v="Consumer Discretionary"/>
    <s v="Auto &amp; Truck Parts"/>
    <s v="Europe"/>
    <x v="24"/>
    <n v="7.7"/>
    <n v="8.1999999999999993"/>
    <n v="0.4"/>
    <n v="10"/>
    <n v="1298"/>
    <s v="http://www.forbes.com/companies/pirelli-c/"/>
  </r>
  <r>
    <s v="Banca Popolare dell'Emilia"/>
    <s v="Financials"/>
    <s v="Regional Banks"/>
    <s v="Europe"/>
    <x v="24"/>
    <n v="4.4000000000000004"/>
    <n v="4.3"/>
    <n v="0"/>
    <n v="85.1"/>
    <n v="1549"/>
    <s v="http://www.forbes.com/companies/banca-popolare-dellemilia/"/>
  </r>
  <r>
    <s v="Cattolica Assicurazioni"/>
    <s v="Financials"/>
    <s v="Diversified Insurance"/>
    <s v="Europe"/>
    <x v="24"/>
    <n v="1.5"/>
    <n v="6"/>
    <n v="0.1"/>
    <n v="24.5"/>
    <n v="1616"/>
    <s v="http://www.forbes.com/companies/cattolica-assicurazioni/"/>
  </r>
  <r>
    <s v="Banca Popolare di Milano"/>
    <s v="Financials"/>
    <s v="Regional Banks"/>
    <s v="Europe"/>
    <x v="24"/>
    <n v="3.2"/>
    <n v="2.9"/>
    <n v="0"/>
    <n v="68"/>
    <n v="1622"/>
    <s v="http://www.forbes.com/companies/banca-popolare-di-milano/"/>
  </r>
  <r>
    <s v="Banca CARIGE"/>
    <s v="Financials"/>
    <s v="Thrifts &amp; Mortgage Finance"/>
    <s v="Europe"/>
    <x v="24"/>
    <n v="2"/>
    <n v="1.8"/>
    <n v="-2"/>
    <n v="58.1"/>
    <n v="1657"/>
    <s v="http://www.forbes.com/companies/banca-carige/"/>
  </r>
  <r>
    <s v="A2A"/>
    <s v="Utilities"/>
    <s v="Electric Utilities"/>
    <s v="Europe"/>
    <x v="24"/>
    <n v="4.0999999999999996"/>
    <n v="7.1"/>
    <n v="0.1"/>
    <n v="17.600000000000001"/>
    <n v="1661"/>
    <s v="http://www.forbes.com/companies/a2a/"/>
  </r>
  <r>
    <s v="Banca Popolare di Sondrio"/>
    <s v="Financials"/>
    <s v="Regional Banks"/>
    <s v="Europe"/>
    <x v="24"/>
    <n v="2.2000000000000002"/>
    <n v="2.1"/>
    <n v="0.1"/>
    <n v="45.2"/>
    <n v="1733"/>
    <s v="http://www.forbes.com/companies/banca-popolare-di-sondrio/"/>
  </r>
  <r>
    <s v="Credito Emiliano"/>
    <s v="Financials"/>
    <s v="Regional Banks"/>
    <s v="Europe"/>
    <x v="24"/>
    <n v="3.4"/>
    <n v="2"/>
    <n v="0.2"/>
    <n v="43.4"/>
    <n v="1755"/>
    <s v="http://www.forbes.com/companies/credito-emiliano/"/>
  </r>
  <r>
    <s v="Credito Valtellinese"/>
    <s v="Financials"/>
    <s v="Regional Banks"/>
    <s v="Europe"/>
    <x v="24"/>
    <n v="1.1000000000000001"/>
    <n v="1.1000000000000001"/>
    <n v="0"/>
    <n v="37.5"/>
    <n v="1816"/>
    <s v="http://www.forbes.com/companies/credito-valtellinese/"/>
  </r>
  <r>
    <s v="Saras"/>
    <s v="Energy"/>
    <s v="Oil &amp; Gas Operations"/>
    <s v="Europe"/>
    <x v="24"/>
    <n v="1.6"/>
    <n v="14.8"/>
    <n v="-0.4"/>
    <n v="5.3"/>
    <n v="1824"/>
    <s v="http://www.forbes.com/companies/saras/"/>
  </r>
  <r>
    <s v="Parmalat"/>
    <s v="Consumer Staples"/>
    <s v="Food Processing"/>
    <s v="Europe"/>
    <x v="24"/>
    <n v="6.3"/>
    <n v="7.1"/>
    <n v="0.3"/>
    <n v="6.1"/>
    <n v="1838"/>
    <s v="http://www.forbes.com/companies/parmalat/"/>
  </r>
  <r>
    <s v="Prysmian"/>
    <s v="Industrials"/>
    <s v="Electrical Equipment"/>
    <s v="Europe"/>
    <x v="24"/>
    <n v="5.4"/>
    <n v="9.6999999999999993"/>
    <n v="0.2"/>
    <n v="7.9"/>
    <n v="1988"/>
    <s v="http://www.forbes.com/companies/prysmian/"/>
  </r>
  <r>
    <s v="Toyota Motor"/>
    <s v="Consumer Discretionary"/>
    <s v="Auto &amp; Truck Manufacturers"/>
    <s v="Asia"/>
    <x v="25"/>
    <n v="193.5"/>
    <n v="255.6"/>
    <n v="18.8"/>
    <n v="385.5"/>
    <n v="12"/>
    <s v="http://www.forbes.com/companies/toyota-motor/"/>
  </r>
  <r>
    <s v="Mitsubishi UFJ Financial"/>
    <s v="Financials"/>
    <s v="Major Banks"/>
    <s v="Asia"/>
    <x v="25"/>
    <n v="77.7"/>
    <n v="48.6"/>
    <n v="11.3"/>
    <n v="2458.9"/>
    <n v="37"/>
    <s v="http://www.forbes.com/companies/mitsubishi-ufj-financial/"/>
  </r>
  <r>
    <s v="Sumitomo Mitsui Financial"/>
    <s v="Financials"/>
    <s v="Major Banks"/>
    <s v="Asia"/>
    <x v="25"/>
    <n v="58.6"/>
    <n v="46.2"/>
    <n v="9.6999999999999993"/>
    <n v="1494.7"/>
    <n v="56"/>
    <s v="http://www.forbes.com/companies/sumitomo-mitsui-financial/"/>
  </r>
  <r>
    <s v="Nippon Telegraph &amp; Tel"/>
    <s v="Telecommunication Services"/>
    <s v="Telecommunications services"/>
    <s v="Asia"/>
    <x v="25"/>
    <n v="61"/>
    <n v="110.7"/>
    <n v="5.7"/>
    <n v="189.3"/>
    <n v="61"/>
    <s v="http://www.forbes.com/companies/nippon-tel-tel/"/>
  </r>
  <r>
    <s v="Honda Motor"/>
    <s v="Consumer Discretionary"/>
    <s v="Auto &amp; Truck Manufacturers"/>
    <s v="Asia"/>
    <x v="25"/>
    <n v="63"/>
    <n v="117.7"/>
    <n v="4.9000000000000004"/>
    <n v="147.9"/>
    <n v="70"/>
    <s v="http://www.forbes.com/companies/honda-motor/"/>
  </r>
  <r>
    <s v="Softbank"/>
    <s v="Telecommunication Services"/>
    <s v="Telecommunications services"/>
    <s v="Asia"/>
    <x v="25"/>
    <n v="91.2"/>
    <n v="55.6"/>
    <n v="5.8"/>
    <n v="156.6"/>
    <n v="73"/>
    <s v="http://www.forbes.com/companies/softbank/"/>
  </r>
  <r>
    <s v="Mizuho Financial"/>
    <s v="Financials"/>
    <s v="Major Banks"/>
    <s v="Asia"/>
    <x v="25"/>
    <n v="48.7"/>
    <n v="28.5"/>
    <n v="7.5"/>
    <n v="1791.6"/>
    <n v="101"/>
    <s v="http://www.forbes.com/companies/mizuho-financial/"/>
  </r>
  <r>
    <s v="Nissan Motor"/>
    <s v="Consumer Discretionary"/>
    <s v="Auto &amp; Truck Manufacturers"/>
    <s v="Asia"/>
    <x v="25"/>
    <n v="40.200000000000003"/>
    <n v="104"/>
    <n v="3.9"/>
    <n v="137.19999999999999"/>
    <n v="111"/>
    <s v="http://www.forbes.com/companies/nissan-motor/"/>
  </r>
  <r>
    <s v="Mitsubishi Corp"/>
    <s v="Industrials"/>
    <s v="Trading Companies"/>
    <s v="Asia"/>
    <x v="25"/>
    <n v="30.5"/>
    <n v="74.8"/>
    <n v="4.4000000000000004"/>
    <n v="146.5"/>
    <n v="126"/>
    <s v="http://www.forbes.com/companies/mitsubishi-corp/"/>
  </r>
  <r>
    <s v="Hitachi"/>
    <s v="Information Technology"/>
    <s v="Electronics"/>
    <s v="Asia"/>
    <x v="25"/>
    <n v="36.200000000000003"/>
    <n v="95.7"/>
    <n v="2.6"/>
    <n v="104.7"/>
    <n v="138"/>
    <s v="http://www.forbes.com/companies/hitachi/"/>
  </r>
  <r>
    <s v="Mitsui &amp; Co"/>
    <s v="Industrials"/>
    <s v="Trading Companies"/>
    <s v="Asia"/>
    <x v="25"/>
    <n v="25.6"/>
    <n v="58.1"/>
    <n v="3.6"/>
    <n v="106.7"/>
    <n v="153"/>
    <s v="http://www.forbes.com/companies/mitsui-co/"/>
  </r>
  <r>
    <s v="KDDI"/>
    <s v="Telecommunication Services"/>
    <s v="Telecommunications services"/>
    <s v="Asia"/>
    <x v="25"/>
    <n v="46.9"/>
    <n v="42.3"/>
    <n v="3.4"/>
    <n v="46.1"/>
    <n v="178"/>
    <s v="http://www.forbes.com/companies/kddi/"/>
  </r>
  <r>
    <s v="Tokio Marine Holdings"/>
    <s v="Financials"/>
    <s v="Property &amp; Casualty Insurance"/>
    <s v="Asia"/>
    <x v="25"/>
    <n v="23"/>
    <n v="42.7"/>
    <n v="2"/>
    <n v="181.2"/>
    <n v="189"/>
    <s v="http://www.forbes.com/companies/tokio-marine-holdings/"/>
  </r>
  <r>
    <s v="Denso"/>
    <s v="Consumer Discretionary"/>
    <s v="Auto &amp; Truck Parts"/>
    <s v="Asia"/>
    <x v="25"/>
    <n v="42.4"/>
    <n v="41.3"/>
    <n v="2.8"/>
    <n v="41.3"/>
    <n v="202"/>
    <s v="http://www.forbes.com/companies/denso/"/>
  </r>
  <r>
    <s v="Nomura Holdings"/>
    <s v="Financials"/>
    <s v="Investment Services"/>
    <s v="Asia"/>
    <x v="25"/>
    <n v="23.7"/>
    <n v="21.5"/>
    <n v="2.4"/>
    <n v="415.2"/>
    <n v="203"/>
    <s v="http://www.forbes.com/companies/nomura-holdings/"/>
  </r>
  <r>
    <s v="Nippon Steel &amp; Sumitomo Metal"/>
    <s v="Materials"/>
    <s v="Iron &amp; Steel"/>
    <s v="Asia"/>
    <x v="25"/>
    <n v="25.3"/>
    <n v="54.8"/>
    <n v="2.2999999999999998"/>
    <n v="67.5"/>
    <n v="204"/>
    <s v="http://www.forbes.com/companies/nippon-steel-sumitomo-metal/"/>
  </r>
  <r>
    <s v="Japan Tobacco"/>
    <s v="Consumer Staples"/>
    <s v="Tobacco"/>
    <s v="Asia"/>
    <x v="25"/>
    <n v="56.9"/>
    <n v="23.5"/>
    <n v="4.5"/>
    <n v="41.8"/>
    <n v="209"/>
    <s v="http://www.forbes.com/companies/japan-tobacco/"/>
  </r>
  <r>
    <s v="Itochu"/>
    <s v="Industrials"/>
    <s v="Trading Companies"/>
    <s v="Asia"/>
    <x v="25"/>
    <n v="18.399999999999999"/>
    <n v="55"/>
    <n v="3.2"/>
    <n v="76.8"/>
    <n v="211"/>
    <s v="http://www.forbes.com/companies/itochu/"/>
  </r>
  <r>
    <s v="Seven &amp; I Holdings"/>
    <s v="Consumer Staples"/>
    <s v="Food Retail"/>
    <s v="Asia"/>
    <x v="25"/>
    <n v="33.4"/>
    <n v="57.3"/>
    <n v="1.8"/>
    <n v="46.4"/>
    <n v="220"/>
    <s v="http://www.forbes.com/companies/seven-i-holdings/"/>
  </r>
  <r>
    <s v="Canon"/>
    <s v="Industrials"/>
    <s v="Business Products &amp; Supplies"/>
    <s v="Asia"/>
    <x v="25"/>
    <n v="40.799999999999997"/>
    <n v="38.200000000000003"/>
    <n v="2.4"/>
    <n v="40.4"/>
    <n v="221"/>
    <s v="http://www.forbes.com/companies/canon/"/>
  </r>
  <r>
    <s v="Sony"/>
    <s v="Consumer Discretionary"/>
    <s v="Consumer Electronics"/>
    <s v="Asia"/>
    <x v="25"/>
    <n v="20.100000000000001"/>
    <n v="78.2"/>
    <n v="1.1000000000000001"/>
    <n v="148.9"/>
    <n v="233"/>
    <s v="http://www.forbes.com/companies/sony/"/>
  </r>
  <r>
    <s v="East Japan Railway"/>
    <s v="Industrials"/>
    <s v="Railroads"/>
    <s v="Asia"/>
    <x v="25"/>
    <n v="28.7"/>
    <n v="27.7"/>
    <n v="1.9"/>
    <n v="68.8"/>
    <n v="237"/>
    <s v="http://www.forbes.com/companies/east-japan-railway/"/>
  </r>
  <r>
    <s v="Panasonic"/>
    <s v="Consumer Discretionary"/>
    <s v="Consumer Electronics"/>
    <s v="Asia"/>
    <x v="25"/>
    <n v="28.4"/>
    <n v="77.3"/>
    <n v="1.2"/>
    <n v="52.1"/>
    <n v="246"/>
    <s v="http://www.forbes.com/companies/panasonic/"/>
  </r>
  <r>
    <s v="Sumitomo Corp"/>
    <s v="Industrials"/>
    <s v="Trading Companies"/>
    <s v="Asia"/>
    <x v="25"/>
    <n v="16"/>
    <n v="33.200000000000003"/>
    <n v="2.2999999999999998"/>
    <n v="81.099999999999994"/>
    <n v="263"/>
    <s v="http://www.forbes.com/companies/sumitomo-corp/"/>
  </r>
  <r>
    <s v="MS&amp;AD Insurance"/>
    <s v="Financials"/>
    <s v="Property &amp; Casualty Insurance"/>
    <s v="Asia"/>
    <x v="25"/>
    <n v="14.3"/>
    <n v="45.8"/>
    <n v="1.5"/>
    <n v="160.80000000000001"/>
    <n v="266"/>
    <s v="http://www.forbes.com/companies/msad-insurance/"/>
  </r>
  <r>
    <s v="JX Holdings"/>
    <s v="Energy"/>
    <s v="Oil &amp; Gas Operations"/>
    <s v="Asia"/>
    <x v="25"/>
    <n v="11.8"/>
    <n v="124.6"/>
    <n v="2"/>
    <n v="76.3"/>
    <n v="282"/>
    <s v="http://www.forbes.com/companies/jx-holdings/"/>
  </r>
  <r>
    <s v="Bridgestone"/>
    <s v="Consumer Discretionary"/>
    <s v="Auto &amp; Truck Parts"/>
    <s v="Asia"/>
    <x v="25"/>
    <n v="27.7"/>
    <n v="36.5"/>
    <n v="2.1"/>
    <n v="34"/>
    <n v="285"/>
    <s v="http://www.forbes.com/companies/bridgestone/"/>
  </r>
  <r>
    <s v="Dai-ichi Life Insurance"/>
    <s v="Financials"/>
    <s v="Life &amp; Health Insurance"/>
    <s v="Asia"/>
    <x v="25"/>
    <n v="14.5"/>
    <n v="58.1"/>
    <n v="0.8"/>
    <n v="356.3"/>
    <n v="301"/>
    <s v="http://www.forbes.com/companies/dai-ichi-life-insurance/"/>
  </r>
  <r>
    <s v="Marubeni"/>
    <s v="Industrials"/>
    <s v="Trading Companies"/>
    <s v="Asia"/>
    <x v="25"/>
    <n v="11.5"/>
    <n v="66"/>
    <n v="2.2000000000000002"/>
    <n v="68.400000000000006"/>
    <n v="302"/>
    <s v="http://www.forbes.com/companies/marubeni/"/>
  </r>
  <r>
    <s v="Central Japan Railway"/>
    <s v="Industrials"/>
    <s v="Railroads"/>
    <s v="Asia"/>
    <x v="25"/>
    <n v="22.8"/>
    <n v="16.7"/>
    <n v="2.6"/>
    <n v="50.6"/>
    <n v="308"/>
    <s v="http://www.forbes.com/companies/central-japan-railway/"/>
  </r>
  <r>
    <s v="Mitsubishi Heavy Industries"/>
    <s v="Industrials"/>
    <s v="Heavy Equipment"/>
    <s v="Asia"/>
    <x v="25"/>
    <n v="19.399999999999999"/>
    <n v="31.8"/>
    <n v="1.3"/>
    <n v="41.9"/>
    <n v="337"/>
    <s v="http://www.forbes.com/companies/mitsubishi-heavy-industries/"/>
  </r>
  <r>
    <s v="Mitsubishi Electric"/>
    <s v="Industrials"/>
    <s v="Electrical Equipment"/>
    <s v="Asia"/>
    <x v="25"/>
    <n v="24.7"/>
    <n v="38.799999999999997"/>
    <n v="1.2"/>
    <n v="32.5"/>
    <n v="339"/>
    <s v="http://www.forbes.com/companies/mitsubishi-electric/"/>
  </r>
  <r>
    <s v="Takeda Pharmaceutical"/>
    <s v="Health Care"/>
    <s v="Pharmaceuticals"/>
    <s v="Asia"/>
    <x v="25"/>
    <n v="37"/>
    <n v="17"/>
    <n v="1.1000000000000001"/>
    <n v="42.1"/>
    <n v="348"/>
    <s v="http://www.forbes.com/companies/takeda-pharmaceutical/"/>
  </r>
  <r>
    <s v="Sumitomo Mitsui Trust"/>
    <s v="Financials"/>
    <s v="Major Banks"/>
    <s v="Asia"/>
    <x v="25"/>
    <n v="17.7"/>
    <n v="11.2"/>
    <n v="1.4"/>
    <n v="400.6"/>
    <n v="353"/>
    <s v="http://www.forbes.com/companies/sumitomo-mitsui-trust/"/>
  </r>
  <r>
    <s v="Toshiba"/>
    <s v="Information Technology"/>
    <s v="Electronics"/>
    <s v="Asia"/>
    <x v="25"/>
    <n v="17.899999999999999"/>
    <n v="65"/>
    <n v="0.6"/>
    <n v="61.6"/>
    <n v="369"/>
    <s v="http://www.forbes.com/companies/toshiba/"/>
  </r>
  <r>
    <s v="Orix"/>
    <s v="Financials"/>
    <s v="Consumer Financial Services"/>
    <s v="Asia"/>
    <x v="25"/>
    <n v="18.399999999999999"/>
    <n v="12"/>
    <n v="1.4"/>
    <n v="82.5"/>
    <n v="388"/>
    <s v="http://www.forbes.com/companies/orix/"/>
  </r>
  <r>
    <s v="NKSJ Holdings"/>
    <s v="Financials"/>
    <s v="Property &amp; Casualty Insurance"/>
    <s v="Asia"/>
    <x v="25"/>
    <n v="10.6"/>
    <n v="30.1"/>
    <n v="0.9"/>
    <n v="90.4"/>
    <n v="404"/>
    <s v="http://www.forbes.com/companies/nksj-holdings/"/>
  </r>
  <r>
    <s v="Komatsu"/>
    <s v="Industrials"/>
    <s v="Heavy Equipment"/>
    <s v="Asia"/>
    <x v="25"/>
    <n v="19.7"/>
    <n v="19.7"/>
    <n v="1.5"/>
    <n v="25.9"/>
    <n v="410"/>
    <s v="http://www.forbes.com/companies/komatsu/"/>
  </r>
  <r>
    <s v="Inpex"/>
    <s v="Energy"/>
    <s v="Oil &amp; Gas Operations"/>
    <s v="Asia"/>
    <x v="25"/>
    <n v="19.100000000000001"/>
    <n v="13.6"/>
    <n v="1.6"/>
    <n v="37.700000000000003"/>
    <n v="411"/>
    <s v="http://www.forbes.com/companies/inpex/"/>
  </r>
  <r>
    <s v="Mitsui Fudosan"/>
    <s v="Financials"/>
    <s v="Real Estate"/>
    <s v="Asia"/>
    <x v="25"/>
    <n v="26.8"/>
    <n v="15.3"/>
    <n v="0.8"/>
    <n v="43"/>
    <n v="417"/>
    <s v="http://www.forbes.com/companies/mitsui-fudosan/"/>
  </r>
  <r>
    <s v="Fuji Heavy Industries"/>
    <s v="Consumer Discretionary"/>
    <s v="Auto &amp; Truck Manufacturers"/>
    <s v="Asia"/>
    <x v="25"/>
    <n v="21.3"/>
    <n v="23.1"/>
    <n v="2.5"/>
    <n v="17"/>
    <n v="419"/>
    <s v="http://www.forbes.com/companies/fuji-heavy-industries/"/>
  </r>
  <r>
    <s v="Suzuki Motor"/>
    <s v="Consumer Discretionary"/>
    <s v="Auto &amp; Truck Manufacturers"/>
    <s v="Asia"/>
    <x v="25"/>
    <n v="14.6"/>
    <n v="29"/>
    <n v="1.2"/>
    <n v="26.4"/>
    <n v="436"/>
    <s v="http://www.forbes.com/companies/suzuki-motor/"/>
  </r>
  <r>
    <s v="JFE Holdings"/>
    <s v="Materials"/>
    <s v="Iron &amp; Steel"/>
    <s v="Asia"/>
    <x v="25"/>
    <n v="10.9"/>
    <n v="36.1"/>
    <n v="1"/>
    <n v="40.1"/>
    <n v="441"/>
    <s v="http://www.forbes.com/companies/jfe-holdings/"/>
  </r>
  <r>
    <s v="Resona Holdings"/>
    <s v="Financials"/>
    <s v="Regional Banks"/>
    <s v="Asia"/>
    <x v="25"/>
    <n v="10.9"/>
    <n v="7.9"/>
    <n v="2.2000000000000002"/>
    <n v="420.3"/>
    <n v="444"/>
    <s v="http://www.forbes.com/companies/resona-holdings/"/>
  </r>
  <r>
    <s v="Toyota Industries"/>
    <s v="Consumer Discretionary"/>
    <s v="Auto &amp; Truck Parts"/>
    <s v="Asia"/>
    <x v="25"/>
    <n v="14.8"/>
    <n v="20"/>
    <n v="0.9"/>
    <n v="38.1"/>
    <n v="445"/>
    <s v="http://www.forbes.com/companies/toyota-industries/"/>
  </r>
  <r>
    <s v="Daiwa Securities"/>
    <s v="Financials"/>
    <s v="Investment Services"/>
    <s v="Asia"/>
    <x v="25"/>
    <n v="14.9"/>
    <n v="6.8"/>
    <n v="1.9"/>
    <n v="199.3"/>
    <n v="446"/>
    <s v="http://www.forbes.com/companies/daiwa-securities/"/>
  </r>
  <r>
    <s v="Tokyo Electric Power"/>
    <s v="Utilities"/>
    <s v="Electric Utilities"/>
    <s v="Asia"/>
    <x v="25"/>
    <n v="6.3"/>
    <n v="66"/>
    <n v="0.9"/>
    <n v="145.6"/>
    <n v="460"/>
    <s v="http://www.forbes.com/companies/tokyo-electric-power/"/>
  </r>
  <r>
    <s v="Mitsubishi Estate"/>
    <s v="Financials"/>
    <s v="Real Estate"/>
    <s v="Asia"/>
    <x v="25"/>
    <n v="32.799999999999997"/>
    <n v="10.199999999999999"/>
    <n v="0.7"/>
    <n v="45.1"/>
    <n v="468"/>
    <s v="http://www.forbes.com/companies/mitsubishi-estate/"/>
  </r>
  <r>
    <s v="T&amp;D Holdings"/>
    <s v="Financials"/>
    <s v="Life &amp; Health Insurance"/>
    <s v="Asia"/>
    <x v="25"/>
    <n v="8"/>
    <n v="21.6"/>
    <n v="0.9"/>
    <n v="134.30000000000001"/>
    <n v="473"/>
    <s v="http://www.forbes.com/companies/td-holdings/"/>
  </r>
  <r>
    <s v="Aeon"/>
    <s v="Consumer Discretionary"/>
    <s v="Discount Stores"/>
    <s v="Asia"/>
    <x v="25"/>
    <n v="9.3000000000000007"/>
    <n v="64.400000000000006"/>
    <n v="0.6"/>
    <n v="67.3"/>
    <n v="476"/>
    <s v="http://www.forbes.com/companies/aeon/"/>
  </r>
  <r>
    <s v="Fujifilm Holdings"/>
    <s v="Consumer Discretionary"/>
    <s v="Consumer Electronics"/>
    <s v="Asia"/>
    <x v="25"/>
    <n v="13"/>
    <n v="24.4"/>
    <n v="0.9"/>
    <n v="30.8"/>
    <n v="483"/>
    <s v="http://www.forbes.com/companies/fujifilm-holdings/"/>
  </r>
  <r>
    <s v="Kirin Holdings"/>
    <s v="Consumer Staples"/>
    <s v="Beverages"/>
    <s v="Asia"/>
    <x v="25"/>
    <n v="12.6"/>
    <n v="23.1"/>
    <n v="0.9"/>
    <n v="27.6"/>
    <n v="509"/>
    <s v="http://www.forbes.com/companies/kirin-holdings/"/>
  </r>
  <r>
    <s v="Toyota Tsusho"/>
    <s v="Industrials"/>
    <s v="Trading Companies"/>
    <s v="Asia"/>
    <x v="25"/>
    <n v="8.9"/>
    <n v="74.8"/>
    <n v="0.7"/>
    <n v="37.700000000000003"/>
    <n v="516"/>
    <s v="http://www.forbes.com/companies/toyota-tsusho/"/>
  </r>
  <r>
    <s v="Otsuka Holding"/>
    <s v="Health Care"/>
    <s v="Pharmaceuticals"/>
    <s v="Asia"/>
    <x v="25"/>
    <n v="16.100000000000001"/>
    <n v="14.4"/>
    <n v="1.8"/>
    <n v="17.899999999999999"/>
    <n v="527"/>
    <s v="http://www.forbes.com/companies/otsuka-holding/"/>
  </r>
  <r>
    <s v="Kyocera"/>
    <s v="Information Technology"/>
    <s v="Electronics"/>
    <s v="Asia"/>
    <x v="25"/>
    <n v="16.2"/>
    <n v="14.6"/>
    <n v="0.9"/>
    <n v="25.7"/>
    <n v="531"/>
    <s v="http://www.forbes.com/companies/kyocera/"/>
  </r>
  <r>
    <s v="Shin-Etsu Chemical"/>
    <s v="Materials"/>
    <s v="Diversified Chemicals"/>
    <s v="Asia"/>
    <x v="25"/>
    <n v="24.2"/>
    <n v="11.4"/>
    <n v="1.2"/>
    <n v="19.899999999999999"/>
    <n v="537"/>
    <s v="http://www.forbes.com/companies/shin-etsu-chemical/"/>
  </r>
  <r>
    <s v="Kubota"/>
    <s v="Industrials"/>
    <s v="Heavy Equipment"/>
    <s v="Asia"/>
    <x v="25"/>
    <n v="16.600000000000001"/>
    <n v="14.6"/>
    <n v="1.2"/>
    <n v="19.899999999999999"/>
    <n v="539"/>
    <s v="http://www.forbes.com/companies/kubota/"/>
  </r>
  <r>
    <s v="Aisin Seiki"/>
    <s v="Consumer Discretionary"/>
    <s v="Auto &amp; Truck Parts"/>
    <s v="Asia"/>
    <x v="25"/>
    <n v="10.199999999999999"/>
    <n v="28.1"/>
    <n v="1"/>
    <n v="24"/>
    <n v="545"/>
    <s v="http://www.forbes.com/companies/aisin-seiki/"/>
  </r>
  <r>
    <s v="Daikin Industries"/>
    <s v="Materials"/>
    <s v="Construction Materials"/>
    <s v="Asia"/>
    <x v="25"/>
    <n v="16.7"/>
    <n v="17.3"/>
    <n v="1"/>
    <n v="19.3"/>
    <n v="545"/>
    <s v="http://www.forbes.com/companies/daikin-industries/"/>
  </r>
  <r>
    <s v="Mazda Motor"/>
    <s v="Consumer Discretionary"/>
    <s v="Auto &amp; Truck Manufacturers"/>
    <s v="Asia"/>
    <x v="25"/>
    <n v="13.4"/>
    <n v="26.7"/>
    <n v="0.9"/>
    <n v="19.7"/>
    <n v="550"/>
    <s v="http://www.forbes.com/companies/mazda-motor/"/>
  </r>
  <r>
    <s v="Daiwa House Industry"/>
    <s v="Industrials"/>
    <s v="Construction Services"/>
    <s v="Asia"/>
    <x v="25"/>
    <n v="11.1"/>
    <n v="25.4"/>
    <n v="0.8"/>
    <n v="24.7"/>
    <n v="562"/>
    <s v="http://www.forbes.com/companies/daiwa-house-industry/"/>
  </r>
  <r>
    <s v="Tokyo Gas"/>
    <s v="Utilities"/>
    <s v="Natural Gas Utilities"/>
    <s v="Asia"/>
    <x v="25"/>
    <n v="12.5"/>
    <n v="20.6"/>
    <n v="1"/>
    <n v="19.600000000000001"/>
    <n v="577"/>
    <s v="http://www.forbes.com/companies/tokyo-gas/"/>
  </r>
  <r>
    <s v="Sumitomo Electric"/>
    <s v="Consumer Discretionary"/>
    <s v="Auto &amp; Truck Parts"/>
    <s v="Asia"/>
    <x v="25"/>
    <n v="12"/>
    <n v="25.2"/>
    <n v="0.6"/>
    <n v="24.2"/>
    <n v="584"/>
    <s v="http://www.forbes.com/companies/sumitomo-electric/"/>
  </r>
  <r>
    <s v="Sumitomo Realty"/>
    <s v="Financials"/>
    <s v="Real Estate"/>
    <s v="Asia"/>
    <x v="25"/>
    <n v="18.600000000000001"/>
    <n v="8.3000000000000007"/>
    <n v="0.7"/>
    <n v="39.200000000000003"/>
    <n v="588"/>
    <s v="http://www.forbes.com/companies/sumitomo-realty/"/>
  </r>
  <r>
    <s v="Astellas Pharma"/>
    <s v="Health Care"/>
    <s v="Pharmaceuticals"/>
    <s v="Asia"/>
    <x v="25"/>
    <n v="26.1"/>
    <n v="11.7"/>
    <n v="0.8"/>
    <n v="14.9"/>
    <n v="615"/>
    <s v="http://www.forbes.com/companies/astellas-pharma/"/>
  </r>
  <r>
    <s v="Mitsubishi Motors"/>
    <s v="Consumer Discretionary"/>
    <s v="Auto &amp; Truck Manufacturers"/>
    <s v="Asia"/>
    <x v="25"/>
    <n v="10.3"/>
    <n v="21"/>
    <n v="1.1000000000000001"/>
    <n v="14.3"/>
    <n v="636"/>
    <s v="http://www.forbes.com/companies/mitsubishi-motors/"/>
  </r>
  <r>
    <s v="Asahi Kasei"/>
    <s v="Materials"/>
    <s v="Diversified Chemicals"/>
    <s v="Asia"/>
    <x v="25"/>
    <n v="9.4"/>
    <n v="19"/>
    <n v="0.9"/>
    <n v="18.600000000000001"/>
    <n v="646"/>
    <s v="http://www.forbes.com/companies/asahi-kasei/"/>
  </r>
  <r>
    <s v="Fast Retailing"/>
    <s v="Consumer Discretionary"/>
    <s v="Apparel/Footwear Retail"/>
    <s v="Asia"/>
    <x v="25"/>
    <n v="36.4"/>
    <n v="12.6"/>
    <n v="1"/>
    <n v="10"/>
    <n v="647"/>
    <s v="http://www.forbes.com/companies/fast-retailing/"/>
  </r>
  <r>
    <s v="Asahi Group Holdings"/>
    <s v="Consumer Staples"/>
    <s v="Beverages"/>
    <s v="Asia"/>
    <x v="25"/>
    <n v="12.8"/>
    <n v="17.600000000000001"/>
    <n v="0.6"/>
    <n v="17"/>
    <n v="663"/>
    <s v="http://www.forbes.com/companies/asahi-group-holdings/"/>
  </r>
  <r>
    <s v="Isuzu Motors"/>
    <s v="Consumer Discretionary"/>
    <s v="Auto &amp; Truck Manufacturers"/>
    <s v="Asia"/>
    <x v="25"/>
    <n v="9.6999999999999993"/>
    <n v="18"/>
    <n v="1.2"/>
    <n v="13.5"/>
    <n v="670"/>
    <s v="http://www.forbes.com/companies/isuzu-motors/"/>
  </r>
  <r>
    <s v="Ricoh"/>
    <s v="Industrials"/>
    <s v="Business Products &amp; Supplies"/>
    <s v="Asia"/>
    <x v="25"/>
    <n v="8.4"/>
    <n v="22"/>
    <n v="0.6"/>
    <n v="24.4"/>
    <n v="674"/>
    <s v="http://www.forbes.com/companies/ricoh/"/>
  </r>
  <r>
    <s v="Toray Industries"/>
    <s v="Materials"/>
    <s v="Diversified Chemicals"/>
    <s v="Asia"/>
    <x v="25"/>
    <n v="10.8"/>
    <n v="18.100000000000001"/>
    <n v="0.6"/>
    <n v="18.399999999999999"/>
    <n v="679"/>
    <s v="http://www.forbes.com/companies/toray-industries/"/>
  </r>
  <r>
    <s v="Sekisui House"/>
    <s v="Industrials"/>
    <s v="Construction Services"/>
    <s v="Asia"/>
    <x v="25"/>
    <n v="8.6"/>
    <n v="18.3"/>
    <n v="0.8"/>
    <n v="17.3"/>
    <n v="706"/>
    <s v="http://www.forbes.com/companies/sekisui-house/"/>
  </r>
  <r>
    <s v="Daiichi Sankyo"/>
    <s v="Health Care"/>
    <s v="Pharmaceuticals"/>
    <s v="Asia"/>
    <x v="25"/>
    <n v="11.6"/>
    <n v="10.9"/>
    <n v="0.9"/>
    <n v="17.3"/>
    <n v="707"/>
    <s v="http://www.forbes.com/companies/daiichi-sankyo/"/>
  </r>
  <r>
    <s v="Idemitsu Kosan"/>
    <s v="Energy"/>
    <s v="Oil &amp; Gas Operations"/>
    <s v="Asia"/>
    <x v="25"/>
    <n v="3.2"/>
    <n v="49.9"/>
    <n v="0.8"/>
    <n v="29.1"/>
    <n v="708"/>
    <s v="http://www.forbes.com/companies/idemitsu-kosan/"/>
  </r>
  <r>
    <s v="Kansai Electric Power"/>
    <s v="Utilities"/>
    <s v="Electric Utilities"/>
    <s v="Asia"/>
    <x v="25"/>
    <n v="9.3000000000000007"/>
    <n v="32.5"/>
    <n v="-1.3"/>
    <n v="72"/>
    <n v="716"/>
    <s v="http://www.forbes.com/companies/kansai-electric-power/"/>
  </r>
  <r>
    <s v="Fujitsu"/>
    <s v="Information Technology"/>
    <s v="Computer Hardware"/>
    <s v="Asia"/>
    <x v="25"/>
    <n v="12.6"/>
    <n v="47.3"/>
    <n v="0.2"/>
    <n v="30.5"/>
    <n v="728"/>
    <s v="http://www.forbes.com/companies/fujitsu/"/>
  </r>
  <r>
    <s v="Dentsu"/>
    <s v="Consumer Discretionary"/>
    <s v="Advertising"/>
    <s v="Asia"/>
    <x v="25"/>
    <n v="10.8"/>
    <n v="22.4"/>
    <n v="0.4"/>
    <n v="22.2"/>
    <n v="730"/>
    <s v="http://www.forbes.com/companies/dentsu/"/>
  </r>
  <r>
    <s v="Mitsubishi Chemical"/>
    <s v="Materials"/>
    <s v="Diversified Chemicals"/>
    <s v="Asia"/>
    <x v="25"/>
    <n v="6"/>
    <n v="33.4"/>
    <n v="0.5"/>
    <n v="33.4"/>
    <n v="736"/>
    <s v="http://www.forbes.com/companies/mitsubishi-chemical/"/>
  </r>
  <r>
    <s v="Japan Airlines"/>
    <s v="Industrials"/>
    <s v="Airline"/>
    <s v="Asia"/>
    <x v="25"/>
    <n v="9"/>
    <n v="13.2"/>
    <n v="1.6"/>
    <n v="12.4"/>
    <n v="738"/>
    <s v="http://www.forbes.com/companies/japan-airlines/"/>
  </r>
  <r>
    <s v="West Japan Railway"/>
    <s v="Industrials"/>
    <s v="Railroads"/>
    <s v="Asia"/>
    <x v="25"/>
    <n v="7.8"/>
    <n v="13.5"/>
    <n v="0.6"/>
    <n v="24.8"/>
    <n v="749"/>
    <s v="http://www.forbes.com/companies/west-japan-railway/"/>
  </r>
  <r>
    <s v="Kao Corp"/>
    <s v="Consumer Staples"/>
    <s v="Household/Personal Care"/>
    <s v="Asia"/>
    <x v="25"/>
    <n v="18.2"/>
    <n v="13.5"/>
    <n v="0.7"/>
    <n v="10.8"/>
    <n v="761"/>
    <s v="http://www.forbes.com/companies/kao-corp/"/>
  </r>
  <r>
    <s v="Murata Manufacturing"/>
    <s v="Information Technology"/>
    <s v="Electronics"/>
    <s v="Asia"/>
    <x v="25"/>
    <n v="21.3"/>
    <n v="8.4"/>
    <n v="0.9"/>
    <n v="11.6"/>
    <n v="776"/>
    <s v="http://www.forbes.com/companies/murata-manufacturing/"/>
  </r>
  <r>
    <s v="Chubu Electric Power"/>
    <s v="Utilities"/>
    <s v="Electric Utilities"/>
    <s v="Asia"/>
    <x v="25"/>
    <n v="8.8000000000000007"/>
    <n v="28.1"/>
    <n v="-0.6"/>
    <n v="54.9"/>
    <n v="779"/>
    <s v="http://www.forbes.com/companies/chubu-electric-power/"/>
  </r>
  <r>
    <s v="Lixil Group"/>
    <s v="Materials"/>
    <s v="Construction Materials"/>
    <s v="Asia"/>
    <x v="25"/>
    <n v="8.5"/>
    <n v="15.8"/>
    <n v="0.5"/>
    <n v="16.2"/>
    <n v="839"/>
    <s v="http://www.forbes.com/companies/lixil-group/"/>
  </r>
  <r>
    <s v="Rakuten"/>
    <s v="Consumer Discretionary"/>
    <s v="Internet &amp; Catalog Retail"/>
    <s v="Asia"/>
    <x v="25"/>
    <n v="17.600000000000001"/>
    <n v="5.3"/>
    <n v="0.4"/>
    <n v="30.5"/>
    <n v="854"/>
    <s v="http://www.forbes.com/companies/rakuten/"/>
  </r>
  <r>
    <s v="Fanuc"/>
    <s v="Industrials"/>
    <s v="Other Industrial Equipment"/>
    <s v="Asia"/>
    <x v="25"/>
    <n v="34.4"/>
    <n v="4.5"/>
    <n v="1"/>
    <n v="12.3"/>
    <n v="855"/>
    <s v="http://www.forbes.com/companies/fanuc/"/>
  </r>
  <r>
    <s v="Tokyu"/>
    <s v="Industrials"/>
    <s v="Railroads"/>
    <s v="Asia"/>
    <x v="25"/>
    <n v="7.7"/>
    <n v="11.2"/>
    <n v="0.6"/>
    <n v="19"/>
    <n v="859"/>
    <s v="http://www.forbes.com/companies/tokyu/"/>
  </r>
  <r>
    <s v="Secom"/>
    <s v="Industrials"/>
    <s v="Security Systems"/>
    <s v="Asia"/>
    <x v="25"/>
    <n v="13.2"/>
    <n v="8.3000000000000007"/>
    <n v="0.7"/>
    <n v="12.1"/>
    <n v="879"/>
    <s v="http://www.forbes.com/companies/secom/"/>
  </r>
  <r>
    <s v="Kobe Steel"/>
    <s v="Materials"/>
    <s v="Iron &amp; Steel"/>
    <s v="Asia"/>
    <x v="25"/>
    <n v="4.8"/>
    <n v="18.100000000000001"/>
    <n v="0.6"/>
    <n v="21.2"/>
    <n v="913"/>
    <s v="http://www.forbes.com/companies/kobe-steel/"/>
  </r>
  <r>
    <s v="NEC"/>
    <s v="Information Technology"/>
    <s v="Electronics"/>
    <s v="Asia"/>
    <x v="25"/>
    <n v="8"/>
    <n v="30.6"/>
    <n v="0"/>
    <n v="24.2"/>
    <n v="920"/>
    <s v="http://www.forbes.com/companies/nec/"/>
  </r>
  <r>
    <s v="Nippon Yusen"/>
    <s v="Industrials"/>
    <s v="Other Transportation"/>
    <s v="Asia"/>
    <x v="25"/>
    <n v="4.9000000000000004"/>
    <n v="22"/>
    <n v="0.5"/>
    <n v="25.1"/>
    <n v="926"/>
    <s v="http://www.forbes.com/companies/nippon-yusen/"/>
  </r>
  <r>
    <s v="Sumitomo Metal Mining"/>
    <s v="Materials"/>
    <s v="Diversified Metals &amp; Mining"/>
    <s v="Asia"/>
    <x v="25"/>
    <n v="6.8"/>
    <n v="8.5"/>
    <n v="0.9"/>
    <n v="14.4"/>
    <n v="949"/>
    <s v="http://www.forbes.com/companies/sumitomo-metal-mining/"/>
  </r>
  <r>
    <s v="Showa Shell Sekiyu"/>
    <s v="Energy"/>
    <s v="Oil &amp; Gas Operations"/>
    <s v="Asia"/>
    <x v="25"/>
    <n v="3.3"/>
    <n v="30.3"/>
    <n v="0.6"/>
    <n v="12.3"/>
    <n v="990"/>
    <s v="http://www.forbes.com/companies/showa-shell-sekiyu/"/>
  </r>
  <r>
    <s v="Bank of Yokohama"/>
    <s v="Financials"/>
    <s v="Major Banks"/>
    <s v="Asia"/>
    <x v="25"/>
    <n v="6.3"/>
    <n v="2.9"/>
    <n v="0.6"/>
    <n v="128.4"/>
    <n v="993"/>
    <s v="http://www.forbes.com/companies/bank-of-yokohama/"/>
  </r>
  <r>
    <s v="Hankyu Hanshin Holdings"/>
    <s v="Industrials"/>
    <s v="Railroads"/>
    <s v="Asia"/>
    <x v="25"/>
    <n v="6.8"/>
    <n v="7.1"/>
    <n v="0.5"/>
    <n v="21.6"/>
    <n v="1008"/>
    <s v="http://www.forbes.com/companies/hankyu-hanshin-holdings/"/>
  </r>
  <r>
    <s v="Kyushu Electric Power"/>
    <s v="Utilities"/>
    <s v="Electric Utilities"/>
    <s v="Asia"/>
    <x v="25"/>
    <n v="5.5"/>
    <n v="17.600000000000001"/>
    <n v="-1.6"/>
    <n v="42.4"/>
    <n v="1024"/>
    <s v="http://www.forbes.com/companies/kyushu-electric-power/"/>
  </r>
  <r>
    <s v="Sumitomo Chemical"/>
    <s v="Materials"/>
    <s v="Diversified Chemicals"/>
    <s v="Asia"/>
    <x v="25"/>
    <n v="6"/>
    <n v="21.9"/>
    <n v="0.1"/>
    <n v="26.9"/>
    <n v="1035"/>
    <s v="http://www.forbes.com/companies/sumitomo-chemical/"/>
  </r>
  <r>
    <s v="IHI"/>
    <s v="Industrials"/>
    <s v="Heavy Equipment"/>
    <s v="Asia"/>
    <x v="25"/>
    <n v="6.2"/>
    <n v="12.9"/>
    <n v="0.5"/>
    <n v="14.2"/>
    <n v="1047"/>
    <s v="http://www.forbes.com/companies/ihi/"/>
  </r>
  <r>
    <s v="All Nippon Airways"/>
    <s v="Industrials"/>
    <s v="Airline"/>
    <s v="Asia"/>
    <x v="25"/>
    <n v="7.6"/>
    <n v="16"/>
    <n v="0.2"/>
    <n v="20.5"/>
    <n v="1052"/>
    <s v="http://www.forbes.com/companies/all-nippon-airways/"/>
  </r>
  <r>
    <s v="Mitsubishi Materials"/>
    <s v="Materials"/>
    <s v="Diversified Metals &amp; Mining"/>
    <s v="Asia"/>
    <x v="25"/>
    <n v="3.7"/>
    <n v="14.1"/>
    <n v="0.5"/>
    <n v="17.2"/>
    <n v="1070"/>
    <s v="http://www.forbes.com/companies/mitsubishi-materials/"/>
  </r>
  <r>
    <s v="Tohoku Electric Power"/>
    <s v="Utilities"/>
    <s v="Electric Utilities"/>
    <s v="Asia"/>
    <x v="25"/>
    <n v="4.9000000000000004"/>
    <n v="19.899999999999999"/>
    <n v="-0.4"/>
    <n v="39.5"/>
    <n v="1075"/>
    <s v="http://www.forbes.com/companies/tohoku-electric-power/"/>
  </r>
  <r>
    <s v="Shizuoka Bank"/>
    <s v="Financials"/>
    <s v="Regional Banks"/>
    <s v="Asia"/>
    <x v="25"/>
    <n v="6.1"/>
    <n v="2.2000000000000002"/>
    <n v="0.5"/>
    <n v="103.3"/>
    <n v="1080"/>
    <s v="http://www.forbes.com/companies/shizuoka-bank/"/>
  </r>
  <r>
    <s v="Suntory Beverage &amp; Food"/>
    <m/>
    <m/>
    <s v="Asia"/>
    <x v="25"/>
    <n v="10.5"/>
    <n v="11.5"/>
    <n v="0.3"/>
    <n v="12"/>
    <n v="1083"/>
    <s v="http://www.forbes.com/companies/suntory-beverage-food/"/>
  </r>
  <r>
    <s v="Daito Trust Construction"/>
    <s v="Industrials"/>
    <s v="Construction Services"/>
    <s v="Asia"/>
    <x v="25"/>
    <n v="7.2"/>
    <n v="12.8"/>
    <n v="0.7"/>
    <n v="5.5"/>
    <n v="1085"/>
    <s v="http://www.forbes.com/companies/daito-trust-construction/"/>
  </r>
  <r>
    <s v="Yamato Holdings"/>
    <s v="Industrials"/>
    <s v="Trucking"/>
    <s v="Asia"/>
    <x v="25"/>
    <n v="9.8000000000000007"/>
    <n v="13.8"/>
    <n v="0.3"/>
    <n v="10.1"/>
    <n v="1093"/>
    <s v="http://www.forbes.com/companies/yamato-holdings/"/>
  </r>
  <r>
    <s v="Kawasaki Heavy Industries"/>
    <s v="Industrials"/>
    <s v="Heavy Equipment"/>
    <s v="Asia"/>
    <x v="25"/>
    <n v="6.3"/>
    <n v="13.6"/>
    <n v="0.4"/>
    <n v="15.9"/>
    <n v="1095"/>
    <s v="http://www.forbes.com/companies/kawasaki-heavy-industries/"/>
  </r>
  <r>
    <s v="Keyence"/>
    <s v="Information Technology"/>
    <s v="Electronics"/>
    <s v="Asia"/>
    <x v="25"/>
    <n v="25.5"/>
    <n v="2.6"/>
    <n v="0.8"/>
    <n v="7.8"/>
    <n v="1111"/>
    <s v="http://www.forbes.com/companies/keyence/"/>
  </r>
  <r>
    <s v="Sharp"/>
    <s v="Consumer Discretionary"/>
    <s v="Consumer Electronics"/>
    <s v="Asia"/>
    <x v="25"/>
    <n v="5.0999999999999996"/>
    <n v="29.2"/>
    <n v="-1.1000000000000001"/>
    <n v="22.9"/>
    <n v="1115"/>
    <s v="http://www.forbes.com/companies/sharp/"/>
  </r>
  <r>
    <s v="SMC Corp"/>
    <s v="Industrials"/>
    <s v="Other Industrial Equipment"/>
    <s v="Asia"/>
    <x v="25"/>
    <n v="18.2"/>
    <n v="3.9"/>
    <n v="0.9"/>
    <n v="9"/>
    <n v="1119"/>
    <s v="http://www.forbes.com/companies/smc-corp/"/>
  </r>
  <r>
    <s v="Osaka Gas"/>
    <s v="Utilities"/>
    <s v="Natural Gas Utilities"/>
    <s v="Asia"/>
    <x v="25"/>
    <n v="7.8"/>
    <n v="14.9"/>
    <n v="0.2"/>
    <n v="16"/>
    <n v="1129"/>
    <s v="http://www.forbes.com/companies/osaka-gas/"/>
  </r>
  <r>
    <s v="Asahi Glass"/>
    <s v="Materials"/>
    <s v="Construction Materials"/>
    <s v="Asia"/>
    <x v="25"/>
    <n v="6.7"/>
    <n v="13.5"/>
    <n v="0.2"/>
    <n v="20.8"/>
    <n v="1131"/>
    <s v="http://www.forbes.com/companies/asahi-glass/"/>
  </r>
  <r>
    <s v="Kintetsu"/>
    <s v="Industrials"/>
    <s v="Railroads"/>
    <s v="Asia"/>
    <x v="25"/>
    <n v="6.7"/>
    <n v="11.9"/>
    <n v="0.3"/>
    <n v="18.7"/>
    <n v="1151"/>
    <s v="http://www.forbes.com/companies/kintetsu/"/>
  </r>
  <r>
    <s v="Dai Nippon Printing"/>
    <s v="Consumer Discretionary"/>
    <s v="Printing &amp; Publishing"/>
    <s v="Asia"/>
    <x v="25"/>
    <n v="6.1"/>
    <n v="14.7"/>
    <n v="0.3"/>
    <n v="14.7"/>
    <n v="1160"/>
    <s v="http://www.forbes.com/companies/dai-nippon-printing/"/>
  </r>
  <r>
    <s v="Mitsubishi UFJ Lease"/>
    <s v="Financials"/>
    <s v="Rental &amp; Leasing"/>
    <s v="Asia"/>
    <x v="25"/>
    <n v="4.3"/>
    <n v="7.2"/>
    <n v="0.4"/>
    <n v="41.3"/>
    <n v="1163"/>
    <s v="http://www.forbes.com/companies/mitsubishi-ufj-lease/"/>
  </r>
  <r>
    <s v="Chiba Bank"/>
    <s v="Financials"/>
    <s v="Major Banks"/>
    <s v="Asia"/>
    <x v="25"/>
    <n v="5.2"/>
    <n v="2.2000000000000002"/>
    <n v="0.5"/>
    <n v="112.3"/>
    <n v="1167"/>
    <s v="http://www.forbes.com/companies/chiba-bank/"/>
  </r>
  <r>
    <s v="Sojitz"/>
    <s v="Industrials"/>
    <s v="Trading Companies"/>
    <s v="Asia"/>
    <x v="25"/>
    <n v="2.1"/>
    <n v="24.3"/>
    <n v="0.2"/>
    <n v="21.2"/>
    <n v="1182"/>
    <s v="http://www.forbes.com/companies/sojitz/"/>
  </r>
  <r>
    <s v="Nidec"/>
    <s v="Industrials"/>
    <s v="Electrical Equipment"/>
    <s v="Asia"/>
    <x v="25"/>
    <n v="18"/>
    <n v="8.5"/>
    <n v="0.2"/>
    <n v="10.8"/>
    <n v="1187"/>
    <s v="http://www.forbes.com/companies/nidec/"/>
  </r>
  <r>
    <s v="Yamaha Motor"/>
    <s v="Consumer Discretionary"/>
    <s v="Recreational Products"/>
    <s v="Asia"/>
    <x v="25"/>
    <n v="5.4"/>
    <n v="14.4"/>
    <n v="0.5"/>
    <n v="10.9"/>
    <n v="1201"/>
    <s v="http://www.forbes.com/companies/yamaha-motor/"/>
  </r>
  <r>
    <s v="Nintendo"/>
    <s v="Consumer Discretionary"/>
    <s v="Consumer Electronics"/>
    <s v="Asia"/>
    <x v="25"/>
    <n v="16.600000000000001"/>
    <n v="6.1"/>
    <n v="0"/>
    <n v="15.1"/>
    <n v="1207"/>
    <s v="http://www.forbes.com/companies/nintendo/"/>
  </r>
  <r>
    <s v="Cosmo Oil"/>
    <s v="Energy"/>
    <s v="Oil &amp; Gas Operations"/>
    <s v="Asia"/>
    <x v="25"/>
    <n v="1.5"/>
    <n v="35.4"/>
    <n v="0"/>
    <n v="16.899999999999999"/>
    <n v="1218"/>
    <s v="http://www.forbes.com/companies/cosmo-oil/"/>
  </r>
  <r>
    <s v="Oriental Land"/>
    <s v="Consumer Discretionary"/>
    <s v="Hotels &amp; Motels"/>
    <s v="Asia"/>
    <x v="25"/>
    <n v="13.7"/>
    <n v="4.7"/>
    <n v="0.7"/>
    <n v="6.4"/>
    <n v="1224"/>
    <s v="http://www.forbes.com/companies/oriental-land/"/>
  </r>
  <r>
    <s v="Ajinomoto"/>
    <s v="Consumer Staples"/>
    <s v="Food Processing"/>
    <s v="Asia"/>
    <x v="25"/>
    <n v="8.9"/>
    <n v="10.5"/>
    <n v="0.3"/>
    <n v="10.6"/>
    <n v="1231"/>
    <s v="http://www.forbes.com/companies/ajinomoto/"/>
  </r>
  <r>
    <s v="Oji Holdings"/>
    <s v="Materials"/>
    <s v="Paper &amp; Paper Products"/>
    <s v="Asia"/>
    <x v="25"/>
    <n v="4.5999999999999996"/>
    <n v="13.3"/>
    <n v="0.3"/>
    <n v="18.3"/>
    <n v="1232"/>
    <s v="http://www.forbes.com/companies/oji-holdings/"/>
  </r>
  <r>
    <s v="Century Tokyo Leasing"/>
    <s v="Financials"/>
    <s v="Rental &amp; Leasing"/>
    <s v="Asia"/>
    <x v="25"/>
    <n v="3"/>
    <n v="8"/>
    <n v="0.4"/>
    <n v="26.6"/>
    <n v="1244"/>
    <s v="http://www.forbes.com/companies/century-tokyo-leasing/"/>
  </r>
  <r>
    <s v="Mitsui OSK Lines"/>
    <s v="Industrials"/>
    <s v="Other Transportation"/>
    <s v="Asia"/>
    <x v="25"/>
    <n v="4.7"/>
    <n v="17.100000000000001"/>
    <n v="-0.9"/>
    <n v="21.7"/>
    <n v="1251"/>
    <s v="http://www.forbes.com/companies/mitsui-osk-lines/"/>
  </r>
  <r>
    <s v="Chugoku Electric Power"/>
    <s v="Utilities"/>
    <s v="Electric Utilities"/>
    <s v="Asia"/>
    <x v="25"/>
    <n v="4.9000000000000004"/>
    <n v="12.5"/>
    <n v="-0.2"/>
    <n v="27.3"/>
    <n v="1266"/>
    <s v="http://www.forbes.com/companies/chugoku-electric-power/"/>
  </r>
  <r>
    <s v="Shinsei Bank"/>
    <s v="Financials"/>
    <s v="Regional Banks"/>
    <s v="Asia"/>
    <x v="25"/>
    <n v="5.0999999999999996"/>
    <n v="3.5"/>
    <n v="0.4"/>
    <n v="87.1"/>
    <n v="1267"/>
    <s v="http://www.forbes.com/companies/shinsei-bank/"/>
  </r>
  <r>
    <s v="Eisai"/>
    <s v="Health Care"/>
    <s v="Pharmaceuticals"/>
    <s v="Asia"/>
    <x v="25"/>
    <n v="10.8"/>
    <n v="6"/>
    <n v="0.4"/>
    <n v="9.3000000000000007"/>
    <n v="1275"/>
    <s v="http://www.forbes.com/companies/eisai/"/>
  </r>
  <r>
    <s v="Nikon"/>
    <s v="Consumer Discretionary"/>
    <s v="Consumer Electronics"/>
    <s v="Asia"/>
    <x v="25"/>
    <n v="6.4"/>
    <n v="10"/>
    <n v="0.5"/>
    <n v="9.1"/>
    <n v="1283"/>
    <s v="http://www.forbes.com/companies/nikon/"/>
  </r>
  <r>
    <s v="Taisei"/>
    <s v="Industrials"/>
    <s v="Construction Services"/>
    <s v="Asia"/>
    <x v="25"/>
    <n v="5.2"/>
    <n v="15.1"/>
    <n v="0.3"/>
    <n v="14.5"/>
    <n v="1285"/>
    <s v="http://www.forbes.com/companies/taisei/"/>
  </r>
  <r>
    <s v="OMRON"/>
    <s v="Information Technology"/>
    <s v="Electronics"/>
    <s v="Asia"/>
    <x v="25"/>
    <n v="9.1999999999999993"/>
    <n v="7.6"/>
    <n v="0.4"/>
    <n v="6.1"/>
    <n v="1299"/>
    <s v="http://www.forbes.com/companies/omron/"/>
  </r>
  <r>
    <s v="Seiko Epson"/>
    <s v="Industrials"/>
    <s v="Business Products &amp; Supplies"/>
    <s v="Asia"/>
    <x v="25"/>
    <n v="6.2"/>
    <n v="10"/>
    <n v="0.5"/>
    <n v="8.5"/>
    <n v="1300"/>
    <s v="http://www.forbes.com/companies/seiko-epson/"/>
  </r>
  <r>
    <s v="Hoya"/>
    <s v="Information Technology"/>
    <s v="Electronics"/>
    <s v="Asia"/>
    <x v="25"/>
    <n v="13.3"/>
    <n v="4.2"/>
    <n v="0.7"/>
    <n v="6.5"/>
    <n v="1302"/>
    <s v="http://www.forbes.com/companies/hoya/"/>
  </r>
  <r>
    <s v="Nitto Denko"/>
    <s v="Materials"/>
    <s v="Diversified Chemicals"/>
    <s v="Asia"/>
    <x v="25"/>
    <n v="8.1999999999999993"/>
    <n v="7.5"/>
    <n v="0.5"/>
    <n v="7.6"/>
    <n v="1312"/>
    <s v="http://www.forbes.com/companies/nitto-denko/"/>
  </r>
  <r>
    <s v="Obayashi"/>
    <s v="Industrials"/>
    <s v="Construction Services"/>
    <s v="Asia"/>
    <x v="25"/>
    <n v="4.2"/>
    <n v="16"/>
    <n v="0.1"/>
    <n v="17.8"/>
    <n v="1327"/>
    <s v="http://www.forbes.com/companies/obayashi/"/>
  </r>
  <r>
    <s v="JGC"/>
    <s v="Industrials"/>
    <s v="Construction Services"/>
    <s v="Asia"/>
    <x v="25"/>
    <n v="8.6999999999999993"/>
    <n v="6.9"/>
    <n v="0.5"/>
    <n v="6.9"/>
    <n v="1328"/>
    <s v="http://www.forbes.com/companies/jgc/"/>
  </r>
  <r>
    <s v="Medipal Holdings"/>
    <s v="Health Care"/>
    <s v="Pharmaceuticals"/>
    <s v="Asia"/>
    <x v="25"/>
    <n v="3.6"/>
    <n v="29.5"/>
    <n v="0.2"/>
    <n v="13.4"/>
    <n v="1332"/>
    <s v="http://www.forbes.com/companies/medipal-holdings/"/>
  </r>
  <r>
    <s v="Aozora Bank"/>
    <s v="Financials"/>
    <s v="Major Banks"/>
    <s v="Asia"/>
    <x v="25"/>
    <n v="4.7"/>
    <n v="1.2"/>
    <n v="0.5"/>
    <n v="46.2"/>
    <n v="1349"/>
    <s v="http://www.forbes.com/companies/aozora-bank/"/>
  </r>
  <r>
    <s v="Kajima"/>
    <s v="Industrials"/>
    <s v="Construction Services"/>
    <s v="Asia"/>
    <x v="25"/>
    <n v="3.8"/>
    <n v="15.3"/>
    <n v="0.2"/>
    <n v="17.399999999999999"/>
    <n v="1358"/>
    <s v="http://www.forbes.com/companies/kajima/"/>
  </r>
  <r>
    <s v="Unicharm"/>
    <s v="Consumer Staples"/>
    <s v="Household/Personal Care"/>
    <s v="Asia"/>
    <x v="25"/>
    <n v="10.7"/>
    <n v="5.8"/>
    <n v="0.4"/>
    <n v="5.7"/>
    <n v="1368"/>
    <s v="http://www.forbes.com/companies/unicharm/"/>
  </r>
  <r>
    <s v="Toppan Printing"/>
    <s v="Consumer Discretionary"/>
    <s v="Printing &amp; Publishing"/>
    <s v="Asia"/>
    <x v="25"/>
    <n v="4.9000000000000004"/>
    <n v="15.6"/>
    <n v="0.2"/>
    <n v="16.100000000000001"/>
    <n v="1378"/>
    <s v="http://www.forbes.com/companies/toppan-printing/"/>
  </r>
  <r>
    <s v="Sekisui Chemical"/>
    <s v="Industrials"/>
    <s v="Construction Services"/>
    <s v="Asia"/>
    <x v="25"/>
    <n v="5.3"/>
    <n v="11.1"/>
    <n v="0.5"/>
    <n v="9.4"/>
    <n v="1380"/>
    <s v="http://www.forbes.com/companies/sekisui-chemical/"/>
  </r>
  <r>
    <s v="Yamaguchi Financial"/>
    <s v="Financials"/>
    <s v="Regional Banks"/>
    <s v="Asia"/>
    <x v="25"/>
    <n v="2.2999999999999998"/>
    <n v="1.6"/>
    <n v="0.3"/>
    <n v="88.2"/>
    <n v="1393"/>
    <s v="http://www.forbes.com/companies/yamaguchi-financial/"/>
  </r>
  <r>
    <s v="Nippon Express"/>
    <s v="Industrials"/>
    <s v="Trucking"/>
    <s v="Asia"/>
    <x v="25"/>
    <n v="5"/>
    <n v="17.3"/>
    <n v="0.3"/>
    <n v="12.8"/>
    <n v="1403"/>
    <s v="http://www.forbes.com/companies/nippon-express/"/>
  </r>
  <r>
    <s v="Shimizu"/>
    <s v="Industrials"/>
    <s v="Construction Services"/>
    <s v="Asia"/>
    <x v="25"/>
    <n v="4.0999999999999996"/>
    <n v="15.2"/>
    <n v="0.1"/>
    <n v="14.5"/>
    <n v="1434"/>
    <s v="http://www.forbes.com/companies/shimizu/"/>
  </r>
  <r>
    <s v="Alfresa Holdings"/>
    <s v="Health Care"/>
    <s v="Pharmaceuticals"/>
    <s v="Asia"/>
    <x v="25"/>
    <n v="3.8"/>
    <n v="25.2"/>
    <n v="0.2"/>
    <n v="11.6"/>
    <n v="1434"/>
    <s v="http://www.forbes.com/companies/alfresa-holdings/"/>
  </r>
  <r>
    <s v="Fukuoka Financial Group"/>
    <s v="Financials"/>
    <s v="Regional Banks"/>
    <s v="Asia"/>
    <x v="25"/>
    <n v="3.6"/>
    <n v="2.4"/>
    <n v="0.3"/>
    <n v="130.80000000000001"/>
    <n v="1437"/>
    <s v="http://www.forbes.com/companies/fukuoka-financial-group/"/>
  </r>
  <r>
    <s v="Renesas Electronics"/>
    <s v="Information Technology"/>
    <s v="Semiconductors"/>
    <s v="Asia"/>
    <x v="25"/>
    <n v="12.6"/>
    <n v="8.4"/>
    <n v="0"/>
    <n v="7.6"/>
    <n v="1447"/>
    <s v="http://www.forbes.com/companies/renesas-electronics/"/>
  </r>
  <r>
    <s v="Mitsui Chemicals"/>
    <s v="Materials"/>
    <s v="Specialized Chemicals"/>
    <s v="Asia"/>
    <x v="25"/>
    <n v="2.5"/>
    <n v="15.4"/>
    <n v="-0.2"/>
    <n v="13.7"/>
    <n v="1454"/>
    <s v="http://www.forbes.com/companies/mitsui-chemicals/"/>
  </r>
  <r>
    <s v="Olympus"/>
    <s v="Consumer Discretionary"/>
    <s v="Consumer Electronics"/>
    <s v="Asia"/>
    <x v="25"/>
    <n v="10.8"/>
    <n v="7.1"/>
    <n v="0.1"/>
    <n v="9.8000000000000007"/>
    <n v="1470"/>
    <s v="http://www.forbes.com/companies/olympus/"/>
  </r>
  <r>
    <s v="Electric Power Development"/>
    <s v="Utilities"/>
    <s v="Electric Utilities"/>
    <s v="Asia"/>
    <x v="25"/>
    <n v="4.7"/>
    <n v="7"/>
    <n v="0.3"/>
    <n v="22.2"/>
    <n v="1477"/>
    <s v="http://www.forbes.com/companies/electric-power-development/"/>
  </r>
  <r>
    <s v="Yamada Denki"/>
    <s v="Information Technology"/>
    <s v="Computer &amp; Electronics Retail"/>
    <s v="Asia"/>
    <x v="25"/>
    <n v="2.9"/>
    <n v="18.7"/>
    <n v="0"/>
    <n v="11.8"/>
    <n v="1487"/>
    <s v="http://www.forbes.com/companies/yamada-denki/"/>
  </r>
  <r>
    <s v="Terumo"/>
    <s v="Health Care"/>
    <s v="Medical Equipment &amp; Supplies"/>
    <s v="Asia"/>
    <x v="25"/>
    <n v="8.1"/>
    <n v="4.5999999999999996"/>
    <n v="0.6"/>
    <n v="8.1999999999999993"/>
    <n v="1502"/>
    <s v="http://www.forbes.com/companies/terumo/"/>
  </r>
  <r>
    <s v="Isetan Mitsukoshi Holdings"/>
    <s v="Consumer Discretionary"/>
    <s v="Department Stores"/>
    <s v="Asia"/>
    <x v="25"/>
    <n v="4.9000000000000004"/>
    <n v="13.1"/>
    <n v="0.3"/>
    <n v="12.2"/>
    <n v="1506"/>
    <s v="http://www.forbes.com/companies/isetan-mitsukoshi-holdings/"/>
  </r>
  <r>
    <s v="Hachijuni Bank"/>
    <s v="Financials"/>
    <s v="Regional Banks"/>
    <s v="Asia"/>
    <x v="25"/>
    <n v="2.9"/>
    <n v="1.7"/>
    <n v="0.3"/>
    <n v="71.5"/>
    <n v="1517"/>
    <s v="http://www.forbes.com/companies/hachijuni-bank/"/>
  </r>
  <r>
    <s v="Nippon Paper Industries"/>
    <m/>
    <m/>
    <s v="Asia"/>
    <x v="25"/>
    <n v="2.2000000000000002"/>
    <n v="12.4"/>
    <n v="0.1"/>
    <n v="14.3"/>
    <n v="1520"/>
    <s v="http://www.forbes.com/companies/nippon-paper-industries/"/>
  </r>
  <r>
    <s v="Suzuken"/>
    <s v="Health Care"/>
    <s v="Pharmaceuticals"/>
    <s v="Asia"/>
    <x v="25"/>
    <n v="3.5"/>
    <n v="20"/>
    <n v="0.2"/>
    <n v="10.3"/>
    <n v="1534"/>
    <s v="http://www.forbes.com/companies/suzuken/"/>
  </r>
  <r>
    <s v="Joyo Bank"/>
    <s v="Financials"/>
    <s v="Regional Banks"/>
    <s v="Asia"/>
    <x v="25"/>
    <n v="3.9"/>
    <n v="1.6"/>
    <n v="0.3"/>
    <n v="81.900000000000006"/>
    <n v="1536"/>
    <s v="http://www.forbes.com/companies/joyo-bank/"/>
  </r>
  <r>
    <s v="Hokuhoku Financial Group"/>
    <s v="Financials"/>
    <s v="Regional Banks"/>
    <s v="Asia"/>
    <x v="25"/>
    <n v="2.5"/>
    <n v="1.9"/>
    <n v="0.2"/>
    <n v="107.1"/>
    <n v="1556"/>
    <s v="http://www.forbes.com/companies/hokuhoku-financial-group/"/>
  </r>
  <r>
    <s v="Iyo Bank"/>
    <s v="Financials"/>
    <s v="Regional Banks"/>
    <s v="Asia"/>
    <x v="25"/>
    <n v="3"/>
    <n v="1.2"/>
    <n v="0.3"/>
    <n v="58.4"/>
    <n v="1560"/>
    <s v="http://www.forbes.com/companies/iyo-bank/"/>
  </r>
  <r>
    <s v="Kawasaki Kisen Kaisha"/>
    <s v="Industrials"/>
    <s v="Other Transportation"/>
    <s v="Asia"/>
    <x v="25"/>
    <n v="2"/>
    <n v="12.8"/>
    <n v="0.2"/>
    <n v="12.2"/>
    <n v="1580"/>
    <s v="http://www.forbes.com/companies/kawasaki-kisen-kaisha/"/>
  </r>
  <r>
    <s v="J Front Retailing"/>
    <s v="Consumer Discretionary"/>
    <s v="Department Stores"/>
    <s v="Asia"/>
    <x v="25"/>
    <n v="3.6"/>
    <n v="12.2"/>
    <n v="0.3"/>
    <n v="10"/>
    <n v="1584"/>
    <s v="http://www.forbes.com/companies/j-front-retailing/"/>
  </r>
  <r>
    <s v="TDK"/>
    <s v="Information Technology"/>
    <s v="Electronics"/>
    <s v="Asia"/>
    <x v="25"/>
    <n v="5.4"/>
    <n v="9.9"/>
    <n v="0.1"/>
    <n v="12.5"/>
    <n v="1591"/>
    <s v="http://www.forbes.com/companies/tdk/"/>
  </r>
  <r>
    <s v="Nishi-Nippon City Bank"/>
    <s v="Financials"/>
    <s v="Regional Banks"/>
    <s v="Asia"/>
    <x v="25"/>
    <n v="1.8"/>
    <n v="1.8"/>
    <n v="0.2"/>
    <n v="77.3"/>
    <n v="1597"/>
    <s v="http://www.forbes.com/companies/nishi-nippon-city-bank/"/>
  </r>
  <r>
    <s v="77 Bank"/>
    <s v="Financials"/>
    <s v="Regional Banks"/>
    <s v="Asia"/>
    <x v="25"/>
    <n v="1.7"/>
    <n v="1.1000000000000001"/>
    <n v="0.1"/>
    <n v="76.599999999999994"/>
    <n v="1602"/>
    <s v="http://www.forbes.com/companies/77-bank/"/>
  </r>
  <r>
    <s v="Chugoku Bank"/>
    <s v="Financials"/>
    <s v="Regional Banks"/>
    <s v="Asia"/>
    <x v="25"/>
    <n v="2.6"/>
    <n v="1.2"/>
    <n v="0.3"/>
    <n v="66"/>
    <n v="1605"/>
    <s v="http://www.forbes.com/companies/chugoku-bank/"/>
  </r>
  <r>
    <s v="North Pacific Bank"/>
    <s v="Financials"/>
    <s v="Regional Banks"/>
    <s v="Asia"/>
    <x v="25"/>
    <n v="1.7"/>
    <n v="1.9"/>
    <n v="0.2"/>
    <n v="74.599999999999994"/>
    <n v="1606"/>
    <s v="http://www.forbes.com/companies/north-pacific-bank/"/>
  </r>
  <r>
    <s v="Bank of Kyoto"/>
    <s v="Financials"/>
    <s v="Regional Banks"/>
    <s v="Asia"/>
    <x v="25"/>
    <n v="3.1"/>
    <n v="1.1000000000000001"/>
    <n v="0.2"/>
    <n v="73.599999999999994"/>
    <n v="1612"/>
    <s v="http://www.forbes.com/companies/bank-of-kyoto/"/>
  </r>
  <r>
    <s v="Hiroshima Bank"/>
    <s v="Financials"/>
    <s v="Regional Banks"/>
    <s v="Asia"/>
    <x v="25"/>
    <n v="2.6"/>
    <n v="1.3"/>
    <n v="0.2"/>
    <n v="69.400000000000006"/>
    <n v="1619"/>
    <s v="http://www.forbes.com/companies/hiroshima-bank/"/>
  </r>
  <r>
    <s v="Tobu Railway"/>
    <s v="Industrials"/>
    <s v="Railroads"/>
    <s v="Asia"/>
    <x v="25"/>
    <n v="5.0999999999999996"/>
    <n v="6"/>
    <n v="0.3"/>
    <n v="14.1"/>
    <n v="1621"/>
    <s v="http://www.forbes.com/companies/tobu-railway/"/>
  </r>
  <r>
    <s v="Gunma Bank"/>
    <s v="Financials"/>
    <s v="Regional Banks"/>
    <s v="Asia"/>
    <x v="25"/>
    <n v="2.5"/>
    <n v="1.3"/>
    <n v="0.2"/>
    <n v="67.8"/>
    <n v="1624"/>
    <s v="http://www.forbes.com/companies/gunma-bank/"/>
  </r>
  <r>
    <s v="Sumitomo Rubber"/>
    <s v="Consumer Discretionary"/>
    <s v="Auto &amp; Truck Parts"/>
    <s v="Asia"/>
    <x v="25"/>
    <n v="3.3"/>
    <n v="8"/>
    <n v="0.5"/>
    <n v="8.3000000000000007"/>
    <n v="1651"/>
    <s v="http://www.forbes.com/companies/sumitomo-rubber/"/>
  </r>
  <r>
    <s v="JTEKT"/>
    <s v="Consumer Discretionary"/>
    <s v="Auto &amp; Truck Parts"/>
    <s v="Asia"/>
    <x v="25"/>
    <n v="5.0999999999999996"/>
    <n v="12.5"/>
    <n v="0.2"/>
    <n v="10.6"/>
    <n v="1664"/>
    <s v="http://www.forbes.com/companies/jtekt/"/>
  </r>
  <r>
    <s v="Juroku Bank"/>
    <s v="Financials"/>
    <s v="Regional Banks"/>
    <s v="Asia"/>
    <x v="25"/>
    <n v="1.3"/>
    <n v="1.1000000000000001"/>
    <n v="0.1"/>
    <n v="54.2"/>
    <n v="1672"/>
    <s v="http://www.forbes.com/companies/juroku-bank/"/>
  </r>
  <r>
    <s v="Ashikaga Holdings"/>
    <s v="Financials"/>
    <s v="Regional Banks"/>
    <s v="Asia"/>
    <x v="25"/>
    <n v="1.5"/>
    <n v="1.1000000000000001"/>
    <n v="0.2"/>
    <n v="53.9"/>
    <n v="1676"/>
    <s v="http://www.forbes.com/companies/ashikaga-holdings/"/>
  </r>
  <r>
    <s v="Shionogi &amp; Co."/>
    <s v="Health Care"/>
    <s v="Pharmaceuticals"/>
    <s v="Asia"/>
    <x v="25"/>
    <n v="6.1"/>
    <n v="3"/>
    <n v="0.8"/>
    <n v="5.9"/>
    <n v="1684"/>
    <s v="http://www.forbes.com/companies/shionogi-co/"/>
  </r>
  <r>
    <s v="Sega Sammy Holdings"/>
    <s v="Consumer Discretionary"/>
    <s v="Recreational Products"/>
    <s v="Asia"/>
    <x v="25"/>
    <n v="5.8"/>
    <n v="4.3"/>
    <n v="0.8"/>
    <n v="5.5"/>
    <n v="1686"/>
    <s v="http://www.forbes.com/companies/sega-sammy-holdings/"/>
  </r>
  <r>
    <s v="Senshu Ikeda Holdings"/>
    <s v="Financials"/>
    <s v="Regional Banks"/>
    <s v="Asia"/>
    <x v="25"/>
    <n v="1.1000000000000001"/>
    <n v="1"/>
    <n v="0.1"/>
    <n v="50.7"/>
    <n v="1687"/>
    <s v="http://www.forbes.com/companies/senshu-ikeda-holdings/"/>
  </r>
  <r>
    <s v="Nanto Bank"/>
    <s v="Financials"/>
    <s v="Regional Banks"/>
    <s v="Asia"/>
    <x v="25"/>
    <n v="1"/>
    <n v="0.8"/>
    <n v="0.1"/>
    <n v="49.7"/>
    <n v="1692"/>
    <s v="http://www.forbes.com/companies/nanto-bank/"/>
  </r>
  <r>
    <s v="Hyakugo Bank"/>
    <s v="Financials"/>
    <s v="Regional Banks"/>
    <s v="Asia"/>
    <x v="25"/>
    <n v="1"/>
    <n v="0.8"/>
    <n v="0.1"/>
    <n v="48.1"/>
    <n v="1702"/>
    <s v="http://www.forbes.com/companies/hyakugo-bank/"/>
  </r>
  <r>
    <s v="Ogaki Kyoritsu Bank"/>
    <s v="Financials"/>
    <s v="Regional Banks"/>
    <s v="Asia"/>
    <x v="25"/>
    <n v="1"/>
    <n v="1"/>
    <n v="0.1"/>
    <n v="46.3"/>
    <n v="1713"/>
    <s v="http://www.forbes.com/companies/ogaki-kyoritsu-bank/"/>
  </r>
  <r>
    <s v="Daishi Bank"/>
    <s v="Financials"/>
    <s v="Regional Banks"/>
    <s v="Asia"/>
    <x v="25"/>
    <n v="1.3"/>
    <n v="0.9"/>
    <n v="0.1"/>
    <n v="46.1"/>
    <n v="1717"/>
    <s v="http://www.forbes.com/companies/daishi-bank/"/>
  </r>
  <r>
    <s v="Shiga Bank"/>
    <s v="Financials"/>
    <s v="Regional Banks"/>
    <s v="Asia"/>
    <x v="25"/>
    <n v="1.4"/>
    <n v="0.9"/>
    <n v="0.1"/>
    <n v="45.8"/>
    <n v="1719"/>
    <s v="http://www.forbes.com/companies/shiga-bank/"/>
  </r>
  <r>
    <s v="Suruga Bank"/>
    <s v="Financials"/>
    <s v="Regional Banks"/>
    <s v="Asia"/>
    <x v="25"/>
    <n v="4.5"/>
    <n v="1.2"/>
    <n v="0.3"/>
    <n v="37.200000000000003"/>
    <n v="1719"/>
    <s v="http://www.forbes.com/companies/suruga-bank/"/>
  </r>
  <r>
    <s v="Toho Bank"/>
    <s v="Financials"/>
    <s v="Regional Banks"/>
    <s v="Asia"/>
    <x v="25"/>
    <n v="0.9"/>
    <n v="0.6"/>
    <n v="0.1"/>
    <n v="45.8"/>
    <n v="1722"/>
    <s v="http://www.forbes.com/companies/toho-bank/"/>
  </r>
  <r>
    <s v="Orient"/>
    <s v="Financials"/>
    <s v="Consumer Financial Services"/>
    <s v="Asia"/>
    <x v="25"/>
    <n v="1.6"/>
    <n v="2.1"/>
    <n v="0.1"/>
    <n v="45.1"/>
    <n v="1738"/>
    <s v="http://www.forbes.com/companies/orient/"/>
  </r>
  <r>
    <s v="Credit Saison"/>
    <s v="Financials"/>
    <s v="Consumer Financial Services"/>
    <s v="Asia"/>
    <x v="25"/>
    <n v="3.6"/>
    <n v="3.2"/>
    <n v="0.4"/>
    <n v="21.2"/>
    <n v="1761"/>
    <s v="http://www.forbes.com/companies/credit-saison/"/>
  </r>
  <r>
    <s v="Tokyo Electron"/>
    <s v="Information Technology"/>
    <s v="Semiconductors"/>
    <s v="Asia"/>
    <x v="25"/>
    <n v="11"/>
    <n v="5.4"/>
    <n v="-0.3"/>
    <n v="7.6"/>
    <n v="1772"/>
    <s v="http://www.forbes.com/companies/tokyo-electron/"/>
  </r>
  <r>
    <s v="Higo Bank"/>
    <s v="Financials"/>
    <s v="Regional Banks"/>
    <s v="Asia"/>
    <x v="25"/>
    <n v="1.2"/>
    <n v="0.9"/>
    <n v="0.1"/>
    <n v="41.5"/>
    <n v="1775"/>
    <s v="http://www.forbes.com/companies/higo-bank/"/>
  </r>
  <r>
    <s v="Hanwa"/>
    <s v="Materials"/>
    <s v="Diversified Metals &amp; Mining"/>
    <s v="Asia"/>
    <x v="25"/>
    <n v="0.8"/>
    <n v="16.600000000000001"/>
    <n v="0.1"/>
    <n v="5.8"/>
    <n v="1783"/>
    <s v="http://www.forbes.com/companies/hanwa/"/>
  </r>
  <r>
    <s v="San-In Godo Bank"/>
    <s v="Financials"/>
    <s v="Regional Banks"/>
    <s v="Asia"/>
    <x v="25"/>
    <n v="1.1000000000000001"/>
    <n v="0.9"/>
    <n v="0.1"/>
    <n v="41.3"/>
    <n v="1784"/>
    <s v="http://www.forbes.com/companies/san-in-godo-bank/"/>
  </r>
  <r>
    <s v="Hyakujushi Bank"/>
    <s v="Financials"/>
    <s v="Regional Banks"/>
    <s v="Asia"/>
    <x v="25"/>
    <n v="1.1000000000000001"/>
    <n v="0.7"/>
    <n v="0.1"/>
    <n v="41"/>
    <n v="1788"/>
    <s v="http://www.forbes.com/companies/hyakujushi-bank/"/>
  </r>
  <r>
    <s v="Keiyo Bank"/>
    <s v="Financials"/>
    <s v="Regional Banks"/>
    <s v="Asia"/>
    <x v="25"/>
    <n v="1.2"/>
    <n v="0.7"/>
    <n v="0.2"/>
    <n v="39.799999999999997"/>
    <n v="1791"/>
    <s v="http://www.forbes.com/companies/keiyo-bank/"/>
  </r>
  <r>
    <s v="Musashino Bank"/>
    <s v="Financials"/>
    <s v="Regional Banks"/>
    <s v="Asia"/>
    <x v="25"/>
    <n v="1.1000000000000001"/>
    <n v="0.7"/>
    <n v="0.1"/>
    <n v="38.799999999999997"/>
    <n v="1799"/>
    <s v="http://www.forbes.com/companies/musashino-bank/"/>
  </r>
  <r>
    <s v="Hokkaido Electric Power"/>
    <s v="Utilities"/>
    <s v="Electric Utilities"/>
    <s v="Asia"/>
    <x v="25"/>
    <n v="1.6"/>
    <n v="6.2"/>
    <n v="-0.8"/>
    <n v="16.8"/>
    <n v="1802"/>
    <s v="http://www.forbes.com/companies/hokkaido-electric-power/"/>
  </r>
  <r>
    <s v="Kagoshima Bank"/>
    <s v="Financials"/>
    <s v="Regional Banks"/>
    <s v="Asia"/>
    <x v="25"/>
    <n v="1.4"/>
    <n v="0.8"/>
    <n v="0.1"/>
    <n v="37.6"/>
    <n v="1811"/>
    <s v="http://www.forbes.com/companies/kagoshima-bank/"/>
  </r>
  <r>
    <s v="Japan Exchange Group"/>
    <s v="Financials"/>
    <s v="Investment Services"/>
    <s v="Asia"/>
    <x v="25"/>
    <n v="6.6"/>
    <n v="1.2"/>
    <n v="0.3"/>
    <n v="15.6"/>
    <n v="1826"/>
    <s v="http://www.forbes.com/companies/japan-exchange-group/"/>
  </r>
  <r>
    <s v="Lawson"/>
    <s v="Consumer Staples"/>
    <s v="Food Retail"/>
    <s v="Asia"/>
    <x v="25"/>
    <n v="6.9"/>
    <n v="5.0999999999999996"/>
    <n v="0.4"/>
    <n v="6"/>
    <n v="1846"/>
    <s v="http://www.forbes.com/companies/lawson/"/>
  </r>
  <r>
    <s v="Shimano"/>
    <s v="Consumer Discretionary"/>
    <s v="Recreational Products"/>
    <s v="Asia"/>
    <x v="25"/>
    <n v="9.3000000000000007"/>
    <n v="2.8"/>
    <n v="0.4"/>
    <n v="3"/>
    <n v="1849"/>
    <s v="http://www.forbes.com/companies/shimano/"/>
  </r>
  <r>
    <s v="Japan Securities"/>
    <s v="Financials"/>
    <s v="Investment Services"/>
    <s v="Asia"/>
    <x v="25"/>
    <n v="0.6"/>
    <n v="0.2"/>
    <n v="0.1"/>
    <n v="35.1"/>
    <n v="1850"/>
    <s v="http://www.forbes.com/companies/japan-securities/"/>
  </r>
  <r>
    <s v="Gungho Online Entertainment"/>
    <m/>
    <m/>
    <s v="Asia"/>
    <x v="25"/>
    <n v="6.3"/>
    <n v="1.7"/>
    <n v="0.6"/>
    <n v="1.2"/>
    <n v="1861"/>
    <s v="http://www.forbes.com/companies/gungho-online-entertainment/"/>
  </r>
  <r>
    <s v="Shiseido"/>
    <s v="Consumer Staples"/>
    <s v="Household/Personal Care"/>
    <s v="Asia"/>
    <x v="25"/>
    <n v="6.9"/>
    <n v="7.5"/>
    <n v="0"/>
    <n v="7"/>
    <n v="1868"/>
    <s v="http://www.forbes.com/companies/shiseido/"/>
  </r>
  <r>
    <s v="Hokkoku Bank"/>
    <s v="Financials"/>
    <s v="Regional Banks"/>
    <s v="Asia"/>
    <x v="25"/>
    <n v="1.1000000000000001"/>
    <n v="0.6"/>
    <n v="0.1"/>
    <n v="32.799999999999997"/>
    <n v="1871"/>
    <s v="http://www.forbes.com/companies/hokkoku-bank/"/>
  </r>
  <r>
    <s v="Bank of Nagoya"/>
    <s v="Financials"/>
    <s v="Regional Banks"/>
    <s v="Asia"/>
    <x v="25"/>
    <n v="0.8"/>
    <n v="0.6"/>
    <n v="0.1"/>
    <n v="32.1"/>
    <n v="1876"/>
    <s v="http://www.forbes.com/companies/bank-of-nagoya/"/>
  </r>
  <r>
    <s v="Taiheiyo Cement"/>
    <s v="Materials"/>
    <s v="Construction Materials"/>
    <s v="Asia"/>
    <x v="25"/>
    <n v="4.5"/>
    <n v="8.4"/>
    <n v="0.3"/>
    <n v="9.9"/>
    <n v="1878"/>
    <s v="http://www.forbes.com/companies/taiheiyo-cement/"/>
  </r>
  <r>
    <s v="Bank of Iwate"/>
    <s v="Financials"/>
    <s v="Regional Banks"/>
    <s v="Asia"/>
    <x v="25"/>
    <n v="0.9"/>
    <n v="0.5"/>
    <n v="0.1"/>
    <n v="31.2"/>
    <n v="1890"/>
    <s v="http://www.forbes.com/companies/bank-of-iwate/"/>
  </r>
  <r>
    <s v="NSK"/>
    <s v="Industrials"/>
    <s v="Other Industrial Equipment"/>
    <s v="Asia"/>
    <x v="25"/>
    <n v="5.5"/>
    <n v="8.5"/>
    <n v="0.2"/>
    <n v="9.5"/>
    <n v="1896"/>
    <s v="http://www.forbes.com/companies/nsk/"/>
  </r>
  <r>
    <s v="Tosoh"/>
    <s v="Materials"/>
    <s v="Diversified Chemicals"/>
    <s v="Asia"/>
    <x v="25"/>
    <n v="2.2999999999999998"/>
    <n v="7.7"/>
    <n v="0.3"/>
    <n v="7.1"/>
    <n v="1901"/>
    <s v="http://www.forbes.com/companies/tosoh/"/>
  </r>
  <r>
    <s v="SBI Holdings"/>
    <s v="Financials"/>
    <s v="Investment Services"/>
    <s v="Asia"/>
    <x v="25"/>
    <n v="2.6"/>
    <n v="2.2999999999999998"/>
    <n v="0.2"/>
    <n v="30.4"/>
    <n v="1905"/>
    <s v="http://www.forbes.com/companies/sbi-holdings/"/>
  </r>
  <r>
    <s v="Yamanashi Chuo Bank"/>
    <s v="Financials"/>
    <s v="Regional Banks"/>
    <s v="Asia"/>
    <x v="25"/>
    <n v="0.8"/>
    <n v="0.5"/>
    <n v="0.1"/>
    <n v="28.8"/>
    <n v="1923"/>
    <s v="http://www.forbes.com/companies/yamanashi-chuo-bank/"/>
  </r>
  <r>
    <s v="Oita Bank"/>
    <s v="Financials"/>
    <s v="Regional Banks"/>
    <s v="Asia"/>
    <x v="25"/>
    <n v="0.6"/>
    <n v="0.5"/>
    <n v="0.1"/>
    <n v="28.7"/>
    <n v="1927"/>
    <s v="http://www.forbes.com/companies/oita-bank/"/>
  </r>
  <r>
    <s v="Awa Bank"/>
    <s v="Financials"/>
    <s v="Regional Banks"/>
    <s v="Asia"/>
    <x v="25"/>
    <n v="1.2"/>
    <n v="0.7"/>
    <n v="0.1"/>
    <n v="28"/>
    <n v="1941"/>
    <s v="http://www.forbes.com/companies/awa-bank/"/>
  </r>
  <r>
    <s v="Aichi Bank"/>
    <s v="Financials"/>
    <s v="Regional Banks"/>
    <s v="Asia"/>
    <x v="25"/>
    <n v="0.6"/>
    <n v="0.5"/>
    <n v="0"/>
    <n v="27.8"/>
    <n v="1949"/>
    <s v="http://www.forbes.com/companies/aichi-bank/"/>
  </r>
  <r>
    <s v="Makita"/>
    <s v="Consumer Staples"/>
    <s v="Household/Personal Care"/>
    <s v="Asia"/>
    <x v="25"/>
    <n v="7.5"/>
    <n v="3.8"/>
    <n v="0.4"/>
    <n v="4.9000000000000004"/>
    <n v="1951"/>
    <s v="http://www.forbes.com/companies/makita/"/>
  </r>
  <r>
    <s v="Nippon Steel Trading"/>
    <s v="Materials"/>
    <s v="Diversified Metals &amp; Mining"/>
    <s v="Asia"/>
    <x v="25"/>
    <n v="1"/>
    <n v="12.1"/>
    <n v="0.2"/>
    <n v="6.3"/>
    <n v="1953"/>
    <s v="http://www.forbes.com/companies/nippon-steel-trading/"/>
  </r>
  <r>
    <s v="Toho Holdings"/>
    <s v="Health Care"/>
    <s v="Pharmaceuticals"/>
    <s v="Asia"/>
    <x v="25"/>
    <n v="1.6"/>
    <n v="12.1"/>
    <n v="0.1"/>
    <n v="5.9"/>
    <n v="1955"/>
    <s v="http://www.forbes.com/companies/toho-holdings/"/>
  </r>
  <r>
    <s v="Toyota Boshoku"/>
    <s v="Consumer Discretionary"/>
    <s v="Auto &amp; Truck Parts"/>
    <s v="Asia"/>
    <x v="25"/>
    <n v="1.9"/>
    <n v="12"/>
    <n v="0.1"/>
    <n v="6.1"/>
    <n v="1965"/>
    <s v="http://www.forbes.com/companies/toyota-boshoku/"/>
  </r>
  <r>
    <s v="Konica Minolta"/>
    <s v="Consumer Discretionary"/>
    <s v="Consumer Electronics"/>
    <s v="Asia"/>
    <x v="25"/>
    <n v="5"/>
    <n v="9.4"/>
    <n v="0.2"/>
    <n v="9.5"/>
    <n v="1972"/>
    <s v="http://www.forbes.com/companies/konica-minolta/"/>
  </r>
  <r>
    <s v="Jaccs"/>
    <s v="Financials"/>
    <s v="Consumer Financial Services"/>
    <s v="Asia"/>
    <x v="25"/>
    <n v="0.7"/>
    <n v="1.1000000000000001"/>
    <n v="0.1"/>
    <n v="27.2"/>
    <n v="1973"/>
    <s v="http://www.forbes.com/companies/jaccs/"/>
  </r>
  <r>
    <s v="Tomony Holdings"/>
    <s v="Financials"/>
    <s v="Regional Banks"/>
    <s v="Asia"/>
    <x v="25"/>
    <n v="0.6"/>
    <n v="0.6"/>
    <n v="0.1"/>
    <n v="27.1"/>
    <n v="1980"/>
    <s v="http://www.forbes.com/companies/tomony-holdings/"/>
  </r>
  <r>
    <s v="Fuji Electric"/>
    <s v="Industrials"/>
    <s v="Electrical Equipment"/>
    <s v="Asia"/>
    <x v="25"/>
    <n v="3.2"/>
    <n v="7.7"/>
    <n v="0.3"/>
    <n v="7.5"/>
    <n v="1982"/>
    <s v="http://www.forbes.com/companies/fuji-electric/"/>
  </r>
  <r>
    <s v="Meiji Holdings"/>
    <s v="Consumer Staples"/>
    <s v="Food Processing"/>
    <s v="Asia"/>
    <x v="25"/>
    <n v="4.5"/>
    <n v="11.6"/>
    <n v="0.2"/>
    <n v="7.8"/>
    <n v="1991"/>
    <s v="http://www.forbes.com/companies/meiji-holdings/"/>
  </r>
  <r>
    <s v="Odakyu Electric Railway"/>
    <s v="Industrials"/>
    <s v="Railroads"/>
    <s v="Asia"/>
    <x v="25"/>
    <n v="6.1"/>
    <n v="5.3"/>
    <n v="0.2"/>
    <n v="12"/>
    <n v="1991"/>
    <s v="http://www.forbes.com/companies/odakyu-electric-railway/"/>
  </r>
  <r>
    <s v="Shikoku Bank"/>
    <s v="Financials"/>
    <s v="Regional Banks"/>
    <s v="Asia"/>
    <x v="25"/>
    <n v="0.4"/>
    <n v="0.4"/>
    <n v="0.1"/>
    <n v="26.5"/>
    <n v="1994"/>
    <s v="http://www.forbes.com/companies/shikoku-bank/"/>
  </r>
  <r>
    <s v="UNY Group Holdings"/>
    <s v="Consumer Discretionary"/>
    <s v="Specialty Stores"/>
    <s v="Asia"/>
    <x v="25"/>
    <n v="1.4"/>
    <n v="10.7"/>
    <n v="0.1"/>
    <n v="8.8000000000000007"/>
    <n v="1999"/>
    <s v="http://www.forbes.com/companies/uny-group-holdings/"/>
  </r>
  <r>
    <s v="Arab Bank"/>
    <s v="Financials"/>
    <s v="Regional Banks"/>
    <s v="Asia"/>
    <x v="26"/>
    <n v="7"/>
    <n v="2.2000000000000002"/>
    <n v="0.5"/>
    <n v="46.4"/>
    <n v="1092"/>
    <s v="http://www.forbes.com/companies/arab-bank/"/>
  </r>
  <r>
    <s v="KazMunaiGas Exploration"/>
    <s v="Energy"/>
    <s v="Oil &amp; Gas Operations"/>
    <s v="Asia"/>
    <x v="27"/>
    <n v="5.8"/>
    <n v="5.4"/>
    <n v="0.9"/>
    <n v="10.3"/>
    <n v="1321"/>
    <s v="http://www.forbes.com/companies/kazmunaigas-exploration/"/>
  </r>
  <r>
    <s v="Bta Bank"/>
    <s v="Financials"/>
    <s v="Regional Banks"/>
    <s v="Asia"/>
    <x v="27"/>
    <n v="0.8"/>
    <n v="1.2"/>
    <n v="2.5"/>
    <n v="10.6"/>
    <n v="1421"/>
    <s v="http://www.forbes.com/companies/bta-bank/"/>
  </r>
  <r>
    <s v="Halyk Bank"/>
    <s v="Financials"/>
    <s v="Regional Banks"/>
    <s v="Asia"/>
    <x v="27"/>
    <n v="2.2000000000000002"/>
    <n v="1.7"/>
    <n v="0.5"/>
    <n v="16.3"/>
    <n v="1681"/>
    <s v="http://www.forbes.com/companies/halyk-bank/"/>
  </r>
  <r>
    <s v="National Bank of Kuwait"/>
    <s v="Financials"/>
    <s v="Regional Banks"/>
    <s v="Asia"/>
    <x v="28"/>
    <n v="16.7"/>
    <n v="2.5"/>
    <n v="0.8"/>
    <n v="65.900000000000006"/>
    <n v="717"/>
    <s v="http://www.forbes.com/companies/national-bank-of-kuwait/"/>
  </r>
  <r>
    <s v="Kuwait Finance House"/>
    <s v="Financials"/>
    <s v="Regional Banks"/>
    <s v="Asia"/>
    <x v="28"/>
    <n v="12.6"/>
    <n v="2.8"/>
    <n v="0.4"/>
    <n v="54.8"/>
    <n v="966"/>
    <s v="http://www.forbes.com/companies/kuwait-finance-house/"/>
  </r>
  <r>
    <s v="Zain"/>
    <s v="Telecommunication Services"/>
    <s v="Telecommunications services"/>
    <s v="Asia"/>
    <x v="28"/>
    <n v="9.6999999999999993"/>
    <n v="4.4000000000000004"/>
    <n v="0.8"/>
    <n v="11"/>
    <n v="1219"/>
    <s v="http://www.forbes.com/companies/zain/"/>
  </r>
  <r>
    <s v="Kuwait Projects"/>
    <s v="Financials"/>
    <s v="Investment Services"/>
    <s v="Asia"/>
    <x v="28"/>
    <n v="3.9"/>
    <n v="1.6"/>
    <n v="0.1"/>
    <n v="28.6"/>
    <n v="1928"/>
    <s v="http://www.forbes.com/companies/kuwait-projects/"/>
  </r>
  <r>
    <s v="Bank Audi"/>
    <s v="Financials"/>
    <s v="Regional Banks"/>
    <s v="Asia"/>
    <x v="29"/>
    <n v="2.2000000000000002"/>
    <n v="2.2999999999999998"/>
    <n v="0.3"/>
    <n v="36.200000000000003"/>
    <n v="1636"/>
    <s v="http://www.forbes.com/companies/bank-audi/"/>
  </r>
  <r>
    <s v="Blom Bank"/>
    <s v="Financials"/>
    <s v="Regional Banks"/>
    <s v="Asia"/>
    <x v="29"/>
    <n v="1.9"/>
    <n v="1.6"/>
    <n v="0.3"/>
    <n v="26.2"/>
    <n v="1661"/>
    <s v="http://www.forbes.com/companies/blom-bank/"/>
  </r>
  <r>
    <s v="ArcelorMittal"/>
    <s v="Materials"/>
    <s v="Iron &amp; Steel"/>
    <s v="Europe"/>
    <x v="30"/>
    <n v="26.8"/>
    <n v="79.400000000000006"/>
    <n v="-2.5"/>
    <n v="112.3"/>
    <n v="491"/>
    <s v="http://www.forbes.com/companies/arcelormittal/"/>
  </r>
  <r>
    <s v="Tenaris"/>
    <s v="Energy"/>
    <s v="Oil Services &amp; Equipment"/>
    <s v="Europe"/>
    <x v="30"/>
    <n v="26.2"/>
    <n v="10.6"/>
    <n v="1.6"/>
    <n v="15.9"/>
    <n v="572"/>
    <s v="http://www.forbes.com/companies/tenaris/"/>
  </r>
  <r>
    <s v="RTL Group"/>
    <s v="Consumer Discretionary"/>
    <s v="Broadcasting &amp; Cable"/>
    <s v="Europe"/>
    <x v="30"/>
    <n v="17.7"/>
    <n v="7.8"/>
    <n v="1.2"/>
    <n v="10.4"/>
    <n v="805"/>
    <s v="http://www.forbes.com/companies/rtl-group/"/>
  </r>
  <r>
    <s v="SES"/>
    <s v="Consumer Discretionary"/>
    <s v="Broadcasting &amp; Cable"/>
    <s v="Europe"/>
    <x v="30"/>
    <n v="15"/>
    <n v="2.5"/>
    <n v="0.8"/>
    <n v="12.5"/>
    <n v="1074"/>
    <s v="http://www.forbes.com/companies/ses/"/>
  </r>
  <r>
    <s v="Espirito Santo Financial"/>
    <s v="Financials"/>
    <s v="Regional Banks"/>
    <s v="Europe"/>
    <x v="30"/>
    <n v="1.3"/>
    <n v="7.8"/>
    <n v="-0.1"/>
    <n v="113.6"/>
    <n v="1194"/>
    <s v="http://www.forbes.com/companies/espirito-santo-financial/"/>
  </r>
  <r>
    <s v="Ternium"/>
    <s v="Materials"/>
    <s v="Iron &amp; Steel"/>
    <s v="Europe"/>
    <x v="30"/>
    <n v="5.9"/>
    <n v="8.5"/>
    <n v="0.5"/>
    <n v="10.5"/>
    <n v="1345"/>
    <s v="http://www.forbes.com/companies/ternium/"/>
  </r>
  <r>
    <s v="Millicom International"/>
    <s v="Telecommunication Services"/>
    <s v="Telecommunications services"/>
    <s v="Europe"/>
    <x v="30"/>
    <n v="10.199999999999999"/>
    <n v="5.2"/>
    <n v="0.2"/>
    <n v="9.1"/>
    <n v="1779"/>
    <s v="http://www.forbes.com/companies/millicom-international/"/>
  </r>
  <r>
    <s v="Maybank"/>
    <s v="Financials"/>
    <s v="Regional Banks"/>
    <s v="Asia"/>
    <x v="31"/>
    <n v="26.3"/>
    <n v="9.6999999999999993"/>
    <n v="2.1"/>
    <n v="171.1"/>
    <n v="326"/>
    <s v="http://www.forbes.com/companies/maybank/"/>
  </r>
  <r>
    <s v="Tenaga Nasional"/>
    <s v="Utilities"/>
    <s v="Electric Utilities"/>
    <s v="Asia"/>
    <x v="31"/>
    <n v="20.7"/>
    <n v="12"/>
    <n v="1.6"/>
    <n v="31.3"/>
    <n v="443"/>
    <s v="http://www.forbes.com/companies/tenaga-nasional/"/>
  </r>
  <r>
    <s v="CIMB Group Holdings"/>
    <s v="Financials"/>
    <s v="Regional Banks"/>
    <s v="Asia"/>
    <x v="31"/>
    <n v="18.100000000000001"/>
    <n v="6.8"/>
    <n v="1.4"/>
    <n v="113.2"/>
    <n v="460"/>
    <s v="http://www.forbes.com/companies/cimb-group-holdings/"/>
  </r>
  <r>
    <s v="Public Bank"/>
    <s v="Financials"/>
    <s v="Regional Banks"/>
    <s v="Asia"/>
    <x v="31"/>
    <n v="20.6"/>
    <n v="4.5999999999999996"/>
    <n v="1.3"/>
    <n v="93.3"/>
    <n v="585"/>
    <s v="http://www.forbes.com/companies/public-bank/"/>
  </r>
  <r>
    <s v="Sime Darby"/>
    <s v="Industrials"/>
    <s v="Conglomerates"/>
    <s v="Asia"/>
    <x v="31"/>
    <n v="17.100000000000001"/>
    <n v="14.4"/>
    <n v="1.1000000000000001"/>
    <n v="15.2"/>
    <n v="598"/>
    <s v="http://www.forbes.com/companies/sime-darby/"/>
  </r>
  <r>
    <s v="Axiata Group"/>
    <s v="Information Technology"/>
    <s v="Communications Equipment"/>
    <s v="Asia"/>
    <x v="31"/>
    <n v="17.7"/>
    <n v="5.8"/>
    <n v="0.8"/>
    <n v="13.3"/>
    <n v="861"/>
    <s v="http://www.forbes.com/companies/axiata-group/"/>
  </r>
  <r>
    <s v="Genting"/>
    <s v="Consumer Discretionary"/>
    <s v="Casinos &amp; Gaming"/>
    <s v="Asia"/>
    <x v="31"/>
    <n v="11.4"/>
    <n v="5.6"/>
    <n v="0.6"/>
    <n v="21.8"/>
    <n v="915"/>
    <s v="http://www.forbes.com/companies/genting/"/>
  </r>
  <r>
    <s v="RHB Capital"/>
    <s v="Financials"/>
    <s v="Regional Banks"/>
    <s v="Asia"/>
    <x v="31"/>
    <n v="6.6"/>
    <n v="3"/>
    <n v="0.6"/>
    <n v="58.3"/>
    <n v="1052"/>
    <s v="http://www.forbes.com/companies/rhb-capital/"/>
  </r>
  <r>
    <s v="Petronas Chemicals"/>
    <s v="Materials"/>
    <s v="Specialized Chemicals"/>
    <s v="Asia"/>
    <x v="31"/>
    <n v="16.7"/>
    <n v="4.8"/>
    <n v="1"/>
    <n v="8.5"/>
    <n v="1062"/>
    <s v="http://www.forbes.com/companies/petronas-chemicals/"/>
  </r>
  <r>
    <s v="AmBank Group"/>
    <s v="Financials"/>
    <s v="Regional Banks"/>
    <s v="Asia"/>
    <x v="31"/>
    <n v="6.6"/>
    <n v="2.6"/>
    <n v="0.5"/>
    <n v="40"/>
    <n v="1121"/>
    <s v="http://www.forbes.com/companies/ambank-group/"/>
  </r>
  <r>
    <s v="Hong Leong Financial"/>
    <s v="Financials"/>
    <s v="Investment Services"/>
    <s v="Asia"/>
    <x v="31"/>
    <n v="5.0999999999999996"/>
    <n v="2.5"/>
    <n v="0.5"/>
    <n v="56"/>
    <n v="1246"/>
    <s v="http://www.forbes.com/companies/hong-leong-financial/"/>
  </r>
  <r>
    <s v="MISC"/>
    <s v="Industrials"/>
    <s v="Other Transportation"/>
    <s v="Asia"/>
    <x v="31"/>
    <n v="9.4"/>
    <n v="2.8"/>
    <n v="0.7"/>
    <n v="12.3"/>
    <n v="1276"/>
    <s v="http://www.forbes.com/companies/misc/"/>
  </r>
  <r>
    <s v="Petronas Gas"/>
    <s v="Utilities"/>
    <s v="Natural Gas Utilities"/>
    <s v="Asia"/>
    <x v="31"/>
    <n v="14.7"/>
    <n v="1.2"/>
    <n v="0.7"/>
    <n v="4"/>
    <n v="1308"/>
    <s v="http://www.forbes.com/companies/petronas-gas/"/>
  </r>
  <r>
    <s v="YTL"/>
    <s v="Utilities"/>
    <s v="Diversified Utilities"/>
    <s v="Asia"/>
    <x v="31"/>
    <n v="4.9000000000000004"/>
    <n v="6.3"/>
    <n v="0.5"/>
    <n v="18.5"/>
    <n v="1333"/>
    <s v="http://www.forbes.com/companies/ytl/"/>
  </r>
  <r>
    <s v="Maxis"/>
    <s v="Telecommunication Services"/>
    <s v="Telecommunications services"/>
    <s v="Asia"/>
    <x v="31"/>
    <n v="16"/>
    <n v="2.9"/>
    <n v="0.6"/>
    <n v="5.3"/>
    <n v="1344"/>
    <s v="http://www.forbes.com/companies/maxis/"/>
  </r>
  <r>
    <s v="Petronas Dagangan"/>
    <s v="Energy"/>
    <s v="Oil &amp; Gas Operations"/>
    <s v="Asia"/>
    <x v="31"/>
    <n v="9.3000000000000007"/>
    <n v="10.3"/>
    <n v="0.3"/>
    <n v="3.1"/>
    <n v="1481"/>
    <s v="http://www.forbes.com/companies/petronas-dagangan/"/>
  </r>
  <r>
    <s v="IOI Group"/>
    <s v="Consumer Staples"/>
    <s v="Food Processing"/>
    <s v="Asia"/>
    <x v="31"/>
    <n v="9.3000000000000007"/>
    <n v="3.9"/>
    <n v="0.5"/>
    <n v="7.8"/>
    <n v="1567"/>
    <s v="http://www.forbes.com/companies/ioi-group/"/>
  </r>
  <r>
    <s v="Essar Energy"/>
    <s v="Energy"/>
    <s v="Oil &amp; Gas Operations"/>
    <s v="Africa"/>
    <x v="32"/>
    <n v="1.5"/>
    <n v="27.8"/>
    <n v="-0.3"/>
    <n v="16.100000000000001"/>
    <n v="1278"/>
    <s v="http://www.forbes.com/companies/essar-energy/"/>
  </r>
  <r>
    <s v="AmÃƒÂ©rica MÃƒÂ³vil"/>
    <s v="Telecommunication Services"/>
    <s v="Telecommunications services"/>
    <s v="North America"/>
    <x v="33"/>
    <n v="70.900000000000006"/>
    <n v="61.6"/>
    <n v="5.8"/>
    <n v="79"/>
    <n v="115"/>
    <s v="http://www.forbes.com/companies/america-movil/"/>
  </r>
  <r>
    <s v="Femsa"/>
    <s v="Consumer Staples"/>
    <s v="Beverages"/>
    <s v="North America"/>
    <x v="33"/>
    <n v="33.299999999999997"/>
    <n v="20"/>
    <n v="1.2"/>
    <n v="27.4"/>
    <n v="373"/>
    <s v="http://www.forbes.com/companies/femsa/"/>
  </r>
  <r>
    <s v="GFNorte"/>
    <s v="Financials"/>
    <s v="Regional Banks"/>
    <s v="North America"/>
    <x v="33"/>
    <n v="18.2"/>
    <n v="8.4"/>
    <n v="1.1000000000000001"/>
    <n v="76.900000000000006"/>
    <n v="469"/>
    <s v="http://www.forbes.com/companies/gfnorte/"/>
  </r>
  <r>
    <s v="Grupo Mexico"/>
    <s v="Materials"/>
    <s v="Diversified Metals &amp; Mining"/>
    <s v="North America"/>
    <x v="33"/>
    <n v="24.4"/>
    <n v="9.4"/>
    <n v="1.8"/>
    <n v="20.2"/>
    <n v="529"/>
    <s v="http://www.forbes.com/companies/grupo-mexico/"/>
  </r>
  <r>
    <s v="Grupo Modelo"/>
    <s v="Consumer Staples"/>
    <s v="Beverages"/>
    <s v="North America"/>
    <x v="33"/>
    <n v="41.1"/>
    <n v="6.9"/>
    <n v="3.8"/>
    <n v="15"/>
    <n v="564"/>
    <s v="http://www.forbes.com/companies/grupo-modelo/"/>
  </r>
  <r>
    <s v="Grupo Inbursa"/>
    <s v="Financials"/>
    <s v="Regional Banks"/>
    <s v="North America"/>
    <x v="33"/>
    <n v="16.899999999999999"/>
    <n v="4.4000000000000004"/>
    <n v="1.3"/>
    <n v="27.5"/>
    <n v="744"/>
    <s v="http://www.forbes.com/companies/grupo-inbursa/"/>
  </r>
  <r>
    <s v="Cemex"/>
    <s v="Materials"/>
    <s v="Construction Materials"/>
    <s v="North America"/>
    <x v="33"/>
    <n v="14.5"/>
    <n v="15.3"/>
    <n v="-0.8"/>
    <n v="37.9"/>
    <n v="788"/>
    <s v="http://www.forbes.com/companies/cemex/"/>
  </r>
  <r>
    <s v="ALFA"/>
    <s v="Industrials"/>
    <s v="Conglomerates"/>
    <s v="North America"/>
    <x v="33"/>
    <n v="13.2"/>
    <n v="15.9"/>
    <n v="0.5"/>
    <n v="12.6"/>
    <n v="826"/>
    <s v="http://www.forbes.com/companies/alfa/"/>
  </r>
  <r>
    <s v="Grupo Televisa"/>
    <s v="Consumer Discretionary"/>
    <s v="Broadcasting &amp; Cable"/>
    <s v="North America"/>
    <x v="33"/>
    <n v="19.399999999999999"/>
    <n v="5.8"/>
    <n v="0.6"/>
    <n v="15"/>
    <n v="877"/>
    <s v="http://www.forbes.com/companies/grupo-televisa/"/>
  </r>
  <r>
    <s v="Grupo Carso"/>
    <s v="Industrials"/>
    <s v="Conglomerates"/>
    <s v="North America"/>
    <x v="33"/>
    <n v="12.1"/>
    <n v="6.7"/>
    <n v="1.1000000000000001"/>
    <n v="6.6"/>
    <n v="995"/>
    <s v="http://www.forbes.com/companies/grupo-carso/"/>
  </r>
  <r>
    <s v="Grupo Bimbo"/>
    <s v="Consumer Staples"/>
    <s v="Food Processing"/>
    <s v="North America"/>
    <x v="33"/>
    <n v="12.8"/>
    <n v="13.8"/>
    <n v="0.3"/>
    <n v="10.3"/>
    <n v="1027"/>
    <s v="http://www.forbes.com/companies/grupo-bimbo/"/>
  </r>
  <r>
    <s v="El Puerto de Liverpool"/>
    <s v="Consumer Discretionary"/>
    <s v="Department Stores"/>
    <s v="North America"/>
    <x v="33"/>
    <n v="14.3"/>
    <n v="5.8"/>
    <n v="0.6"/>
    <n v="7.4"/>
    <n v="1147"/>
    <s v="http://www.forbes.com/companies/el-puerto-de-liverpool/"/>
  </r>
  <r>
    <s v="Arca Continental"/>
    <s v="Consumer Staples"/>
    <s v="Beverages"/>
    <s v="North America"/>
    <x v="33"/>
    <n v="9.4"/>
    <n v="4.7"/>
    <n v="0.5"/>
    <n v="5.0999999999999996"/>
    <n v="1513"/>
    <s v="http://www.forbes.com/companies/arca-continental/"/>
  </r>
  <r>
    <s v="Industrias PeÃƒÂ±oles"/>
    <s v="Materials"/>
    <s v="Diversified Metals &amp; Mining"/>
    <s v="North America"/>
    <x v="33"/>
    <n v="9.9"/>
    <n v="5.2"/>
    <n v="0.4"/>
    <n v="7"/>
    <n v="1541"/>
    <s v="http://www.forbes.com/companies/industrias-penoles/"/>
  </r>
  <r>
    <s v="Grupo Elektra"/>
    <s v="Information Technology"/>
    <s v="Computer &amp; Electronics Retail"/>
    <s v="North America"/>
    <x v="33"/>
    <n v="7.3"/>
    <n v="5.6"/>
    <n v="0.1"/>
    <n v="13.4"/>
    <n v="1647"/>
    <s v="http://www.forbes.com/companies/grupo-elektra/"/>
  </r>
  <r>
    <s v="Kimberly-Clark de Mexico"/>
    <s v="Consumer Staples"/>
    <s v="Household/Personal Care"/>
    <s v="North America"/>
    <x v="33"/>
    <n v="8.4"/>
    <n v="2.2999999999999998"/>
    <n v="0.4"/>
    <n v="2.2999999999999998"/>
    <n v="1928"/>
    <s v="http://www.forbes.com/companies/kimberly-clark-de-mexico/"/>
  </r>
  <r>
    <s v="Attijariwafa Bank"/>
    <s v="Financials"/>
    <s v="Regional Banks"/>
    <s v="Africa"/>
    <x v="34"/>
    <n v="7.9"/>
    <n v="2.8"/>
    <n v="0.5"/>
    <n v="44.9"/>
    <n v="1065"/>
    <s v="http://www.forbes.com/companies/attijariwafa-bank/"/>
  </r>
  <r>
    <s v="Banque Centrale Populaire"/>
    <s v="Financials"/>
    <s v="Regional Banks"/>
    <s v="Africa"/>
    <x v="34"/>
    <n v="4.0999999999999996"/>
    <n v="2.2000000000000002"/>
    <n v="0.2"/>
    <n v="35.6"/>
    <n v="1842"/>
    <s v="http://www.forbes.com/companies/banque-centrale-populaire/"/>
  </r>
  <r>
    <s v="BMCE Bank"/>
    <s v="Financials"/>
    <s v="Regional Banks"/>
    <s v="Africa"/>
    <x v="34"/>
    <n v="4.5999999999999996"/>
    <n v="1.5"/>
    <n v="0.1"/>
    <n v="26.3"/>
    <n v="1997"/>
    <s v="http://www.forbes.com/companies/bmce-banque-marocaine/"/>
  </r>
  <r>
    <s v="Royal Dutch Shell"/>
    <s v="Energy"/>
    <s v="Oil &amp; Gas Operations"/>
    <s v="Europe"/>
    <x v="35"/>
    <n v="234.1"/>
    <n v="451.4"/>
    <n v="16.399999999999999"/>
    <n v="357.5"/>
    <n v="11"/>
    <s v="http://www.forbes.com/companies/royal-dutch-shell/"/>
  </r>
  <r>
    <s v="ING Group"/>
    <s v="Financials"/>
    <s v="Life &amp; Health Insurance"/>
    <s v="Europe"/>
    <x v="35"/>
    <n v="56.1"/>
    <n v="34.5"/>
    <n v="4.4000000000000004"/>
    <n v="1488.7"/>
    <n v="97"/>
    <s v="http://www.forbes.com/companies/ing-group/"/>
  </r>
  <r>
    <s v="Unilever"/>
    <s v="Consumer Staples"/>
    <s v="Food Processing"/>
    <s v="Europe"/>
    <x v="35"/>
    <n v="124.5"/>
    <n v="66.099999999999994"/>
    <n v="6.4"/>
    <n v="62.7"/>
    <n v="110"/>
    <s v="http://www.forbes.com/companies/unilever/"/>
  </r>
  <r>
    <s v="LyondellBasell Industries"/>
    <s v="Materials"/>
    <s v="Diversified Chemicals"/>
    <s v="Europe"/>
    <x v="35"/>
    <n v="48.2"/>
    <n v="44.1"/>
    <n v="3.8"/>
    <n v="27.3"/>
    <n v="226"/>
    <s v="http://www.forbes.com/companies/lyondellbasell-industries/"/>
  </r>
  <r>
    <s v="Aegon"/>
    <s v="Financials"/>
    <s v="Diversified Insurance"/>
    <s v="Europe"/>
    <x v="35"/>
    <n v="19.8"/>
    <n v="40.200000000000003"/>
    <n v="1.1000000000000001"/>
    <n v="473"/>
    <n v="234"/>
    <s v="http://www.forbes.com/companies/aegon/"/>
  </r>
  <r>
    <s v="Heineken Holding"/>
    <s v="Consumer Staples"/>
    <s v="Beverages"/>
    <s v="Europe"/>
    <x v="35"/>
    <n v="40.299999999999997"/>
    <n v="25.5"/>
    <n v="1.8"/>
    <n v="45.9"/>
    <n v="245"/>
    <s v="http://www.forbes.com/companies/heineken-holding/"/>
  </r>
  <r>
    <s v="Philips"/>
    <s v="Industrials"/>
    <s v="Conglomerates"/>
    <s v="Europe"/>
    <x v="35"/>
    <n v="32.200000000000003"/>
    <n v="31"/>
    <n v="1.6"/>
    <n v="36.6"/>
    <n v="296"/>
    <s v="http://www.forbes.com/companies/philips/"/>
  </r>
  <r>
    <s v="Royal Ahold"/>
    <s v="Consumer Staples"/>
    <s v="Food Retail"/>
    <s v="Europe"/>
    <x v="35"/>
    <n v="19.600000000000001"/>
    <n v="43.4"/>
    <n v="1.2"/>
    <n v="20.9"/>
    <n v="402"/>
    <s v="http://www.forbes.com/companies/royal-ahold/"/>
  </r>
  <r>
    <s v="Ageas"/>
    <s v="Financials"/>
    <s v="Diversified Insurance"/>
    <s v="Europe"/>
    <x v="35"/>
    <n v="10.199999999999999"/>
    <n v="15.8"/>
    <n v="0.8"/>
    <n v="129"/>
    <n v="470"/>
    <s v="http://www.forbes.com/companies/ageas/"/>
  </r>
  <r>
    <s v="Akzo Nobel"/>
    <s v="Materials"/>
    <s v="Diversified Chemicals"/>
    <s v="Europe"/>
    <x v="35"/>
    <n v="19.8"/>
    <n v="19.399999999999999"/>
    <n v="1"/>
    <n v="22.1"/>
    <n v="477"/>
    <s v="http://www.forbes.com/companies/akzo-nobel/"/>
  </r>
  <r>
    <s v="ASML Holding"/>
    <s v="Information Technology"/>
    <s v="Semiconductors"/>
    <s v="Europe"/>
    <x v="35"/>
    <n v="41.2"/>
    <n v="7"/>
    <n v="1.6"/>
    <n v="16.8"/>
    <n v="591"/>
    <s v="http://www.forbes.com/companies/asml-holding/"/>
  </r>
  <r>
    <s v="VimpelCom"/>
    <s v="Telecommunication Services"/>
    <s v="Telecommunications services"/>
    <s v="Europe"/>
    <x v="35"/>
    <n v="15.9"/>
    <n v="21.9"/>
    <n v="-1.4"/>
    <n v="50.4"/>
    <n v="682"/>
    <s v="http://www.forbes.com/companies/vimpelcom/"/>
  </r>
  <r>
    <s v="KPN"/>
    <s v="Telecommunication Services"/>
    <s v="Telecommunications services"/>
    <s v="Europe"/>
    <x v="35"/>
    <n v="15.2"/>
    <n v="13.2"/>
    <n v="-0.3"/>
    <n v="35.6"/>
    <n v="811"/>
    <s v="http://www.forbes.com/companies/kpn/"/>
  </r>
  <r>
    <s v="DSM"/>
    <s v="Materials"/>
    <s v="Diversified Chemicals"/>
    <s v="Europe"/>
    <x v="35"/>
    <n v="12.1"/>
    <n v="12"/>
    <n v="0.4"/>
    <n v="16.600000000000001"/>
    <n v="908"/>
    <s v="http://www.forbes.com/companies/dsm/"/>
  </r>
  <r>
    <s v="Randstad Holding"/>
    <s v="Consumer Discretionary"/>
    <s v="Business &amp; Personal Services"/>
    <s v="Europe"/>
    <x v="35"/>
    <n v="10.6"/>
    <n v="22"/>
    <n v="0.3"/>
    <n v="9.1"/>
    <n v="1064"/>
    <s v="http://www.forbes.com/companies/randstad-holding/"/>
  </r>
  <r>
    <s v="Chicago Bridge &amp; Iron"/>
    <s v="Industrials"/>
    <s v="Construction Services"/>
    <s v="Europe"/>
    <x v="35"/>
    <n v="9.4"/>
    <n v="11.1"/>
    <n v="0.5"/>
    <n v="9.4"/>
    <n v="1084"/>
    <s v="http://www.forbes.com/companies/chicago-bridge-iron/"/>
  </r>
  <r>
    <s v="Delta Lloyd"/>
    <s v="Financials"/>
    <s v="Diversified Insurance"/>
    <s v="Europe"/>
    <x v="35"/>
    <n v="5.5"/>
    <n v="8.1999999999999993"/>
    <n v="0.2"/>
    <n v="104.7"/>
    <n v="1117"/>
    <s v="http://www.forbes.com/companies/delta-lloyd/"/>
  </r>
  <r>
    <s v="HAL Trust"/>
    <s v="Financials"/>
    <s v="Investment Services"/>
    <s v="Europe"/>
    <x v="35"/>
    <n v="9.8000000000000007"/>
    <n v="5.5"/>
    <n v="0.6"/>
    <n v="9.8000000000000007"/>
    <n v="1214"/>
    <s v="http://www.forbes.com/companies/hal-trust/"/>
  </r>
  <r>
    <s v="NXP Semiconductors"/>
    <s v="Information Technology"/>
    <s v="Semiconductors"/>
    <s v="Europe"/>
    <x v="35"/>
    <n v="15.1"/>
    <n v="4.8"/>
    <n v="0.3"/>
    <n v="6.4"/>
    <n v="1474"/>
    <s v="http://www.forbes.com/companies/nxp-semiconductors/"/>
  </r>
  <r>
    <s v="Wolters Kluwer"/>
    <s v="Consumer Discretionary"/>
    <s v="Printing &amp; Publishing"/>
    <s v="Europe"/>
    <x v="35"/>
    <n v="8.4"/>
    <n v="4.7"/>
    <n v="0.5"/>
    <n v="9.5"/>
    <n v="1507"/>
    <s v="http://www.forbes.com/companies/wolters-kluwer/"/>
  </r>
  <r>
    <s v="OCI"/>
    <m/>
    <m/>
    <s v="Europe"/>
    <x v="35"/>
    <n v="9.5"/>
    <n v="5.5"/>
    <n v="0.3"/>
    <n v="11.1"/>
    <n v="1593"/>
    <s v="http://www.forbes.com/companies/oci/"/>
  </r>
  <r>
    <s v="Yandex NV"/>
    <s v="Information Technology"/>
    <s v="Computer Services"/>
    <s v="Europe"/>
    <x v="35"/>
    <n v="10.199999999999999"/>
    <n v="1.2"/>
    <n v="0.4"/>
    <n v="2.2000000000000002"/>
    <n v="1651"/>
    <s v="http://www.forbes.com/companies/yandex-nv/"/>
  </r>
  <r>
    <s v="Ziggo"/>
    <m/>
    <m/>
    <s v="Europe"/>
    <x v="35"/>
    <n v="8.9"/>
    <n v="2.1"/>
    <n v="0.5"/>
    <n v="7.3"/>
    <n v="1677"/>
    <s v="http://www.forbes.com/companies/ziggo/"/>
  </r>
  <r>
    <s v="ASM International N.V."/>
    <s v="Information Technology"/>
    <s v="Semiconductors"/>
    <s v="Europe"/>
    <x v="35"/>
    <n v="2.6"/>
    <n v="0.8"/>
    <n v="1.4"/>
    <n v="2.1"/>
    <n v="1693"/>
    <s v="http://www.forbes.com/companies/asm-international-nv/"/>
  </r>
  <r>
    <s v="Royal Boskalis"/>
    <s v="Industrials"/>
    <s v="Construction Services"/>
    <s v="Europe"/>
    <x v="35"/>
    <n v="6.6"/>
    <n v="4.7"/>
    <n v="0.5"/>
    <n v="7.9"/>
    <n v="1722"/>
    <s v="http://www.forbes.com/companies/royal-boskalis/"/>
  </r>
  <r>
    <s v="Gemalto"/>
    <s v="Information Technology"/>
    <s v="Electronics"/>
    <s v="Europe"/>
    <x v="35"/>
    <n v="10.3"/>
    <n v="3.2"/>
    <n v="0.3"/>
    <n v="4"/>
    <n v="1816"/>
    <s v="http://www.forbes.com/companies/gemalto/"/>
  </r>
  <r>
    <s v="Vopak"/>
    <s v="Industrials"/>
    <s v="Other Transportation"/>
    <s v="Europe"/>
    <x v="35"/>
    <n v="7"/>
    <n v="1.7"/>
    <n v="0.4"/>
    <n v="6.6"/>
    <n v="1957"/>
    <s v="http://www.forbes.com/companies/vopak/"/>
  </r>
  <r>
    <s v="Dangote Cement"/>
    <s v="Materials"/>
    <s v="Construction Materials"/>
    <s v="Africa"/>
    <x v="36"/>
    <n v="24.3"/>
    <n v="2.4"/>
    <n v="1.3"/>
    <n v="5.3"/>
    <n v="1046"/>
    <s v="http://www.forbes.com/companies/dangote-cement/"/>
  </r>
  <r>
    <s v="Zenith Bank"/>
    <s v="Financials"/>
    <s v="Regional Banks"/>
    <s v="Africa"/>
    <x v="36"/>
    <n v="4"/>
    <n v="2.1"/>
    <n v="0.6"/>
    <n v="19.7"/>
    <n v="1478"/>
    <s v="http://www.forbes.com/companies/zenith-bank/"/>
  </r>
  <r>
    <s v="FBN Holdings"/>
    <s v="Financials"/>
    <s v="Regional Banks"/>
    <s v="Africa"/>
    <x v="36"/>
    <n v="2.5"/>
    <n v="2.2999999999999998"/>
    <n v="0.5"/>
    <n v="22.6"/>
    <n v="1519"/>
    <s v="http://www.forbes.com/companies/fbn-holdings/"/>
  </r>
  <r>
    <s v="Equity Assurance"/>
    <m/>
    <m/>
    <s v="Africa"/>
    <x v="36"/>
    <n v="0"/>
    <n v="0"/>
    <n v="0"/>
    <n v="54.3"/>
    <n v="1670"/>
    <s v="http://www.forbes.com/companies/equity-assurance/"/>
  </r>
  <r>
    <s v="Guaranty Trust Bank"/>
    <s v="Financials"/>
    <s v="Regional Banks"/>
    <s v="Africa"/>
    <x v="36"/>
    <n v="4.7"/>
    <n v="1.5"/>
    <n v="0.6"/>
    <n v="13.1"/>
    <n v="1713"/>
    <s v="http://www.forbes.com/companies/guaranty-trust-bank/"/>
  </r>
  <r>
    <s v="Statoil"/>
    <s v="Energy"/>
    <s v="Oil &amp; Gas Operations"/>
    <s v="Europe"/>
    <x v="37"/>
    <n v="89.2"/>
    <n v="105.2"/>
    <n v="6.8"/>
    <n v="146"/>
    <n v="51"/>
    <s v="http://www.forbes.com/companies/statoil/"/>
  </r>
  <r>
    <s v="DNB"/>
    <s v="Financials"/>
    <s v="Regional Banks"/>
    <s v="Europe"/>
    <x v="37"/>
    <n v="28.6"/>
    <n v="16.8"/>
    <n v="3"/>
    <n v="393.9"/>
    <n v="197"/>
    <s v="http://www.forbes.com/companies/dnb/"/>
  </r>
  <r>
    <s v="Telenor"/>
    <s v="Telecommunication Services"/>
    <s v="Telecommunications services"/>
    <s v="Europe"/>
    <x v="37"/>
    <n v="33.1"/>
    <n v="17.7"/>
    <n v="2.2000000000000002"/>
    <n v="30.6"/>
    <n v="330"/>
    <s v="http://www.forbes.com/companies/telenor/"/>
  </r>
  <r>
    <s v="Yara International"/>
    <s v="Materials"/>
    <s v="Specialized Chemicals"/>
    <s v="Europe"/>
    <x v="37"/>
    <n v="12.2"/>
    <n v="14.4"/>
    <n v="1"/>
    <n v="14.7"/>
    <n v="668"/>
    <s v="http://www.forbes.com/companies/yara-international/"/>
  </r>
  <r>
    <s v="Storebrand"/>
    <s v="Financials"/>
    <s v="Diversified Insurance"/>
    <s v="Europe"/>
    <x v="37"/>
    <n v="2.6"/>
    <n v="9"/>
    <n v="0.3"/>
    <n v="74.2"/>
    <n v="1056"/>
    <s v="http://www.forbes.com/companies/storebrand/"/>
  </r>
  <r>
    <s v="Norsk Hydro"/>
    <s v="Materials"/>
    <s v="Aluminum"/>
    <s v="Europe"/>
    <x v="37"/>
    <n v="10.199999999999999"/>
    <n v="11"/>
    <n v="-0.2"/>
    <n v="19"/>
    <n v="1061"/>
    <s v="http://www.forbes.com/companies/norsk-hydro/"/>
  </r>
  <r>
    <s v="Gjensidige Forsikring"/>
    <s v="Financials"/>
    <s v="Property &amp; Casualty Insurance"/>
    <s v="Europe"/>
    <x v="37"/>
    <n v="10.199999999999999"/>
    <n v="3.8"/>
    <n v="0.6"/>
    <n v="17.8"/>
    <n v="1104"/>
    <s v="http://www.forbes.com/companies/gjensidige-forsikring/"/>
  </r>
  <r>
    <s v="SpareBank 1 SR-Bank"/>
    <s v="Financials"/>
    <s v="Regional Banks"/>
    <s v="Europe"/>
    <x v="37"/>
    <n v="2.6"/>
    <n v="1.3"/>
    <n v="0.3"/>
    <n v="25.9"/>
    <n v="1745"/>
    <s v="http://www.forbes.com/companies/sparebank-1-sr-bank/"/>
  </r>
  <r>
    <s v="Orkla"/>
    <s v="Industrials"/>
    <s v="Conglomerates"/>
    <s v="Europe"/>
    <x v="37"/>
    <n v="8.6999999999999993"/>
    <n v="5.6"/>
    <n v="0.1"/>
    <n v="8.6"/>
    <n v="1892"/>
    <s v="http://www.forbes.com/companies/orkla/"/>
  </r>
  <r>
    <s v="Bank Muscat"/>
    <s v="Financials"/>
    <s v="Regional Banks"/>
    <s v="Asia"/>
    <x v="38"/>
    <n v="4"/>
    <n v="1.1000000000000001"/>
    <n v="0.4"/>
    <n v="22"/>
    <n v="1629"/>
    <s v="http://www.forbes.com/companies/bank-muscat/"/>
  </r>
  <r>
    <s v="Oil &amp; Gas Development"/>
    <s v="Energy"/>
    <s v="Oil &amp; Gas Operations"/>
    <s v="Asia"/>
    <x v="39"/>
    <n v="10.8"/>
    <n v="2.4"/>
    <n v="1.1000000000000001"/>
    <n v="4.5999999999999996"/>
    <n v="1280"/>
    <s v="http://www.forbes.com/companies/oil-gas-development/"/>
  </r>
  <r>
    <s v="Pakistan State Oil"/>
    <s v="Energy"/>
    <s v="Oil &amp; Gas Operations"/>
    <s v="Asia"/>
    <x v="39"/>
    <n v="1.1000000000000001"/>
    <n v="11.6"/>
    <n v="0.2"/>
    <n v="3.3"/>
    <n v="1994"/>
    <s v="http://www.forbes.com/companies/pakistan-state-oil/"/>
  </r>
  <r>
    <s v="Credicorp"/>
    <s v="Financials"/>
    <s v="Regional Banks"/>
    <s v="South America"/>
    <x v="40"/>
    <n v="11"/>
    <n v="4.5"/>
    <n v="0.6"/>
    <n v="41"/>
    <n v="900"/>
    <s v="http://www.forbes.com/companies/credicorp/"/>
  </r>
  <r>
    <s v="San Miguel"/>
    <s v="Industrials"/>
    <s v="Conglomerates"/>
    <s v="Asia"/>
    <x v="41"/>
    <n v="4"/>
    <n v="17.600000000000001"/>
    <n v="0.9"/>
    <n v="25.3"/>
    <n v="804"/>
    <s v="http://www.forbes.com/companies/san-miguel/"/>
  </r>
  <r>
    <s v="SM Investments"/>
    <s v="Consumer Discretionary"/>
    <s v="Department Stores"/>
    <s v="Asia"/>
    <x v="41"/>
    <n v="12.8"/>
    <n v="5.8"/>
    <n v="0.6"/>
    <n v="14.3"/>
    <n v="963"/>
    <s v="http://www.forbes.com/companies/sm-investments/"/>
  </r>
  <r>
    <s v="Top Frontier Investment Holdings"/>
    <m/>
    <m/>
    <s v="Asia"/>
    <x v="41"/>
    <n v="0.7"/>
    <n v="16.7"/>
    <n v="0"/>
    <n v="26.9"/>
    <n v="1191"/>
    <s v="http://www.forbes.com/companies/top-frontier-investment-holdings/"/>
  </r>
  <r>
    <s v="BPI"/>
    <s v="Financials"/>
    <s v="Regional Banks"/>
    <s v="Asia"/>
    <x v="41"/>
    <n v="7.9"/>
    <n v="1.5"/>
    <n v="0.4"/>
    <n v="27"/>
    <n v="1209"/>
    <s v="http://www.forbes.com/companies/bpi/"/>
  </r>
  <r>
    <s v="PLDT"/>
    <s v="Telecommunication Services"/>
    <s v="Telecommunications services"/>
    <s v="Asia"/>
    <x v="41"/>
    <n v="13.2"/>
    <n v="4"/>
    <n v="0.8"/>
    <n v="9"/>
    <n v="1225"/>
    <s v="http://www.forbes.com/companies/pldt/"/>
  </r>
  <r>
    <s v="Metropolitan Bank &amp; Trust"/>
    <s v="Financials"/>
    <s v="Regional Banks"/>
    <s v="Asia"/>
    <x v="41"/>
    <n v="4.9000000000000004"/>
    <n v="1.9"/>
    <n v="0.5"/>
    <n v="31.1"/>
    <n v="1381"/>
    <s v="http://www.forbes.com/companies/metropolitan-bank-trust/"/>
  </r>
  <r>
    <s v="Manila Electric"/>
    <s v="Utilities"/>
    <s v="Electric Utilities"/>
    <s v="Asia"/>
    <x v="41"/>
    <n v="7.2"/>
    <n v="7"/>
    <n v="0.4"/>
    <n v="5.4"/>
    <n v="1496"/>
    <s v="http://www.forbes.com/companies/manila-electric/"/>
  </r>
  <r>
    <s v="Ayala"/>
    <s v="Industrials"/>
    <s v="Conglomerates"/>
    <s v="Asia"/>
    <x v="41"/>
    <n v="7.9"/>
    <n v="3.2"/>
    <n v="0.3"/>
    <n v="13.5"/>
    <n v="1707"/>
    <s v="http://www.forbes.com/companies/ayala/"/>
  </r>
  <r>
    <s v="Aboitiz Equity Ventures"/>
    <s v="Industrials"/>
    <s v="Conglomerates"/>
    <s v="Asia"/>
    <x v="41"/>
    <n v="7"/>
    <n v="1.9"/>
    <n v="0.6"/>
    <n v="4.5999999999999996"/>
    <n v="1725"/>
    <s v="http://www.forbes.com/companies/aboitiz-equity-ventures/"/>
  </r>
  <r>
    <s v="Alliance Global Group"/>
    <s v="Industrials"/>
    <s v="Conglomerates"/>
    <s v="Asia"/>
    <x v="41"/>
    <n v="6.6"/>
    <n v="2.5"/>
    <n v="0.5"/>
    <n v="7.3"/>
    <n v="1936"/>
    <s v="http://www.forbes.com/companies/alliance-global-group/"/>
  </r>
  <r>
    <s v="PKO Bank Polski"/>
    <s v="Financials"/>
    <s v="Regional Banks"/>
    <s v="Europe"/>
    <x v="42"/>
    <n v="17.399999999999999"/>
    <n v="4.9000000000000004"/>
    <n v="1"/>
    <n v="66"/>
    <n v="623"/>
    <s v="http://www.forbes.com/companies/pko-bank-polski/"/>
  </r>
  <r>
    <s v="PGE"/>
    <s v="Utilities"/>
    <s v="Electric Utilities"/>
    <s v="Europe"/>
    <x v="42"/>
    <n v="12"/>
    <n v="9.5"/>
    <n v="1.3"/>
    <n v="20.100000000000001"/>
    <n v="645"/>
    <s v="http://www.forbes.com/companies/pge-polska-grupa/"/>
  </r>
  <r>
    <s v="Grupa PZU"/>
    <s v="Financials"/>
    <s v="Property &amp; Casualty Insurance"/>
    <s v="Europe"/>
    <x v="42"/>
    <n v="12.3"/>
    <n v="6"/>
    <n v="1"/>
    <n v="19.600000000000001"/>
    <n v="797"/>
    <s v="http://www.forbes.com/companies/grupa-pzu/"/>
  </r>
  <r>
    <s v="Pgnig Group"/>
    <s v="Energy"/>
    <s v="Oil &amp; Gas Operations"/>
    <s v="Europe"/>
    <x v="42"/>
    <n v="8.6"/>
    <n v="10.199999999999999"/>
    <n v="0.6"/>
    <n v="15.6"/>
    <n v="897"/>
    <s v="http://www.forbes.com/companies/pgnig-group/"/>
  </r>
  <r>
    <s v="KGHM Polska Miedz"/>
    <s v="Materials"/>
    <s v="Diversified Metals &amp; Mining"/>
    <s v="Europe"/>
    <x v="42"/>
    <n v="7.2"/>
    <n v="7.6"/>
    <n v="0.9"/>
    <n v="11.4"/>
    <n v="1030"/>
    <s v="http://www.forbes.com/companies/kghm-polska-miedz/"/>
  </r>
  <r>
    <s v="PKN Orlen"/>
    <s v="Energy"/>
    <s v="Oil &amp; Gas Operations"/>
    <s v="Europe"/>
    <x v="42"/>
    <n v="6"/>
    <n v="36"/>
    <n v="0.1"/>
    <n v="17.100000000000001"/>
    <n v="1091"/>
    <s v="http://www.forbes.com/companies/pkn-orlen/"/>
  </r>
  <r>
    <s v="Tauron Group"/>
    <s v="Utilities"/>
    <s v="Electric Utilities"/>
    <s v="Europe"/>
    <x v="42"/>
    <n v="3.1"/>
    <n v="6.1"/>
    <n v="0.4"/>
    <n v="10.1"/>
    <n v="1781"/>
    <s v="http://www.forbes.com/companies/tauron-group/"/>
  </r>
  <r>
    <s v="EDP-Energias de Portugal"/>
    <s v="Utilities"/>
    <s v="Electric Utilities"/>
    <s v="Europe"/>
    <x v="43"/>
    <n v="16.899999999999999"/>
    <n v="21.4"/>
    <n v="1.3"/>
    <n v="58.8"/>
    <n v="349"/>
    <s v="http://www.forbes.com/companies/edp-energias-de-portugal/"/>
  </r>
  <r>
    <s v="Galp Energia"/>
    <s v="Energy"/>
    <s v="Oil &amp; Gas Operations"/>
    <s v="Europe"/>
    <x v="43"/>
    <n v="14.3"/>
    <n v="26"/>
    <n v="0.3"/>
    <n v="18.899999999999999"/>
    <n v="844"/>
    <s v="http://www.forbes.com/companies/galp-energia/"/>
  </r>
  <r>
    <s v="Jeronimo Martins"/>
    <s v="Consumer Staples"/>
    <s v="Food Retail"/>
    <s v="Europe"/>
    <x v="43"/>
    <n v="10.6"/>
    <n v="15.7"/>
    <n v="0.5"/>
    <n v="7"/>
    <n v="978"/>
    <s v="http://www.forbes.com/companies/jeronimo-martins/"/>
  </r>
  <r>
    <s v="Banco Comercial Portugues"/>
    <s v="Financials"/>
    <s v="Regional Banks"/>
    <s v="Europe"/>
    <x v="43"/>
    <n v="6.3"/>
    <n v="5"/>
    <n v="-1"/>
    <n v="113"/>
    <n v="1250"/>
    <s v="http://www.forbes.com/companies/banco-comercial-portugues/"/>
  </r>
  <r>
    <s v="Portugal Telecom"/>
    <s v="Telecommunication Services"/>
    <s v="Telecommunications services"/>
    <s v="Europe"/>
    <x v="43"/>
    <n v="3.8"/>
    <n v="7"/>
    <n v="0.4"/>
    <n v="16.600000000000001"/>
    <n v="1364"/>
    <s v="http://www.forbes.com/companies/portugal-telecom/"/>
  </r>
  <r>
    <s v="Banco BPI"/>
    <s v="Financials"/>
    <s v="Regional Banks"/>
    <s v="Europe"/>
    <x v="43"/>
    <n v="3.8"/>
    <n v="1.4"/>
    <n v="0.1"/>
    <n v="58.8"/>
    <n v="1654"/>
    <s v="http://www.forbes.com/companies/banco-bpi/"/>
  </r>
  <r>
    <s v="Sonae SGPS"/>
    <s v="Consumer Staples"/>
    <s v="Food Retail"/>
    <s v="Europe"/>
    <x v="43"/>
    <n v="3.9"/>
    <n v="6.8"/>
    <n v="0.4"/>
    <n v="7.5"/>
    <n v="1829"/>
    <s v="http://www.forbes.com/companies/sonae/"/>
  </r>
  <r>
    <s v="Caixa Economica Montepio Geral"/>
    <s v="Financials"/>
    <s v="Regional Banks"/>
    <s v="Europe"/>
    <x v="43"/>
    <n v="0.3"/>
    <n v="1.7"/>
    <n v="0"/>
    <n v="27.3"/>
    <n v="1968"/>
    <s v="http://www.forbes.com/companies/caixa-economica-montepio-geral/"/>
  </r>
  <r>
    <s v="Popular"/>
    <s v="Financials"/>
    <s v="Regional Banks"/>
    <s v="North America"/>
    <x v="44"/>
    <n v="3.2"/>
    <n v="2.5"/>
    <n v="0.6"/>
    <n v="35.700000000000003"/>
    <n v="1300"/>
    <s v="http://www.forbes.com/companies/popular/"/>
  </r>
  <r>
    <s v="Qatar National Bank"/>
    <s v="Financials"/>
    <s v="Regional Banks"/>
    <s v="Asia"/>
    <x v="45"/>
    <n v="37.1"/>
    <n v="5.4"/>
    <n v="2.6"/>
    <n v="121.8"/>
    <n v="407"/>
    <s v="http://www.forbes.com/companies/qatar-national-bank/"/>
  </r>
  <r>
    <s v="Ooredoo Telecom"/>
    <s v="Telecommunication Services"/>
    <s v="Telecommunications services"/>
    <s v="Asia"/>
    <x v="45"/>
    <n v="12.4"/>
    <n v="9.3000000000000007"/>
    <n v="0.7"/>
    <n v="26.8"/>
    <n v="684"/>
    <s v="http://www.forbes.com/companies/ooredoo-telecom/"/>
  </r>
  <r>
    <s v="Industries Qatar"/>
    <s v="Materials"/>
    <s v="Specialized Chemicals"/>
    <s v="Asia"/>
    <x v="45"/>
    <n v="31.3"/>
    <n v="1.6"/>
    <n v="2.2000000000000002"/>
    <n v="9.6"/>
    <n v="901"/>
    <s v="http://www.forbes.com/companies/industries-qatar/"/>
  </r>
  <r>
    <s v="Masraf Al Rayan"/>
    <s v="Financials"/>
    <s v="Regional Banks"/>
    <s v="Asia"/>
    <x v="45"/>
    <n v="8.5"/>
    <n v="0.6"/>
    <n v="0.5"/>
    <n v="18.3"/>
    <n v="1284"/>
    <s v="http://www.forbes.com/companies/masraf-al-rayan/"/>
  </r>
  <r>
    <s v="Commercial Bank of Qatar"/>
    <s v="Financials"/>
    <s v="Regional Banks"/>
    <s v="Asia"/>
    <x v="45"/>
    <n v="5.3"/>
    <n v="1.4"/>
    <n v="0.4"/>
    <n v="31.1"/>
    <n v="1399"/>
    <s v="http://www.forbes.com/companies/commercial-bank-of-qatar/"/>
  </r>
  <r>
    <s v="Ezdan Holding Group"/>
    <s v="Financials"/>
    <s v="Real Estate"/>
    <s v="Asia"/>
    <x v="45"/>
    <n v="11.6"/>
    <n v="0.3"/>
    <n v="0.3"/>
    <n v="11.3"/>
    <n v="1614"/>
    <s v="http://www.forbes.com/companies/ezdan-holding-group/"/>
  </r>
  <r>
    <s v="Qatar Islamic Bank"/>
    <s v="Financials"/>
    <s v="Regional Banks"/>
    <s v="Asia"/>
    <x v="45"/>
    <n v="4.9000000000000004"/>
    <n v="0.8"/>
    <n v="0.4"/>
    <n v="21.2"/>
    <n v="1699"/>
    <s v="http://www.forbes.com/companies/qatar-islamic-bank/"/>
  </r>
  <r>
    <s v="Doha Bank"/>
    <s v="Financials"/>
    <s v="Regional Banks"/>
    <s v="Asia"/>
    <x v="45"/>
    <n v="4.4000000000000004"/>
    <n v="0.7"/>
    <n v="0.4"/>
    <n v="18.399999999999999"/>
    <n v="1811"/>
    <s v="http://www.forbes.com/companies/doha-bank/"/>
  </r>
  <r>
    <s v="Gazprom"/>
    <s v="Energy"/>
    <s v="Oil &amp; Gas Operations"/>
    <s v="Asia"/>
    <x v="46"/>
    <n v="88.8"/>
    <n v="164.6"/>
    <n v="39"/>
    <n v="397.2"/>
    <n v="21"/>
    <s v="http://www.forbes.com/companies/gazprom/"/>
  </r>
  <r>
    <s v="Rosneft"/>
    <s v="Energy"/>
    <s v="Oil &amp; Gas Operations"/>
    <s v="Asia"/>
    <x v="46"/>
    <n v="70"/>
    <n v="142.6"/>
    <n v="12.8"/>
    <n v="229.4"/>
    <n v="34"/>
    <s v="http://www.forbes.com/companies/rosneft/"/>
  </r>
  <r>
    <s v="Sberbank"/>
    <s v="Financials"/>
    <s v="Regional Banks"/>
    <s v="Asia"/>
    <x v="46"/>
    <n v="51.5"/>
    <n v="56.5"/>
    <n v="11.4"/>
    <n v="554.20000000000005"/>
    <n v="58"/>
    <s v="http://www.forbes.com/companies/sberbank/"/>
  </r>
  <r>
    <s v="LukOil"/>
    <s v="Energy"/>
    <s v="Oil &amp; Gas Operations"/>
    <s v="Asia"/>
    <x v="46"/>
    <n v="47.7"/>
    <n v="119.2"/>
    <n v="7.8"/>
    <n v="109.4"/>
    <n v="83"/>
    <s v="http://www.forbes.com/companies/lukoil/"/>
  </r>
  <r>
    <s v="Surgutneftegas"/>
    <s v="Energy"/>
    <s v="Oil &amp; Gas Operations"/>
    <s v="Asia"/>
    <x v="46"/>
    <n v="26.5"/>
    <n v="26.9"/>
    <n v="5.8"/>
    <n v="68.8"/>
    <n v="198"/>
    <s v="http://www.forbes.com/companies/surgutneftegas/"/>
  </r>
  <r>
    <s v="VTB Bank"/>
    <s v="Financials"/>
    <s v="Regional Banks"/>
    <s v="Asia"/>
    <x v="46"/>
    <n v="14.6"/>
    <n v="22.8"/>
    <n v="2.4"/>
    <n v="262"/>
    <n v="263"/>
    <s v="http://www.forbes.com/companies/vtb-bank/"/>
  </r>
  <r>
    <s v="Transneft"/>
    <s v="Energy"/>
    <s v="Oil Services &amp; Equipment"/>
    <s v="Asia"/>
    <x v="46"/>
    <n v="15.6"/>
    <n v="23.7"/>
    <n v="5.3"/>
    <n v="65.900000000000006"/>
    <n v="279"/>
    <s v="http://www.forbes.com/companies/transneft/"/>
  </r>
  <r>
    <s v="Sistema"/>
    <s v="Telecommunication Services"/>
    <s v="Telecommunications services"/>
    <s v="Asia"/>
    <x v="46"/>
    <n v="9.8000000000000007"/>
    <n v="35.5"/>
    <n v="2.2999999999999998"/>
    <n v="44.4"/>
    <n v="384"/>
    <s v="http://www.forbes.com/companies/sistema/"/>
  </r>
  <r>
    <s v="Novatek"/>
    <s v="Energy"/>
    <s v="Oil &amp; Gas Operations"/>
    <s v="Asia"/>
    <x v="46"/>
    <n v="30.5"/>
    <n v="9.4"/>
    <n v="3.4"/>
    <n v="18.2"/>
    <n v="481"/>
    <s v="http://www.forbes.com/companies/novatek/"/>
  </r>
  <r>
    <s v="Norilsk Nickel"/>
    <s v="Materials"/>
    <s v="Diversified Metals &amp; Mining"/>
    <s v="Asia"/>
    <x v="46"/>
    <n v="26.9"/>
    <n v="11.7"/>
    <n v="1.2"/>
    <n v="20.2"/>
    <n v="515"/>
    <s v="http://www.forbes.com/companies/norilsk-nickel/"/>
  </r>
  <r>
    <s v="Tatneft"/>
    <s v="Energy"/>
    <s v="Oil &amp; Gas Operations"/>
    <s v="Asia"/>
    <x v="46"/>
    <n v="13"/>
    <n v="14.3"/>
    <n v="2.4"/>
    <n v="20.399999999999999"/>
    <n v="519"/>
    <s v="http://www.forbes.com/companies/tatneft/"/>
  </r>
  <r>
    <s v="MegaFon"/>
    <s v="Telecommunication Services"/>
    <s v="Telecommunications services"/>
    <s v="Asia"/>
    <x v="46"/>
    <n v="17.100000000000001"/>
    <n v="9.3000000000000007"/>
    <n v="1.6"/>
    <n v="13.1"/>
    <n v="664"/>
    <s v="http://www.forbes.com/companies/megafon/"/>
  </r>
  <r>
    <s v="Magnit"/>
    <s v="Consumer Staples"/>
    <s v="Food Retail"/>
    <s v="Asia"/>
    <x v="46"/>
    <n v="22.4"/>
    <n v="18.2"/>
    <n v="1.1000000000000001"/>
    <n v="7"/>
    <n v="670"/>
    <s v="http://www.forbes.com/companies/magnit/"/>
  </r>
  <r>
    <s v="IDGC Holding"/>
    <s v="Utilities"/>
    <s v="Electric Utilities"/>
    <s v="Asia"/>
    <x v="46"/>
    <n v="2.4"/>
    <n v="21.3"/>
    <n v="0.6"/>
    <n v="61.1"/>
    <n v="762"/>
    <s v="http://www.forbes.com/companies/idgc-holding/"/>
  </r>
  <r>
    <s v="RusHydro"/>
    <s v="Utilities"/>
    <s v="Electric Utilities"/>
    <s v="Asia"/>
    <x v="46"/>
    <n v="6.1"/>
    <n v="9.8000000000000007"/>
    <n v="0.6"/>
    <n v="27.9"/>
    <n v="882"/>
    <s v="http://www.forbes.com/companies/rushydro/"/>
  </r>
  <r>
    <s v="Rostelecom"/>
    <s v="Telecommunication Services"/>
    <s v="Telecommunications services"/>
    <s v="Asia"/>
    <x v="46"/>
    <n v="6.8"/>
    <n v="10"/>
    <n v="0.7"/>
    <n v="16.8"/>
    <n v="907"/>
    <s v="http://www.forbes.com/companies/rostelecom/"/>
  </r>
  <r>
    <s v="Uralkali"/>
    <s v="Materials"/>
    <s v="Specialized Chemicals"/>
    <s v="Asia"/>
    <x v="46"/>
    <n v="13.1"/>
    <n v="3.3"/>
    <n v="1.2"/>
    <n v="12.9"/>
    <n v="1022"/>
    <s v="http://www.forbes.com/companies/uralkali/"/>
  </r>
  <r>
    <s v="Alrosa"/>
    <s v="Materials"/>
    <s v="Diversified Metals &amp; Mining"/>
    <s v="Asia"/>
    <x v="46"/>
    <n v="7.8"/>
    <n v="5"/>
    <n v="1"/>
    <n v="10.4"/>
    <n v="1182"/>
    <s v="http://www.forbes.com/companies/alrosa/"/>
  </r>
  <r>
    <s v="Novolipetsk Steel"/>
    <s v="Materials"/>
    <s v="Iron &amp; Steel"/>
    <s v="Asia"/>
    <x v="46"/>
    <n v="7.5"/>
    <n v="10.9"/>
    <n v="0.2"/>
    <n v="16.3"/>
    <n v="1248"/>
    <s v="http://www.forbes.com/companies/novolipetsk-steel/"/>
  </r>
  <r>
    <s v="Severstal"/>
    <s v="Materials"/>
    <s v="Iron &amp; Steel"/>
    <s v="Asia"/>
    <x v="46"/>
    <n v="6.3"/>
    <n v="13.3"/>
    <n v="0.1"/>
    <n v="14.5"/>
    <n v="1309"/>
    <s v="http://www.forbes.com/companies/severstal/"/>
  </r>
  <r>
    <s v="Inter Rao"/>
    <s v="Utilities"/>
    <s v="Electric Utilities"/>
    <s v="Asia"/>
    <x v="46"/>
    <n v="2.4"/>
    <n v="20.8"/>
    <n v="-0.7"/>
    <n v="15.6"/>
    <n v="1324"/>
    <s v="http://www.forbes.com/companies/inter-rao/"/>
  </r>
  <r>
    <s v="UC Rusal"/>
    <s v="Materials"/>
    <s v="Aluminum"/>
    <s v="Asia"/>
    <x v="46"/>
    <n v="5.4"/>
    <n v="9.8000000000000007"/>
    <n v="-3.2"/>
    <n v="20.6"/>
    <n v="1372"/>
    <s v="http://www.forbes.com/companies/uc-rusal/"/>
  </r>
  <r>
    <s v="Mail.ru Group Ltd. Sponsored GDR RegS"/>
    <s v="Information Technology"/>
    <s v="Computer Services"/>
    <s v="Asia"/>
    <x v="46"/>
    <n v="7.7"/>
    <n v="0.7"/>
    <n v="1.2"/>
    <n v="3.2"/>
    <n v="1392"/>
    <s v="http://www.forbes.com/companies/mailru-group-ltd-sponsored-gdr-regs/"/>
  </r>
  <r>
    <s v="Nomos Bank"/>
    <s v="Financials"/>
    <s v="Regional Banks"/>
    <s v="Asia"/>
    <x v="46"/>
    <n v="3.1"/>
    <n v="3.4"/>
    <n v="0.4"/>
    <n v="31.9"/>
    <n v="1443"/>
    <s v="http://www.forbes.com/companies/nomos-bank/"/>
  </r>
  <r>
    <s v="X5 Retail Group"/>
    <s v="Consumer Staples"/>
    <s v="Food Retail"/>
    <s v="Asia"/>
    <x v="46"/>
    <n v="4.5"/>
    <n v="16.8"/>
    <n v="0.3"/>
    <n v="8.6"/>
    <n v="1491"/>
    <s v="http://www.forbes.com/companies/x5-retail-group/"/>
  </r>
  <r>
    <s v="Mechel"/>
    <s v="Materials"/>
    <s v="Iron &amp; Steel"/>
    <s v="Asia"/>
    <x v="46"/>
    <n v="0.5"/>
    <n v="11.3"/>
    <n v="-1.7"/>
    <n v="14.6"/>
    <n v="1539"/>
    <s v="http://www.forbes.com/companies/mechel/"/>
  </r>
  <r>
    <s v="Federal Grid of UES"/>
    <s v="Utilities"/>
    <s v="Electric Utilities"/>
    <s v="Asia"/>
    <x v="46"/>
    <n v="2.8"/>
    <n v="4.8"/>
    <n v="-0.2"/>
    <n v="38.299999999999997"/>
    <n v="1633"/>
    <s v="http://www.forbes.com/companies/federal-grid-of-ues/"/>
  </r>
  <r>
    <s v="Magnitogorsk Iron &amp; Steel"/>
    <s v="Materials"/>
    <s v="Iron &amp; Steel"/>
    <s v="Asia"/>
    <x v="46"/>
    <n v="1.8"/>
    <n v="8.4"/>
    <n v="-0.4"/>
    <n v="14.4"/>
    <n v="1691"/>
    <s v="http://www.forbes.com/companies/magnitogorsk-iron/"/>
  </r>
  <r>
    <s v="Saudi Basic Industries"/>
    <s v="Materials"/>
    <s v="Diversified Chemicals"/>
    <s v="Asia"/>
    <x v="47"/>
    <n v="94.4"/>
    <n v="50.4"/>
    <n v="6.7"/>
    <n v="90.4"/>
    <n v="98"/>
    <s v="http://www.forbes.com/companies/saudi-basic-industries/"/>
  </r>
  <r>
    <s v="Saudi Telecom"/>
    <s v="Telecommunication Services"/>
    <s v="Telecommunications services"/>
    <s v="Asia"/>
    <x v="47"/>
    <n v="35.6"/>
    <n v="12.2"/>
    <n v="2.6"/>
    <n v="23.3"/>
    <n v="393"/>
    <s v="http://www.forbes.com/companies/saudi-telecom/"/>
  </r>
  <r>
    <s v="Saudi Electricity"/>
    <s v="Utilities"/>
    <s v="Electric Utilities"/>
    <s v="Asia"/>
    <x v="47"/>
    <n v="17.5"/>
    <n v="9.5"/>
    <n v="0.8"/>
    <n v="73.8"/>
    <n v="491"/>
    <s v="http://www.forbes.com/companies/saudi-electricity/"/>
  </r>
  <r>
    <s v="Al Rajhi Bank"/>
    <s v="Financials"/>
    <s v="Regional Banks"/>
    <s v="Asia"/>
    <x v="47"/>
    <n v="30.1"/>
    <n v="4"/>
    <n v="2"/>
    <n v="74.599999999999994"/>
    <n v="567"/>
    <s v="http://www.forbes.com/companies/al-rajhi-bank/"/>
  </r>
  <r>
    <s v="Mobily"/>
    <s v="Telecommunication Services"/>
    <s v="Telecommunications services"/>
    <s v="Asia"/>
    <x v="47"/>
    <n v="19"/>
    <n v="6.7"/>
    <n v="1.8"/>
    <n v="12.4"/>
    <n v="720"/>
    <s v="http://www.forbes.com/companies/mobily/"/>
  </r>
  <r>
    <s v="Samba Financial Group"/>
    <s v="Financials"/>
    <s v="Regional Banks"/>
    <s v="Asia"/>
    <x v="47"/>
    <n v="13.7"/>
    <n v="2"/>
    <n v="1.2"/>
    <n v="54.7"/>
    <n v="721"/>
    <s v="http://www.forbes.com/companies/samba-financial-group/"/>
  </r>
  <r>
    <s v="Riyad Bank"/>
    <s v="Financials"/>
    <s v="Regional Banks"/>
    <s v="Asia"/>
    <x v="47"/>
    <n v="13.9"/>
    <n v="2.2000000000000002"/>
    <n v="1.1000000000000001"/>
    <n v="54.7"/>
    <n v="735"/>
    <s v="http://www.forbes.com/companies/riyad-bank/"/>
  </r>
  <r>
    <s v="Saudi British Bank"/>
    <s v="Financials"/>
    <s v="Regional Banks"/>
    <s v="Asia"/>
    <x v="47"/>
    <n v="12.6"/>
    <n v="1.7"/>
    <n v="1"/>
    <n v="47.3"/>
    <n v="788"/>
    <s v="http://www.forbes.com/companies/saudi-british-bank/"/>
  </r>
  <r>
    <s v="Banque Saudi Fransi"/>
    <s v="Financials"/>
    <s v="Regional Banks"/>
    <s v="Asia"/>
    <x v="47"/>
    <n v="9.6999999999999993"/>
    <n v="1.6"/>
    <n v="0.6"/>
    <n v="45.3"/>
    <n v="931"/>
    <s v="http://www.forbes.com/companies/banque-saudi-fransi/"/>
  </r>
  <r>
    <s v="Arab National Bank"/>
    <s v="Financials"/>
    <s v="Regional Banks"/>
    <s v="Asia"/>
    <x v="47"/>
    <n v="8"/>
    <n v="1.6"/>
    <n v="0.7"/>
    <n v="36.799999999999997"/>
    <n v="1001"/>
    <s v="http://www.forbes.com/companies/arab-national-bank/"/>
  </r>
  <r>
    <s v="Saudi Arabian Fertilizers"/>
    <s v="Materials"/>
    <s v="Specialized Chemicals"/>
    <s v="Asia"/>
    <x v="47"/>
    <n v="14.3"/>
    <n v="1.1000000000000001"/>
    <n v="0.8"/>
    <n v="2.5"/>
    <n v="1239"/>
    <s v="http://www.forbes.com/companies/saudi-arabian-fertilizers/"/>
  </r>
  <r>
    <s v="Savola Group"/>
    <s v="Consumer Staples"/>
    <s v="Food Processing"/>
    <s v="Asia"/>
    <x v="47"/>
    <n v="9.8000000000000007"/>
    <n v="7"/>
    <n v="0.5"/>
    <n v="6.6"/>
    <n v="1292"/>
    <s v="http://www.forbes.com/companies/savola-group/"/>
  </r>
  <r>
    <s v="Saudi Arabian Mining"/>
    <s v="Materials"/>
    <s v="Diversified Metals &amp; Mining"/>
    <s v="Asia"/>
    <x v="47"/>
    <n v="9"/>
    <n v="1.5"/>
    <n v="0.4"/>
    <n v="17.100000000000001"/>
    <n v="1303"/>
    <s v="http://www.forbes.com/companies/saudi-arabian-mining/"/>
  </r>
  <r>
    <s v="Petro Rabigh"/>
    <s v="Materials"/>
    <s v="Diversified Chemicals"/>
    <s v="Asia"/>
    <x v="47"/>
    <n v="6.4"/>
    <n v="13.5"/>
    <n v="0.1"/>
    <n v="12.2"/>
    <n v="1383"/>
    <s v="http://www.forbes.com/companies/petro-rabigh/"/>
  </r>
  <r>
    <s v="Kingdom Holding"/>
    <s v="Financials"/>
    <s v="Investment Services"/>
    <s v="Asia"/>
    <x v="47"/>
    <n v="22.2"/>
    <n v="0.7"/>
    <n v="0.2"/>
    <n v="12.3"/>
    <n v="1461"/>
    <s v="http://www.forbes.com/companies/kingdom-holding/"/>
  </r>
  <r>
    <s v="Saudi Hollandi Bank"/>
    <s v="Financials"/>
    <s v="Regional Banks"/>
    <s v="Asia"/>
    <x v="47"/>
    <n v="5.0999999999999996"/>
    <n v="0.8"/>
    <n v="0.4"/>
    <n v="21.5"/>
    <n v="1603"/>
    <s v="http://www.forbes.com/companies/saudi-hollandi-bank/"/>
  </r>
  <r>
    <s v="Almarai"/>
    <s v="Consumer Staples"/>
    <s v="Food Processing"/>
    <s v="Asia"/>
    <x v="47"/>
    <n v="10.4"/>
    <n v="3"/>
    <n v="0.4"/>
    <n v="6.2"/>
    <n v="1667"/>
    <s v="http://www.forbes.com/companies/almarai/"/>
  </r>
  <r>
    <s v="Alinma Bank"/>
    <s v="Financials"/>
    <s v="Regional Banks"/>
    <s v="Asia"/>
    <x v="47"/>
    <n v="7.5"/>
    <n v="0.7"/>
    <n v="0.3"/>
    <n v="16.8"/>
    <n v="1719"/>
    <s v="http://www.forbes.com/companies/alinma-bank/"/>
  </r>
  <r>
    <s v="Saudi Investment Bank"/>
    <s v="Financials"/>
    <s v="Investment Services"/>
    <s v="Asia"/>
    <x v="47"/>
    <n v="4.5"/>
    <n v="0.7"/>
    <n v="0.3"/>
    <n v="21.5"/>
    <n v="1779"/>
    <s v="http://www.forbes.com/companies/saudi-investment-bank/"/>
  </r>
  <r>
    <s v="Tasnee"/>
    <s v="Industrials"/>
    <s v="Conglomerates"/>
    <s v="Asia"/>
    <x v="47"/>
    <n v="6"/>
    <n v="4.9000000000000004"/>
    <n v="0.3"/>
    <n v="12.6"/>
    <n v="1797"/>
    <s v="http://www.forbes.com/companies/tasnee/"/>
  </r>
  <r>
    <s v="DBS Group"/>
    <s v="Financials"/>
    <s v="Major Banks"/>
    <s v="Asia"/>
    <x v="48"/>
    <n v="31.8"/>
    <n v="9.4"/>
    <n v="2.9"/>
    <n v="318.39999999999998"/>
    <n v="288"/>
    <s v="http://www.forbes.com/companies/dbs-group/"/>
  </r>
  <r>
    <s v="Oversea-Chinese Banking"/>
    <s v="Financials"/>
    <s v="Regional Banks"/>
    <s v="Asia"/>
    <x v="48"/>
    <n v="26.1"/>
    <n v="11.1"/>
    <n v="2.2000000000000002"/>
    <n v="268.10000000000002"/>
    <n v="298"/>
    <s v="http://www.forbes.com/companies/oversea-chinese-banking/"/>
  </r>
  <r>
    <s v="Wilmar International"/>
    <s v="Consumer Staples"/>
    <s v="Food Processing"/>
    <s v="Asia"/>
    <x v="48"/>
    <n v="17.7"/>
    <n v="44.1"/>
    <n v="1.3"/>
    <n v="46.6"/>
    <n v="316"/>
    <s v="http://www.forbes.com/companies/wilmar-international/"/>
  </r>
  <r>
    <s v="SingTel"/>
    <s v="Telecommunication Services"/>
    <s v="Telecommunications services"/>
    <s v="Asia"/>
    <x v="48"/>
    <n v="46.2"/>
    <n v="13.7"/>
    <n v="2.9"/>
    <n v="30.9"/>
    <n v="324"/>
    <s v="http://www.forbes.com/companies/singtel/"/>
  </r>
  <r>
    <s v="United Overseas Bank"/>
    <s v="Financials"/>
    <s v="Regional Banks"/>
    <s v="Asia"/>
    <x v="48"/>
    <n v="27.2"/>
    <n v="7"/>
    <n v="2.4"/>
    <n v="225.1"/>
    <n v="367"/>
    <s v="http://www.forbes.com/companies/united-overseas-bank/"/>
  </r>
  <r>
    <s v="Keppel Corp"/>
    <s v="Industrials"/>
    <s v="Conglomerates"/>
    <s v="Asia"/>
    <x v="48"/>
    <n v="15.6"/>
    <n v="9.9"/>
    <n v="1.5"/>
    <n v="23.9"/>
    <n v="570"/>
    <s v="http://www.forbes.com/companies/keppel-corp/"/>
  </r>
  <r>
    <s v="Singapore Airlines"/>
    <s v="Industrials"/>
    <s v="Airline"/>
    <s v="Asia"/>
    <x v="48"/>
    <n v="9.8000000000000007"/>
    <n v="12.2"/>
    <n v="0.3"/>
    <n v="17.899999999999999"/>
    <n v="968"/>
    <s v="http://www.forbes.com/companies/singapore-airlines/"/>
  </r>
  <r>
    <s v="CapitaLand"/>
    <s v="Financials"/>
    <s v="Real Estate"/>
    <s v="Asia"/>
    <x v="48"/>
    <n v="9.8000000000000007"/>
    <n v="3.3"/>
    <n v="0.7"/>
    <n v="28.6"/>
    <n v="980"/>
    <s v="http://www.forbes.com/companies/capitaland/"/>
  </r>
  <r>
    <s v="Sembcorp Industries"/>
    <s v="Industrials"/>
    <s v="Construction Services"/>
    <s v="Asia"/>
    <x v="48"/>
    <n v="7.7"/>
    <n v="8.6"/>
    <n v="0.7"/>
    <n v="10.9"/>
    <n v="1065"/>
    <s v="http://www.forbes.com/companies/sembcorp-industries/"/>
  </r>
  <r>
    <s v="Global Logistic Properties"/>
    <s v="Financials"/>
    <s v="Real Estate"/>
    <s v="Asia"/>
    <x v="48"/>
    <n v="9.9"/>
    <n v="0.6"/>
    <n v="0.7"/>
    <n v="13.5"/>
    <n v="1168"/>
    <s v="http://www.forbes.com/companies/global-logistic-properties/"/>
  </r>
  <r>
    <s v="Flextronics International"/>
    <s v="Information Technology"/>
    <s v="Electronics"/>
    <s v="Asia"/>
    <x v="48"/>
    <n v="5.6"/>
    <n v="24.7"/>
    <n v="0.3"/>
    <n v="12.8"/>
    <n v="1199"/>
    <s v="http://www.forbes.com/companies/flextronics-international/"/>
  </r>
  <r>
    <s v="Avago Technologies"/>
    <s v="Information Technology"/>
    <s v="Semiconductors"/>
    <s v="Asia"/>
    <x v="48"/>
    <n v="16.2"/>
    <n v="2.7"/>
    <n v="0.6"/>
    <n v="3.5"/>
    <n v="1336"/>
    <s v="http://www.forbes.com/companies/avago-technologies/"/>
  </r>
  <r>
    <s v="City Developments"/>
    <s v="Financials"/>
    <s v="Real Estate"/>
    <s v="Asia"/>
    <x v="48"/>
    <n v="7.4"/>
    <n v="2.5"/>
    <n v="0.5"/>
    <n v="13.2"/>
    <n v="1415"/>
    <s v="http://www.forbes.com/companies/city-developments/"/>
  </r>
  <r>
    <s v="ST Engineering"/>
    <s v="Industrials"/>
    <s v="Aerospace &amp; Defense"/>
    <s v="Asia"/>
    <x v="48"/>
    <n v="9.5"/>
    <n v="5.3"/>
    <n v="0.5"/>
    <n v="6.9"/>
    <n v="1428"/>
    <s v="http://www.forbes.com/companies/st-engineering/"/>
  </r>
  <r>
    <s v="Olam International"/>
    <s v="Consumer Staples"/>
    <s v="Food Processing"/>
    <s v="Asia"/>
    <x v="48"/>
    <n v="4.2"/>
    <n v="16"/>
    <n v="0.3"/>
    <n v="12.3"/>
    <n v="1452"/>
    <s v="http://www.forbes.com/companies/olam-international/"/>
  </r>
  <r>
    <s v="Golden Agri-Resources"/>
    <s v="Consumer Staples"/>
    <s v="Food Processing"/>
    <s v="Asia"/>
    <x v="48"/>
    <n v="5.9"/>
    <n v="6.6"/>
    <n v="0.3"/>
    <n v="14.1"/>
    <n v="1515"/>
    <s v="http://www.forbes.com/companies/golden-agri-resources/"/>
  </r>
  <r>
    <s v="China Aviation Oil"/>
    <s v="Industrials"/>
    <s v="Trading Companies"/>
    <s v="Asia"/>
    <x v="48"/>
    <n v="0.6"/>
    <n v="15.6"/>
    <n v="0.1"/>
    <n v="1.6"/>
    <n v="1797"/>
    <s v="http://www.forbes.com/companies/china-aviation-oil/"/>
  </r>
  <r>
    <s v="Standard Bank Group"/>
    <s v="Financials"/>
    <s v="Major Banks"/>
    <s v="Africa"/>
    <x v="49"/>
    <n v="21.4"/>
    <n v="16.399999999999999"/>
    <n v="1.7"/>
    <n v="161.4"/>
    <n v="287"/>
    <s v="http://www.forbes.com/companies/standard-bank-group/"/>
  </r>
  <r>
    <s v="Sasol"/>
    <s v="Materials"/>
    <s v="Diversified Chemicals"/>
    <s v="Africa"/>
    <x v="49"/>
    <n v="37"/>
    <n v="20.100000000000001"/>
    <n v="2.8"/>
    <n v="24.5"/>
    <n v="321"/>
    <s v="http://www.forbes.com/companies/sasol/"/>
  </r>
  <r>
    <s v="MTN Group"/>
    <s v="Telecommunication Services"/>
    <s v="Telecommunications services"/>
    <s v="Africa"/>
    <x v="49"/>
    <n v="38.1"/>
    <n v="14.1"/>
    <n v="2.7"/>
    <n v="21.7"/>
    <n v="378"/>
    <s v="http://www.forbes.com/companies/mtn-group/"/>
  </r>
  <r>
    <s v="FirstRand"/>
    <s v="Financials"/>
    <s v="Major Banks"/>
    <s v="Africa"/>
    <x v="49"/>
    <n v="18.8"/>
    <n v="6.3"/>
    <n v="1.7"/>
    <n v="85.4"/>
    <n v="475"/>
    <s v="http://www.forbes.com/companies/firstrand/"/>
  </r>
  <r>
    <s v="Steinhoff International"/>
    <s v="Consumer Discretionary"/>
    <s v="Furniture &amp; Fixtures"/>
    <s v="Africa"/>
    <x v="49"/>
    <n v="10.5"/>
    <n v="13"/>
    <n v="0.9"/>
    <n v="18.5"/>
    <n v="672"/>
    <s v="http://www.forbes.com/companies/steinhoff-international/"/>
  </r>
  <r>
    <s v="Sanlam"/>
    <s v="Financials"/>
    <s v="Life &amp; Health Insurance"/>
    <s v="Africa"/>
    <x v="49"/>
    <n v="12.1"/>
    <n v="5.7"/>
    <n v="0.8"/>
    <n v="53.3"/>
    <n v="688"/>
    <s v="http://www.forbes.com/companies/sanlam/"/>
  </r>
  <r>
    <s v="Naspers"/>
    <s v="Consumer Discretionary"/>
    <s v="Broadcasting &amp; Cable"/>
    <s v="Africa"/>
    <x v="49"/>
    <n v="47"/>
    <n v="6.1"/>
    <n v="0.5"/>
    <n v="12"/>
    <n v="857"/>
    <s v="http://www.forbes.com/companies/naspers/"/>
  </r>
  <r>
    <s v="Bidvest Group"/>
    <s v="Industrials"/>
    <s v="Conglomerates"/>
    <s v="Africa"/>
    <x v="49"/>
    <n v="8.8000000000000007"/>
    <n v="17.399999999999999"/>
    <n v="0.5"/>
    <n v="7.3"/>
    <n v="1006"/>
    <s v="http://www.forbes.com/companies/bidvest-group/"/>
  </r>
  <r>
    <s v="Shoprite Holdings"/>
    <s v="Consumer Staples"/>
    <s v="Food Retail"/>
    <s v="Africa"/>
    <x v="49"/>
    <n v="8.9"/>
    <n v="10.1"/>
    <n v="0.4"/>
    <n v="3.8"/>
    <n v="1280"/>
    <s v="http://www.forbes.com/companies/shoprite-holdings/"/>
  </r>
  <r>
    <s v="Remgro"/>
    <s v="Industrials"/>
    <s v="Conglomerates"/>
    <s v="Africa"/>
    <x v="49"/>
    <n v="9.9"/>
    <n v="2.2000000000000002"/>
    <n v="0.7"/>
    <n v="7.4"/>
    <n v="1440"/>
    <s v="http://www.forbes.com/companies/remgro/"/>
  </r>
  <r>
    <s v="MMI Holdings"/>
    <s v="Financials"/>
    <s v="Life &amp; Health Insurance"/>
    <s v="Africa"/>
    <x v="49"/>
    <n v="3.6"/>
    <n v="4.3"/>
    <n v="0.3"/>
    <n v="36.1"/>
    <n v="1574"/>
    <s v="http://www.forbes.com/companies/mmi-holdings/"/>
  </r>
  <r>
    <s v="Aspen Pharmacare Holdings"/>
    <s v="Health Care"/>
    <s v="Pharmaceuticals"/>
    <s v="Africa"/>
    <x v="49"/>
    <n v="12.1"/>
    <n v="2.2999999999999998"/>
    <n v="0.4"/>
    <n v="7.7"/>
    <n v="1608"/>
    <s v="http://www.forbes.com/companies/aspen-pharmacare-holdings/"/>
  </r>
  <r>
    <s v="Imperial Holdings"/>
    <s v="Industrials"/>
    <s v="Conglomerates"/>
    <s v="Africa"/>
    <x v="49"/>
    <n v="3.7"/>
    <n v="10.199999999999999"/>
    <n v="0.4"/>
    <n v="5.4"/>
    <n v="1687"/>
    <s v="http://www.forbes.com/companies/imperial-holdings/"/>
  </r>
  <r>
    <s v="RMB Holdings"/>
    <s v="Financials"/>
    <s v="Investment Services"/>
    <s v="Africa"/>
    <x v="49"/>
    <n v="6.4"/>
    <n v="0"/>
    <n v="0.6"/>
    <n v="3"/>
    <n v="1801"/>
    <s v="http://www.forbes.com/companies/rmb-holdings/"/>
  </r>
  <r>
    <s v="Hyprop Investments"/>
    <m/>
    <m/>
    <s v="Africa"/>
    <x v="49"/>
    <n v="1.8"/>
    <n v="0.2"/>
    <n v="1"/>
    <n v="2.5"/>
    <n v="1833"/>
    <s v="http://www.forbes.com/companies/hyprop-investments/"/>
  </r>
  <r>
    <s v="Samsung Electronics"/>
    <s v="Information Technology"/>
    <s v="Semiconductors"/>
    <s v="Asia"/>
    <x v="50"/>
    <n v="186.5"/>
    <n v="208.9"/>
    <n v="27.2"/>
    <n v="202.8"/>
    <n v="22"/>
    <s v="http://www.forbes.com/companies/samsung-electronics/"/>
  </r>
  <r>
    <s v="Hyundai Motor"/>
    <s v="Consumer Discretionary"/>
    <s v="Auto &amp; Truck Manufacturers"/>
    <s v="Asia"/>
    <x v="50"/>
    <n v="49.7"/>
    <n v="79.8"/>
    <n v="7.8"/>
    <n v="126.4"/>
    <n v="87"/>
    <s v="http://www.forbes.com/companies/hyundai-motor/"/>
  </r>
  <r>
    <s v="Posco"/>
    <s v="Materials"/>
    <s v="Iron &amp; Steel"/>
    <s v="Asia"/>
    <x v="50"/>
    <n v="24.8"/>
    <n v="56.5"/>
    <n v="1.2"/>
    <n v="80"/>
    <n v="236"/>
    <s v="http://www.forbes.com/companies/posco/"/>
  </r>
  <r>
    <s v="Shinhan Financial Group"/>
    <s v="Financials"/>
    <s v="Investment Services"/>
    <s v="Asia"/>
    <x v="50"/>
    <n v="21.1"/>
    <n v="19.600000000000001"/>
    <n v="1.7"/>
    <n v="295"/>
    <n v="249"/>
    <s v="http://www.forbes.com/companies/shinhan-financial-group/"/>
  </r>
  <r>
    <s v="KIA Motors"/>
    <s v="Consumer Discretionary"/>
    <s v="Auto &amp; Truck Manufacturers"/>
    <s v="Asia"/>
    <x v="50"/>
    <n v="22.8"/>
    <n v="43.5"/>
    <n v="3.5"/>
    <n v="34.299999999999997"/>
    <n v="258"/>
    <s v="http://www.forbes.com/companies/kia-motors/"/>
  </r>
  <r>
    <s v="Hyundai Mobis"/>
    <s v="Consumer Discretionary"/>
    <s v="Auto &amp; Truck Parts"/>
    <s v="Asia"/>
    <x v="50"/>
    <n v="28.7"/>
    <n v="31.2"/>
    <n v="3.1"/>
    <n v="32.6"/>
    <n v="267"/>
    <s v="http://www.forbes.com/companies/hyundai-mobis/"/>
  </r>
  <r>
    <s v="Samsung Life Insurance"/>
    <s v="Financials"/>
    <s v="Life &amp; Health Insurance"/>
    <s v="Asia"/>
    <x v="50"/>
    <n v="18"/>
    <n v="21.8"/>
    <n v="0.7"/>
    <n v="182.8"/>
    <n v="356"/>
    <s v="http://www.forbes.com/companies/samsung-life-insurance/"/>
  </r>
  <r>
    <s v="KB Financial Group"/>
    <s v="Financials"/>
    <s v="Investment Services"/>
    <s v="Asia"/>
    <x v="50"/>
    <n v="13.7"/>
    <n v="15.8"/>
    <n v="1.2"/>
    <n v="276.5"/>
    <n v="370"/>
    <s v="http://www.forbes.com/companies/kb-financial-group/"/>
  </r>
  <r>
    <s v="SK Hynix"/>
    <s v="Information Technology"/>
    <s v="Semiconductors"/>
    <s v="Asia"/>
    <x v="50"/>
    <n v="24.9"/>
    <n v="12.9"/>
    <n v="2.6"/>
    <n v="19.8"/>
    <n v="439"/>
    <s v="http://www.forbes.com/companies/sk-hynix/"/>
  </r>
  <r>
    <s v="Hana Financial Group"/>
    <s v="Financials"/>
    <s v="Regional Banks"/>
    <s v="Asia"/>
    <x v="50"/>
    <n v="10.6"/>
    <n v="13"/>
    <n v="0.8"/>
    <n v="279.7"/>
    <n v="457"/>
    <s v="http://www.forbes.com/companies/hana-financial/"/>
  </r>
  <r>
    <s v="SK Telecom"/>
    <s v="Telecommunication Services"/>
    <s v="Telecommunications services"/>
    <s v="Asia"/>
    <x v="50"/>
    <n v="16.600000000000001"/>
    <n v="15.3"/>
    <n v="1.5"/>
    <n v="25.2"/>
    <n v="460"/>
    <s v="http://www.forbes.com/companies/sk-telecom/"/>
  </r>
  <r>
    <s v="SK Innovation"/>
    <s v="Energy"/>
    <s v="Oil &amp; Gas Operations"/>
    <s v="Asia"/>
    <x v="50"/>
    <n v="10.6"/>
    <n v="60.9"/>
    <n v="0.7"/>
    <n v="33.4"/>
    <n v="497"/>
    <s v="http://www.forbes.com/companies/sk-innovation/"/>
  </r>
  <r>
    <s v="Korea Electric Power"/>
    <s v="Utilities"/>
    <s v="Electric Utilities"/>
    <s v="Asia"/>
    <x v="50"/>
    <n v="21.9"/>
    <n v="49.4"/>
    <n v="0.1"/>
    <n v="147.4"/>
    <n v="524"/>
    <s v="http://www.forbes.com/companies/korea-electric-power/"/>
  </r>
  <r>
    <s v="LG Chem"/>
    <s v="Materials"/>
    <s v="Specialized Chemicals"/>
    <s v="Asia"/>
    <x v="50"/>
    <n v="16.399999999999999"/>
    <n v="21.1"/>
    <n v="1.1000000000000001"/>
    <n v="16.5"/>
    <n v="547"/>
    <s v="http://www.forbes.com/companies/lg-chem/"/>
  </r>
  <r>
    <s v="Lotte Shopping"/>
    <s v="Consumer Discretionary"/>
    <s v="Department Stores"/>
    <s v="Asia"/>
    <x v="50"/>
    <n v="9.3000000000000007"/>
    <n v="25.8"/>
    <n v="0.7"/>
    <n v="36.9"/>
    <n v="560"/>
    <s v="http://www.forbes.com/companies/lotte-shopping/"/>
  </r>
  <r>
    <s v="Samsung Fire &amp; Marine"/>
    <s v="Financials"/>
    <s v="Property &amp; Casualty Insurance"/>
    <s v="Asia"/>
    <x v="50"/>
    <n v="9.4"/>
    <n v="16.7"/>
    <n v="0.6"/>
    <n v="45.7"/>
    <n v="596"/>
    <s v="http://www.forbes.com/companies/samsung-fire-marine/"/>
  </r>
  <r>
    <s v="Hyundai Heavy Industries"/>
    <s v="Industrials"/>
    <s v="Heavy Equipment"/>
    <s v="Asia"/>
    <x v="50"/>
    <n v="15.3"/>
    <n v="49.5"/>
    <n v="0.3"/>
    <n v="50.4"/>
    <n v="620"/>
    <s v="http://www.forbes.com/companies/hyundai-heavy-industries/"/>
  </r>
  <r>
    <s v="SK Holdings"/>
    <s v="Energy"/>
    <s v="Oil &amp; Gas Operations"/>
    <s v="Asia"/>
    <x v="50"/>
    <n v="8.6"/>
    <n v="102.2"/>
    <n v="0.3"/>
    <n v="87.7"/>
    <n v="666"/>
    <s v="http://www.forbes.com/companies/sk-holdings/"/>
  </r>
  <r>
    <s v="Industrial Bank of Korea"/>
    <s v="Financials"/>
    <s v="Regional Banks"/>
    <s v="Asia"/>
    <x v="50"/>
    <n v="6.4"/>
    <n v="8.9"/>
    <n v="0.8"/>
    <n v="201.4"/>
    <n v="677"/>
    <s v="http://www.forbes.com/companies/industrial-bank-of-korea/"/>
  </r>
  <r>
    <s v="Hyundai Steel"/>
    <s v="Materials"/>
    <s v="Iron &amp; Steel"/>
    <s v="Asia"/>
    <x v="50"/>
    <n v="7.5"/>
    <n v="12.4"/>
    <n v="0.6"/>
    <n v="28"/>
    <n v="764"/>
    <s v="http://www.forbes.com/companies/hyundai-steel/"/>
  </r>
  <r>
    <s v="LG Electronics"/>
    <s v="Consumer Discretionary"/>
    <s v="Consumer Electronics"/>
    <s v="Asia"/>
    <x v="50"/>
    <n v="10"/>
    <n v="53.1"/>
    <n v="0.2"/>
    <n v="33.700000000000003"/>
    <n v="766"/>
    <s v="http://www.forbes.com/companies/lg-electronics/"/>
  </r>
  <r>
    <s v="LG Display"/>
    <s v="Information Technology"/>
    <s v="Electronics"/>
    <s v="Asia"/>
    <x v="50"/>
    <n v="9"/>
    <n v="24.7"/>
    <n v="0.4"/>
    <n v="20.6"/>
    <n v="787"/>
    <s v="http://www.forbes.com/companies/lg-display/"/>
  </r>
  <r>
    <s v="Woori Finance Holdings"/>
    <s v="Financials"/>
    <s v="Investment Services"/>
    <s v="Asia"/>
    <x v="50"/>
    <n v="9.1999999999999993"/>
    <n v="10.8"/>
    <n v="-0.5"/>
    <n v="309.7"/>
    <n v="821"/>
    <s v="http://www.forbes.com/companies/woori-finance-holdings/"/>
  </r>
  <r>
    <s v="LG Corp"/>
    <s v="Consumer Discretionary"/>
    <s v="Household Appliances"/>
    <s v="Asia"/>
    <x v="50"/>
    <n v="9.5"/>
    <n v="9"/>
    <n v="0.8"/>
    <n v="15.7"/>
    <n v="833"/>
    <s v="http://www.forbes.com/companies/lg-corp/"/>
  </r>
  <r>
    <s v="Hanwha Life Insurance"/>
    <s v="Financials"/>
    <s v="Life &amp; Health Insurance"/>
    <s v="Asia"/>
    <x v="50"/>
    <n v="5.5"/>
    <n v="12.5"/>
    <n v="0.4"/>
    <n v="78"/>
    <n v="842"/>
    <s v="http://www.forbes.com/companies/hanwha-life-insurance/"/>
  </r>
  <r>
    <s v="Samsung C&amp;T"/>
    <s v="Industrials"/>
    <s v="Trading Companies"/>
    <s v="Asia"/>
    <x v="50"/>
    <n v="9.1"/>
    <n v="26"/>
    <n v="0.2"/>
    <n v="24.1"/>
    <n v="894"/>
    <s v="http://www.forbes.com/companies/samsung-ct/"/>
  </r>
  <r>
    <s v="Samsung Heavy Industries"/>
    <s v="Industrials"/>
    <s v="Heavy Equipment"/>
    <s v="Asia"/>
    <x v="50"/>
    <n v="6.9"/>
    <n v="13.6"/>
    <n v="0.6"/>
    <n v="16.5"/>
    <n v="898"/>
    <s v="http://www.forbes.com/companies/samsung-heavy-inds/"/>
  </r>
  <r>
    <s v="Hanwha Corp"/>
    <s v="Industrials"/>
    <s v="Trading Companies"/>
    <s v="Asia"/>
    <x v="50"/>
    <n v="2.2999999999999998"/>
    <n v="35.4"/>
    <n v="0.1"/>
    <n v="107.4"/>
    <n v="912"/>
    <s v="http://www.forbes.com/companies/hanwha-corp/"/>
  </r>
  <r>
    <s v="KT Corp"/>
    <s v="Telecommunication Services"/>
    <s v="Telecommunications services"/>
    <s v="Asia"/>
    <x v="50"/>
    <n v="7.3"/>
    <n v="21.8"/>
    <n v="-0.1"/>
    <n v="33"/>
    <n v="933"/>
    <s v="http://www.forbes.com/companies/kt-corp/"/>
  </r>
  <r>
    <s v="Korea Gas"/>
    <s v="Utilities"/>
    <s v="Natural Gas Utilities"/>
    <s v="Asia"/>
    <x v="50"/>
    <n v="5.4"/>
    <n v="34.799999999999997"/>
    <n v="-0.2"/>
    <n v="41.4"/>
    <n v="961"/>
    <s v="http://www.forbes.com/companies/korea-gas/"/>
  </r>
  <r>
    <s v="NHN"/>
    <s v="Information Technology"/>
    <s v="Computer Services"/>
    <s v="Asia"/>
    <x v="50"/>
    <n v="24.3"/>
    <n v="2.2999999999999998"/>
    <n v="1.7"/>
    <n v="2.6"/>
    <n v="999"/>
    <s v="http://www.forbes.com/companies/naver/"/>
  </r>
  <r>
    <s v="Hyundai Engineering"/>
    <s v="Industrials"/>
    <s v="Construction Services"/>
    <s v="Asia"/>
    <x v="50"/>
    <n v="5.9"/>
    <n v="12.7"/>
    <n v="0.5"/>
    <n v="14"/>
    <n v="1082"/>
    <s v="http://www.forbes.com/companies/hyundai-engineering/"/>
  </r>
  <r>
    <s v="Doosan"/>
    <s v="Industrials"/>
    <s v="Construction Services"/>
    <s v="Asia"/>
    <x v="50"/>
    <n v="2.7"/>
    <n v="20"/>
    <n v="0.1"/>
    <n v="29.5"/>
    <n v="1127"/>
    <s v="http://www.forbes.com/companies/doosan/"/>
  </r>
  <r>
    <s v="Dongbu Insurance"/>
    <s v="Financials"/>
    <s v="Property &amp; Casualty Insurance"/>
    <s v="Asia"/>
    <x v="50"/>
    <n v="3.7"/>
    <n v="11.1"/>
    <n v="0.3"/>
    <n v="28.3"/>
    <n v="1138"/>
    <s v="http://www.forbes.com/companies/dongbu-insurance/"/>
  </r>
  <r>
    <s v="E-mart"/>
    <s v="Consumer Discretionary"/>
    <s v="Discount Stores"/>
    <s v="Asia"/>
    <x v="50"/>
    <n v="6.3"/>
    <n v="11.9"/>
    <n v="0.4"/>
    <n v="12.4"/>
    <n v="1155"/>
    <s v="http://www.forbes.com/companies/e-mart/"/>
  </r>
  <r>
    <s v="Hyundai Glovis"/>
    <s v="Industrials"/>
    <s v="Other Transportation"/>
    <s v="Asia"/>
    <x v="50"/>
    <n v="8.6"/>
    <n v="11.7"/>
    <n v="0.4"/>
    <n v="4.8"/>
    <n v="1173"/>
    <s v="http://www.forbes.com/companies/hyundai-glovis/"/>
  </r>
  <r>
    <s v="Doosan Heavy Industries"/>
    <s v="Industrials"/>
    <s v="Heavy Equipment"/>
    <s v="Asia"/>
    <x v="50"/>
    <n v="3.5"/>
    <n v="17.5"/>
    <n v="0.1"/>
    <n v="26.3"/>
    <n v="1180"/>
    <s v="http://www.forbes.com/companies/doosan-heavy-industries/"/>
  </r>
  <r>
    <s v="S-Oil"/>
    <s v="Energy"/>
    <s v="Oil &amp; Gas Operations"/>
    <s v="Asia"/>
    <x v="50"/>
    <n v="6.6"/>
    <n v="28.5"/>
    <n v="0.3"/>
    <n v="11.4"/>
    <n v="1203"/>
    <s v="http://www.forbes.com/companies/s-oil/"/>
  </r>
  <r>
    <s v="CJ Corp"/>
    <s v="Consumer Staples"/>
    <s v="Food Processing"/>
    <s v="Asia"/>
    <x v="50"/>
    <n v="3.7"/>
    <n v="17.2"/>
    <n v="0.1"/>
    <n v="21"/>
    <n v="1258"/>
    <s v="http://www.forbes.com/companies/cj-corp/"/>
  </r>
  <r>
    <s v="DSME"/>
    <s v="Industrials"/>
    <s v="Heavy Equipment"/>
    <s v="Asia"/>
    <x v="50"/>
    <n v="5.9"/>
    <n v="14"/>
    <n v="0.2"/>
    <n v="17.5"/>
    <n v="1271"/>
    <s v="http://www.forbes.com/companies/dsme/"/>
  </r>
  <r>
    <s v="Hankook Tire"/>
    <m/>
    <m/>
    <s v="Asia"/>
    <x v="50"/>
    <n v="7.2"/>
    <n v="6.5"/>
    <n v="0.7"/>
    <n v="7.4"/>
    <n v="1314"/>
    <s v="http://www.forbes.com/companies/hankook-tire/"/>
  </r>
  <r>
    <s v="Korean Air"/>
    <s v="Industrials"/>
    <s v="Airline"/>
    <s v="Asia"/>
    <x v="50"/>
    <n v="2.1"/>
    <n v="10.9"/>
    <n v="-0.2"/>
    <n v="21.7"/>
    <n v="1388"/>
    <s v="http://www.forbes.com/companies/korean-air/"/>
  </r>
  <r>
    <s v="Hyundai Marine &amp; Fire"/>
    <s v="Financials"/>
    <s v="Property &amp; Casualty Insurance"/>
    <s v="Asia"/>
    <x v="50"/>
    <n v="2.5"/>
    <n v="10"/>
    <n v="0.3"/>
    <n v="21.9"/>
    <n v="1404"/>
    <s v="http://www.forbes.com/companies/hyundai-marine-fire/"/>
  </r>
  <r>
    <s v="Lotte Chemical"/>
    <s v="Materials"/>
    <s v="Specialized Chemicals"/>
    <s v="Asia"/>
    <x v="50"/>
    <n v="6.2"/>
    <n v="15"/>
    <n v="0.3"/>
    <n v="10.1"/>
    <n v="1430"/>
    <s v="http://www.forbes.com/companies/lotte-chemical/"/>
  </r>
  <r>
    <s v="KT&amp;G"/>
    <s v="Consumer Staples"/>
    <s v="Tobacco"/>
    <s v="Asia"/>
    <x v="50"/>
    <n v="10.3"/>
    <n v="3.5"/>
    <n v="0.5"/>
    <n v="6.7"/>
    <n v="1524"/>
    <s v="http://www.forbes.com/companies/ktg/"/>
  </r>
  <r>
    <s v="LIG Insurance"/>
    <s v="Financials"/>
    <s v="Property &amp; Casualty Insurance"/>
    <s v="Asia"/>
    <x v="50"/>
    <n v="1.7"/>
    <n v="8"/>
    <n v="0.1"/>
    <n v="18.8"/>
    <n v="1562"/>
    <s v="http://www.forbes.com/companies/lig-insurance/"/>
  </r>
  <r>
    <s v="GS Holdings"/>
    <s v="Energy"/>
    <s v="Oil &amp; Gas Operations"/>
    <s v="Asia"/>
    <x v="50"/>
    <n v="4.2"/>
    <n v="8.8000000000000007"/>
    <n v="0.3"/>
    <n v="12"/>
    <n v="1568"/>
    <s v="http://www.forbes.com/companies/gs-holdings/"/>
  </r>
  <r>
    <s v="Hyosung"/>
    <s v="Materials"/>
    <s v="Diversified Metals &amp; Mining"/>
    <s v="Asia"/>
    <x v="50"/>
    <n v="2.5"/>
    <n v="11.5"/>
    <n v="-0.2"/>
    <n v="12.9"/>
    <n v="1596"/>
    <s v="http://www.forbes.com/companies/hyosung/"/>
  </r>
  <r>
    <s v="SK Networks"/>
    <s v="Industrials"/>
    <s v="Trading Companies"/>
    <s v="Asia"/>
    <x v="50"/>
    <n v="2.2000000000000002"/>
    <n v="23.7"/>
    <n v="-0.5"/>
    <n v="8.4"/>
    <n v="1634"/>
    <s v="http://www.forbes.com/companies/sk-networks/"/>
  </r>
  <r>
    <s v="BS Financial Group"/>
    <s v="Financials"/>
    <s v="Investment Services"/>
    <s v="Asia"/>
    <x v="50"/>
    <n v="2.8"/>
    <n v="2.2000000000000002"/>
    <n v="0.3"/>
    <n v="44.5"/>
    <n v="1638"/>
    <s v="http://www.forbes.com/companies/bs-financial-group/"/>
  </r>
  <r>
    <s v="Hyundai Hysco"/>
    <s v="Materials"/>
    <s v="Iron &amp; Steel"/>
    <s v="Asia"/>
    <x v="50"/>
    <n v="1.2"/>
    <n v="3.7"/>
    <n v="1.5"/>
    <n v="5.2"/>
    <n v="1684"/>
    <s v="http://www.forbes.com/companies/hyundai-hysco/"/>
  </r>
  <r>
    <s v="CJ Cheiljedang"/>
    <s v="Consumer Staples"/>
    <s v="Food Processing"/>
    <s v="Asia"/>
    <x v="50"/>
    <n v="3.6"/>
    <n v="9.9"/>
    <n v="0.1"/>
    <n v="12.3"/>
    <n v="1707"/>
    <s v="http://www.forbes.com/companies/cj-cheiljedang/"/>
  </r>
  <r>
    <s v="LG Uplus"/>
    <s v="Telecommunication Services"/>
    <s v="Telecommunications services"/>
    <s v="Asia"/>
    <x v="50"/>
    <n v="4.3"/>
    <n v="10.5"/>
    <n v="0.3"/>
    <n v="11.2"/>
    <n v="1759"/>
    <s v="http://www.forbes.com/companies/lg-uplus/"/>
  </r>
  <r>
    <s v="DGB Financial Group"/>
    <s v="Financials"/>
    <s v="Consumer Financial Services"/>
    <s v="Asia"/>
    <x v="50"/>
    <n v="2"/>
    <n v="1.7"/>
    <n v="0.2"/>
    <n v="35.6"/>
    <n v="1835"/>
    <s v="http://www.forbes.com/companies/dgb-financial-group/"/>
  </r>
  <r>
    <s v="Meritz Financial Group"/>
    <m/>
    <m/>
    <s v="Asia"/>
    <x v="50"/>
    <n v="0.9"/>
    <n v="5.3"/>
    <n v="0.1"/>
    <n v="20"/>
    <n v="1843"/>
    <s v="http://www.forbes.com/companies/meritz-financial-group/"/>
  </r>
  <r>
    <s v="GS Engineering"/>
    <s v="Industrials"/>
    <s v="Construction Services"/>
    <s v="Asia"/>
    <x v="50"/>
    <n v="1.7"/>
    <n v="8.6999999999999993"/>
    <n v="-0.8"/>
    <n v="11.8"/>
    <n v="1846"/>
    <s v="http://www.forbes.com/companies/gs-engineering/"/>
  </r>
  <r>
    <s v="LS Corp"/>
    <s v="Industrials"/>
    <s v="Electrical Equipment"/>
    <s v="Asia"/>
    <x v="50"/>
    <n v="2.2999999999999998"/>
    <n v="10.5"/>
    <n v="0.1"/>
    <n v="9.5"/>
    <n v="1907"/>
    <s v="http://www.forbes.com/companies/ls-corp/"/>
  </r>
  <r>
    <s v="Hanjin Shipping"/>
    <s v="Industrials"/>
    <s v="Other Transportation"/>
    <s v="Asia"/>
    <x v="50"/>
    <n v="0.8"/>
    <n v="9.4"/>
    <n v="-0.6"/>
    <n v="10"/>
    <n v="1920"/>
    <s v="http://www.forbes.com/companies/hanjin-shipping/"/>
  </r>
  <r>
    <s v="Daelim Industrial"/>
    <s v="Industrials"/>
    <s v="Construction Services"/>
    <s v="Asia"/>
    <x v="50"/>
    <n v="2.8"/>
    <n v="9"/>
    <n v="0"/>
    <n v="10.199999999999999"/>
    <n v="1933"/>
    <s v="http://www.forbes.com/companies/daelim-industrial/"/>
  </r>
  <r>
    <s v="Hanwha Chemical"/>
    <s v="Materials"/>
    <s v="Diversified Chemicals"/>
    <s v="Asia"/>
    <x v="50"/>
    <n v="2.6"/>
    <n v="7.2"/>
    <n v="0"/>
    <n v="12.1"/>
    <n v="1945"/>
    <s v="http://www.forbes.com/companies/hanwha-chemical/"/>
  </r>
  <r>
    <s v="Hyundai Wia"/>
    <s v="Consumer Discretionary"/>
    <s v="Auto &amp; Truck Parts"/>
    <s v="Asia"/>
    <x v="50"/>
    <n v="4.0999999999999996"/>
    <n v="6.5"/>
    <n v="0.4"/>
    <n v="4.5999999999999996"/>
    <n v="1955"/>
    <s v="http://www.forbes.com/companies/hyundai-wia/"/>
  </r>
  <r>
    <s v="Banco Santander"/>
    <s v="Financials"/>
    <s v="Major Banks"/>
    <s v="Europe"/>
    <x v="51"/>
    <n v="112.3"/>
    <n v="52.5"/>
    <n v="5.8"/>
    <n v="1537.3"/>
    <n v="43"/>
    <s v="http://www.forbes.com/companies/banco-santander/"/>
  </r>
  <r>
    <s v="TelefÃƒÂ³nica"/>
    <s v="Telecommunication Services"/>
    <s v="Telecommunications services"/>
    <s v="Europe"/>
    <x v="51"/>
    <n v="71.8"/>
    <n v="75.8"/>
    <n v="6.1"/>
    <n v="163.80000000000001"/>
    <n v="68"/>
    <s v="http://www.forbes.com/companies/telefonica/"/>
  </r>
  <r>
    <s v="BBVA-Banco Bilbao Vizcaya"/>
    <s v="Financials"/>
    <s v="Major Banks"/>
    <s v="Europe"/>
    <x v="51"/>
    <n v="71"/>
    <n v="28.2"/>
    <n v="3"/>
    <n v="802.8"/>
    <n v="118"/>
    <s v="http://www.forbes.com/companies/bbva-banco-bilbao-vizcaya/"/>
  </r>
  <r>
    <s v="Iberdrola"/>
    <s v="Utilities"/>
    <s v="Electric Utilities"/>
    <s v="Europe"/>
    <x v="51"/>
    <n v="44.1"/>
    <n v="43.6"/>
    <n v="3.4"/>
    <n v="127.3"/>
    <n v="133"/>
    <s v="http://www.forbes.com/companies/iberdrola/"/>
  </r>
  <r>
    <s v="Gas Natural Fenosa"/>
    <s v="Utilities"/>
    <s v="Natural Gas Utilities"/>
    <s v="Europe"/>
    <x v="51"/>
    <n v="28.4"/>
    <n v="33.1"/>
    <n v="1.9"/>
    <n v="61.9"/>
    <n v="230"/>
    <s v="http://www.forbes.com/companies/gas-natural-fenosa/"/>
  </r>
  <r>
    <s v="Inditex"/>
    <s v="Consumer Discretionary"/>
    <s v="Apparel/Footwear Retail"/>
    <s v="Europe"/>
    <x v="51"/>
    <n v="94.3"/>
    <n v="22.2"/>
    <n v="3.2"/>
    <n v="18.600000000000001"/>
    <n v="313"/>
    <s v="http://www.forbes.com/companies/inditex/"/>
  </r>
  <r>
    <s v="CaixaBank"/>
    <s v="Financials"/>
    <s v="Regional Banks"/>
    <s v="Europe"/>
    <x v="51"/>
    <n v="33.299999999999997"/>
    <n v="15.9"/>
    <n v="0.7"/>
    <n v="468.8"/>
    <n v="325"/>
    <s v="http://www.forbes.com/companies/caixabank/"/>
  </r>
  <r>
    <s v="Mapfre"/>
    <s v="Financials"/>
    <s v="Diversified Insurance"/>
    <s v="Europe"/>
    <x v="51"/>
    <n v="13.2"/>
    <n v="27.3"/>
    <n v="1"/>
    <n v="74.099999999999994"/>
    <n v="376"/>
    <s v="http://www.forbes.com/companies/mapfre/"/>
  </r>
  <r>
    <s v="Grupo ACS"/>
    <s v="Industrials"/>
    <s v="Construction Services"/>
    <s v="Europe"/>
    <x v="51"/>
    <n v="12.4"/>
    <n v="50.9"/>
    <n v="0.9"/>
    <n v="54.8"/>
    <n v="382"/>
    <s v="http://www.forbes.com/companies/grupo-acs/"/>
  </r>
  <r>
    <s v="Repsol YPF"/>
    <s v="Energy"/>
    <s v="Oil &amp; Gas Operations"/>
    <s v="Europe"/>
    <x v="51"/>
    <n v="33.700000000000003"/>
    <n v="74.7"/>
    <n v="0.3"/>
    <n v="89.7"/>
    <n v="471"/>
    <s v="http://www.forbes.com/companies/repsol-ypf/"/>
  </r>
  <r>
    <s v="Ferrovial"/>
    <s v="Industrials"/>
    <s v="Other Transportation"/>
    <s v="Europe"/>
    <x v="51"/>
    <n v="16.100000000000001"/>
    <n v="10.8"/>
    <n v="1"/>
    <n v="31.4"/>
    <n v="556"/>
    <s v="http://www.forbes.com/companies/ferrovial/"/>
  </r>
  <r>
    <s v="Bankia"/>
    <s v="Financials"/>
    <s v="Regional Banks"/>
    <s v="Europe"/>
    <x v="51"/>
    <n v="24.3"/>
    <n v="5.0999999999999996"/>
    <n v="0.7"/>
    <n v="346.5"/>
    <n v="582"/>
    <s v="http://www.forbes.com/companies/bankia/"/>
  </r>
  <r>
    <s v="Banco Popular Espanol"/>
    <s v="Financials"/>
    <s v="Regional Banks"/>
    <s v="Europe"/>
    <x v="51"/>
    <n v="16.3"/>
    <n v="8.1999999999999993"/>
    <n v="0.4"/>
    <n v="203.7"/>
    <n v="605"/>
    <s v="http://www.forbes.com/companies/banco-popular-espanol/"/>
  </r>
  <r>
    <s v="Abertis"/>
    <s v="Industrials"/>
    <s v="Other Transportation"/>
    <s v="Europe"/>
    <x v="51"/>
    <n v="19.7"/>
    <n v="6.2"/>
    <n v="0.8"/>
    <n v="38.799999999999997"/>
    <n v="615"/>
    <s v="http://www.forbes.com/companies/abertis/"/>
  </r>
  <r>
    <s v="Banco de Sabadell"/>
    <s v="Financials"/>
    <s v="Regional Banks"/>
    <s v="Europe"/>
    <x v="51"/>
    <n v="13"/>
    <n v="9.5"/>
    <n v="0.3"/>
    <n v="225.2"/>
    <n v="688"/>
    <s v="http://www.forbes.com/companies/banco-de-sabadell/"/>
  </r>
  <r>
    <s v="Red ElÃƒÂ©ctrica"/>
    <s v="Utilities"/>
    <s v="Electric Utilities"/>
    <s v="Europe"/>
    <x v="51"/>
    <n v="11"/>
    <n v="2.2999999999999998"/>
    <n v="0.7"/>
    <n v="13"/>
    <n v="1158"/>
    <s v="http://www.forbes.com/companies/red-electrica/"/>
  </r>
  <r>
    <s v="Amadeus IT Holdings"/>
    <s v="Information Technology"/>
    <s v="Software &amp; Programming"/>
    <s v="Europe"/>
    <x v="51"/>
    <n v="18.899999999999999"/>
    <n v="4.0999999999999996"/>
    <n v="0.7"/>
    <n v="7.5"/>
    <n v="1173"/>
    <s v="http://www.forbes.com/companies/amadeus-it-holdings/"/>
  </r>
  <r>
    <s v="Bankinter"/>
    <s v="Financials"/>
    <s v="Regional Banks"/>
    <s v="Europe"/>
    <x v="51"/>
    <n v="7.4"/>
    <n v="3"/>
    <n v="0.3"/>
    <n v="76"/>
    <n v="1263"/>
    <s v="http://www.forbes.com/companies/bankinter/"/>
  </r>
  <r>
    <s v="Abengoa"/>
    <s v="Industrials"/>
    <s v="Construction Services"/>
    <s v="Europe"/>
    <x v="51"/>
    <n v="4"/>
    <n v="9.8000000000000007"/>
    <n v="0.1"/>
    <n v="29.1"/>
    <n v="1330"/>
    <s v="http://www.forbes.com/companies/abengoa/"/>
  </r>
  <r>
    <s v="Acciona"/>
    <s v="Industrials"/>
    <s v="Construction Services"/>
    <s v="Europe"/>
    <x v="51"/>
    <n v="4.9000000000000004"/>
    <n v="8.8000000000000007"/>
    <n v="-2.6"/>
    <n v="23.1"/>
    <n v="1443"/>
    <s v="http://www.forbes.com/companies/acciona/"/>
  </r>
  <r>
    <s v="FCC"/>
    <s v="Industrials"/>
    <s v="Construction Services"/>
    <s v="Europe"/>
    <x v="51"/>
    <n v="2.9"/>
    <n v="8.9"/>
    <n v="-2"/>
    <n v="21.5"/>
    <n v="1470"/>
    <s v="http://www.forbes.com/companies/fcc/"/>
  </r>
  <r>
    <s v="Grifols"/>
    <s v="Health Care"/>
    <s v="Biotechs"/>
    <s v="Europe"/>
    <x v="51"/>
    <n v="13.2"/>
    <n v="3.6"/>
    <n v="0.5"/>
    <n v="8"/>
    <n v="1489"/>
    <s v="http://www.forbes.com/companies/grifols/"/>
  </r>
  <r>
    <s v="Enagas"/>
    <s v="Utilities"/>
    <s v="Natural Gas Utilities"/>
    <s v="Europe"/>
    <x v="51"/>
    <n v="7.3"/>
    <n v="1.7"/>
    <n v="0.5"/>
    <n v="9.9"/>
    <n v="1573"/>
    <s v="http://www.forbes.com/companies/enagas/"/>
  </r>
  <r>
    <s v="DIA"/>
    <s v="Consumer Staples"/>
    <s v="Food Retail"/>
    <s v="Europe"/>
    <x v="51"/>
    <n v="5.9"/>
    <n v="13.1"/>
    <n v="0.3"/>
    <n v="4.5999999999999996"/>
    <n v="1597"/>
    <s v="http://www.forbes.com/companies/dia/"/>
  </r>
  <r>
    <s v="OHL Group"/>
    <s v="Industrials"/>
    <s v="Construction Services"/>
    <s v="Europe"/>
    <x v="51"/>
    <n v="4.4000000000000004"/>
    <n v="4.9000000000000004"/>
    <n v="0.4"/>
    <n v="18.8"/>
    <n v="1608"/>
    <s v="http://www.forbes.com/companies/ohl-group/"/>
  </r>
  <r>
    <s v="Liberbank"/>
    <s v="Financials"/>
    <s v="Regional Banks"/>
    <s v="Europe"/>
    <x v="51"/>
    <n v="1.8"/>
    <n v="2"/>
    <n v="0.1"/>
    <n v="61.4"/>
    <n v="1645"/>
    <s v="http://www.forbes.com/companies/liberbank/"/>
  </r>
  <r>
    <s v="Bolsas &amp; Mercados"/>
    <s v="Financials"/>
    <s v="Investment Services"/>
    <s v="Europe"/>
    <x v="51"/>
    <n v="3.4"/>
    <n v="0.4"/>
    <n v="0.2"/>
    <n v="53.6"/>
    <n v="1678"/>
    <s v="http://www.forbes.com/companies/bolsas-mercados/"/>
  </r>
  <r>
    <s v="Nordea Bank"/>
    <s v="Financials"/>
    <s v="Regional Banks"/>
    <s v="Europe"/>
    <x v="52"/>
    <n v="58"/>
    <n v="25.6"/>
    <n v="4.0999999999999996"/>
    <n v="868.7"/>
    <n v="119"/>
    <s v="http://www.forbes.com/companies/nordea-bank/"/>
  </r>
  <r>
    <s v="Ericsson"/>
    <s v="Information Technology"/>
    <s v="Communications Equipment"/>
    <s v="Europe"/>
    <x v="52"/>
    <n v="43.5"/>
    <n v="34.9"/>
    <n v="1.8"/>
    <n v="41.9"/>
    <n v="235"/>
    <s v="http://www.forbes.com/companies/ericsson/"/>
  </r>
  <r>
    <s v="SEB"/>
    <s v="Financials"/>
    <s v="Major Banks"/>
    <s v="Europe"/>
    <x v="52"/>
    <n v="30.4"/>
    <n v="11.9"/>
    <n v="2.2999999999999998"/>
    <n v="386.9"/>
    <n v="259"/>
    <s v="http://www.forbes.com/companies/seb/"/>
  </r>
  <r>
    <s v="Svenska Handelsbanken"/>
    <s v="Financials"/>
    <s v="Major Banks"/>
    <s v="Europe"/>
    <x v="52"/>
    <n v="32.1"/>
    <n v="10.1"/>
    <n v="2.2000000000000002"/>
    <n v="387.7"/>
    <n v="289"/>
    <s v="http://www.forbes.com/companies/svenska-handelsbanken/"/>
  </r>
  <r>
    <s v="Swedbank"/>
    <s v="Financials"/>
    <s v="Major Banks"/>
    <s v="Europe"/>
    <x v="52"/>
    <n v="29.8"/>
    <n v="10.7"/>
    <n v="2"/>
    <n v="283.5"/>
    <n v="296"/>
    <s v="http://www.forbes.com/companies/swedbank/"/>
  </r>
  <r>
    <s v="Teliasonera"/>
    <s v="Telecommunication Services"/>
    <s v="Telecommunications services"/>
    <s v="Europe"/>
    <x v="52"/>
    <n v="32.9"/>
    <n v="15.6"/>
    <n v="2.2999999999999998"/>
    <n v="39.4"/>
    <n v="316"/>
    <s v="http://www.forbes.com/companies/teliasonera/"/>
  </r>
  <r>
    <s v="Volvo Group"/>
    <s v="Industrials"/>
    <s v="Heavy Equipment"/>
    <s v="Europe"/>
    <x v="52"/>
    <n v="34.700000000000003"/>
    <n v="41.8"/>
    <n v="0.6"/>
    <n v="53.7"/>
    <n v="352"/>
    <s v="http://www.forbes.com/companies/volvo-group/"/>
  </r>
  <r>
    <s v="Investor"/>
    <s v="Financials"/>
    <s v="Investment Services"/>
    <s v="Europe"/>
    <x v="52"/>
    <n v="28.3"/>
    <n v="9.5"/>
    <n v="6.9"/>
    <n v="41.6"/>
    <n v="353"/>
    <s v="http://www.forbes.com/companies/investor/"/>
  </r>
  <r>
    <s v="H&amp;M"/>
    <s v="Consumer Discretionary"/>
    <s v="Apparel/Footwear Retail"/>
    <s v="Europe"/>
    <x v="52"/>
    <n v="70.900000000000006"/>
    <n v="20.3"/>
    <n v="2.7"/>
    <n v="10.3"/>
    <n v="449"/>
    <s v="http://www.forbes.com/companies/hm/"/>
  </r>
  <r>
    <s v="Atlas Copco"/>
    <s v="Industrials"/>
    <s v="Other Industrial Equipment"/>
    <s v="Europe"/>
    <x v="52"/>
    <n v="35.4"/>
    <n v="12.9"/>
    <n v="1.9"/>
    <n v="13.7"/>
    <n v="514"/>
    <s v="http://www.forbes.com/companies/atlas-copco/"/>
  </r>
  <r>
    <s v="SCA"/>
    <s v="Consumer Staples"/>
    <s v="Household/Personal Care"/>
    <s v="Europe"/>
    <x v="52"/>
    <n v="20.8"/>
    <n v="13.7"/>
    <n v="0.9"/>
    <n v="22.2"/>
    <n v="541"/>
    <s v="http://www.forbes.com/companies/sca/"/>
  </r>
  <r>
    <s v="Sandvik"/>
    <s v="Industrials"/>
    <s v="Other Industrial Equipment"/>
    <s v="Europe"/>
    <x v="52"/>
    <n v="18"/>
    <n v="13.4"/>
    <n v="0.8"/>
    <n v="14.6"/>
    <n v="649"/>
    <s v="http://www.forbes.com/companies/sandvik/"/>
  </r>
  <r>
    <s v="Skanska"/>
    <s v="Industrials"/>
    <s v="Construction Services"/>
    <s v="Europe"/>
    <x v="52"/>
    <n v="9.6999999999999993"/>
    <n v="21"/>
    <n v="0.6"/>
    <n v="13.6"/>
    <n v="781"/>
    <s v="http://www.forbes.com/companies/skanska/"/>
  </r>
  <r>
    <s v="Assa Abloy"/>
    <s v="Industrials"/>
    <s v="Other Industrial Equipment"/>
    <s v="Europe"/>
    <x v="52"/>
    <n v="20"/>
    <n v="7.4"/>
    <n v="0.7"/>
    <n v="10.199999999999999"/>
    <n v="864"/>
    <s v="http://www.forbes.com/companies/assa-abloy/"/>
  </r>
  <r>
    <s v="ICA Gruppen"/>
    <s v="Consumer Discretionary"/>
    <s v="Printing &amp; Publishing"/>
    <s v="Europe"/>
    <x v="52"/>
    <n v="7.4"/>
    <n v="11.9"/>
    <n v="1.6"/>
    <n v="10.7"/>
    <n v="870"/>
    <s v="http://www.forbes.com/companies/ica-gruppen/"/>
  </r>
  <r>
    <s v="Industrivarden"/>
    <s v="Financials"/>
    <s v="Investment Services"/>
    <s v="Europe"/>
    <x v="52"/>
    <n v="8"/>
    <n v="1.8"/>
    <n v="1.9"/>
    <n v="12.4"/>
    <n v="1118"/>
    <s v="http://www.forbes.com/companies/industrivarden/"/>
  </r>
  <r>
    <s v="Kinnevik"/>
    <s v="Financials"/>
    <s v="Investment Services"/>
    <s v="Europe"/>
    <x v="52"/>
    <n v="10.199999999999999"/>
    <n v="0.2"/>
    <n v="1.3"/>
    <n v="10.5"/>
    <n v="1137"/>
    <s v="http://www.forbes.com/companies/kinnevik/"/>
  </r>
  <r>
    <s v="Autoliv"/>
    <s v="Consumer Discretionary"/>
    <s v="Auto &amp; Truck Parts"/>
    <s v="Europe"/>
    <x v="52"/>
    <n v="9.5"/>
    <n v="8.8000000000000007"/>
    <n v="0.5"/>
    <n v="7"/>
    <n v="1176"/>
    <s v="http://www.forbes.com/companies/autoliv/"/>
  </r>
  <r>
    <s v="SKF Group"/>
    <s v="Industrials"/>
    <s v="Other Industrial Equipment"/>
    <s v="Europe"/>
    <x v="52"/>
    <n v="11.7"/>
    <n v="9.8000000000000007"/>
    <n v="0.1"/>
    <n v="11.1"/>
    <n v="1264"/>
    <s v="http://www.forbes.com/companies/skf-group/"/>
  </r>
  <r>
    <s v="Electrolux Group"/>
    <s v="Consumer Discretionary"/>
    <s v="Household Appliances"/>
    <s v="Europe"/>
    <x v="52"/>
    <n v="6.3"/>
    <n v="16.8"/>
    <n v="0.1"/>
    <n v="11.8"/>
    <n v="1351"/>
    <s v="http://www.forbes.com/companies/electrolux-group/"/>
  </r>
  <r>
    <s v="Tele2"/>
    <s v="Telecommunication Services"/>
    <s v="Telecommunications services"/>
    <s v="Europe"/>
    <x v="52"/>
    <n v="5.5"/>
    <n v="4.5999999999999996"/>
    <n v="2.2000000000000002"/>
    <n v="6.2"/>
    <n v="1416"/>
    <s v="http://www.forbes.com/companies/tele2/"/>
  </r>
  <r>
    <s v="Alfa Laval"/>
    <s v="Industrials"/>
    <s v="Other Industrial Equipment"/>
    <s v="Europe"/>
    <x v="52"/>
    <n v="11.5"/>
    <n v="4.5999999999999996"/>
    <n v="0.5"/>
    <n v="5.4"/>
    <n v="1456"/>
    <s v="http://www.forbes.com/companies/alfa-laval/"/>
  </r>
  <r>
    <s v="Hexagon"/>
    <s v="Industrials"/>
    <s v="Other Industrial Equipment"/>
    <s v="Europe"/>
    <x v="52"/>
    <n v="12.3"/>
    <n v="3.2"/>
    <n v="0.5"/>
    <n v="7.5"/>
    <n v="1486"/>
    <s v="http://www.forbes.com/companies/hexagon/"/>
  </r>
  <r>
    <s v="Lundbergs"/>
    <s v="Financials"/>
    <s v="Real Estate"/>
    <s v="Europe"/>
    <x v="52"/>
    <n v="5.9"/>
    <n v="3.1"/>
    <n v="0.5"/>
    <n v="15"/>
    <n v="1566"/>
    <s v="http://www.forbes.com/companies/lundbergs/"/>
  </r>
  <r>
    <s v="Securitas"/>
    <s v="Consumer Discretionary"/>
    <s v="Business &amp; Personal Services"/>
    <s v="Europe"/>
    <x v="52"/>
    <n v="4.3"/>
    <n v="10.1"/>
    <n v="0.3"/>
    <n v="5.8"/>
    <n v="1920"/>
    <s v="http://www.forbes.com/companies/securitas/"/>
  </r>
  <r>
    <s v="NCC Group"/>
    <s v="Industrials"/>
    <s v="Construction Services"/>
    <s v="Europe"/>
    <x v="52"/>
    <n v="4"/>
    <n v="8.9"/>
    <n v="0.3"/>
    <n v="6"/>
    <n v="1939"/>
    <s v="http://www.forbes.com/companies/ncc-group/"/>
  </r>
  <r>
    <s v="Nestle"/>
    <s v="Consumer Staples"/>
    <s v="Food Processing"/>
    <s v="Europe"/>
    <x v="53"/>
    <n v="239.6"/>
    <n v="99.4"/>
    <n v="10.8"/>
    <n v="135.4"/>
    <n v="36"/>
    <s v="http://www.forbes.com/companies/nestle/"/>
  </r>
  <r>
    <s v="Novartis"/>
    <s v="Health Care"/>
    <s v="Pharmaceuticals"/>
    <s v="Europe"/>
    <x v="53"/>
    <n v="227.4"/>
    <n v="57.9"/>
    <n v="9.1999999999999993"/>
    <n v="126.3"/>
    <n v="54"/>
    <s v="http://www.forbes.com/companies/novartis/"/>
  </r>
  <r>
    <s v="UBS"/>
    <s v="Financials"/>
    <s v="Investment Services"/>
    <s v="Europe"/>
    <x v="53"/>
    <n v="81"/>
    <n v="39.700000000000003"/>
    <n v="3.4"/>
    <n v="1135.5"/>
    <n v="79"/>
    <s v="http://www.forbes.com/companies/ubs/"/>
  </r>
  <r>
    <s v="Zurich Insurance Group"/>
    <s v="Financials"/>
    <s v="Diversified Insurance"/>
    <s v="Europe"/>
    <x v="53"/>
    <n v="45.8"/>
    <n v="71.900000000000006"/>
    <n v="4"/>
    <n v="397.1"/>
    <n v="84"/>
    <s v="http://www.forbes.com/companies/zurich-insurance-group/"/>
  </r>
  <r>
    <s v="Roche Holding"/>
    <s v="Health Care"/>
    <s v="Pharmaceuticals"/>
    <s v="Europe"/>
    <x v="53"/>
    <n v="253.7"/>
    <n v="50.5"/>
    <n v="12"/>
    <n v="69.900000000000006"/>
    <n v="90"/>
    <s v="http://www.forbes.com/companies/roche-holding/"/>
  </r>
  <r>
    <s v="Credit Suisse Group"/>
    <s v="Financials"/>
    <s v="Investment Services"/>
    <s v="Europe"/>
    <x v="53"/>
    <n v="52.3"/>
    <n v="39.5"/>
    <n v="2.8"/>
    <n v="981.2"/>
    <n v="112"/>
    <s v="http://www.forbes.com/companies/credit-suisse-group/"/>
  </r>
  <r>
    <s v="Swiss Re"/>
    <s v="Financials"/>
    <s v="Diversified Insurance"/>
    <s v="Europe"/>
    <x v="53"/>
    <n v="34.700000000000003"/>
    <n v="36.799999999999997"/>
    <n v="4.4000000000000004"/>
    <n v="205.2"/>
    <n v="132"/>
    <s v="http://www.forbes.com/companies/swiss-re/"/>
  </r>
  <r>
    <s v="ABB"/>
    <s v="Industrials"/>
    <s v="Conglomerates"/>
    <s v="Europe"/>
    <x v="53"/>
    <n v="60"/>
    <n v="41.8"/>
    <n v="2.8"/>
    <n v="48.4"/>
    <n v="169"/>
    <s v="http://www.forbes.com/companies/abb/"/>
  </r>
  <r>
    <s v="ACE"/>
    <s v="Financials"/>
    <s v="Diversified Insurance"/>
    <s v="Europe"/>
    <x v="53"/>
    <n v="33.4"/>
    <n v="18.899999999999999"/>
    <n v="3.8"/>
    <n v="96.3"/>
    <n v="201"/>
    <s v="http://www.forbes.com/companies/ace/"/>
  </r>
  <r>
    <s v="Holcim"/>
    <s v="Materials"/>
    <s v="Construction Materials"/>
    <s v="Europe"/>
    <x v="53"/>
    <n v="27.3"/>
    <n v="21.3"/>
    <n v="1.4"/>
    <n v="42.7"/>
    <n v="328"/>
    <s v="http://www.forbes.com/companies/holcim/"/>
  </r>
  <r>
    <s v="Richemont"/>
    <s v="Consumer Discretionary"/>
    <s v="Specialty Stores"/>
    <s v="Europe"/>
    <x v="53"/>
    <n v="54.3"/>
    <n v="13.6"/>
    <n v="2.8"/>
    <n v="21.1"/>
    <n v="371"/>
    <s v="http://www.forbes.com/companies/richemont/"/>
  </r>
  <r>
    <s v="Glencore International"/>
    <s v="Materials"/>
    <s v="Diversified Metals &amp; Mining"/>
    <s v="Europe"/>
    <x v="53"/>
    <n v="67.5"/>
    <n v="232.6"/>
    <n v="-7.5"/>
    <n v="154.9"/>
    <n v="406"/>
    <s v="http://www.forbes.com/companies/glencore-international/"/>
  </r>
  <r>
    <s v="Syngenta"/>
    <s v="Materials"/>
    <s v="Specialized Chemicals"/>
    <s v="Europe"/>
    <x v="53"/>
    <n v="34.6"/>
    <n v="14.7"/>
    <n v="1.7"/>
    <n v="20.2"/>
    <n v="419"/>
    <s v="http://www.forbes.com/companies/syngenta/"/>
  </r>
  <r>
    <s v="Swisscom"/>
    <s v="Telecommunication Services"/>
    <s v="Telecommunications services"/>
    <s v="Europe"/>
    <x v="53"/>
    <n v="31.3"/>
    <n v="12.3"/>
    <n v="1.8"/>
    <n v="23"/>
    <n v="427"/>
    <s v="http://www.forbes.com/companies/swisscom/"/>
  </r>
  <r>
    <s v="Swiss Life Holding"/>
    <s v="Financials"/>
    <s v="Life &amp; Health Insurance"/>
    <s v="Europe"/>
    <x v="53"/>
    <n v="7.9"/>
    <n v="20.2"/>
    <n v="0.8"/>
    <n v="191.3"/>
    <n v="480"/>
    <s v="http://www.forbes.com/companies/swiss-life-holding/"/>
  </r>
  <r>
    <s v="TE Connectivity"/>
    <s v="Information Technology"/>
    <s v="Electronics"/>
    <s v="Europe"/>
    <x v="53"/>
    <n v="24.7"/>
    <n v="13.5"/>
    <n v="1.4"/>
    <n v="18.399999999999999"/>
    <n v="498"/>
    <s v="http://www.forbes.com/companies/te-connectivity/"/>
  </r>
  <r>
    <s v="Transocean"/>
    <s v="Energy"/>
    <s v="Oil Services &amp; Equipment"/>
    <s v="Europe"/>
    <x v="53"/>
    <n v="14.9"/>
    <n v="9.5"/>
    <n v="1.4"/>
    <n v="32.5"/>
    <n v="549"/>
    <s v="http://www.forbes.com/companies/transocean/"/>
  </r>
  <r>
    <s v="Swatch Group"/>
    <s v="Consumer Discretionary"/>
    <s v="Apparel/Accessories"/>
    <s v="Europe"/>
    <x v="53"/>
    <n v="33.6"/>
    <n v="9.1"/>
    <n v="2.1"/>
    <n v="11.3"/>
    <n v="606"/>
    <s v="http://www.forbes.com/companies/swatch-group/"/>
  </r>
  <r>
    <s v="Adecco"/>
    <s v="Consumer Discretionary"/>
    <s v="Business &amp; Personal Services"/>
    <s v="Europe"/>
    <x v="53"/>
    <n v="16"/>
    <n v="25.9"/>
    <n v="0.7"/>
    <n v="12.7"/>
    <n v="627"/>
    <s v="http://www.forbes.com/companies/adecco/"/>
  </r>
  <r>
    <s v="Wolseley"/>
    <s v="Materials"/>
    <s v="Construction Materials"/>
    <s v="Europe"/>
    <x v="53"/>
    <n v="15.2"/>
    <n v="21"/>
    <n v="0.6"/>
    <n v="10.9"/>
    <n v="731"/>
    <s v="http://www.forbes.com/companies/wolseley/"/>
  </r>
  <r>
    <s v="Tyco International"/>
    <s v="Industrials"/>
    <s v="Security Systems"/>
    <s v="Europe"/>
    <x v="53"/>
    <n v="19.8"/>
    <n v="10.7"/>
    <n v="0.6"/>
    <n v="12"/>
    <n v="778"/>
    <s v="http://www.forbes.com/companies/tyco-international/"/>
  </r>
  <r>
    <s v="Kuehne + Nagel"/>
    <s v="Industrials"/>
    <s v="Other Transportation"/>
    <s v="Europe"/>
    <x v="53"/>
    <n v="16.899999999999999"/>
    <n v="22.6"/>
    <n v="0.6"/>
    <n v="6.9"/>
    <n v="785"/>
    <s v="http://www.forbes.com/companies/kuehne-plus-nagel/"/>
  </r>
  <r>
    <s v="BÃƒÂ¢loise Group"/>
    <s v="Financials"/>
    <s v="Diversified Insurance"/>
    <s v="Europe"/>
    <x v="53"/>
    <n v="6"/>
    <n v="10.4"/>
    <n v="0.5"/>
    <n v="84.7"/>
    <n v="807"/>
    <s v="http://www.forbes.com/companies/baloise-group/"/>
  </r>
  <r>
    <s v="Weatherford International"/>
    <s v="Energy"/>
    <s v="Oil Services &amp; Equipment"/>
    <s v="Europe"/>
    <x v="53"/>
    <n v="13.5"/>
    <n v="15.3"/>
    <n v="-0.3"/>
    <n v="22"/>
    <n v="887"/>
    <s v="http://www.forbes.com/companies/weatherford-international/"/>
  </r>
  <r>
    <s v="Pentair"/>
    <s v="Industrials"/>
    <s v="Other Industrial Equipment"/>
    <s v="Europe"/>
    <x v="53"/>
    <n v="15.8"/>
    <n v="7.5"/>
    <n v="0.5"/>
    <n v="11.7"/>
    <n v="946"/>
    <s v="http://www.forbes.com/companies/pentair/"/>
  </r>
  <r>
    <s v="Schindler Holding"/>
    <s v="Industrials"/>
    <s v="Other Industrial Equipment"/>
    <s v="Europe"/>
    <x v="53"/>
    <n v="17.100000000000001"/>
    <n v="9.5"/>
    <n v="0.5"/>
    <n v="8.8000000000000007"/>
    <n v="992"/>
    <s v="http://www.forbes.com/companies/schindler-holding/"/>
  </r>
  <r>
    <s v="SGS"/>
    <s v="Consumer Discretionary"/>
    <s v="Business &amp; Personal Services"/>
    <s v="Europe"/>
    <x v="53"/>
    <n v="18.899999999999999"/>
    <n v="6.3"/>
    <n v="0.6"/>
    <n v="5.7"/>
    <n v="1025"/>
    <s v="http://www.forbes.com/companies/sgs/"/>
  </r>
  <r>
    <s v="Helvetia Holding"/>
    <s v="Financials"/>
    <s v="Diversified Insurance"/>
    <s v="Europe"/>
    <x v="53"/>
    <n v="4.5"/>
    <n v="9.1"/>
    <n v="0.4"/>
    <n v="49.6"/>
    <n v="1048"/>
    <s v="http://www.forbes.com/companies/helvetia-holding/"/>
  </r>
  <r>
    <s v="Noble"/>
    <s v="Energy"/>
    <s v="Oil Services &amp; Equipment"/>
    <s v="Europe"/>
    <x v="53"/>
    <n v="8.1"/>
    <n v="4.2"/>
    <n v="0.8"/>
    <n v="16.2"/>
    <n v="1140"/>
    <s v="http://www.forbes.com/companies/noble/"/>
  </r>
  <r>
    <s v="Julius Baer Group"/>
    <s v="Financials"/>
    <s v="Investment Services"/>
    <s v="Europe"/>
    <x v="53"/>
    <n v="9.6"/>
    <n v="2.7"/>
    <n v="0.2"/>
    <n v="81.5"/>
    <n v="1202"/>
    <s v="http://www.forbes.com/companies/julius-baer-group/"/>
  </r>
  <r>
    <s v="Givaudan"/>
    <s v="Materials"/>
    <s v="Specialized Chemicals"/>
    <s v="Europe"/>
    <x v="53"/>
    <n v="14.3"/>
    <n v="4.7"/>
    <n v="0.5"/>
    <n v="7"/>
    <n v="1307"/>
    <s v="http://www.forbes.com/companies/givaudan/"/>
  </r>
  <r>
    <s v="Coca-Cola HBC"/>
    <s v="Consumer Staples"/>
    <s v="Beverages"/>
    <s v="Europe"/>
    <x v="53"/>
    <n v="9.1"/>
    <n v="9.1"/>
    <n v="0.3"/>
    <n v="10"/>
    <n v="1337"/>
    <s v="http://www.forbes.com/companies/coca-cola-hbc/"/>
  </r>
  <r>
    <s v="Garmin"/>
    <s v="Consumer Discretionary"/>
    <s v="Consumer Electronics"/>
    <s v="Europe"/>
    <x v="53"/>
    <n v="11.6"/>
    <n v="2.6"/>
    <n v="0.6"/>
    <n v="4.9000000000000004"/>
    <n v="1407"/>
    <s v="http://www.forbes.com/companies/garmin/"/>
  </r>
  <r>
    <s v="Sika"/>
    <s v="Materials"/>
    <s v="Construction Materials"/>
    <s v="Europe"/>
    <x v="53"/>
    <n v="10.199999999999999"/>
    <n v="5.5"/>
    <n v="0.4"/>
    <n v="5.3"/>
    <n v="1495"/>
    <s v="http://www.forbes.com/companies/sika/"/>
  </r>
  <r>
    <s v="Geberit"/>
    <s v="Materials"/>
    <s v="Construction Materials"/>
    <s v="Europe"/>
    <x v="53"/>
    <n v="12.5"/>
    <n v="2.2000000000000002"/>
    <n v="0.5"/>
    <n v="2.5"/>
    <n v="1503"/>
    <s v="http://www.forbes.com/companies/geberit/"/>
  </r>
  <r>
    <s v="Actelion"/>
    <s v="Health Care"/>
    <s v="Pharmaceuticals"/>
    <s v="Europe"/>
    <x v="53"/>
    <n v="10.9"/>
    <n v="1.9"/>
    <n v="0.5"/>
    <n v="3.4"/>
    <n v="1526"/>
    <s v="http://www.forbes.com/companies/actelion/"/>
  </r>
  <r>
    <s v="Alpiq Holding"/>
    <s v="Utilities"/>
    <s v="Electric Utilities"/>
    <s v="Europe"/>
    <x v="53"/>
    <n v="3.8"/>
    <n v="10.1"/>
    <n v="0"/>
    <n v="16.3"/>
    <n v="1532"/>
    <s v="http://www.forbes.com/companies/alpiq-holding/"/>
  </r>
  <r>
    <s v="BCV Group"/>
    <s v="Financials"/>
    <s v="Regional Banks"/>
    <s v="Europe"/>
    <x v="53"/>
    <n v="5"/>
    <n v="1.4"/>
    <n v="0.3"/>
    <n v="45.5"/>
    <n v="1548"/>
    <s v="http://www.forbes.com/companies/bcv-group/"/>
  </r>
  <r>
    <s v="STMicroelectronics"/>
    <s v="Information Technology"/>
    <s v="Semiconductors"/>
    <s v="Europe"/>
    <x v="53"/>
    <n v="8.3000000000000007"/>
    <n v="8.1"/>
    <n v="-0.5"/>
    <n v="9.1999999999999993"/>
    <n v="1581"/>
    <s v="http://www.forbes.com/companies/stmicroelectronics/"/>
  </r>
  <r>
    <s v="Lindt &amp; Sprungli"/>
    <s v="Consumer Staples"/>
    <s v="Food Processing"/>
    <s v="Europe"/>
    <x v="53"/>
    <n v="13.2"/>
    <n v="3.1"/>
    <n v="0.3"/>
    <n v="4.4000000000000004"/>
    <n v="1700"/>
    <s v="http://www.forbes.com/companies/lindt-sprungli/"/>
  </r>
  <r>
    <s v="Basler Kantonalbank"/>
    <s v="Financials"/>
    <s v="Regional Banks"/>
    <s v="Europe"/>
    <x v="53"/>
    <n v="2.6"/>
    <n v="0.9"/>
    <n v="0.1"/>
    <n v="44.1"/>
    <n v="1750"/>
    <s v="http://www.forbes.com/companies/basler-kantonalbank/"/>
  </r>
  <r>
    <s v="Luzerner Kantonalbank"/>
    <s v="Financials"/>
    <s v="Regional Banks"/>
    <s v="Europe"/>
    <x v="53"/>
    <n v="3.5"/>
    <n v="0.7"/>
    <n v="0.2"/>
    <n v="32"/>
    <n v="1880"/>
    <s v="http://www.forbes.com/companies/luzerner-kantonalbank/"/>
  </r>
  <r>
    <s v="St Galler Kantonalbank"/>
    <s v="Financials"/>
    <s v="Regional Banks"/>
    <s v="Europe"/>
    <x v="53"/>
    <n v="2.2999999999999998"/>
    <n v="0.7"/>
    <n v="0.1"/>
    <n v="31.3"/>
    <n v="1887"/>
    <s v="http://www.forbes.com/companies/st-galler-kantonalbank/"/>
  </r>
  <r>
    <s v="BEKB-BCBE"/>
    <s v="Financials"/>
    <s v="Regional Banks"/>
    <s v="Europe"/>
    <x v="53"/>
    <n v="2.2000000000000002"/>
    <n v="0.7"/>
    <n v="0.1"/>
    <n v="30"/>
    <n v="1908"/>
    <s v="http://www.forbes.com/companies/bekb-bcbe/"/>
  </r>
  <r>
    <s v="Aryzta"/>
    <s v="Consumer Staples"/>
    <s v="Food Processing"/>
    <s v="Europe"/>
    <x v="53"/>
    <n v="8.1"/>
    <n v="6"/>
    <n v="0.1"/>
    <n v="7.6"/>
    <n v="1912"/>
    <s v="http://www.forbes.com/companies/aryzta/"/>
  </r>
  <r>
    <s v="EMS-Chemie Holding"/>
    <s v="Materials"/>
    <s v="Specialized Chemicals"/>
    <s v="Europe"/>
    <x v="53"/>
    <n v="8.8000000000000007"/>
    <n v="2"/>
    <n v="0.4"/>
    <n v="1.8"/>
    <n v="1918"/>
    <s v="http://www.forbes.com/companies/ems-chemie-holding/"/>
  </r>
  <r>
    <s v="Valiant Holding"/>
    <s v="Financials"/>
    <s v="Regional Banks"/>
    <s v="Europe"/>
    <x v="53"/>
    <n v="1.6"/>
    <n v="0.6"/>
    <n v="0.1"/>
    <n v="28.6"/>
    <n v="1932"/>
    <s v="http://www.forbes.com/companies/valiant-holding/"/>
  </r>
  <r>
    <s v="Clariant"/>
    <s v="Materials"/>
    <s v="Specialized Chemicals"/>
    <s v="Europe"/>
    <x v="53"/>
    <n v="6.3"/>
    <n v="6.6"/>
    <n v="0"/>
    <n v="9.1999999999999993"/>
    <n v="1980"/>
    <s v="http://www.forbes.com/companies/clariant/"/>
  </r>
  <r>
    <s v="Hon Hai Precision"/>
    <s v="Information Technology"/>
    <s v="Electronics"/>
    <s v="Asia"/>
    <x v="54"/>
    <n v="37.299999999999997"/>
    <n v="127.2"/>
    <n v="3.4"/>
    <n v="68.2"/>
    <n v="139"/>
    <s v="http://www.forbes.com/companies/hon-hai-precision/"/>
  </r>
  <r>
    <s v="Taiwan Semiconductor"/>
    <s v="Information Technology"/>
    <s v="Semiconductors"/>
    <s v="Asia"/>
    <x v="54"/>
    <n v="102"/>
    <n v="20.100000000000001"/>
    <n v="6.3"/>
    <n v="42.4"/>
    <n v="190"/>
    <s v="http://www.forbes.com/companies/taiwan-semiconductor/"/>
  </r>
  <r>
    <s v="Cathay Financial"/>
    <s v="Financials"/>
    <s v="Life &amp; Health Insurance"/>
    <s v="Asia"/>
    <x v="54"/>
    <n v="17.100000000000001"/>
    <n v="11"/>
    <n v="1"/>
    <n v="199.3"/>
    <n v="400"/>
    <s v="http://www.forbes.com/companies/cathay-financial/"/>
  </r>
  <r>
    <s v="Fubon Financial"/>
    <s v="Financials"/>
    <s v="Investment Services"/>
    <s v="Asia"/>
    <x v="54"/>
    <n v="13.9"/>
    <n v="12.5"/>
    <n v="1.1000000000000001"/>
    <n v="149.1"/>
    <n v="411"/>
    <s v="http://www.forbes.com/companies/fubon-financial/"/>
  </r>
  <r>
    <s v="Formosa Petrochemical"/>
    <s v="Energy"/>
    <s v="Oil &amp; Gas Operations"/>
    <s v="Asia"/>
    <x v="54"/>
    <n v="24.3"/>
    <n v="31.4"/>
    <n v="0.7"/>
    <n v="17.3"/>
    <n v="495"/>
    <s v="http://www.forbes.com/companies/formosa-petrochemical/"/>
  </r>
  <r>
    <s v="Formosa Chemicals"/>
    <s v="Materials"/>
    <s v="Specialized Chemicals"/>
    <s v="Asia"/>
    <x v="54"/>
    <n v="14.1"/>
    <n v="14.5"/>
    <n v="0.9"/>
    <n v="17.399999999999999"/>
    <n v="619"/>
    <s v="http://www.forbes.com/companies/formosa-chemicals/"/>
  </r>
  <r>
    <s v="Quanta Computer"/>
    <s v="Information Technology"/>
    <s v="Computer Hardware"/>
    <s v="Asia"/>
    <x v="54"/>
    <n v="10.3"/>
    <n v="29.7"/>
    <n v="0.6"/>
    <n v="18.600000000000001"/>
    <n v="634"/>
    <s v="http://www.forbes.com/companies/quanta-computer/"/>
  </r>
  <r>
    <s v="Chunghwa Telecom"/>
    <s v="Telecommunication Services"/>
    <s v="Telecommunications services"/>
    <s v="Asia"/>
    <x v="54"/>
    <n v="23.9"/>
    <n v="7.7"/>
    <n v="1.3"/>
    <n v="14.3"/>
    <n v="657"/>
    <s v="http://www.forbes.com/companies/chunghwa-telecom/"/>
  </r>
  <r>
    <s v="China Steel"/>
    <s v="Materials"/>
    <s v="Iron &amp; Steel"/>
    <s v="Asia"/>
    <x v="54"/>
    <n v="12.9"/>
    <n v="11.7"/>
    <n v="0.6"/>
    <n v="22.9"/>
    <n v="696"/>
    <s v="http://www.forbes.com/companies/china-steel/"/>
  </r>
  <r>
    <s v="Nan Ya Plastics"/>
    <s v="Materials"/>
    <s v="Diversified Chemicals"/>
    <s v="Asia"/>
    <x v="54"/>
    <n v="16.7"/>
    <n v="10.199999999999999"/>
    <n v="0.7"/>
    <n v="17.399999999999999"/>
    <n v="702"/>
    <s v="http://www.forbes.com/companies/nan-ya-plastics/"/>
  </r>
  <r>
    <s v="Chinatrust Financial"/>
    <s v="Financials"/>
    <s v="Consumer Financial Services"/>
    <s v="Asia"/>
    <x v="54"/>
    <n v="9.5"/>
    <n v="5.3"/>
    <n v="0.7"/>
    <n v="81.400000000000006"/>
    <n v="755"/>
    <s v="http://www.forbes.com/companies/chinatrust-financial/"/>
  </r>
  <r>
    <s v="Mega Financial Holding"/>
    <s v="Financials"/>
    <s v="Investment Services"/>
    <s v="Asia"/>
    <x v="54"/>
    <n v="9.6"/>
    <n v="2.4"/>
    <n v="0.7"/>
    <n v="95.4"/>
    <n v="832"/>
    <s v="http://www.forbes.com/companies/mega-financial-holding/"/>
  </r>
  <r>
    <s v="Formosa Plastics"/>
    <s v="Materials"/>
    <s v="Specialized Chemicals"/>
    <s v="Asia"/>
    <x v="54"/>
    <n v="16"/>
    <n v="7.3"/>
    <n v="0.7"/>
    <n v="13.4"/>
    <n v="844"/>
    <s v="http://www.forbes.com/companies/formosa-plastics/"/>
  </r>
  <r>
    <s v="Uni-President"/>
    <s v="Consumer Staples"/>
    <s v="Food Processing"/>
    <s v="Asia"/>
    <x v="54"/>
    <n v="8.8000000000000007"/>
    <n v="14.5"/>
    <n v="0.5"/>
    <n v="12.4"/>
    <n v="956"/>
    <s v="http://www.forbes.com/companies/uni-president/"/>
  </r>
  <r>
    <s v="Asustek Computer"/>
    <s v="Information Technology"/>
    <s v="Computer Hardware"/>
    <s v="Asia"/>
    <x v="54"/>
    <n v="7.5"/>
    <n v="15.5"/>
    <n v="0.7"/>
    <n v="9.1"/>
    <n v="968"/>
    <s v="http://www.forbes.com/companies/asustek-computer/"/>
  </r>
  <r>
    <s v="Mediatek"/>
    <s v="Information Technology"/>
    <s v="Semiconductors"/>
    <s v="Asia"/>
    <x v="54"/>
    <n v="24"/>
    <n v="4.5999999999999996"/>
    <n v="0.9"/>
    <n v="8.6999999999999993"/>
    <n v="1029"/>
    <s v="http://www.forbes.com/companies/mediatek/"/>
  </r>
  <r>
    <s v="Shin Kong Financial"/>
    <s v="Financials"/>
    <s v="Life &amp; Health Insurance"/>
    <s v="Asia"/>
    <x v="54"/>
    <n v="3"/>
    <n v="8.5"/>
    <n v="0.4"/>
    <n v="83.2"/>
    <n v="1037"/>
    <s v="http://www.forbes.com/companies/shin-kong-financial/"/>
  </r>
  <r>
    <s v="Taishin Financial Holdings"/>
    <s v="Financials"/>
    <s v="Investment Services"/>
    <s v="Asia"/>
    <x v="54"/>
    <n v="3.6"/>
    <n v="2.5"/>
    <n v="0.6"/>
    <n v="95.9"/>
    <n v="1114"/>
    <s v="http://www.forbes.com/companies/taishin-financial-holdings/"/>
  </r>
  <r>
    <s v="Delta Electronics"/>
    <s v="Information Technology"/>
    <s v="Electronics"/>
    <s v="Asia"/>
    <x v="54"/>
    <n v="14.9"/>
    <n v="5.8"/>
    <n v="0.5"/>
    <n v="6.3"/>
    <n v="1165"/>
    <s v="http://www.forbes.com/companies/delta-electronics/"/>
  </r>
  <r>
    <s v="Advanced Semiconductor"/>
    <s v="Information Technology"/>
    <s v="Semiconductors"/>
    <s v="Asia"/>
    <x v="54"/>
    <n v="8.6"/>
    <n v="7.4"/>
    <n v="0.5"/>
    <n v="9.6"/>
    <n v="1169"/>
    <s v="http://www.forbes.com/companies/advanced-semiconductor/"/>
  </r>
  <r>
    <s v="Pegatron"/>
    <s v="Information Technology"/>
    <s v="Electronics"/>
    <s v="Asia"/>
    <x v="54"/>
    <n v="3.5"/>
    <n v="32.200000000000003"/>
    <n v="0.3"/>
    <n v="13.9"/>
    <n v="1205"/>
    <s v="http://www.forbes.com/companies/pegatron/"/>
  </r>
  <r>
    <s v="First Financial Holding"/>
    <s v="Financials"/>
    <s v="Investment Services"/>
    <s v="Asia"/>
    <x v="54"/>
    <n v="5.5"/>
    <n v="1.6"/>
    <n v="0.4"/>
    <n v="76.099999999999994"/>
    <n v="1295"/>
    <s v="http://www.forbes.com/companies/first-financial-holding/"/>
  </r>
  <r>
    <s v="Cheng Shin Rubber Industry Co."/>
    <s v="Consumer Discretionary"/>
    <s v="Auto &amp; Truck Parts"/>
    <s v="Asia"/>
    <x v="54"/>
    <n v="10.7"/>
    <n v="4.5"/>
    <n v="0.6"/>
    <n v="5.4"/>
    <n v="1375"/>
    <s v="http://www.forbes.com/companies/cheng-shin-rubber-industry/"/>
  </r>
  <r>
    <s v="Innolux"/>
    <s v="Information Technology"/>
    <s v="Computer Hardware"/>
    <s v="Asia"/>
    <x v="54"/>
    <n v="3.2"/>
    <n v="14.2"/>
    <n v="0.2"/>
    <n v="17.100000000000001"/>
    <n v="1385"/>
    <s v="http://www.forbes.com/companies/innolux/"/>
  </r>
  <r>
    <s v="AU Optronics"/>
    <s v="Information Technology"/>
    <s v="Electronics"/>
    <s v="Asia"/>
    <x v="54"/>
    <n v="3.5"/>
    <n v="14"/>
    <n v="0.1"/>
    <n v="16.5"/>
    <n v="1401"/>
    <s v="http://www.forbes.com/companies/au-optronics/"/>
  </r>
  <r>
    <s v="Hua Nan Financial"/>
    <s v="Financials"/>
    <s v="Consumer Financial Services"/>
    <s v="Asia"/>
    <x v="54"/>
    <n v="5.2"/>
    <n v="1.5"/>
    <n v="0.3"/>
    <n v="71.099999999999994"/>
    <n v="1463"/>
    <s v="http://www.forbes.com/companies/hua-nan-financial/"/>
  </r>
  <r>
    <s v="SinoPac Financial"/>
    <s v="Financials"/>
    <s v="Consumer Financial Services"/>
    <s v="Asia"/>
    <x v="54"/>
    <n v="4"/>
    <n v="1.4"/>
    <n v="0.4"/>
    <n v="48.3"/>
    <n v="1465"/>
    <s v="http://www.forbes.com/companies/sinopac-financial/"/>
  </r>
  <r>
    <s v="China Life Insurance (Taiwan)"/>
    <s v="Financials"/>
    <s v="Life &amp; Health Insurance"/>
    <s v="Asia"/>
    <x v="54"/>
    <n v="2.5"/>
    <n v="6.8"/>
    <n v="0.2"/>
    <n v="30.8"/>
    <n v="1473"/>
    <s v="http://www.forbes.com/companies/china-life-insurance-taiwan/"/>
  </r>
  <r>
    <s v="Compal Electronics"/>
    <s v="Information Technology"/>
    <s v="Computer Hardware"/>
    <s v="Asia"/>
    <x v="54"/>
    <n v="3.1"/>
    <n v="23.1"/>
    <n v="0.1"/>
    <n v="10.7"/>
    <n v="1492"/>
    <s v="http://www.forbes.com/companies/compal-electronics/"/>
  </r>
  <r>
    <s v="Taiwan Mobile"/>
    <s v="Telecommunication Services"/>
    <s v="Telecommunications services"/>
    <s v="Asia"/>
    <x v="54"/>
    <n v="10.8"/>
    <n v="3.7"/>
    <n v="0.5"/>
    <n v="4.5999999999999996"/>
    <n v="1504"/>
    <s v="http://www.forbes.com/companies/taiwan-mobile/"/>
  </r>
  <r>
    <s v="Taiwan Cooperative Financial"/>
    <s v="Financials"/>
    <s v="Consumer Financial Services"/>
    <s v="Asia"/>
    <x v="54"/>
    <n v="4.5999999999999996"/>
    <n v="2"/>
    <n v="0.3"/>
    <n v="101.9"/>
    <n v="1521"/>
    <s v="http://www.forbes.com/companies/taiwan-cooperative-financial/"/>
  </r>
  <r>
    <s v="Wistron"/>
    <s v="Information Technology"/>
    <s v="Computer Hardware"/>
    <s v="Asia"/>
    <x v="54"/>
    <n v="2"/>
    <n v="22"/>
    <n v="0.2"/>
    <n v="9.6999999999999993"/>
    <n v="1553"/>
    <s v="http://www.forbes.com/companies/wistron/"/>
  </r>
  <r>
    <s v="Chang Hwa Bank"/>
    <s v="Financials"/>
    <s v="Regional Banks"/>
    <s v="Asia"/>
    <x v="54"/>
    <n v="4.5999999999999996"/>
    <n v="1.1000000000000001"/>
    <n v="0.3"/>
    <n v="56.2"/>
    <n v="1557"/>
    <s v="http://www.forbes.com/companies/chang-hwa-bank/"/>
  </r>
  <r>
    <s v="E.Sun Financial"/>
    <s v="Financials"/>
    <s v="Consumer Financial Services"/>
    <s v="Asia"/>
    <x v="54"/>
    <n v="3.5"/>
    <n v="1.2"/>
    <n v="0.3"/>
    <n v="45.1"/>
    <n v="1666"/>
    <s v="http://www.forbes.com/companies/esun-financial/"/>
  </r>
  <r>
    <s v="Ruentex Industries"/>
    <m/>
    <m/>
    <s v="Asia"/>
    <x v="54"/>
    <n v="2.2999999999999998"/>
    <n v="2.6"/>
    <n v="1.5"/>
    <n v="3.9"/>
    <n v="1673"/>
    <s v="http://www.forbes.com/companies/ruentex-industries/"/>
  </r>
  <r>
    <s v="Far Eastern New Century"/>
    <s v="Materials"/>
    <s v="Diversified Chemicals"/>
    <s v="Asia"/>
    <x v="54"/>
    <n v="5.6"/>
    <n v="8"/>
    <n v="0.2"/>
    <n v="12.3"/>
    <n v="1705"/>
    <s v="http://www.forbes.com/companies/far-eastern-new-century/"/>
  </r>
  <r>
    <s v="Taiwan Business Bank"/>
    <s v="Financials"/>
    <s v="Regional Banks"/>
    <s v="Asia"/>
    <x v="54"/>
    <n v="1.6"/>
    <n v="0.9"/>
    <n v="0.1"/>
    <n v="44.6"/>
    <n v="1747"/>
    <s v="http://www.forbes.com/companies/taiwan-business-bank/"/>
  </r>
  <r>
    <s v="Mercuries &amp; Associates"/>
    <s v="Consumer Discretionary"/>
    <s v="Department Stores"/>
    <s v="Asia"/>
    <x v="54"/>
    <n v="0.5"/>
    <n v="5.2"/>
    <n v="0"/>
    <n v="23.1"/>
    <n v="1762"/>
    <s v="http://www.forbes.com/companies/mercuries-associates/"/>
  </r>
  <r>
    <s v="Ruentex Development"/>
    <m/>
    <m/>
    <s v="Asia"/>
    <x v="54"/>
    <n v="2.2000000000000002"/>
    <n v="0.5"/>
    <n v="1"/>
    <n v="2.7"/>
    <n v="1799"/>
    <s v="http://www.forbes.com/companies/ruentex-development/"/>
  </r>
  <r>
    <s v="Inventec"/>
    <s v="Information Technology"/>
    <s v="Computer Hardware"/>
    <s v="Asia"/>
    <x v="54"/>
    <n v="3.5"/>
    <n v="14.9"/>
    <n v="0.2"/>
    <n v="6.9"/>
    <n v="1822"/>
    <s v="http://www.forbes.com/companies/inventec/"/>
  </r>
  <r>
    <s v="Pou Chen"/>
    <s v="Consumer Discretionary"/>
    <s v="Apparel/Accessories"/>
    <s v="Asia"/>
    <x v="54"/>
    <n v="4.0999999999999996"/>
    <n v="9.3000000000000007"/>
    <n v="0.3"/>
    <n v="8.3000000000000007"/>
    <n v="1840"/>
    <s v="http://www.forbes.com/companies/pou-chen/"/>
  </r>
  <r>
    <s v="President Chain Store"/>
    <s v="Consumer Staples"/>
    <s v="Food Retail"/>
    <s v="Asia"/>
    <x v="54"/>
    <n v="7.3"/>
    <n v="6.9"/>
    <n v="0.3"/>
    <n v="2.8"/>
    <n v="1844"/>
    <s v="http://www.forbes.com/companies/president-chain-store/"/>
  </r>
  <r>
    <s v="TPK Holding"/>
    <s v="Information Technology"/>
    <s v="Electronics"/>
    <s v="Asia"/>
    <x v="54"/>
    <n v="1.9"/>
    <n v="5.9"/>
    <n v="0.5"/>
    <n v="4.9000000000000004"/>
    <n v="1862"/>
    <s v="http://www.forbes.com/companies/tpk-holding/"/>
  </r>
  <r>
    <s v="WPG Holdings"/>
    <s v="Information Technology"/>
    <s v="Electronics"/>
    <s v="Asia"/>
    <x v="54"/>
    <n v="2"/>
    <n v="13.7"/>
    <n v="0.2"/>
    <n v="4.5"/>
    <n v="1865"/>
    <s v="http://www.forbes.com/companies/wpg-holdings/"/>
  </r>
  <r>
    <s v="Yuanta Financial Holding"/>
    <s v="Financials"/>
    <s v="Investment Services"/>
    <s v="Asia"/>
    <x v="54"/>
    <n v="5"/>
    <n v="1.2"/>
    <n v="0.2"/>
    <n v="29.1"/>
    <n v="1889"/>
    <s v="http://www.forbes.com/companies/yuanta-financial-holding/"/>
  </r>
  <r>
    <s v="Acer"/>
    <s v="Information Technology"/>
    <s v="Computer Hardware"/>
    <s v="Asia"/>
    <x v="54"/>
    <n v="1.6"/>
    <n v="12.1"/>
    <n v="-0.7"/>
    <n v="6.6"/>
    <n v="1947"/>
    <s v="http://www.forbes.com/companies/acer/"/>
  </r>
  <r>
    <s v="Inotera Memories"/>
    <s v="Information Technology"/>
    <s v="Semiconductors"/>
    <s v="Asia"/>
    <x v="54"/>
    <n v="5"/>
    <n v="2"/>
    <n v="0.7"/>
    <n v="3.4"/>
    <n v="1968"/>
    <s v="http://www.forbes.com/companies/inotera-memories/"/>
  </r>
  <r>
    <s v="PTT PCL"/>
    <s v="Energy"/>
    <s v="Oil &amp; Gas Operations"/>
    <s v="Asia"/>
    <x v="55"/>
    <n v="26.7"/>
    <n v="92.5"/>
    <n v="3.1"/>
    <n v="54.8"/>
    <n v="180"/>
    <s v="http://www.forbes.com/companies/ptt-pcl/"/>
  </r>
  <r>
    <s v="Siam Commercial Bank"/>
    <s v="Financials"/>
    <s v="Regional Banks"/>
    <s v="Asia"/>
    <x v="55"/>
    <n v="16.600000000000001"/>
    <n v="5.7"/>
    <n v="1.6"/>
    <n v="77.099999999999994"/>
    <n v="542"/>
    <s v="http://www.forbes.com/companies/siam-commercial-bank/"/>
  </r>
  <r>
    <s v="Kasikornbank"/>
    <s v="Financials"/>
    <s v="Major Banks"/>
    <s v="Asia"/>
    <x v="55"/>
    <n v="13.3"/>
    <n v="6.9"/>
    <n v="1.3"/>
    <n v="69.7"/>
    <n v="555"/>
    <s v="http://www.forbes.com/companies/kasikornbank/"/>
  </r>
  <r>
    <s v="Siam Cement"/>
    <s v="Materials"/>
    <s v="Specialized Chemicals"/>
    <s v="Asia"/>
    <x v="55"/>
    <n v="15.5"/>
    <n v="14.1"/>
    <n v="1.2"/>
    <n v="13.4"/>
    <n v="626"/>
    <s v="http://www.forbes.com/companies/siam-cement/"/>
  </r>
  <r>
    <s v="PTT Global Chemical"/>
    <s v="Materials"/>
    <s v="Diversified Chemicals"/>
    <s v="Asia"/>
    <x v="55"/>
    <n v="10.1"/>
    <n v="18"/>
    <n v="1.1000000000000001"/>
    <n v="13.2"/>
    <n v="687"/>
    <s v="http://www.forbes.com/companies/ptt-global-chemical/"/>
  </r>
  <r>
    <s v="Bangkok Bank"/>
    <s v="Financials"/>
    <s v="Regional Banks"/>
    <s v="Asia"/>
    <x v="55"/>
    <n v="10.7"/>
    <n v="4.5999999999999996"/>
    <n v="1.2"/>
    <n v="79"/>
    <n v="711"/>
    <s v="http://www.forbes.com/companies/bangkok-bank/"/>
  </r>
  <r>
    <s v="Krung Thai Bank"/>
    <s v="Financials"/>
    <s v="Regional Banks"/>
    <s v="Asia"/>
    <x v="55"/>
    <n v="8.1"/>
    <n v="4.5"/>
    <n v="1.1000000000000001"/>
    <n v="76.5"/>
    <n v="799"/>
    <s v="http://www.forbes.com/companies/krung-thai-bank/"/>
  </r>
  <r>
    <s v="Advanced Info Service"/>
    <s v="Telecommunication Services"/>
    <s v="Telecommunications services"/>
    <s v="Asia"/>
    <x v="55"/>
    <n v="21"/>
    <n v="4.5999999999999996"/>
    <n v="1.2"/>
    <n v="3.4"/>
    <n v="1018"/>
    <s v="http://www.forbes.com/companies/advanced-info-service/"/>
  </r>
  <r>
    <s v="CP All"/>
    <s v="Consumer Discretionary"/>
    <s v="Specialty Stores"/>
    <s v="Asia"/>
    <x v="55"/>
    <n v="12.1"/>
    <n v="8.9"/>
    <n v="0.3"/>
    <n v="8.8000000000000007"/>
    <n v="1230"/>
    <s v="http://www.forbes.com/companies/cp-all/"/>
  </r>
  <r>
    <s v="Bank of Ayudhya"/>
    <s v="Financials"/>
    <s v="Regional Banks"/>
    <s v="Asia"/>
    <x v="55"/>
    <n v="7"/>
    <n v="3.1"/>
    <n v="0.4"/>
    <n v="35.9"/>
    <n v="1259"/>
    <s v="http://www.forbes.com/companies/bank-of-ayudhya/"/>
  </r>
  <r>
    <s v="Thai Beverage"/>
    <s v="Consumer Staples"/>
    <s v="Beverages"/>
    <s v="Asia"/>
    <x v="55"/>
    <n v="12.1"/>
    <n v="5.0999999999999996"/>
    <n v="0.6"/>
    <n v="5.6"/>
    <n v="1261"/>
    <s v="http://www.forbes.com/companies/thai-beverage/"/>
  </r>
  <r>
    <s v="Charoen Pokphand Foods"/>
    <s v="Consumer Staples"/>
    <s v="Food Processing"/>
    <s v="Asia"/>
    <x v="55"/>
    <n v="6.7"/>
    <n v="12.7"/>
    <n v="0.2"/>
    <n v="11.1"/>
    <n v="1414"/>
    <s v="http://www.forbes.com/companies/charoen-pokphand-foods/"/>
  </r>
  <r>
    <s v="Thai Oil"/>
    <s v="Energy"/>
    <s v="Oil &amp; Gas Operations"/>
    <s v="Asia"/>
    <x v="55"/>
    <n v="3.3"/>
    <n v="13.5"/>
    <n v="0.3"/>
    <n v="6.4"/>
    <n v="1587"/>
    <s v="http://www.forbes.com/companies/thai-oil/"/>
  </r>
  <r>
    <s v="Airports of Thailand"/>
    <s v="Industrials"/>
    <s v="Other Transportation"/>
    <s v="Asia"/>
    <x v="55"/>
    <n v="8.5"/>
    <n v="1.2"/>
    <n v="0.5"/>
    <n v="4.7"/>
    <n v="1612"/>
    <s v="http://www.forbes.com/companies/airports-of-thailand/"/>
  </r>
  <r>
    <s v="Thanachart Capital"/>
    <s v="Financials"/>
    <s v="Regional Banks"/>
    <s v="Asia"/>
    <x v="55"/>
    <n v="1.4"/>
    <n v="2.4"/>
    <n v="0.3"/>
    <n v="32"/>
    <n v="1679"/>
    <s v="http://www.forbes.com/companies/thanachart-capital/"/>
  </r>
  <r>
    <s v="Intouch Holdings"/>
    <m/>
    <m/>
    <s v="Asia"/>
    <x v="55"/>
    <n v="7.6"/>
    <n v="0.3"/>
    <n v="0.5"/>
    <n v="1.5"/>
    <n v="1790"/>
    <s v="http://www.forbes.com/companies/intouch-holdings/"/>
  </r>
  <r>
    <s v="Total Access Communication"/>
    <s v="Telecommunication Services"/>
    <s v="Telecommunications services"/>
    <s v="Asia"/>
    <x v="55"/>
    <n v="8.6999999999999993"/>
    <n v="3.1"/>
    <n v="0.3"/>
    <n v="3.2"/>
    <n v="1949"/>
    <s v="http://www.forbes.com/companies/total-access-communication/"/>
  </r>
  <r>
    <s v="Ecobank Transnational Incorporated"/>
    <s v="Financials"/>
    <s v="Regional Banks"/>
    <s v="Africa"/>
    <x v="56"/>
    <n v="1.4"/>
    <n v="2.6"/>
    <n v="0.3"/>
    <n v="21.5"/>
    <n v="1785"/>
    <s v="http://www.forbes.com/companies/ecobank-transnational-incorporated/"/>
  </r>
  <r>
    <s v="Isbank"/>
    <s v="Financials"/>
    <s v="Regional Banks"/>
    <s v="Europe"/>
    <x v="57"/>
    <n v="9.9"/>
    <n v="14.6"/>
    <n v="2.2999999999999998"/>
    <n v="114.3"/>
    <n v="392"/>
    <s v="http://www.forbes.com/companies/isbank/"/>
  </r>
  <r>
    <s v="Garanti Bank"/>
    <s v="Financials"/>
    <s v="Regional Banks"/>
    <s v="Europe"/>
    <x v="57"/>
    <n v="14.9"/>
    <n v="9.5"/>
    <n v="1.9"/>
    <n v="101.3"/>
    <n v="414"/>
    <s v="http://www.forbes.com/companies/garanti-bank/"/>
  </r>
  <r>
    <s v="KoÃƒÂ§ Holding"/>
    <s v="Industrials"/>
    <s v="Conglomerates"/>
    <s v="Europe"/>
    <x v="57"/>
    <n v="10.6"/>
    <n v="34.700000000000003"/>
    <n v="1.4"/>
    <n v="27.4"/>
    <n v="450"/>
    <s v="http://www.forbes.com/companies/koc-holding/"/>
  </r>
  <r>
    <s v="Akbank"/>
    <s v="Financials"/>
    <s v="Regional Banks"/>
    <s v="Europe"/>
    <x v="57"/>
    <n v="13.2"/>
    <n v="7.9"/>
    <n v="1.7"/>
    <n v="90.4"/>
    <n v="487"/>
    <s v="http://www.forbes.com/companies/akbank/"/>
  </r>
  <r>
    <s v="Sabanci Holding"/>
    <s v="Industrials"/>
    <s v="Conglomerates"/>
    <s v="Europe"/>
    <x v="57"/>
    <n v="8.1"/>
    <n v="13"/>
    <n v="0.9"/>
    <n v="96.1"/>
    <n v="563"/>
    <s v="http://www.forbes.com/companies/sabanci-holding/"/>
  </r>
  <r>
    <s v="Halkbank"/>
    <s v="Financials"/>
    <s v="Regional Banks"/>
    <s v="Europe"/>
    <x v="57"/>
    <n v="7.9"/>
    <n v="6.4"/>
    <n v="1.6"/>
    <n v="61.1"/>
    <n v="659"/>
    <s v="http://www.forbes.com/companies/halkbank/"/>
  </r>
  <r>
    <s v="VakifBank"/>
    <s v="Financials"/>
    <s v="Regional Banks"/>
    <s v="Europe"/>
    <x v="57"/>
    <n v="4.8"/>
    <n v="6.3"/>
    <n v="0.9"/>
    <n v="62.9"/>
    <n v="911"/>
    <s v="http://www.forbes.com/companies/vakifbank/"/>
  </r>
  <r>
    <s v="Turkcell"/>
    <s v="Telecommunication Services"/>
    <s v="Telecommunications services"/>
    <s v="Europe"/>
    <x v="57"/>
    <n v="12.5"/>
    <n v="6"/>
    <n v="1.2"/>
    <n v="10"/>
    <n v="958"/>
    <s v="http://www.forbes.com/companies/turkcell/"/>
  </r>
  <r>
    <s v="Turk Telekom"/>
    <s v="Telecommunication Services"/>
    <s v="Telecommunications services"/>
    <s v="Europe"/>
    <x v="57"/>
    <n v="9.9"/>
    <n v="6.9"/>
    <n v="0.7"/>
    <n v="8.5"/>
    <n v="1124"/>
    <s v="http://www.forbes.com/companies/turk-telekom/"/>
  </r>
  <r>
    <s v="Enka"/>
    <s v="Industrials"/>
    <s v="Construction Services"/>
    <s v="Europe"/>
    <x v="57"/>
    <n v="9.6"/>
    <n v="6.5"/>
    <n v="0.7"/>
    <n v="8.5"/>
    <n v="1170"/>
    <s v="http://www.forbes.com/companies/enka/"/>
  </r>
  <r>
    <s v="Anadolu Efes"/>
    <s v="Consumer Staples"/>
    <s v="Beverages"/>
    <s v="Europe"/>
    <x v="57"/>
    <n v="6.7"/>
    <n v="4.8"/>
    <n v="1.4"/>
    <n v="10.4"/>
    <n v="1213"/>
    <s v="http://www.forbes.com/companies/anadolu-efes/"/>
  </r>
  <r>
    <s v="Turkish Airlines"/>
    <s v="Industrials"/>
    <s v="Airline"/>
    <s v="Europe"/>
    <x v="57"/>
    <n v="4.3"/>
    <n v="9.9"/>
    <n v="0.4"/>
    <n v="11.8"/>
    <n v="1485"/>
    <s v="http://www.forbes.com/companies/turkish-airlines/"/>
  </r>
  <r>
    <s v="Etisalat"/>
    <s v="Telecommunication Services"/>
    <s v="Telecommunications services"/>
    <s v="Asia"/>
    <x v="58"/>
    <n v="25.8"/>
    <n v="10.6"/>
    <n v="1.9"/>
    <n v="23.3"/>
    <n v="458"/>
    <s v="http://www.forbes.com/companies/etisalat/"/>
  </r>
  <r>
    <s v="National Bank of Abu Dhabi"/>
    <s v="Financials"/>
    <s v="Regional Banks"/>
    <s v="Asia"/>
    <x v="58"/>
    <n v="17.899999999999999"/>
    <n v="3.2"/>
    <n v="1.2"/>
    <n v="88.5"/>
    <n v="639"/>
    <s v="http://www.forbes.com/companies/national-bank-of-abu-dhabi/"/>
  </r>
  <r>
    <s v="First Gulf Bank"/>
    <s v="Financials"/>
    <s v="Regional Banks"/>
    <s v="Asia"/>
    <x v="58"/>
    <n v="17.5"/>
    <n v="2.7"/>
    <n v="1.3"/>
    <n v="53.1"/>
    <n v="679"/>
    <s v="http://www.forbes.com/companies/first-gulf-bank/"/>
  </r>
  <r>
    <s v="Emirates NBD"/>
    <s v="Financials"/>
    <s v="Regional Banks"/>
    <s v="Asia"/>
    <x v="58"/>
    <n v="12.8"/>
    <n v="4"/>
    <n v="0.8"/>
    <n v="93.1"/>
    <n v="765"/>
    <s v="http://www.forbes.com/companies/emirates-nbd/"/>
  </r>
  <r>
    <s v="Abu Dhabi Commercial Bank"/>
    <s v="Financials"/>
    <s v="Regional Banks"/>
    <s v="Asia"/>
    <x v="58"/>
    <n v="11.2"/>
    <n v="2.5"/>
    <n v="0.9"/>
    <n v="49.9"/>
    <n v="813"/>
    <s v="http://www.forbes.com/companies/abu-dhabi-commercial/"/>
  </r>
  <r>
    <s v="Emaar Properties"/>
    <s v="Financials"/>
    <s v="Real Estate"/>
    <s v="Asia"/>
    <x v="58"/>
    <n v="17.899999999999999"/>
    <n v="2.9"/>
    <n v="0.7"/>
    <n v="17.7"/>
    <n v="953"/>
    <s v="http://www.forbes.com/companies/emaar-properties/"/>
  </r>
  <r>
    <s v="DP World"/>
    <s v="Industrials"/>
    <s v="Other Transportation"/>
    <s v="Asia"/>
    <x v="58"/>
    <n v="15.1"/>
    <n v="3.1"/>
    <n v="0.6"/>
    <n v="16.8"/>
    <n v="1020"/>
    <s v="http://www.forbes.com/companies/dp-world/"/>
  </r>
  <r>
    <s v="Dubai Islamic Bank"/>
    <s v="Financials"/>
    <s v="Regional Banks"/>
    <s v="Asia"/>
    <x v="58"/>
    <n v="6.8"/>
    <n v="1.3"/>
    <n v="0.4"/>
    <n v="30.8"/>
    <n v="1257"/>
    <s v="http://www.forbes.com/companies/dubai-islamic-bank/"/>
  </r>
  <r>
    <s v="Mashreq Bank"/>
    <s v="Financials"/>
    <s v="Regional Banks"/>
    <s v="Asia"/>
    <x v="58"/>
    <n v="5.3"/>
    <n v="1.9"/>
    <n v="0.5"/>
    <n v="24.4"/>
    <n v="1396"/>
    <s v="http://www.forbes.com/companies/mashreq-bank/"/>
  </r>
  <r>
    <s v="Aldar Properties"/>
    <s v="Financials"/>
    <s v="Real Estate"/>
    <s v="Asia"/>
    <x v="58"/>
    <n v="7.5"/>
    <n v="1.5"/>
    <n v="0.6"/>
    <n v="11.9"/>
    <n v="1413"/>
    <s v="http://www.forbes.com/companies/aldar-properties/"/>
  </r>
  <r>
    <s v="TAQA"/>
    <s v="Utilities"/>
    <s v="Electric Utilities"/>
    <s v="Asia"/>
    <x v="58"/>
    <n v="2.1"/>
    <n v="7"/>
    <n v="-0.7"/>
    <n v="33.200000000000003"/>
    <n v="1432"/>
    <s v="http://www.forbes.com/companies/taqa/"/>
  </r>
  <r>
    <s v="Union National Bank"/>
    <s v="Financials"/>
    <s v="Regional Banks"/>
    <s v="Asia"/>
    <x v="58"/>
    <n v="5.2"/>
    <n v="1.2"/>
    <n v="0.4"/>
    <n v="23.8"/>
    <n v="1501"/>
    <s v="http://www.forbes.com/companies/union-national-bank/"/>
  </r>
  <r>
    <s v="Emirates Integrated Telecom"/>
    <s v="Telecommunication Services"/>
    <s v="Telecommunications services"/>
    <s v="Asia"/>
    <x v="58"/>
    <n v="7.5"/>
    <n v="2.9"/>
    <n v="0.5"/>
    <n v="4.4000000000000004"/>
    <n v="1694"/>
    <s v="http://www.forbes.com/companies/emirates-integrated-telecom/"/>
  </r>
  <r>
    <s v="Abu Dhabi Islamic Bank"/>
    <s v="Financials"/>
    <s v="Regional Banks"/>
    <s v="Asia"/>
    <x v="58"/>
    <n v="4.8"/>
    <n v="1.3"/>
    <n v="0.3"/>
    <n v="28.1"/>
    <n v="1736"/>
    <s v="http://www.forbes.com/companies/abu-dhabi-islamic-bank/"/>
  </r>
  <r>
    <s v="HSBC Holdings"/>
    <s v="Financials"/>
    <s v="Major Banks"/>
    <s v="Europe"/>
    <x v="59"/>
    <n v="192.6"/>
    <n v="79.599999999999994"/>
    <n v="16.3"/>
    <n v="2671.3"/>
    <n v="14"/>
    <s v="http://www.forbes.com/companies/hsbc-holdings/"/>
  </r>
  <r>
    <s v="BP"/>
    <s v="Energy"/>
    <s v="Oil &amp; Gas Operations"/>
    <s v="Europe"/>
    <x v="59"/>
    <n v="148.80000000000001"/>
    <n v="379.2"/>
    <n v="23.6"/>
    <n v="305.7"/>
    <n v="17"/>
    <s v="http://www.forbes.com/companies/bp/"/>
  </r>
  <r>
    <s v="Vodafone"/>
    <s v="Telecommunication Services"/>
    <s v="Telecommunications services"/>
    <s v="Europe"/>
    <x v="59"/>
    <n v="96.9"/>
    <n v="65.099999999999994"/>
    <n v="31.8"/>
    <n v="235.6"/>
    <n v="38"/>
    <s v="http://www.forbes.com/companies/vodafone/"/>
  </r>
  <r>
    <s v="Prudential"/>
    <s v="Financials"/>
    <s v="Life &amp; Health Insurance"/>
    <s v="Europe"/>
    <x v="59"/>
    <n v="56.1"/>
    <n v="81.900000000000006"/>
    <n v="2.1"/>
    <n v="528.5"/>
    <n v="107"/>
    <s v="http://www.forbes.com/companies/prudential/"/>
  </r>
  <r>
    <s v="Rio Tinto"/>
    <s v="Materials"/>
    <s v="Diversified Metals &amp; Mining"/>
    <s v="Europe"/>
    <x v="59"/>
    <n v="103.8"/>
    <n v="51.2"/>
    <n v="3.7"/>
    <n v="111"/>
    <n v="109"/>
    <s v="http://www.forbes.com/companies/rio-tinto/"/>
  </r>
  <r>
    <s v="GlaxoSmithKline"/>
    <s v="Health Care"/>
    <s v="Pharmaceuticals"/>
    <s v="Europe"/>
    <x v="59"/>
    <n v="128.80000000000001"/>
    <n v="41.4"/>
    <n v="8.5"/>
    <n v="69.7"/>
    <n v="116"/>
    <s v="http://www.forbes.com/companies/glaxosmithkline/"/>
  </r>
  <r>
    <s v="Standard Chartered"/>
    <s v="Financials"/>
    <s v="Major Banks"/>
    <s v="Europe"/>
    <x v="59"/>
    <n v="51.1"/>
    <n v="25.6"/>
    <n v="4.0999999999999996"/>
    <n v="674.4"/>
    <n v="123"/>
    <s v="http://www.forbes.com/companies/standard-chartered/"/>
  </r>
  <r>
    <s v="Aviva"/>
    <s v="Financials"/>
    <s v="Life &amp; Health Insurance"/>
    <s v="Europe"/>
    <x v="59"/>
    <n v="24.1"/>
    <n v="53.8"/>
    <n v="3.1"/>
    <n v="449.9"/>
    <n v="143"/>
    <s v="http://www.forbes.com/companies/aviva/"/>
  </r>
  <r>
    <s v="Barclays"/>
    <s v="Financials"/>
    <s v="Major Banks"/>
    <s v="Europe"/>
    <x v="59"/>
    <n v="64.599999999999994"/>
    <n v="55"/>
    <n v="0.8"/>
    <n v="2173.4"/>
    <n v="160"/>
    <s v="http://www.forbes.com/companies/barclays/"/>
  </r>
  <r>
    <s v="National Grid"/>
    <s v="Utilities"/>
    <s v="Natural Gas Utilities"/>
    <s v="Europe"/>
    <x v="59"/>
    <n v="49.6"/>
    <n v="23.4"/>
    <n v="3.9"/>
    <n v="83.9"/>
    <n v="168"/>
    <s v="http://www.forbes.com/companies/national-grid/"/>
  </r>
  <r>
    <s v="British American Tobacco"/>
    <s v="Consumer Staples"/>
    <s v="Tobacco"/>
    <s v="Europe"/>
    <x v="59"/>
    <n v="104.3"/>
    <n v="23.9"/>
    <n v="6.1"/>
    <n v="44.5"/>
    <n v="173"/>
    <s v="http://www.forbes.com/companies/british-american-tobacco/"/>
  </r>
  <r>
    <s v="AstraZeneca"/>
    <s v="Health Care"/>
    <s v="Pharmaceuticals"/>
    <s v="Europe"/>
    <x v="59"/>
    <n v="82.3"/>
    <n v="25.7"/>
    <n v="2.6"/>
    <n v="55.9"/>
    <n v="183"/>
    <s v="http://www.forbes.com/companies/astrazeneca/"/>
  </r>
  <r>
    <s v="Legal &amp; General Group"/>
    <s v="Financials"/>
    <s v="Life &amp; Health Insurance"/>
    <s v="Europe"/>
    <x v="59"/>
    <n v="20.8"/>
    <n v="61.2"/>
    <n v="1.4"/>
    <n v="596.70000000000005"/>
    <n v="191"/>
    <s v="http://www.forbes.com/companies/legal-general-group/"/>
  </r>
  <r>
    <s v="BG Group"/>
    <s v="Energy"/>
    <s v="Oil &amp; Gas Operations"/>
    <s v="Europe"/>
    <x v="59"/>
    <n v="64"/>
    <n v="19.2"/>
    <n v="2.5"/>
    <n v="66"/>
    <n v="210"/>
    <s v="http://www.forbes.com/companies/bg-group/"/>
  </r>
  <r>
    <s v="SABMiller"/>
    <s v="Consumer Staples"/>
    <s v="Beverages"/>
    <s v="Europe"/>
    <x v="59"/>
    <n v="80.099999999999994"/>
    <n v="17.5"/>
    <n v="3.4"/>
    <n v="53.7"/>
    <n v="213"/>
    <s v="http://www.forbes.com/companies/sabmiller/"/>
  </r>
  <r>
    <s v="BT Group"/>
    <s v="Telecommunication Services"/>
    <s v="Telecommunications services"/>
    <s v="Europe"/>
    <x v="59"/>
    <n v="50"/>
    <n v="28.6"/>
    <n v="3.2"/>
    <n v="39.9"/>
    <n v="218"/>
    <s v="http://www.forbes.com/companies/bt-group/"/>
  </r>
  <r>
    <s v="Diageo"/>
    <s v="Consumer Staples"/>
    <s v="Beverages"/>
    <s v="Europe"/>
    <x v="59"/>
    <n v="77.3"/>
    <n v="17.7"/>
    <n v="4"/>
    <n v="40.200000000000003"/>
    <n v="228"/>
    <s v="http://www.forbes.com/companies/diageo/"/>
  </r>
  <r>
    <s v="Rolls-Royce Holdings"/>
    <s v="Industrials"/>
    <s v="Aerospace &amp; Defense"/>
    <s v="Europe"/>
    <x v="59"/>
    <n v="34.299999999999997"/>
    <n v="24.2"/>
    <n v="2.1"/>
    <n v="38.200000000000003"/>
    <n v="281"/>
    <s v="http://www.forbes.com/companies/rolls-royce-holdings/"/>
  </r>
  <r>
    <s v="Imperial Tobacco Group"/>
    <s v="Consumer Staples"/>
    <s v="Tobacco"/>
    <s v="Europe"/>
    <x v="59"/>
    <n v="38.799999999999997"/>
    <n v="22.8"/>
    <n v="1.5"/>
    <n v="46"/>
    <n v="283"/>
    <s v="http://www.forbes.com/companies/imperial-tobacco-group/"/>
  </r>
  <r>
    <s v="Centrica"/>
    <s v="Utilities"/>
    <s v="Natural Gas Utilities"/>
    <s v="Europe"/>
    <x v="59"/>
    <n v="27.7"/>
    <n v="41.5"/>
    <n v="1.5"/>
    <n v="38.799999999999997"/>
    <n v="291"/>
    <s v="http://www.forbes.com/companies/centrica/"/>
  </r>
  <r>
    <s v="Old Mutual"/>
    <s v="Financials"/>
    <s v="Investment Services"/>
    <s v="Europe"/>
    <x v="59"/>
    <n v="16.600000000000001"/>
    <n v="31"/>
    <n v="1.1000000000000001"/>
    <n v="229.3"/>
    <n v="295"/>
    <s v="http://www.forbes.com/companies/old-mutual/"/>
  </r>
  <r>
    <s v="Reckitt Benckiser Group"/>
    <s v="Consumer Staples"/>
    <s v="Household/Personal Care"/>
    <s v="Europe"/>
    <x v="59"/>
    <n v="58.7"/>
    <n v="15.2"/>
    <n v="2.7"/>
    <n v="25.1"/>
    <n v="329"/>
    <s v="http://www.forbes.com/companies/reckitt-benckiser-group/"/>
  </r>
  <r>
    <s v="SSE"/>
    <s v="Utilities"/>
    <s v="Electric Utilities"/>
    <s v="Europe"/>
    <x v="59"/>
    <n v="24.1"/>
    <n v="47.5"/>
    <n v="1.2"/>
    <n v="31.1"/>
    <n v="336"/>
    <s v="http://www.forbes.com/companies/sse/"/>
  </r>
  <r>
    <s v="Standard Life"/>
    <s v="Financials"/>
    <s v="Life &amp; Health Insurance"/>
    <s v="Europe"/>
    <x v="59"/>
    <n v="15.2"/>
    <n v="32.200000000000003"/>
    <n v="0.7"/>
    <n v="295.5"/>
    <n v="343"/>
    <s v="http://www.forbes.com/companies/standard-life/"/>
  </r>
  <r>
    <s v="WPP"/>
    <s v="Consumer Discretionary"/>
    <s v="Advertising"/>
    <s v="Europe"/>
    <x v="59"/>
    <n v="27.7"/>
    <n v="17.2"/>
    <n v="1.5"/>
    <n v="41.4"/>
    <n v="346"/>
    <s v="http://www.forbes.com/companies/wpp/"/>
  </r>
  <r>
    <s v="Lloyds Banking Group"/>
    <s v="Financials"/>
    <s v="Major Banks"/>
    <s v="Europe"/>
    <x v="59"/>
    <n v="89.9"/>
    <n v="58.6"/>
    <n v="-1.3"/>
    <n v="1402.9"/>
    <n v="391"/>
    <s v="http://www.forbes.com/companies/lloyds-banking-group/"/>
  </r>
  <r>
    <s v="Royal Bank of Scotland"/>
    <s v="Financials"/>
    <s v="Major Banks"/>
    <s v="Europe"/>
    <x v="59"/>
    <n v="59.8"/>
    <n v="38.299999999999997"/>
    <n v="-13.4"/>
    <n v="1702.4"/>
    <n v="424"/>
    <s v="http://www.forbes.com/companies/royal-bank-of-scotland/"/>
  </r>
  <r>
    <s v="Aon"/>
    <s v="Financials"/>
    <s v="Insurance Brokers"/>
    <s v="Europe"/>
    <x v="59"/>
    <n v="25.5"/>
    <n v="11.8"/>
    <n v="1.1000000000000001"/>
    <n v="30.3"/>
    <n v="455"/>
    <s v="http://www.forbes.com/companies/aon/"/>
  </r>
  <r>
    <s v="Associated British Foods"/>
    <s v="Consumer Staples"/>
    <s v="Food Processing"/>
    <s v="Europe"/>
    <x v="59"/>
    <n v="36.700000000000003"/>
    <n v="20.8"/>
    <n v="0.9"/>
    <n v="16.8"/>
    <n v="465"/>
    <s v="http://www.forbes.com/companies/associated-british-foods/"/>
  </r>
  <r>
    <s v="Tesco"/>
    <s v="Consumer Staples"/>
    <s v="Food Retail"/>
    <s v="Europe"/>
    <x v="59"/>
    <n v="39.5"/>
    <n v="100.6"/>
    <n v="-0.5"/>
    <n v="78"/>
    <n v="465"/>
    <s v="http://www.forbes.com/companies/tesco/"/>
  </r>
  <r>
    <s v="Anglo American"/>
    <s v="Materials"/>
    <s v="Diversified Metals &amp; Mining"/>
    <s v="Europe"/>
    <x v="59"/>
    <n v="35.299999999999997"/>
    <n v="29.3"/>
    <n v="-0.9"/>
    <n v="71.2"/>
    <n v="551"/>
    <s v="http://www.forbes.com/companies/anglo-american/"/>
  </r>
  <r>
    <s v="Compass Group"/>
    <s v="Consumer Discretionary"/>
    <s v="Restaurants"/>
    <s v="Europe"/>
    <x v="59"/>
    <n v="27.3"/>
    <n v="27.4"/>
    <n v="0.7"/>
    <n v="14.8"/>
    <n v="553"/>
    <s v="http://www.forbes.com/companies/compass-group/"/>
  </r>
  <r>
    <s v="J Sainsbury"/>
    <s v="Consumer Staples"/>
    <s v="Food Retail"/>
    <s v="Europe"/>
    <x v="59"/>
    <n v="9.8000000000000007"/>
    <n v="37.200000000000003"/>
    <n v="1"/>
    <n v="20.9"/>
    <n v="559"/>
    <s v="http://www.forbes.com/companies/j-sainsbury/"/>
  </r>
  <r>
    <s v="Kingfisher"/>
    <s v="Consumer Discretionary"/>
    <s v="Home Improvement Retail"/>
    <s v="Europe"/>
    <x v="59"/>
    <n v="17"/>
    <n v="17.399999999999999"/>
    <n v="1.1000000000000001"/>
    <n v="16.100000000000001"/>
    <n v="569"/>
    <s v="http://www.forbes.com/companies/kingfisher/"/>
  </r>
  <r>
    <s v="Delphi Automotive"/>
    <s v="Consumer Discretionary"/>
    <s v="Auto &amp; Truck Parts"/>
    <s v="Europe"/>
    <x v="59"/>
    <n v="21.3"/>
    <n v="16.5"/>
    <n v="1.2"/>
    <n v="11"/>
    <n v="609"/>
    <s v="http://www.forbes.com/companies/delphi-automotive/"/>
  </r>
  <r>
    <s v="Liberty Global"/>
    <s v="Consumer Discretionary"/>
    <s v="Broadcasting &amp; Cable"/>
    <s v="Europe"/>
    <x v="59"/>
    <n v="32.1"/>
    <n v="14.5"/>
    <n v="-1"/>
    <n v="67.7"/>
    <n v="621"/>
    <s v="http://www.forbes.com/companies/liberty-global/"/>
  </r>
  <r>
    <s v="British Sky Broadcasting"/>
    <s v="Consumer Discretionary"/>
    <s v="Broadcasting &amp; Cable"/>
    <s v="Europe"/>
    <x v="59"/>
    <n v="24.2"/>
    <n v="11.7"/>
    <n v="1.4"/>
    <n v="11"/>
    <n v="635"/>
    <s v="http://www.forbes.com/companies/british-sky-broadcasting/"/>
  </r>
  <r>
    <s v="BAE Systems"/>
    <s v="Industrials"/>
    <s v="Aerospace &amp; Defense"/>
    <s v="Europe"/>
    <x v="59"/>
    <n v="21.8"/>
    <n v="26.4"/>
    <n v="0.3"/>
    <n v="33"/>
    <n v="654"/>
    <s v="http://www.forbes.com/companies/bae-systems/"/>
  </r>
  <r>
    <s v="Marks &amp; Spencer"/>
    <s v="Consumer Discretionary"/>
    <s v="Department Stores"/>
    <s v="Europe"/>
    <x v="59"/>
    <n v="12.5"/>
    <n v="15.9"/>
    <n v="0.8"/>
    <n v="12.5"/>
    <n v="721"/>
    <s v="http://www.forbes.com/companies/marks-spencer/"/>
  </r>
  <r>
    <s v="Resolution"/>
    <s v="Financials"/>
    <s v="Life &amp; Health Insurance"/>
    <s v="Europe"/>
    <x v="59"/>
    <n v="7.2"/>
    <n v="17.2"/>
    <n v="0.3"/>
    <n v="210.8"/>
    <n v="724"/>
    <s v="http://www.forbes.com/companies/resolution/"/>
  </r>
  <r>
    <s v="International Airlines"/>
    <s v="Industrials"/>
    <s v="Airline"/>
    <s v="Europe"/>
    <x v="59"/>
    <n v="14.3"/>
    <n v="24.7"/>
    <n v="0.2"/>
    <n v="28.6"/>
    <n v="773"/>
    <s v="http://www.forbes.com/companies/international-airlines/"/>
  </r>
  <r>
    <s v="Ensco"/>
    <s v="Energy"/>
    <s v="Oil Services &amp; Equipment"/>
    <s v="Europe"/>
    <x v="59"/>
    <n v="12.3"/>
    <n v="4.9000000000000004"/>
    <n v="1.4"/>
    <n v="19.5"/>
    <n v="818"/>
    <s v="http://www.forbes.com/companies/ensco/"/>
  </r>
  <r>
    <s v="Pearson"/>
    <s v="Consumer Discretionary"/>
    <s v="Printing &amp; Publishing"/>
    <s v="Europe"/>
    <x v="59"/>
    <n v="14.2"/>
    <n v="7.9"/>
    <n v="0.5"/>
    <n v="18.100000000000001"/>
    <n v="837"/>
    <s v="http://www.forbes.com/companies/pearson/"/>
  </r>
  <r>
    <s v="Reed Elsevier"/>
    <s v="Consumer Discretionary"/>
    <s v="Printing &amp; Publishing"/>
    <s v="Europe"/>
    <x v="59"/>
    <n v="17.7"/>
    <n v="9.4"/>
    <n v="0.9"/>
    <n v="2.1"/>
    <n v="865"/>
    <s v="http://www.forbes.com/companies/reed-elsevier/"/>
  </r>
  <r>
    <s v="Land Securities Group"/>
    <s v="Financials"/>
    <s v="Real Estate"/>
    <s v="Europe"/>
    <x v="59"/>
    <n v="13.4"/>
    <n v="1.2"/>
    <n v="1.2"/>
    <n v="19.5"/>
    <n v="887"/>
    <s v="http://www.forbes.com/companies/land-securities-group/"/>
  </r>
  <r>
    <s v="Phoenix Group Holdings"/>
    <s v="Financials"/>
    <s v="Life &amp; Health Insurance"/>
    <s v="Europe"/>
    <x v="59"/>
    <n v="2.6"/>
    <n v="6.9"/>
    <n v="0.6"/>
    <n v="124"/>
    <n v="924"/>
    <s v="http://www.forbes.com/companies/phoenix-group-holdings/"/>
  </r>
  <r>
    <s v="GKN"/>
    <s v="Consumer Discretionary"/>
    <s v="Auto &amp; Truck Parts"/>
    <s v="Europe"/>
    <x v="59"/>
    <n v="10.9"/>
    <n v="11.2"/>
    <n v="0.6"/>
    <n v="10.3"/>
    <n v="926"/>
    <s v="http://www.forbes.com/companies/gkn/"/>
  </r>
  <r>
    <s v="Investec"/>
    <s v="Financials"/>
    <s v="Investment Services"/>
    <s v="Europe"/>
    <x v="59"/>
    <n v="6.8"/>
    <n v="5.4"/>
    <n v="0.5"/>
    <n v="77"/>
    <n v="939"/>
    <s v="http://www.forbes.com/companies/investec/"/>
  </r>
  <r>
    <s v="RSA Insurance Group"/>
    <s v="Financials"/>
    <s v="Property &amp; Casualty Insurance"/>
    <s v="Europe"/>
    <x v="59"/>
    <n v="8.6999999999999993"/>
    <n v="14.5"/>
    <n v="-0.5"/>
    <n v="33"/>
    <n v="944"/>
    <s v="http://www.forbes.com/companies/rsa-insurance-group/"/>
  </r>
  <r>
    <s v="Johnson Matthey"/>
    <s v="Materials"/>
    <s v="Diversified Chemicals"/>
    <s v="Europe"/>
    <x v="59"/>
    <n v="11.2"/>
    <n v="19.100000000000001"/>
    <n v="0.5"/>
    <n v="6"/>
    <n v="960"/>
    <s v="http://www.forbes.com/companies/johnson-matthey/"/>
  </r>
  <r>
    <s v="Antofagasta"/>
    <s v="Materials"/>
    <s v="Diversified Metals &amp; Mining"/>
    <s v="Europe"/>
    <x v="59"/>
    <n v="13.8"/>
    <n v="6"/>
    <n v="0.7"/>
    <n v="12.4"/>
    <n v="970"/>
    <s v="http://www.forbes.com/companies/antofagasta/"/>
  </r>
  <r>
    <s v="Schroders"/>
    <s v="Financials"/>
    <s v="Investment Services"/>
    <s v="Europe"/>
    <x v="59"/>
    <n v="12.5"/>
    <n v="2.8"/>
    <n v="0.6"/>
    <n v="27.5"/>
    <n v="981"/>
    <s v="http://www.forbes.com/companies/schroders/"/>
  </r>
  <r>
    <s v="Wm Morrison Supermarkets"/>
    <s v="Consumer Staples"/>
    <s v="Food Retail"/>
    <s v="Europe"/>
    <x v="59"/>
    <n v="8.1999999999999993"/>
    <n v="27.7"/>
    <n v="-0.4"/>
    <n v="17.600000000000001"/>
    <n v="987"/>
    <s v="http://www.forbes.com/companies/wm-morrison-supermarkets/"/>
  </r>
  <r>
    <s v="Next"/>
    <s v="Consumer Discretionary"/>
    <s v="Apparel/Footwear Retail"/>
    <s v="Europe"/>
    <x v="59"/>
    <n v="17.2"/>
    <n v="5.9"/>
    <n v="0.9"/>
    <n v="3.5"/>
    <n v="1002"/>
    <s v="http://www.forbes.com/companies/next/"/>
  </r>
  <r>
    <s v="United Utilities"/>
    <s v="Utilities"/>
    <s v="Diversified Utilities"/>
    <s v="Europe"/>
    <x v="59"/>
    <n v="9.1"/>
    <n v="2.6"/>
    <n v="1.1000000000000001"/>
    <n v="16.8"/>
    <n v="1055"/>
    <s v="http://www.forbes.com/companies/united-utilities/"/>
  </r>
  <r>
    <s v="London Stock Exchange"/>
    <s v="Financials"/>
    <s v="Investment Services"/>
    <s v="Europe"/>
    <x v="59"/>
    <n v="9"/>
    <n v="1.4"/>
    <n v="0.3"/>
    <n v="913.6"/>
    <n v="1107"/>
    <s v="http://www.forbes.com/companies/london-stock-exchange/"/>
  </r>
  <r>
    <s v="Vedanta Resources"/>
    <s v="Materials"/>
    <s v="Diversified Metals &amp; Mining"/>
    <s v="Europe"/>
    <x v="59"/>
    <n v="4"/>
    <n v="13.7"/>
    <n v="-0.2"/>
    <n v="43.8"/>
    <n v="1129"/>
    <s v="http://www.forbes.com/companies/vedanta-resources/"/>
  </r>
  <r>
    <s v="EasyJet"/>
    <s v="Industrials"/>
    <s v="Airline"/>
    <s v="Europe"/>
    <x v="59"/>
    <n v="11.7"/>
    <n v="6.6"/>
    <n v="0.6"/>
    <n v="7.2"/>
    <n v="1131"/>
    <s v="http://www.forbes.com/companies/easyjet/"/>
  </r>
  <r>
    <s v="Direct Line Insurance"/>
    <s v="Financials"/>
    <s v="Diversified Insurance"/>
    <s v="Europe"/>
    <x v="59"/>
    <n v="6"/>
    <n v="6.1"/>
    <n v="0.5"/>
    <n v="17.8"/>
    <n v="1204"/>
    <s v="http://www.forbes.com/companies/direct-line-insurance/"/>
  </r>
  <r>
    <s v="Mondi"/>
    <s v="Materials"/>
    <s v="Paper &amp; Paper Products"/>
    <s v="Europe"/>
    <x v="59"/>
    <n v="8.4"/>
    <n v="8.6"/>
    <n v="0.5"/>
    <n v="8.6"/>
    <n v="1211"/>
    <s v="http://www.forbes.com/companies/mondi/"/>
  </r>
  <r>
    <s v="Petrofac"/>
    <s v="Energy"/>
    <s v="Oil Services &amp; Equipment"/>
    <s v="Europe"/>
    <x v="59"/>
    <n v="8.1999999999999993"/>
    <n v="6.3"/>
    <n v="0.6"/>
    <n v="7.3"/>
    <n v="1288"/>
    <s v="http://www.forbes.com/companies/petrofac/"/>
  </r>
  <r>
    <s v="Severn Trent"/>
    <s v="Utilities"/>
    <s v="Diversified Utilities"/>
    <s v="Europe"/>
    <x v="59"/>
    <n v="7.4"/>
    <n v="2.9"/>
    <n v="0.7"/>
    <n v="13"/>
    <n v="1324"/>
    <s v="http://www.forbes.com/companies/severn-trent/"/>
  </r>
  <r>
    <s v="Evraz Group"/>
    <s v="Materials"/>
    <s v="Iron &amp; Steel"/>
    <s v="Europe"/>
    <x v="59"/>
    <n v="2"/>
    <n v="14.5"/>
    <n v="-0.4"/>
    <n v="18.8"/>
    <n v="1338"/>
    <s v="http://www.forbes.com/companies/evraz-group/"/>
  </r>
  <r>
    <s v="British Land"/>
    <s v="Financials"/>
    <s v="Real Estate"/>
    <s v="Europe"/>
    <x v="59"/>
    <n v="11"/>
    <n v="0.5"/>
    <n v="0.4"/>
    <n v="12.6"/>
    <n v="1348"/>
    <s v="http://www.forbes.com/companies/british-land/"/>
  </r>
  <r>
    <s v="Smith &amp; Nephew"/>
    <s v="Health Care"/>
    <s v="Medical Equipment &amp; Supplies"/>
    <s v="Europe"/>
    <x v="59"/>
    <n v="13.7"/>
    <n v="4.3"/>
    <n v="0.6"/>
    <n v="5.8"/>
    <n v="1360"/>
    <s v="http://www.forbes.com/companies/smith-nephew/"/>
  </r>
  <r>
    <s v="Bunzl"/>
    <s v="Consumer Discretionary"/>
    <s v="Business &amp; Personal Services"/>
    <s v="Europe"/>
    <x v="59"/>
    <n v="8.9"/>
    <n v="9.5"/>
    <n v="0.3"/>
    <n v="5.3"/>
    <n v="1377"/>
    <s v="http://www.forbes.com/companies/bunzl/"/>
  </r>
  <r>
    <s v="Travis Perkins"/>
    <s v="Consumer Discretionary"/>
    <s v="Home Improvement Retail"/>
    <s v="Europe"/>
    <x v="59"/>
    <n v="7.8"/>
    <n v="8"/>
    <n v="0.4"/>
    <n v="7.4"/>
    <n v="1387"/>
    <s v="http://www.forbes.com/companies/travis-perkins/"/>
  </r>
  <r>
    <s v="ITV"/>
    <s v="Consumer Discretionary"/>
    <s v="Broadcasting &amp; Cable"/>
    <s v="Europe"/>
    <x v="59"/>
    <n v="12.9"/>
    <n v="3.7"/>
    <n v="0.5"/>
    <n v="4.3"/>
    <n v="1447"/>
    <s v="http://www.forbes.com/companies/itv/"/>
  </r>
  <r>
    <s v="Whitbread"/>
    <s v="Consumer Discretionary"/>
    <s v="Hotels &amp; Motels"/>
    <s v="Europe"/>
    <x v="59"/>
    <n v="12.8"/>
    <n v="3.4"/>
    <n v="0.5"/>
    <n v="5"/>
    <n v="1484"/>
    <s v="http://www.forbes.com/companies/whitbread/"/>
  </r>
  <r>
    <s v="Willis Group Holdings"/>
    <s v="Financials"/>
    <s v="Insurance Brokers"/>
    <s v="Europe"/>
    <x v="59"/>
    <n v="7.9"/>
    <n v="3.7"/>
    <n v="0.4"/>
    <n v="14.8"/>
    <n v="1525"/>
    <s v="http://www.forbes.com/companies/willis-group-holdings/"/>
  </r>
  <r>
    <s v="Intu Properties plc"/>
    <s v="Financials"/>
    <s v="Real Estate"/>
    <s v="Europe"/>
    <x v="59"/>
    <n v="6"/>
    <n v="0.8"/>
    <n v="0.6"/>
    <n v="13.6"/>
    <n v="1528"/>
    <s v="http://www.forbes.com/companies/capital-shopping/"/>
  </r>
  <r>
    <s v="Smiths Group"/>
    <s v="Industrials"/>
    <s v="Conglomerates"/>
    <s v="Europe"/>
    <x v="59"/>
    <n v="8.4"/>
    <n v="4.8"/>
    <n v="0.5"/>
    <n v="5.8"/>
    <n v="1534"/>
    <s v="http://www.forbes.com/companies/smiths-group/"/>
  </r>
  <r>
    <s v="Songbird Estates plc"/>
    <s v="Financials"/>
    <s v="Real Estate"/>
    <s v="Europe"/>
    <x v="59"/>
    <n v="3.1"/>
    <n v="0.6"/>
    <n v="1"/>
    <n v="12.2"/>
    <n v="1538"/>
    <s v="http://www.forbes.com/companies/songbird-estates/"/>
  </r>
  <r>
    <s v="Capita"/>
    <s v="Consumer Discretionary"/>
    <s v="Business &amp; Personal Services"/>
    <s v="Europe"/>
    <x v="59"/>
    <n v="12.1"/>
    <n v="6"/>
    <n v="0.3"/>
    <n v="7.6"/>
    <n v="1554"/>
    <s v="http://www.forbes.com/companies/capita/"/>
  </r>
  <r>
    <s v="Hammerson plc"/>
    <s v="Financials"/>
    <s v="Real Estate"/>
    <s v="Europe"/>
    <x v="59"/>
    <n v="6.6"/>
    <n v="0.6"/>
    <n v="0.5"/>
    <n v="11.3"/>
    <n v="1576"/>
    <s v="http://www.forbes.com/companies/hammerson/"/>
  </r>
  <r>
    <s v="Weir Group"/>
    <s v="Industrials"/>
    <s v="Other Industrial Equipment"/>
    <s v="Europe"/>
    <x v="59"/>
    <n v="8.9"/>
    <n v="3.8"/>
    <n v="0.5"/>
    <n v="5.2"/>
    <n v="1588"/>
    <s v="http://www.forbes.com/companies/weir-group/"/>
  </r>
  <r>
    <s v="Aberdeen Asset Management"/>
    <s v="Financials"/>
    <s v="Investment Services"/>
    <s v="Europe"/>
    <x v="59"/>
    <n v="9.1"/>
    <n v="2.1"/>
    <n v="0.5"/>
    <n v="7.3"/>
    <n v="1589"/>
    <s v="http://www.forbes.com/companies/aberdeen-asset-management/"/>
  </r>
  <r>
    <s v="Subsea 7"/>
    <s v="Energy"/>
    <s v="Oil Services &amp; Equipment"/>
    <s v="Europe"/>
    <x v="59"/>
    <n v="6.1"/>
    <n v="6.3"/>
    <n v="0.3"/>
    <n v="10.4"/>
    <n v="1610"/>
    <s v="http://www.forbes.com/companies/subsea-7/"/>
  </r>
  <r>
    <s v="Burberry Group"/>
    <s v="Consumer Discretionary"/>
    <s v="Apparel/Accessories"/>
    <s v="Europe"/>
    <x v="59"/>
    <n v="10.199999999999999"/>
    <n v="3.4"/>
    <n v="0.4"/>
    <n v="2.8"/>
    <n v="1614"/>
    <s v="http://www.forbes.com/companies/burberry-group/"/>
  </r>
  <r>
    <s v="G4S"/>
    <s v="Industrials"/>
    <s v="Security Systems"/>
    <s v="Europe"/>
    <x v="59"/>
    <n v="6.3"/>
    <n v="11.6"/>
    <n v="-0.6"/>
    <n v="8.9"/>
    <n v="1642"/>
    <s v="http://www.forbes.com/companies/g4s/"/>
  </r>
  <r>
    <s v="Thomas Cook Group"/>
    <s v="Consumer Discretionary"/>
    <s v="Business &amp; Personal Services"/>
    <s v="Europe"/>
    <x v="59"/>
    <n v="4.4000000000000004"/>
    <n v="14.5"/>
    <n v="-0.3"/>
    <n v="10.199999999999999"/>
    <n v="1647"/>
    <s v="http://www.forbes.com/companies/thomas-cook-group/"/>
  </r>
  <r>
    <s v="ARM Holdings"/>
    <s v="Information Technology"/>
    <s v="Semiconductors"/>
    <s v="Europe"/>
    <x v="59"/>
    <n v="24.5"/>
    <n v="1.1000000000000001"/>
    <n v="0.2"/>
    <n v="2.7"/>
    <n v="1682"/>
    <s v="http://www.forbes.com/companies/arm-holdings/"/>
  </r>
  <r>
    <s v="Polyus Gold International"/>
    <s v="Materials"/>
    <s v="Diversified Metals &amp; Mining"/>
    <s v="Europe"/>
    <x v="59"/>
    <n v="10.3"/>
    <n v="2.6"/>
    <n v="0.4"/>
    <n v="5.4"/>
    <n v="1709"/>
    <s v="http://www.forbes.com/companies/polyus-gold-international/"/>
  </r>
  <r>
    <s v="Balfour Beatty"/>
    <s v="Industrials"/>
    <s v="Construction Services"/>
    <s v="Europe"/>
    <x v="59"/>
    <n v="3.4"/>
    <n v="13.7"/>
    <n v="0"/>
    <n v="9.5"/>
    <n v="1743"/>
    <s v="http://www.forbes.com/companies/balfour-beatty/"/>
  </r>
  <r>
    <s v="Tullow Oil"/>
    <s v="Energy"/>
    <s v="Oil &amp; Gas Operations"/>
    <s v="Europe"/>
    <x v="59"/>
    <n v="11.4"/>
    <n v="2.6"/>
    <n v="0.2"/>
    <n v="11.5"/>
    <n v="1777"/>
    <s v="http://www.forbes.com/companies/tullow-oil/"/>
  </r>
  <r>
    <s v="Inchcape"/>
    <s v="Consumer Discretionary"/>
    <s v="Specialty Stores"/>
    <s v="Europe"/>
    <x v="59"/>
    <n v="5.0999999999999996"/>
    <n v="10.199999999999999"/>
    <n v="0.3"/>
    <n v="5.6"/>
    <n v="1811"/>
    <s v="http://www.forbes.com/companies/inchcape/"/>
  </r>
  <r>
    <s v="ICAP"/>
    <s v="Financials"/>
    <s v="Investment Services"/>
    <s v="Europe"/>
    <x v="59"/>
    <n v="4.2"/>
    <n v="2.2999999999999998"/>
    <n v="0"/>
    <n v="32"/>
    <n v="1878"/>
    <s v="http://www.forbes.com/companies/icap/"/>
  </r>
  <r>
    <s v="Babcock International Group"/>
    <s v="Consumer Discretionary"/>
    <s v="Business &amp; Personal Services"/>
    <s v="Europe"/>
    <x v="59"/>
    <n v="8.4"/>
    <n v="4.9000000000000004"/>
    <n v="0.3"/>
    <n v="5"/>
    <n v="1882"/>
    <s v="http://www.forbes.com/companies/babcock-international-group/"/>
  </r>
  <r>
    <s v="Dixons Retail"/>
    <s v="Information Technology"/>
    <s v="Computer &amp; Electronics Retail"/>
    <s v="Europe"/>
    <x v="59"/>
    <n v="3"/>
    <n v="13"/>
    <n v="-0.2"/>
    <n v="4.9000000000000004"/>
    <n v="1895"/>
    <s v="http://www.forbes.com/companies/dixons-retail/"/>
  </r>
  <r>
    <s v="InterContinental Hotels"/>
    <s v="Consumer Discretionary"/>
    <s v="Hotels &amp; Motels"/>
    <s v="Europe"/>
    <x v="59"/>
    <n v="8.3000000000000007"/>
    <n v="1.9"/>
    <n v="0.4"/>
    <n v="3"/>
    <n v="1899"/>
    <s v="http://www.forbes.com/companies/intercontinental-hotels/"/>
  </r>
  <r>
    <s v="Admiral Group plc"/>
    <s v="Financials"/>
    <s v="Property &amp; Casualty Insurance"/>
    <s v="Europe"/>
    <x v="59"/>
    <n v="6.6"/>
    <n v="1.4"/>
    <n v="0.4"/>
    <n v="4.4000000000000004"/>
    <n v="1984"/>
    <s v="http://www.forbes.com/companies/admiral-group/"/>
  </r>
  <r>
    <s v="JPMorgan Chase"/>
    <s v="Financials"/>
    <s v="Major Banks"/>
    <s v="North America"/>
    <x v="60"/>
    <n v="229.7"/>
    <n v="105.7"/>
    <n v="17.3"/>
    <n v="2435.3000000000002"/>
    <n v="4"/>
    <s v="http://www.forbes.com/companies/jpmorgan-chase/"/>
  </r>
  <r>
    <s v="Berkshire Hathaway"/>
    <s v="Financials"/>
    <s v="Investment Services"/>
    <s v="North America"/>
    <x v="60"/>
    <n v="309.10000000000002"/>
    <n v="178.8"/>
    <n v="19.5"/>
    <n v="493.4"/>
    <n v="5"/>
    <s v="http://www.forbes.com/companies/berkshire-hathaway/"/>
  </r>
  <r>
    <s v="Exxon Mobil"/>
    <s v="Energy"/>
    <s v="Oil &amp; Gas Operations"/>
    <s v="North America"/>
    <x v="60"/>
    <n v="422.3"/>
    <n v="394"/>
    <n v="32.6"/>
    <n v="346.8"/>
    <n v="6"/>
    <s v="http://www.forbes.com/companies/exxon-mobil/"/>
  </r>
  <r>
    <s v="General Electric"/>
    <s v="Industrials"/>
    <s v="Conglomerates"/>
    <s v="North America"/>
    <x v="60"/>
    <n v="259.60000000000002"/>
    <n v="143.30000000000001"/>
    <n v="14.8"/>
    <n v="656.6"/>
    <n v="7"/>
    <s v="http://www.forbes.com/companies/general-electric/"/>
  </r>
  <r>
    <s v="Wells Fargo"/>
    <s v="Financials"/>
    <s v="Major Banks"/>
    <s v="North America"/>
    <x v="60"/>
    <n v="261.39999999999998"/>
    <n v="88.7"/>
    <n v="21.9"/>
    <n v="1543"/>
    <n v="8"/>
    <s v="http://www.forbes.com/companies/wells-fargo/"/>
  </r>
  <r>
    <s v="Bank of America"/>
    <s v="Financials"/>
    <s v="Major Banks"/>
    <s v="North America"/>
    <x v="60"/>
    <n v="183.3"/>
    <n v="101.5"/>
    <n v="11.4"/>
    <n v="2113.8000000000002"/>
    <n v="13"/>
    <s v="http://www.forbes.com/companies/bank-of-america/"/>
  </r>
  <r>
    <s v="Apple"/>
    <s v="Information Technology"/>
    <s v="Computer Hardware"/>
    <s v="North America"/>
    <x v="60"/>
    <n v="483.1"/>
    <n v="173.8"/>
    <n v="37"/>
    <n v="225.2"/>
    <n v="15"/>
    <s v="http://www.forbes.com/companies/apple/"/>
  </r>
  <r>
    <s v="Citigroup"/>
    <s v="Financials"/>
    <s v="Major Banks"/>
    <s v="North America"/>
    <x v="60"/>
    <n v="145.1"/>
    <n v="94.1"/>
    <n v="13.4"/>
    <n v="1883.4"/>
    <n v="16"/>
    <s v="http://www.forbes.com/companies/citigroup/"/>
  </r>
  <r>
    <s v="Chevron"/>
    <s v="Energy"/>
    <s v="Oil &amp; Gas Operations"/>
    <s v="North America"/>
    <x v="60"/>
    <n v="227.2"/>
    <n v="211.8"/>
    <n v="21.4"/>
    <n v="253.8"/>
    <n v="18"/>
    <s v="http://www.forbes.com/companies/chevron/"/>
  </r>
  <r>
    <s v="Wal-Mart Stores"/>
    <s v="Consumer Discretionary"/>
    <s v="Discount Stores"/>
    <s v="North America"/>
    <x v="60"/>
    <n v="247.9"/>
    <n v="476.5"/>
    <n v="16"/>
    <n v="204.8"/>
    <n v="20"/>
    <s v="http://www.forbes.com/companies/wal-mart-stores/"/>
  </r>
  <r>
    <s v="AT&amp;T"/>
    <s v="Telecommunication Services"/>
    <s v="Telecommunications services"/>
    <s v="North America"/>
    <x v="60"/>
    <n v="182.7"/>
    <n v="128.80000000000001"/>
    <n v="18.2"/>
    <n v="277.8"/>
    <n v="23"/>
    <s v="http://www.forbes.com/companies/att/"/>
  </r>
  <r>
    <s v="Verizon Communications"/>
    <s v="Telecommunication Services"/>
    <s v="Telecommunications services"/>
    <s v="North America"/>
    <x v="60"/>
    <n v="197.7"/>
    <n v="120.6"/>
    <n v="11.5"/>
    <n v="274.10000000000002"/>
    <n v="26"/>
    <s v="http://www.forbes.com/companies/verizon-communications/"/>
  </r>
  <r>
    <s v="Microsoft"/>
    <s v="Information Technology"/>
    <s v="Software &amp; Programming"/>
    <s v="North America"/>
    <x v="60"/>
    <n v="343.8"/>
    <n v="83.3"/>
    <n v="22.8"/>
    <n v="153.5"/>
    <n v="32"/>
    <s v="http://www.forbes.com/companies/microsoft/"/>
  </r>
  <r>
    <s v="IBM"/>
    <s v="Information Technology"/>
    <s v="Computer Services"/>
    <s v="North America"/>
    <x v="60"/>
    <n v="202.5"/>
    <n v="99.8"/>
    <n v="16.5"/>
    <n v="126.2"/>
    <n v="35"/>
    <s v="http://www.forbes.com/companies/ibm/"/>
  </r>
  <r>
    <s v="Procter &amp; Gamble"/>
    <s v="Consumer Staples"/>
    <s v="Household/Personal Care"/>
    <s v="North America"/>
    <x v="60"/>
    <n v="217.8"/>
    <n v="84.7"/>
    <n v="10.9"/>
    <n v="142.9"/>
    <n v="40"/>
    <s v="http://www.forbes.com/companies/procter-gamble/"/>
  </r>
  <r>
    <s v="Johnson &amp; Johnson"/>
    <s v="Health Care"/>
    <s v="Medical Equipment &amp; Supplies"/>
    <s v="North America"/>
    <x v="60"/>
    <n v="277"/>
    <n v="71.3"/>
    <n v="13.8"/>
    <n v="132.69999999999999"/>
    <n v="41"/>
    <s v="http://www.forbes.com/companies/johnson-johnson/"/>
  </r>
  <r>
    <s v="American International Group"/>
    <s v="Financials"/>
    <s v="Diversified Insurance"/>
    <s v="North America"/>
    <x v="60"/>
    <n v="73.2"/>
    <n v="68.099999999999994"/>
    <n v="9.1"/>
    <n v="540.70000000000005"/>
    <n v="42"/>
    <s v="http://www.forbes.com/companies/american-international-group/"/>
  </r>
  <r>
    <s v="Pfizer"/>
    <s v="Health Care"/>
    <s v="Pharmaceuticals"/>
    <s v="North America"/>
    <x v="60"/>
    <n v="203.9"/>
    <n v="52.7"/>
    <n v="22"/>
    <n v="172.1"/>
    <n v="45"/>
    <s v="http://www.forbes.com/companies/pfizer/"/>
  </r>
  <r>
    <s v="Ford Motor"/>
    <s v="Consumer Discretionary"/>
    <s v="Auto &amp; Truck Manufacturers"/>
    <s v="North America"/>
    <x v="60"/>
    <n v="64.5"/>
    <n v="146.9"/>
    <n v="7.2"/>
    <n v="202"/>
    <n v="47"/>
    <s v="http://www.forbes.com/companies/ford-motor/"/>
  </r>
  <r>
    <s v="Google"/>
    <s v="Information Technology"/>
    <s v="Computer Services"/>
    <s v="North America"/>
    <x v="60"/>
    <n v="382.5"/>
    <n v="59.7"/>
    <n v="12.2"/>
    <n v="110.9"/>
    <n v="52"/>
    <s v="http://www.forbes.com/companies/google/"/>
  </r>
  <r>
    <s v="Comcast"/>
    <s v="Consumer Discretionary"/>
    <s v="Broadcasting &amp; Cable"/>
    <s v="North America"/>
    <x v="60"/>
    <n v="130"/>
    <n v="64.7"/>
    <n v="6.8"/>
    <n v="158.80000000000001"/>
    <n v="57"/>
    <s v="http://www.forbes.com/companies/comcast/"/>
  </r>
  <r>
    <s v="Goldman Sachs Group"/>
    <s v="Financials"/>
    <s v="Investment Services"/>
    <s v="North America"/>
    <x v="60"/>
    <n v="75.099999999999994"/>
    <n v="39.5"/>
    <n v="8"/>
    <n v="911.5"/>
    <n v="59"/>
    <s v="http://www.forbes.com/companies/goldman-sachs-group/"/>
  </r>
  <r>
    <s v="General Motors"/>
    <s v="Consumer Discretionary"/>
    <s v="Auto &amp; Truck Manufacturers"/>
    <s v="North America"/>
    <x v="60"/>
    <n v="54.6"/>
    <n v="155.4"/>
    <n v="5.3"/>
    <n v="166.3"/>
    <n v="67"/>
    <s v="http://www.forbes.com/companies/general-motors/"/>
  </r>
  <r>
    <s v="MetLife"/>
    <s v="Financials"/>
    <s v="Diversified Insurance"/>
    <s v="North America"/>
    <x v="60"/>
    <n v="60"/>
    <n v="71"/>
    <n v="3.4"/>
    <n v="885.3"/>
    <n v="69"/>
    <s v="http://www.forbes.com/companies/metlife/"/>
  </r>
  <r>
    <s v="ConocoPhillips"/>
    <s v="Energy"/>
    <s v="Oil &amp; Gas Operations"/>
    <s v="North America"/>
    <x v="60"/>
    <n v="86.3"/>
    <n v="55.6"/>
    <n v="9.1999999999999993"/>
    <n v="118.1"/>
    <n v="76"/>
    <s v="http://www.forbes.com/companies/conocophillips/"/>
  </r>
  <r>
    <s v="Intel"/>
    <s v="Information Technology"/>
    <s v="Semiconductors"/>
    <s v="North America"/>
    <x v="60"/>
    <n v="129.19999999999999"/>
    <n v="52.7"/>
    <n v="9.6"/>
    <n v="92.4"/>
    <n v="78"/>
    <s v="http://www.forbes.com/companies/intel/"/>
  </r>
  <r>
    <s v="Hewlett-Packard"/>
    <s v="Information Technology"/>
    <s v="Computer Hardware"/>
    <s v="North America"/>
    <x v="60"/>
    <n v="63"/>
    <n v="112.1"/>
    <n v="5.3"/>
    <n v="105"/>
    <n v="80"/>
    <s v="http://www.forbes.com/companies/hewlett-packard/"/>
  </r>
  <r>
    <s v="Coca-Cola"/>
    <s v="Consumer Staples"/>
    <s v="Beverages"/>
    <s v="North America"/>
    <x v="60"/>
    <n v="168.7"/>
    <n v="46.3"/>
    <n v="8.5"/>
    <n v="91.3"/>
    <n v="81"/>
    <s v="http://www.forbes.com/companies/coca-cola/"/>
  </r>
  <r>
    <s v="Cisco Systems"/>
    <s v="Information Technology"/>
    <s v="Communications Equipment"/>
    <s v="North America"/>
    <x v="60"/>
    <n v="119"/>
    <n v="47.9"/>
    <n v="8.1999999999999993"/>
    <n v="98.4"/>
    <n v="82"/>
    <s v="http://www.forbes.com/companies/cisco-systems/"/>
  </r>
  <r>
    <s v="Boeing"/>
    <s v="Industrials"/>
    <s v="Aerospace &amp; Defense"/>
    <s v="North America"/>
    <x v="60"/>
    <n v="95.3"/>
    <n v="86.6"/>
    <n v="4.5999999999999996"/>
    <n v="92.7"/>
    <n v="84"/>
    <s v="http://www.forbes.com/companies/boeing/"/>
  </r>
  <r>
    <s v="UnitedHealth Group"/>
    <s v="Health Care"/>
    <s v="Managed Health Care"/>
    <s v="North America"/>
    <x v="60"/>
    <n v="81"/>
    <n v="122.5"/>
    <n v="5.6"/>
    <n v="81.900000000000006"/>
    <n v="84"/>
    <s v="http://www.forbes.com/companies/unitedhealth-group/"/>
  </r>
  <r>
    <s v="United Technologies"/>
    <s v="Industrials"/>
    <s v="Conglomerates"/>
    <s v="North America"/>
    <x v="60"/>
    <n v="108.1"/>
    <n v="62.7"/>
    <n v="5.7"/>
    <n v="90.6"/>
    <n v="90"/>
    <s v="http://www.forbes.com/companies/united-technologies/"/>
  </r>
  <r>
    <s v="PepsiCo"/>
    <s v="Consumer Staples"/>
    <s v="Beverages"/>
    <s v="North America"/>
    <x v="60"/>
    <n v="126.2"/>
    <n v="66.400000000000006"/>
    <n v="6.7"/>
    <n v="77.5"/>
    <n v="93"/>
    <s v="http://www.forbes.com/companies/pepsico/"/>
  </r>
  <r>
    <s v="Oracle"/>
    <s v="Information Technology"/>
    <s v="Software &amp; Programming"/>
    <s v="North America"/>
    <x v="60"/>
    <n v="185"/>
    <n v="37.9"/>
    <n v="11.1"/>
    <n v="86.6"/>
    <n v="94"/>
    <s v="http://www.forbes.com/companies/oracle/"/>
  </r>
  <r>
    <s v="CVS Caremark"/>
    <s v="Consumer Staples"/>
    <s v="Drug Retail"/>
    <s v="North America"/>
    <x v="60"/>
    <n v="87.8"/>
    <n v="126.8"/>
    <n v="4.5999999999999996"/>
    <n v="71.5"/>
    <n v="96"/>
    <s v="http://www.forbes.com/companies/cvs-caremark/"/>
  </r>
  <r>
    <s v="Merck &amp; Co"/>
    <s v="Health Care"/>
    <s v="Pharmaceuticals"/>
    <s v="North America"/>
    <x v="60"/>
    <n v="165.8"/>
    <n v="44.1"/>
    <n v="4.4000000000000004"/>
    <n v="105.6"/>
    <n v="99"/>
    <s v="http://www.forbes.com/companies/merck-co/"/>
  </r>
  <r>
    <s v="Walt Disney"/>
    <s v="Consumer Discretionary"/>
    <s v="Broadcasting &amp; Cable"/>
    <s v="North America"/>
    <x v="60"/>
    <n v="142.9"/>
    <n v="46"/>
    <n v="6.6"/>
    <n v="83.2"/>
    <n v="100"/>
    <s v="http://www.forbes.com/companies/walt-disney/"/>
  </r>
  <r>
    <s v="American Express"/>
    <s v="Financials"/>
    <s v="Consumer Financial Services"/>
    <s v="North America"/>
    <x v="60"/>
    <n v="96.9"/>
    <n v="34.9"/>
    <n v="5.3"/>
    <n v="155.9"/>
    <n v="104"/>
    <s v="http://www.forbes.com/companies/american-express/"/>
  </r>
  <r>
    <s v="Morgan Stanley"/>
    <s v="Financials"/>
    <s v="Investment Services"/>
    <s v="North America"/>
    <x v="60"/>
    <n v="61.7"/>
    <n v="40.799999999999997"/>
    <n v="2.8"/>
    <n v="832.7"/>
    <n v="106"/>
    <s v="http://www.forbes.com/companies/morgan-stanley/"/>
  </r>
  <r>
    <s v="Schlumberger"/>
    <s v="Energy"/>
    <s v="Oil Services &amp; Equipment"/>
    <s v="North America"/>
    <x v="60"/>
    <n v="128"/>
    <n v="45.4"/>
    <n v="6.7"/>
    <n v="67.099999999999994"/>
    <n v="117"/>
    <s v="http://www.forbes.com/companies/schlumberger/"/>
  </r>
  <r>
    <s v="Caterpillar"/>
    <s v="Industrials"/>
    <s v="Heavy Equipment"/>
    <s v="North America"/>
    <x v="60"/>
    <n v="63.7"/>
    <n v="55.7"/>
    <n v="3.8"/>
    <n v="84.9"/>
    <n v="122"/>
    <s v="http://www.forbes.com/companies/caterpillar/"/>
  </r>
  <r>
    <s v="US Bancorp"/>
    <s v="Financials"/>
    <s v="Major Banks"/>
    <s v="North America"/>
    <x v="60"/>
    <n v="78.2"/>
    <n v="20.2"/>
    <n v="5.8"/>
    <n v="364"/>
    <n v="125"/>
    <s v="http://www.forbes.com/companies/us-bancorp/"/>
  </r>
  <r>
    <s v="Dow Chemical"/>
    <s v="Materials"/>
    <s v="Diversified Chemicals"/>
    <s v="North America"/>
    <x v="60"/>
    <n v="60.1"/>
    <n v="57.1"/>
    <n v="4.8"/>
    <n v="69.5"/>
    <n v="127"/>
    <s v="http://www.forbes.com/companies/dow-chemical/"/>
  </r>
  <r>
    <s v="Home Depot"/>
    <s v="Consumer Discretionary"/>
    <s v="Home Improvement Retail"/>
    <s v="North America"/>
    <x v="60"/>
    <n v="109.7"/>
    <n v="78.8"/>
    <n v="5.4"/>
    <n v="40.5"/>
    <n v="137"/>
    <s v="http://www.forbes.com/companies/home-depot/"/>
  </r>
  <r>
    <s v="Phillips 66"/>
    <s v="Energy"/>
    <s v="Oil &amp; Gas Operations"/>
    <s v="North America"/>
    <x v="60"/>
    <n v="46.8"/>
    <n v="157.9"/>
    <n v="3.7"/>
    <n v="51"/>
    <n v="140"/>
    <s v="http://www.forbes.com/companies/phillips-66/"/>
  </r>
  <r>
    <s v="Capital One Financial"/>
    <s v="Financials"/>
    <s v="Consumer Financial Services"/>
    <s v="North America"/>
    <x v="60"/>
    <n v="44"/>
    <n v="24.2"/>
    <n v="4.0999999999999996"/>
    <n v="298.5"/>
    <n v="141"/>
    <s v="http://www.forbes.com/companies/capital-one-financial/"/>
  </r>
  <r>
    <s v="MondelÃ„â€œz International"/>
    <s v="Consumer Staples"/>
    <s v="Food Processing"/>
    <s v="North America"/>
    <x v="60"/>
    <n v="59.2"/>
    <n v="35.299999999999997"/>
    <n v="3.9"/>
    <n v="72.599999999999994"/>
    <n v="148"/>
    <s v="http://www.forbes.com/companies/mondelez-international/"/>
  </r>
  <r>
    <s v="Occidental Petroleum"/>
    <s v="Energy"/>
    <s v="Oil &amp; Gas Operations"/>
    <s v="North America"/>
    <x v="60"/>
    <n v="75"/>
    <n v="24.4"/>
    <n v="5.9"/>
    <n v="70.900000000000006"/>
    <n v="151"/>
    <s v="http://www.forbes.com/companies/occidental-petroleum/"/>
  </r>
  <r>
    <s v="Twenty-First Century Fox"/>
    <s v=" Inc."/>
    <m/>
    <m/>
    <x v="61"/>
    <s v="United States"/>
    <n v="74.599999999999994"/>
    <n v="32"/>
    <n v="4.9000000000000004"/>
    <n v="53.3"/>
    <n v="152"/>
  </r>
  <r>
    <s v="Qualcomm"/>
    <s v="Information Technology"/>
    <s v="Semiconductors"/>
    <s v="North America"/>
    <x v="60"/>
    <n v="135.5"/>
    <n v="25.5"/>
    <n v="6.8"/>
    <n v="46.3"/>
    <n v="154"/>
    <s v="http://www.forbes.com/companies/qualcomm/"/>
  </r>
  <r>
    <s v="Time Warner"/>
    <s v="Consumer Discretionary"/>
    <s v="Broadcasting &amp; Cable"/>
    <s v="North America"/>
    <x v="60"/>
    <n v="58.9"/>
    <n v="29.8"/>
    <n v="3.6"/>
    <n v="69.900000000000006"/>
    <n v="156"/>
    <s v="http://www.forbes.com/companies/time-warner/"/>
  </r>
  <r>
    <s v="Philip Morris International"/>
    <s v="Consumer Staples"/>
    <s v="Tobacco"/>
    <s v="North America"/>
    <x v="60"/>
    <n v="130.30000000000001"/>
    <n v="30.9"/>
    <n v="8.6"/>
    <n v="38.200000000000003"/>
    <n v="157"/>
    <s v="http://www.forbes.com/companies/philip-morris-international/"/>
  </r>
  <r>
    <s v="Honeywell International"/>
    <s v="Industrials"/>
    <s v="Conglomerates"/>
    <s v="North America"/>
    <x v="60"/>
    <n v="72.900000000000006"/>
    <n v="39.1"/>
    <n v="3.9"/>
    <n v="45.4"/>
    <n v="158"/>
    <s v="http://www.forbes.com/companies/honeywell-international/"/>
  </r>
  <r>
    <s v="Express Scripts"/>
    <s v="Health Care"/>
    <s v="Healthcare Services"/>
    <s v="North America"/>
    <x v="60"/>
    <n v="59"/>
    <n v="104.2"/>
    <n v="1.8"/>
    <n v="53.5"/>
    <n v="158"/>
    <s v="http://www.forbes.com/companies/express-scripts/"/>
  </r>
  <r>
    <s v="United Parcel Service"/>
    <s v="Industrials"/>
    <s v="Air Courier"/>
    <s v="North America"/>
    <x v="60"/>
    <n v="89.6"/>
    <n v="55.5"/>
    <n v="4.4000000000000004"/>
    <n v="36.200000000000003"/>
    <n v="160"/>
    <s v="http://www.forbes.com/companies/united-parcel-service/"/>
  </r>
  <r>
    <s v="PNC Financial Services"/>
    <s v="Financials"/>
    <s v="Regional Banks"/>
    <s v="North America"/>
    <x v="60"/>
    <n v="46.6"/>
    <n v="16.5"/>
    <n v="4.2"/>
    <n v="324.10000000000002"/>
    <n v="162"/>
    <s v="http://www.forbes.com/companies/pnc-financial-services/"/>
  </r>
  <r>
    <s v="Duke Energy"/>
    <s v="Utilities"/>
    <s v="Electric Utilities"/>
    <s v="North America"/>
    <x v="60"/>
    <n v="49.9"/>
    <n v="24.6"/>
    <n v="2.7"/>
    <n v="114.8"/>
    <n v="165"/>
    <s v="http://www.forbes.com/companies/duke-energy/"/>
  </r>
  <r>
    <s v="Delta Air Lines"/>
    <s v="Industrials"/>
    <s v="Airline"/>
    <s v="North America"/>
    <x v="60"/>
    <n v="30.4"/>
    <n v="37.700000000000003"/>
    <n v="10.5"/>
    <n v="59.4"/>
    <n v="166"/>
    <s v="http://www.forbes.com/companies/delta-air-lines/"/>
  </r>
  <r>
    <s v="Amgen"/>
    <s v="Health Care"/>
    <s v="Biotechs"/>
    <s v="North America"/>
    <x v="60"/>
    <n v="95.2"/>
    <n v="18.7"/>
    <n v="5.0999999999999996"/>
    <n v="66.099999999999994"/>
    <n v="170"/>
    <s v="http://www.forbes.com/companies/amgen/"/>
  </r>
  <r>
    <s v="EI du Pont de Nemours"/>
    <s v="Materials"/>
    <s v="Diversified Chemicals"/>
    <s v="North America"/>
    <x v="60"/>
    <n v="62.1"/>
    <n v="35.9"/>
    <n v="2.9"/>
    <n v="51.5"/>
    <n v="171"/>
    <s v="http://www.forbes.com/companies/ei-du-pont-de-nemours/"/>
  </r>
  <r>
    <s v="Walgreen"/>
    <s v="Consumer Staples"/>
    <s v="Drug Retail"/>
    <s v="North America"/>
    <x v="60"/>
    <n v="62.8"/>
    <n v="74.2"/>
    <n v="2.7"/>
    <n v="37.1"/>
    <n v="177"/>
    <s v="http://www.forbes.com/companies/walgreen/"/>
  </r>
  <r>
    <s v="Valero Energy"/>
    <s v="Energy"/>
    <s v="Oil &amp; Gas Operations"/>
    <s v="North America"/>
    <x v="60"/>
    <n v="29.6"/>
    <n v="138.1"/>
    <n v="2.7"/>
    <n v="47.3"/>
    <n v="179"/>
    <s v="http://www.forbes.com/companies/valero-energy/"/>
  </r>
  <r>
    <s v="Travelers Cos"/>
    <s v="Financials"/>
    <s v="Property &amp; Casualty Insurance"/>
    <s v="North America"/>
    <x v="60"/>
    <n v="29.7"/>
    <n v="26.2"/>
    <n v="3.6"/>
    <n v="105.6"/>
    <n v="181"/>
    <s v="http://www.forbes.com/companies/travelers-cos/"/>
  </r>
  <r>
    <s v="Deere &amp; Co"/>
    <s v="Industrials"/>
    <s v="Heavy Equipment"/>
    <s v="North America"/>
    <x v="60"/>
    <n v="33.799999999999997"/>
    <n v="38"/>
    <n v="3.6"/>
    <n v="57.7"/>
    <n v="184"/>
    <s v="http://www.forbes.com/companies/deere-co/"/>
  </r>
  <r>
    <s v="Union Pacific"/>
    <s v="Industrials"/>
    <s v="Railroads"/>
    <s v="North America"/>
    <x v="60"/>
    <n v="85.8"/>
    <n v="22"/>
    <n v="4.4000000000000004"/>
    <n v="49.7"/>
    <n v="185"/>
    <s v="http://www.forbes.com/companies/union-pacific/"/>
  </r>
  <r>
    <s v="McDonald's"/>
    <s v="Consumer Discretionary"/>
    <s v="Restaurants"/>
    <s v="North America"/>
    <x v="60"/>
    <n v="96.9"/>
    <n v="28.1"/>
    <n v="5.6"/>
    <n v="36.6"/>
    <n v="186"/>
    <s v="http://www.forbes.com/companies/mcdonalds/"/>
  </r>
  <r>
    <s v="WellPoint"/>
    <s v="Health Care"/>
    <s v="Managed Health Care"/>
    <s v="North America"/>
    <x v="60"/>
    <n v="28"/>
    <n v="71.5"/>
    <n v="2.5"/>
    <n v="59.6"/>
    <n v="187"/>
    <s v="http://www.forbes.com/companies/wellpoint/"/>
  </r>
  <r>
    <s v="Aflac"/>
    <s v="Financials"/>
    <s v="Life &amp; Health Insurance"/>
    <s v="North America"/>
    <x v="60"/>
    <n v="28.8"/>
    <n v="24.1"/>
    <n v="3.2"/>
    <n v="124.3"/>
    <n v="188"/>
    <s v="http://www.forbes.com/companies/aflac/"/>
  </r>
  <r>
    <s v="3M"/>
    <s v="Industrials"/>
    <s v="Conglomerates"/>
    <s v="North America"/>
    <x v="60"/>
    <n v="89.8"/>
    <n v="30.9"/>
    <n v="4.7"/>
    <n v="33.6"/>
    <n v="194"/>
    <s v="http://www.forbes.com/companies/3m/"/>
  </r>
  <r>
    <s v="Allstate"/>
    <s v="Financials"/>
    <s v="Diversified Insurance"/>
    <s v="North America"/>
    <x v="60"/>
    <n v="25.3"/>
    <n v="34.200000000000003"/>
    <n v="2.2999999999999998"/>
    <n v="123.5"/>
    <n v="195"/>
    <s v="http://www.forbes.com/companies/allstate/"/>
  </r>
  <r>
    <s v="Lockheed Martin"/>
    <s v="Industrials"/>
    <s v="Aerospace &amp; Defense"/>
    <s v="North America"/>
    <x v="60"/>
    <n v="52.3"/>
    <n v="45.4"/>
    <n v="3"/>
    <n v="36.200000000000003"/>
    <n v="198"/>
    <s v="http://www.forbes.com/companies/lockheed-martin/"/>
  </r>
  <r>
    <s v="Target"/>
    <s v="Consumer Discretionary"/>
    <s v="Discount Stores"/>
    <s v="North America"/>
    <x v="60"/>
    <n v="38.4"/>
    <n v="72.599999999999994"/>
    <n v="2"/>
    <n v="44.6"/>
    <n v="200"/>
    <s v="http://www.forbes.com/companies/target/"/>
  </r>
  <r>
    <s v="Bank of New York Mellon"/>
    <s v="Financials"/>
    <s v="Major Banks"/>
    <s v="North America"/>
    <x v="60"/>
    <n v="40.299999999999997"/>
    <n v="15.1"/>
    <n v="2.1"/>
    <n v="374.3"/>
    <n v="214"/>
    <s v="http://www.forbes.com/companies/bank-of-ny-mellon/"/>
  </r>
  <r>
    <s v="EMC"/>
    <s v="Information Technology"/>
    <s v="Computer Storage Devices"/>
    <s v="North America"/>
    <x v="60"/>
    <n v="56.3"/>
    <n v="23.2"/>
    <n v="2.9"/>
    <n v="45.8"/>
    <n v="216"/>
    <s v="http://www.forbes.com/companies/emc/"/>
  </r>
  <r>
    <s v="Costco Wholesale"/>
    <s v="Consumer Discretionary"/>
    <s v="Discount Stores"/>
    <s v="North America"/>
    <x v="60"/>
    <n v="49.2"/>
    <n v="107.9"/>
    <n v="2"/>
    <n v="31.6"/>
    <n v="217"/>
    <s v="http://www.forbes.com/companies/costco-wholesale/"/>
  </r>
  <r>
    <s v="Eli Lilly &amp; Co"/>
    <s v="Health Care"/>
    <s v="Pharmaceuticals"/>
    <s v="North America"/>
    <x v="60"/>
    <n v="65.900000000000006"/>
    <n v="23.1"/>
    <n v="4.7"/>
    <n v="35.200000000000003"/>
    <n v="219"/>
    <s v="http://www.forbes.com/companies/eli-lilly-co/"/>
  </r>
  <r>
    <s v="Lowe's Cos"/>
    <s v="Consumer Discretionary"/>
    <s v="Home Improvement Retail"/>
    <s v="North America"/>
    <x v="60"/>
    <n v="50.9"/>
    <n v="53.4"/>
    <n v="2.2999999999999998"/>
    <n v="32.700000000000003"/>
    <n v="221"/>
    <s v="http://www.forbes.com/companies/lowes-cos/"/>
  </r>
  <r>
    <s v="Freeport-McMoRan Copper"/>
    <s v="Materials"/>
    <s v="Diversified Metals &amp; Mining"/>
    <s v="North America"/>
    <x v="60"/>
    <n v="34.200000000000003"/>
    <n v="21.6"/>
    <n v="2.7"/>
    <n v="63.5"/>
    <n v="224"/>
    <s v="http://www.forbes.com/companies/freeport-mcmoran-copper/"/>
  </r>
  <r>
    <s v="Abbott Laboratories"/>
    <s v="Health Care"/>
    <s v="Pharmaceuticals"/>
    <s v="North America"/>
    <x v="60"/>
    <n v="59.4"/>
    <n v="21.8"/>
    <n v="2.6"/>
    <n v="43"/>
    <n v="229"/>
    <s v="http://www.forbes.com/companies/abbott-laboratories/"/>
  </r>
  <r>
    <s v="Aetna"/>
    <s v="Health Care"/>
    <s v="Managed Health Care"/>
    <s v="North America"/>
    <x v="60"/>
    <n v="27.2"/>
    <n v="47.3"/>
    <n v="1.9"/>
    <n v="49.9"/>
    <n v="232"/>
    <s v="http://www.forbes.com/companies/aetna/"/>
  </r>
  <r>
    <s v="Altria Group"/>
    <s v="Consumer Staples"/>
    <s v="Tobacco"/>
    <s v="North America"/>
    <x v="60"/>
    <n v="74.5"/>
    <n v="17.7"/>
    <n v="4.5"/>
    <n v="34.9"/>
    <n v="239"/>
    <s v="http://www.forbes.com/companies/altria-group/"/>
  </r>
  <r>
    <s v="BlackRock"/>
    <s v="Financials"/>
    <s v="Investment Services"/>
    <s v="North America"/>
    <x v="60"/>
    <n v="53.1"/>
    <n v="10.4"/>
    <n v="2.9"/>
    <n v="220.6"/>
    <n v="240"/>
    <s v="http://www.forbes.com/companies/blackrock/"/>
  </r>
  <r>
    <s v="Exelon"/>
    <s v="Utilities"/>
    <s v="Electric Utilities"/>
    <s v="North America"/>
    <x v="60"/>
    <n v="28.7"/>
    <n v="24.6"/>
    <n v="1.7"/>
    <n v="79.900000000000006"/>
    <n v="241"/>
    <s v="http://www.forbes.com/companies/exelon/"/>
  </r>
  <r>
    <s v="Archer Daniels Midland"/>
    <s v="Consumer Staples"/>
    <s v="Food Processing"/>
    <s v="North America"/>
    <x v="60"/>
    <n v="28.5"/>
    <n v="89.7"/>
    <n v="1.3"/>
    <n v="43.8"/>
    <n v="243"/>
    <s v="http://www.forbes.com/companies/archer-daniels-midland/"/>
  </r>
  <r>
    <s v="McKesson"/>
    <s v="Health Care"/>
    <s v="Pharmaceuticals"/>
    <s v="North America"/>
    <x v="60"/>
    <n v="40.5"/>
    <n v="130.1"/>
    <n v="1.2"/>
    <n v="36.5"/>
    <n v="243"/>
    <s v="http://www.forbes.com/companies/mckesson/"/>
  </r>
  <r>
    <s v="Hess"/>
    <s v="Energy"/>
    <s v="Oil &amp; Gas Operations"/>
    <s v="North America"/>
    <x v="60"/>
    <n v="27.3"/>
    <n v="22.2"/>
    <n v="5.0999999999999996"/>
    <n v="42.8"/>
    <n v="246"/>
    <s v="http://www.forbes.com/companies/hess/"/>
  </r>
  <r>
    <s v="eBay"/>
    <s v="Consumer Discretionary"/>
    <s v="Internet &amp; Catalog Retail"/>
    <s v="North America"/>
    <x v="60"/>
    <n v="71"/>
    <n v="16"/>
    <n v="2.9"/>
    <n v="41.5"/>
    <n v="250"/>
    <s v="http://www.forbes.com/companies/ebay/"/>
  </r>
  <r>
    <s v="Time Warner Cable"/>
    <s v="Consumer Discretionary"/>
    <s v="Broadcasting &amp; Cable"/>
    <s v="North America"/>
    <x v="60"/>
    <n v="38.200000000000003"/>
    <n v="22.1"/>
    <n v="1.9"/>
    <n v="48.3"/>
    <n v="252"/>
    <s v="http://www.forbes.com/companies/time-warner-cable/"/>
  </r>
  <r>
    <s v="General Dynamics"/>
    <s v="Industrials"/>
    <s v="Aerospace &amp; Defense"/>
    <s v="North America"/>
    <x v="60"/>
    <n v="37.700000000000003"/>
    <n v="31.2"/>
    <n v="2.4"/>
    <n v="35.4"/>
    <n v="253"/>
    <s v="http://www.forbes.com/companies/general-dynamics/"/>
  </r>
  <r>
    <s v="AbbVie"/>
    <s v="Health Care"/>
    <s v="Pharmaceuticals"/>
    <s v="North America"/>
    <x v="60"/>
    <n v="82.8"/>
    <n v="18.8"/>
    <n v="4.0999999999999996"/>
    <n v="29.2"/>
    <n v="254"/>
    <s v="http://www.forbes.com/companies/abbvie/"/>
  </r>
  <r>
    <s v="Medtronic"/>
    <s v="Health Care"/>
    <s v="Medical Equipment &amp; Supplies"/>
    <s v="North America"/>
    <x v="60"/>
    <n v="61.7"/>
    <n v="16.899999999999999"/>
    <n v="3.6"/>
    <n v="37.200000000000003"/>
    <n v="255"/>
    <s v="http://www.forbes.com/companies/medtronic/"/>
  </r>
  <r>
    <s v="Bristol-Myers Squibb"/>
    <s v="Health Care"/>
    <s v="Pharmaceuticals"/>
    <s v="North America"/>
    <x v="60"/>
    <n v="85.9"/>
    <n v="16.399999999999999"/>
    <n v="2.6"/>
    <n v="38.6"/>
    <n v="257"/>
    <s v="http://www.forbes.com/companies/bristol-myers-squibb/"/>
  </r>
  <r>
    <s v="FedEx"/>
    <s v="Industrials"/>
    <s v="Air Courier"/>
    <s v="North America"/>
    <x v="60"/>
    <n v="39.6"/>
    <n v="45.2"/>
    <n v="1.7"/>
    <n v="32.700000000000003"/>
    <n v="261"/>
    <s v="http://www.forbes.com/companies/fedex/"/>
  </r>
  <r>
    <s v="Halliburton"/>
    <s v="Energy"/>
    <s v="Oil Services &amp; Equipment"/>
    <s v="North America"/>
    <x v="60"/>
    <n v="50.7"/>
    <n v="29.4"/>
    <n v="2.1"/>
    <n v="29.2"/>
    <n v="268"/>
    <s v="http://www.forbes.com/companies/halliburton/"/>
  </r>
  <r>
    <s v="Danaher"/>
    <s v="Industrials"/>
    <s v="Conglomerates"/>
    <s v="North America"/>
    <x v="60"/>
    <n v="52.6"/>
    <n v="19.100000000000001"/>
    <n v="2.7"/>
    <n v="34.700000000000003"/>
    <n v="269"/>
    <s v="http://www.forbes.com/companies/danaher/"/>
  </r>
  <r>
    <s v="Apache"/>
    <s v="Energy"/>
    <s v="Oil &amp; Gas Operations"/>
    <s v="North America"/>
    <x v="60"/>
    <n v="33.1"/>
    <n v="16.5"/>
    <n v="2.2000000000000002"/>
    <n v="61.6"/>
    <n v="270"/>
    <s v="http://www.forbes.com/companies/apache/"/>
  </r>
  <r>
    <s v="Marathon Petroleum"/>
    <s v="Energy"/>
    <s v="Oil &amp; Gas Operations"/>
    <s v="North America"/>
    <x v="60"/>
    <n v="26.2"/>
    <n v="93.9"/>
    <n v="2.1"/>
    <n v="28.4"/>
    <n v="271"/>
    <s v="http://www.forbes.com/companies/marathon-petroleum/"/>
  </r>
  <r>
    <s v="Southern Co"/>
    <s v="Utilities"/>
    <s v="Electric Utilities"/>
    <s v="North America"/>
    <x v="60"/>
    <n v="38.6"/>
    <n v="17.100000000000001"/>
    <n v="1.7"/>
    <n v="64.5"/>
    <n v="273"/>
    <s v="http://www.forbes.com/companies/southern-co/"/>
  </r>
  <r>
    <s v="NextEra Energy"/>
    <s v="Utilities"/>
    <s v="Electric Utilities"/>
    <s v="North America"/>
    <x v="60"/>
    <n v="40.9"/>
    <n v="14.6"/>
    <n v="1.9"/>
    <n v="69.3"/>
    <n v="276"/>
    <s v="http://www.forbes.com/companies/nextera-energy/"/>
  </r>
  <r>
    <s v="Visa"/>
    <s v="Financials"/>
    <s v="Consumer Financial Services"/>
    <s v="North America"/>
    <x v="60"/>
    <n v="136"/>
    <n v="12.1"/>
    <n v="5.0999999999999996"/>
    <n v="36.200000000000003"/>
    <n v="280"/>
    <s v="http://www.forbes.com/companies/visa/"/>
  </r>
  <r>
    <s v="Cigna"/>
    <s v="Health Care"/>
    <s v="Managed Health Care"/>
    <s v="North America"/>
    <x v="60"/>
    <n v="22.5"/>
    <n v="32.4"/>
    <n v="1.5"/>
    <n v="55.5"/>
    <n v="286"/>
    <s v="http://www.forbes.com/companies/cigna/"/>
  </r>
  <r>
    <s v="National Oilwell Varco"/>
    <s v="Energy"/>
    <s v="Oil Services &amp; Equipment"/>
    <s v="North America"/>
    <x v="60"/>
    <n v="33.5"/>
    <n v="22.9"/>
    <n v="2.2999999999999998"/>
    <n v="34.799999999999997"/>
    <n v="292"/>
    <s v="http://www.forbes.com/companies/national-oilwell-varco/"/>
  </r>
  <r>
    <s v="Directv"/>
    <s v="Consumer Discretionary"/>
    <s v="Broadcasting &amp; Cable"/>
    <s v="North America"/>
    <x v="60"/>
    <n v="39.6"/>
    <n v="31.8"/>
    <n v="2.9"/>
    <n v="21.9"/>
    <n v="300"/>
    <s v="http://www.forbes.com/companies/directv/"/>
  </r>
  <r>
    <s v="State Street"/>
    <s v="Financials"/>
    <s v="Investment Services"/>
    <s v="North America"/>
    <x v="60"/>
    <n v="30"/>
    <n v="9.6999999999999993"/>
    <n v="2.1"/>
    <n v="243.3"/>
    <n v="307"/>
    <s v="http://www.forbes.com/companies/state-street/"/>
  </r>
  <r>
    <s v="Kroger"/>
    <s v="Consumer Staples"/>
    <s v="Food Retail"/>
    <s v="North America"/>
    <x v="60"/>
    <n v="22.2"/>
    <n v="98.5"/>
    <n v="1.5"/>
    <n v="29.3"/>
    <n v="309"/>
    <s v="http://www.forbes.com/companies/kroger/"/>
  </r>
  <r>
    <s v="Johnson Controls"/>
    <s v="Consumer Discretionary"/>
    <s v="Auto &amp; Truck Parts"/>
    <s v="North America"/>
    <x v="60"/>
    <n v="32"/>
    <n v="43.2"/>
    <n v="1.3"/>
    <n v="30.8"/>
    <n v="310"/>
    <s v="http://www.forbes.com/companies/johnson-controls/"/>
  </r>
  <r>
    <s v="Emerson Electric"/>
    <s v="Industrials"/>
    <s v="Electrical Equipment"/>
    <s v="North America"/>
    <x v="60"/>
    <n v="47.3"/>
    <n v="24.7"/>
    <n v="2"/>
    <n v="24.1"/>
    <n v="314"/>
    <s v="http://www.forbes.com/companies/emerson-electric/"/>
  </r>
  <r>
    <s v="Dominion Resources"/>
    <s v="Utilities"/>
    <s v="Electric Utilities"/>
    <s v="North America"/>
    <x v="60"/>
    <n v="40.9"/>
    <n v="13.2"/>
    <n v="1.7"/>
    <n v="50.1"/>
    <n v="318"/>
    <s v="http://www.forbes.com/companies/dominion-resources/"/>
  </r>
  <r>
    <s v="BB&amp;T"/>
    <s v="Financials"/>
    <s v="Regional Banks"/>
    <s v="North America"/>
    <x v="60"/>
    <n v="28.8"/>
    <n v="10.6"/>
    <n v="1.7"/>
    <n v="184.5"/>
    <n v="319"/>
    <s v="http://www.forbes.com/companies/bbt/"/>
  </r>
  <r>
    <s v="NIKE"/>
    <s v="Consumer Discretionary"/>
    <s v="Apparel/Accessories"/>
    <s v="North America"/>
    <x v="60"/>
    <n v="65.900000000000006"/>
    <n v="27"/>
    <n v="2.7"/>
    <n v="17.8"/>
    <n v="322"/>
    <s v="http://www.forbes.com/companies/nike/"/>
  </r>
  <r>
    <s v="Kinder Morgan"/>
    <s v="Energy"/>
    <s v="Oil Services &amp; Equipment"/>
    <s v="North America"/>
    <x v="60"/>
    <n v="33.9"/>
    <n v="14.1"/>
    <n v="1.2"/>
    <n v="75.2"/>
    <n v="323"/>
    <s v="http://www.forbes.com/companies/kinder-morgan/"/>
  </r>
  <r>
    <s v="EOG Resources"/>
    <s v="Energy"/>
    <s v="Oil &amp; Gas Operations"/>
    <s v="North America"/>
    <x v="60"/>
    <n v="54.1"/>
    <n v="14.5"/>
    <n v="2.2000000000000002"/>
    <n v="30.6"/>
    <n v="331"/>
    <s v="http://www.forbes.com/companies/eog-resources/"/>
  </r>
  <r>
    <s v="Monsanto"/>
    <s v="Materials"/>
    <s v="Specialized Chemicals"/>
    <s v="North America"/>
    <x v="60"/>
    <n v="59.8"/>
    <n v="15.4"/>
    <n v="2.7"/>
    <n v="23.5"/>
    <n v="334"/>
    <s v="http://www.forbes.com/companies/monsanto/"/>
  </r>
  <r>
    <s v="Raytheon"/>
    <s v="Industrials"/>
    <s v="Aerospace &amp; Defense"/>
    <s v="North America"/>
    <x v="60"/>
    <n v="31.2"/>
    <n v="23.7"/>
    <n v="2"/>
    <n v="26"/>
    <n v="335"/>
    <s v="http://www.forbes.com/companies/raytheon/"/>
  </r>
  <r>
    <s v="Chubb"/>
    <s v="Financials"/>
    <s v="Property &amp; Casualty Insurance"/>
    <s v="North America"/>
    <x v="60"/>
    <n v="21.8"/>
    <n v="13.9"/>
    <n v="2.2999999999999998"/>
    <n v="52.7"/>
    <n v="338"/>
    <s v="http://www.forbes.com/companies/chubb/"/>
  </r>
  <r>
    <s v="American Electric"/>
    <s v="Utilities"/>
    <s v="Electric Utilities"/>
    <s v="North America"/>
    <x v="60"/>
    <n v="24.6"/>
    <n v="15.3"/>
    <n v="1.5"/>
    <n v="56.4"/>
    <n v="341"/>
    <s v="http://www.forbes.com/companies/american-electric/"/>
  </r>
  <r>
    <s v="HCA Holdings"/>
    <s v="Health Care"/>
    <s v="Healthcare Services"/>
    <s v="North America"/>
    <x v="60"/>
    <n v="22.9"/>
    <n v="34.200000000000003"/>
    <n v="1.6"/>
    <n v="28.8"/>
    <n v="342"/>
    <s v="http://www.forbes.com/companies/hca-holdings/"/>
  </r>
  <r>
    <s v="Northrop Grumman"/>
    <s v="Industrials"/>
    <s v="Aerospace &amp; Defense"/>
    <s v="North America"/>
    <x v="60"/>
    <n v="26.9"/>
    <n v="24.7"/>
    <n v="2"/>
    <n v="26.4"/>
    <n v="345"/>
    <s v="http://www.forbes.com/companies/northrop-grumman/"/>
  </r>
  <r>
    <s v="Kraft Foods Group"/>
    <s v="Consumer Staples"/>
    <s v="Food Processing"/>
    <s v="North America"/>
    <x v="60"/>
    <n v="33.5"/>
    <n v="18.3"/>
    <n v="2.7"/>
    <n v="23.1"/>
    <n v="347"/>
    <s v="http://www.forbes.com/companies/kraft-foods-group/"/>
  </r>
  <r>
    <s v="Discover Financial Services"/>
    <s v="Financials"/>
    <s v="Consumer Financial Services"/>
    <s v="North America"/>
    <x v="60"/>
    <n v="27.8"/>
    <n v="9.1999999999999993"/>
    <n v="2.5"/>
    <n v="79.599999999999994"/>
    <n v="349"/>
    <s v="http://www.forbes.com/companies/discover-financial-services/"/>
  </r>
  <r>
    <s v="Fannie Mae"/>
    <s v="Financials"/>
    <s v="Investment Services"/>
    <s v="North America"/>
    <x v="60"/>
    <n v="4.5999999999999996"/>
    <n v="122.9"/>
    <n v="84"/>
    <n v="3270.1"/>
    <n v="355"/>
    <s v="http://www.forbes.com/companies/fannie-mae/"/>
  </r>
  <r>
    <s v="Las Vegas Sands"/>
    <s v="Consumer Discretionary"/>
    <s v="Casinos &amp; Gaming"/>
    <s v="North America"/>
    <x v="60"/>
    <n v="67.2"/>
    <n v="13.8"/>
    <n v="2.2999999999999998"/>
    <n v="22.7"/>
    <n v="357"/>
    <s v="http://www.forbes.com/companies/las-vegas-sands/"/>
  </r>
  <r>
    <s v="Baxter International"/>
    <s v="Health Care"/>
    <s v="Medical Equipment &amp; Supplies"/>
    <s v="North America"/>
    <x v="60"/>
    <n v="39.9"/>
    <n v="15.3"/>
    <n v="2"/>
    <n v="25.9"/>
    <n v="358"/>
    <s v="http://www.forbes.com/companies/baxter-international/"/>
  </r>
  <r>
    <s v="Anadarko Petroleum"/>
    <s v="Energy"/>
    <s v="Oil &amp; Gas Operations"/>
    <s v="North America"/>
    <x v="60"/>
    <n v="44.3"/>
    <n v="14.9"/>
    <n v="0.8"/>
    <n v="55.8"/>
    <n v="359"/>
    <s v="http://www.forbes.com/companies/anadarko-petroleum/"/>
  </r>
  <r>
    <s v="Ameriprise Financial"/>
    <s v="Financials"/>
    <s v="Investment Services"/>
    <s v="North America"/>
    <x v="60"/>
    <n v="21.3"/>
    <n v="11.2"/>
    <n v="1.3"/>
    <n v="144.6"/>
    <n v="362"/>
    <s v="http://www.forbes.com/companies/ameriprise-financial/"/>
  </r>
  <r>
    <s v="International Paper"/>
    <s v="Materials"/>
    <s v="Paper &amp; Paper Products"/>
    <s v="North America"/>
    <x v="60"/>
    <n v="20.100000000000001"/>
    <n v="29.1"/>
    <n v="1.4"/>
    <n v="31.5"/>
    <n v="363"/>
    <s v="http://www.forbes.com/companies/international-paper/"/>
  </r>
  <r>
    <s v="Gilead Sciences"/>
    <s v="Health Care"/>
    <s v="Biotechs"/>
    <s v="North America"/>
    <x v="60"/>
    <n v="113.2"/>
    <n v="11.2"/>
    <n v="3.1"/>
    <n v="22.5"/>
    <n v="364"/>
    <s v="http://www.forbes.com/companies/gilead-sciences/"/>
  </r>
  <r>
    <s v="Kimberly-Clark"/>
    <s v="Consumer Staples"/>
    <s v="Household/Personal Care"/>
    <s v="North America"/>
    <x v="60"/>
    <n v="41.5"/>
    <n v="21.2"/>
    <n v="2.1"/>
    <n v="18.899999999999999"/>
    <n v="366"/>
    <s v="http://www.forbes.com/companies/kimberly-clark/"/>
  </r>
  <r>
    <s v="CBS"/>
    <s v="Consumer Discretionary"/>
    <s v="Broadcasting &amp; Cable"/>
    <s v="North America"/>
    <x v="60"/>
    <n v="37.5"/>
    <n v="15.3"/>
    <n v="1.9"/>
    <n v="26.4"/>
    <n v="368"/>
    <s v="http://www.forbes.com/companies/cbs/"/>
  </r>
  <r>
    <s v="Marathon Oil"/>
    <s v="Energy"/>
    <s v="Oil &amp; Gas Operations"/>
    <s v="North America"/>
    <x v="60"/>
    <n v="24.5"/>
    <n v="14.8"/>
    <n v="1.8"/>
    <n v="35.799999999999997"/>
    <n v="373"/>
    <s v="http://www.forbes.com/companies/marathon-oil/"/>
  </r>
  <r>
    <s v="Carnival"/>
    <s v="Consumer Discretionary"/>
    <s v="Hotels &amp; Motels"/>
    <s v="North America"/>
    <x v="60"/>
    <n v="31"/>
    <n v="15.5"/>
    <n v="1.1000000000000001"/>
    <n v="40.1"/>
    <n v="375"/>
    <s v="http://www.forbes.com/companies/carnival/"/>
  </r>
  <r>
    <s v="Freddie Mac"/>
    <s v="Financials"/>
    <s v="Investment Services"/>
    <s v="North America"/>
    <x v="60"/>
    <n v="2.6"/>
    <n v="62.2"/>
    <n v="48.7"/>
    <n v="1981.8"/>
    <n v="377"/>
    <s v="http://www.forbes.com/companies/freddie-mac/"/>
  </r>
  <r>
    <s v="General Mills"/>
    <s v="Consumer Staples"/>
    <s v="Food Processing"/>
    <s v="North America"/>
    <x v="60"/>
    <n v="31.8"/>
    <n v="18"/>
    <n v="1.8"/>
    <n v="22.9"/>
    <n v="379"/>
    <s v="http://www.forbes.com/companies/general-mills/"/>
  </r>
  <r>
    <s v="Viacom"/>
    <s v="Consumer Discretionary"/>
    <s v="Broadcasting &amp; Cable"/>
    <s v="North America"/>
    <x v="60"/>
    <n v="38"/>
    <n v="13.7"/>
    <n v="2.5"/>
    <n v="22.8"/>
    <n v="380"/>
    <s v="http://www.forbes.com/companies/viacom/"/>
  </r>
  <r>
    <s v="Thermo Fisher Scientific"/>
    <m/>
    <s v="Precision Healthcare Equipment"/>
    <s v="North America"/>
    <x v="60"/>
    <n v="47.8"/>
    <n v="13.1"/>
    <n v="1.3"/>
    <n v="31.9"/>
    <n v="383"/>
    <s v="http://www.forbes.com/companies/thermo-fisher-scientific/"/>
  </r>
  <r>
    <s v="Baker Hughes"/>
    <s v="Energy"/>
    <s v="Oil Services &amp; Equipment"/>
    <s v="North America"/>
    <x v="60"/>
    <n v="28.7"/>
    <n v="22.4"/>
    <n v="1.1000000000000001"/>
    <n v="27.9"/>
    <n v="385"/>
    <s v="http://www.forbes.com/companies/baker-hughes/"/>
  </r>
  <r>
    <s v="Automatic Data"/>
    <s v="Consumer Discretionary"/>
    <s v="Business &amp; Personal Services"/>
    <s v="North America"/>
    <x v="60"/>
    <n v="37.299999999999997"/>
    <n v="11.7"/>
    <n v="1.4"/>
    <n v="38.299999999999997"/>
    <n v="386"/>
    <s v="http://www.forbes.com/companies/automatic-data/"/>
  </r>
  <r>
    <s v="CSX"/>
    <s v="Industrials"/>
    <s v="Railroads"/>
    <s v="North America"/>
    <x v="60"/>
    <n v="29.3"/>
    <n v="12"/>
    <n v="1.9"/>
    <n v="31.8"/>
    <n v="394"/>
    <s v="http://www.forbes.com/companies/csx/"/>
  </r>
  <r>
    <s v="Norfolk Southern"/>
    <s v="Industrials"/>
    <s v="Railroads"/>
    <s v="North America"/>
    <x v="60"/>
    <n v="30.4"/>
    <n v="11.2"/>
    <n v="1.9"/>
    <n v="32.9"/>
    <n v="395"/>
    <s v="http://www.forbes.com/companies/norfolk-southern/"/>
  </r>
  <r>
    <s v="Lincoln National"/>
    <s v="Financials"/>
    <s v="Life &amp; Health Insurance"/>
    <s v="North America"/>
    <x v="60"/>
    <n v="13.4"/>
    <n v="12.2"/>
    <n v="1.2"/>
    <n v="239"/>
    <n v="396"/>
    <s v="http://www.forbes.com/companies/lincoln-national/"/>
  </r>
  <r>
    <s v="Macy's"/>
    <s v="Consumer Discretionary"/>
    <s v="Department Stores"/>
    <s v="North America"/>
    <x v="60"/>
    <n v="21.7"/>
    <n v="27.9"/>
    <n v="1.5"/>
    <n v="21.6"/>
    <n v="397"/>
    <s v="http://www.forbes.com/companies/macys/"/>
  </r>
  <r>
    <s v="SunTrust Banks"/>
    <s v="Financials"/>
    <s v="Regional Banks"/>
    <s v="North America"/>
    <x v="60"/>
    <n v="21.5"/>
    <n v="8.3000000000000007"/>
    <n v="1.3"/>
    <n v="175.3"/>
    <n v="403"/>
    <s v="http://www.forbes.com/companies/suntrust-banks/"/>
  </r>
  <r>
    <s v="PG&amp;E"/>
    <s v="Utilities"/>
    <s v="Electric Utilities"/>
    <s v="North America"/>
    <x v="60"/>
    <n v="19.399999999999999"/>
    <n v="15.6"/>
    <n v="0.8"/>
    <n v="57.3"/>
    <n v="413"/>
    <s v="http://www.forbes.com/companies/pge/"/>
  </r>
  <r>
    <s v="Illinois Tool Works"/>
    <s v="Industrials"/>
    <s v="Other Industrial Equipment"/>
    <s v="North America"/>
    <x v="60"/>
    <n v="34.9"/>
    <n v="15.4"/>
    <n v="1.7"/>
    <n v="20"/>
    <n v="415"/>
    <s v="http://www.forbes.com/companies/illinois-tool-works/"/>
  </r>
  <r>
    <s v="Humana"/>
    <s v="Health Care"/>
    <s v="Managed Health Care"/>
    <s v="North America"/>
    <x v="60"/>
    <n v="17.5"/>
    <n v="41.3"/>
    <n v="1.2"/>
    <n v="21.3"/>
    <n v="418"/>
    <s v="http://www.forbes.com/companies/humana/"/>
  </r>
  <r>
    <s v="Texas Instruments"/>
    <s v="Information Technology"/>
    <s v="Semiconductors"/>
    <s v="North America"/>
    <x v="60"/>
    <n v="51.4"/>
    <n v="12.2"/>
    <n v="2.1"/>
    <n v="18.899999999999999"/>
    <n v="421"/>
    <s v="http://www.forbes.com/companies/texas-instruments/"/>
  </r>
  <r>
    <s v="Colgate-Palmolive"/>
    <s v="Consumer Staples"/>
    <s v="Household/Personal Care"/>
    <s v="North America"/>
    <x v="60"/>
    <n v="59"/>
    <n v="17.399999999999999"/>
    <n v="2.2000000000000002"/>
    <n v="13.9"/>
    <n v="423"/>
    <s v="http://www.forbes.com/companies/colgate-palmolive/"/>
  </r>
  <r>
    <s v="PPL"/>
    <s v="Utilities"/>
    <s v="Electric Utilities"/>
    <s v="North America"/>
    <x v="60"/>
    <n v="20.7"/>
    <n v="11.9"/>
    <n v="1.1000000000000001"/>
    <n v="46.3"/>
    <n v="430"/>
    <s v="http://www.forbes.com/companies/ppl/"/>
  </r>
  <r>
    <s v="Prudential Financial"/>
    <s v="Financials"/>
    <s v="Life &amp; Health Insurance"/>
    <s v="North America"/>
    <x v="60"/>
    <n v="39.700000000000003"/>
    <n v="48.7"/>
    <n v="-0.7"/>
    <n v="731.8"/>
    <n v="433"/>
    <s v="http://www.forbes.com/companies/prudential-financial/"/>
  </r>
  <r>
    <s v="Praxair"/>
    <s v="Materials"/>
    <s v="Specialized Chemicals"/>
    <s v="North America"/>
    <x v="60"/>
    <n v="38.5"/>
    <n v="11.9"/>
    <n v="1.8"/>
    <n v="20.3"/>
    <n v="437"/>
    <s v="http://www.forbes.com/companies/praxair/"/>
  </r>
  <r>
    <s v="Edison International"/>
    <s v="Utilities"/>
    <s v="Electric Utilities"/>
    <s v="North America"/>
    <x v="60"/>
    <n v="18.399999999999999"/>
    <n v="12.6"/>
    <n v="1"/>
    <n v="46.6"/>
    <n v="438"/>
    <s v="http://www.forbes.com/companies/edison-international/"/>
  </r>
  <r>
    <s v="PPG Industries"/>
    <s v="Materials"/>
    <s v="Diversified Chemicals"/>
    <s v="North America"/>
    <x v="60"/>
    <n v="27.3"/>
    <n v="15.1"/>
    <n v="3.2"/>
    <n v="15.9"/>
    <n v="440"/>
    <s v="http://www.forbes.com/companies/ppg-industries/"/>
  </r>
  <r>
    <s v="Fifth Third Bancorp"/>
    <s v="Financials"/>
    <s v="Regional Banks"/>
    <s v="North America"/>
    <x v="60"/>
    <n v="19.7"/>
    <n v="6.2"/>
    <n v="1.8"/>
    <n v="131.5"/>
    <n v="447"/>
    <s v="http://www.forbes.com/companies/fifth-third-bancorp/"/>
  </r>
  <r>
    <s v="United Continental Holdings"/>
    <s v="Industrials"/>
    <s v="Airline"/>
    <s v="North America"/>
    <x v="60"/>
    <n v="17.399999999999999"/>
    <n v="38.299999999999997"/>
    <n v="0.6"/>
    <n v="36.799999999999997"/>
    <n v="448"/>
    <s v="http://www.forbes.com/companies/united-continental-holdings/"/>
  </r>
  <r>
    <s v="Chesapeake Energy"/>
    <s v="Energy"/>
    <s v="Oil &amp; Gas Operations"/>
    <s v="North America"/>
    <x v="60"/>
    <n v="17.399999999999999"/>
    <n v="17.8"/>
    <n v="0.7"/>
    <n v="41.8"/>
    <n v="451"/>
    <s v="http://www.forbes.com/companies/chesapeake-energy/"/>
  </r>
  <r>
    <s v="Amazon.com"/>
    <s v="Consumer Discretionary"/>
    <s v="Internet &amp; Catalog Retail"/>
    <s v="North America"/>
    <x v="60"/>
    <n v="157.5"/>
    <n v="74.5"/>
    <n v="0.3"/>
    <n v="41.4"/>
    <n v="452"/>
    <s v="http://www.forbes.com/companies/amazon/"/>
  </r>
  <r>
    <s v="Paccar"/>
    <s v="Industrials"/>
    <s v="Heavy Equipment"/>
    <s v="North America"/>
    <x v="60"/>
    <n v="24"/>
    <n v="17.100000000000001"/>
    <n v="1.2"/>
    <n v="20.7"/>
    <n v="454"/>
    <s v="http://www.forbes.com/companies/paccar/"/>
  </r>
  <r>
    <s v="Xerox"/>
    <s v="Industrials"/>
    <s v="Business Products &amp; Supplies"/>
    <s v="North America"/>
    <x v="60"/>
    <n v="13.6"/>
    <n v="21.6"/>
    <n v="1.2"/>
    <n v="29"/>
    <n v="456"/>
    <s v="http://www.forbes.com/companies/xerox/"/>
  </r>
  <r>
    <s v="Loews"/>
    <s v="Financials"/>
    <s v="Diversified Insurance"/>
    <s v="North America"/>
    <x v="60"/>
    <n v="17.2"/>
    <n v="14.7"/>
    <n v="0.6"/>
    <n v="79.900000000000006"/>
    <n v="459"/>
    <s v="http://www.forbes.com/companies/loews/"/>
  </r>
  <r>
    <s v="TJX Cos"/>
    <s v="Consumer Discretionary"/>
    <s v="Department Stores"/>
    <s v="North America"/>
    <x v="60"/>
    <n v="43.5"/>
    <n v="27.4"/>
    <n v="2.1"/>
    <n v="10.199999999999999"/>
    <n v="463"/>
    <s v="http://www.forbes.com/companies/tjx-cos/"/>
  </r>
  <r>
    <s v="Charles Schwab"/>
    <s v="Financials"/>
    <s v="Investment Services"/>
    <s v="North America"/>
    <x v="60"/>
    <n v="35.6"/>
    <n v="5.5"/>
    <n v="1.1000000000000001"/>
    <n v="143.9"/>
    <n v="464"/>
    <s v="http://www.forbes.com/companies/charles-schwab/"/>
  </r>
  <r>
    <s v="Principal Financial Group"/>
    <s v="Financials"/>
    <s v="Life &amp; Health Insurance"/>
    <s v="North America"/>
    <x v="60"/>
    <n v="13.9"/>
    <n v="9.5"/>
    <n v="0.9"/>
    <n v="208.2"/>
    <n v="465"/>
    <s v="http://www.forbes.com/companies/principal-financial-group/"/>
  </r>
  <r>
    <s v="Sempra Energy"/>
    <s v="Utilities"/>
    <s v="Natural Gas Utilities"/>
    <s v="North America"/>
    <x v="60"/>
    <n v="23.6"/>
    <n v="10.6"/>
    <n v="1"/>
    <n v="37.200000000000003"/>
    <n v="472"/>
    <s v="http://www.forbes.com/companies/sempra-energy/"/>
  </r>
  <r>
    <s v="Corning"/>
    <s v="Information Technology"/>
    <s v="Communications Equipment"/>
    <s v="North America"/>
    <x v="60"/>
    <n v="29.2"/>
    <n v="7.8"/>
    <n v="2"/>
    <n v="28.5"/>
    <n v="482"/>
    <s v="http://www.forbes.com/companies/corning/"/>
  </r>
  <r>
    <s v="Consolidated Edison"/>
    <s v="Utilities"/>
    <s v="Electric Utilities"/>
    <s v="North America"/>
    <x v="60"/>
    <n v="15.6"/>
    <n v="12.3"/>
    <n v="1.1000000000000001"/>
    <n v="40.6"/>
    <n v="486"/>
    <s v="http://www.forbes.com/companies/consolidated-edison/"/>
  </r>
  <r>
    <s v="Micron Technology"/>
    <s v="Information Technology"/>
    <s v="Semiconductors"/>
    <s v="North America"/>
    <x v="60"/>
    <n v="25.9"/>
    <n v="11.3"/>
    <n v="1.8"/>
    <n v="19.8"/>
    <n v="488"/>
    <s v="http://www.forbes.com/companies/micron-technology/"/>
  </r>
  <r>
    <s v="Progressive"/>
    <s v="Financials"/>
    <s v="Property &amp; Casualty Insurance"/>
    <s v="North America"/>
    <x v="60"/>
    <n v="14.3"/>
    <n v="18.2"/>
    <n v="1.2"/>
    <n v="25.2"/>
    <n v="490"/>
    <s v="http://www.forbes.com/companies/progressive/"/>
  </r>
  <r>
    <s v="Cummins"/>
    <s v="Industrials"/>
    <s v="Heavy Equipment"/>
    <s v="North America"/>
    <x v="60"/>
    <n v="27.4"/>
    <n v="17.3"/>
    <n v="1.5"/>
    <n v="14.7"/>
    <n v="496"/>
    <s v="http://www.forbes.com/companies/cummins/"/>
  </r>
  <r>
    <s v="Ecolab"/>
    <s v="Materials"/>
    <s v="Specialized Chemicals"/>
    <s v="North America"/>
    <x v="60"/>
    <n v="32.700000000000003"/>
    <n v="13.3"/>
    <n v="1"/>
    <n v="19.600000000000001"/>
    <n v="499"/>
    <s v="http://www.forbes.com/companies/ecolab/"/>
  </r>
  <r>
    <s v="Public Service Enterprise"/>
    <s v="Utilities"/>
    <s v="Electric Utilities"/>
    <s v="North America"/>
    <x v="60"/>
    <n v="19"/>
    <n v="10"/>
    <n v="1.2"/>
    <n v="32.6"/>
    <n v="502"/>
    <s v="http://www.forbes.com/companies/public-service-enterprise/"/>
  </r>
  <r>
    <s v="Precision Castparts"/>
    <s v="Industrials"/>
    <s v="Aerospace &amp; Defense"/>
    <s v="North America"/>
    <x v="60"/>
    <n v="37.700000000000003"/>
    <n v="9.5"/>
    <n v="1.7"/>
    <n v="18.3"/>
    <n v="504"/>
    <s v="http://www.forbes.com/companies/precision-castparts/"/>
  </r>
  <r>
    <s v="MasterCard"/>
    <s v="Financials"/>
    <s v="Consumer Financial Services"/>
    <s v="North America"/>
    <x v="60"/>
    <n v="88.8"/>
    <n v="8.3000000000000007"/>
    <n v="3.1"/>
    <n v="14.2"/>
    <n v="506"/>
    <s v="http://www.forbes.com/companies/mastercard/"/>
  </r>
  <r>
    <s v="Kellogg"/>
    <s v="Consumer Staples"/>
    <s v="Food Processing"/>
    <s v="North America"/>
    <x v="60"/>
    <n v="22.5"/>
    <n v="14.8"/>
    <n v="1.8"/>
    <n v="15.5"/>
    <n v="508"/>
    <s v="http://www.forbes.com/companies/kellogg/"/>
  </r>
  <r>
    <s v="Facebook"/>
    <s v="Information Technology"/>
    <s v="Computer Services"/>
    <s v="North America"/>
    <x v="60"/>
    <n v="159.69999999999999"/>
    <n v="7.9"/>
    <n v="1.5"/>
    <n v="17.899999999999999"/>
    <n v="510"/>
    <s v="http://www.forbes.com/companies/facebook/"/>
  </r>
  <r>
    <s v="Sysco"/>
    <s v="Consumer Staples"/>
    <s v="Food Retail"/>
    <s v="North America"/>
    <x v="60"/>
    <n v="21.1"/>
    <n v="45.5"/>
    <n v="1"/>
    <n v="13"/>
    <n v="518"/>
    <s v="http://www.forbes.com/companies/sysco/"/>
  </r>
  <r>
    <s v="DISH Network"/>
    <s v="Consumer Discretionary"/>
    <s v="Broadcasting &amp; Cable"/>
    <s v="North America"/>
    <x v="60"/>
    <n v="29.3"/>
    <n v="13.9"/>
    <n v="0.8"/>
    <n v="20.399999999999999"/>
    <n v="520"/>
    <s v="http://www.forbes.com/companies/dish-network/"/>
  </r>
  <r>
    <s v="Safeway"/>
    <s v="Consumer Staples"/>
    <s v="Food Retail"/>
    <s v="North America"/>
    <x v="60"/>
    <n v="8.6999999999999993"/>
    <n v="37.6"/>
    <n v="3.5"/>
    <n v="17.2"/>
    <n v="521"/>
    <s v="http://www.forbes.com/companies/safeway/"/>
  </r>
  <r>
    <s v="Omnicom Group"/>
    <s v="Consumer Discretionary"/>
    <s v="Advertising"/>
    <s v="North America"/>
    <x v="60"/>
    <n v="18.7"/>
    <n v="14.6"/>
    <n v="1"/>
    <n v="22.1"/>
    <n v="525"/>
    <s v="http://www.forbes.com/companies/omnicom-group/"/>
  </r>
  <r>
    <s v="Cardinal Health"/>
    <s v="Health Care"/>
    <s v="Pharmaceuticals"/>
    <s v="North America"/>
    <x v="60"/>
    <n v="23.9"/>
    <n v="96.7"/>
    <n v="0.4"/>
    <n v="25"/>
    <n v="526"/>
    <s v="http://www.forbes.com/companies/cardinal-health/"/>
  </r>
  <r>
    <s v="Marsh &amp; McLennan"/>
    <s v="Financials"/>
    <s v="Insurance Brokers"/>
    <s v="North America"/>
    <x v="60"/>
    <n v="27.2"/>
    <n v="12.3"/>
    <n v="1.4"/>
    <n v="17"/>
    <n v="531"/>
    <s v="http://www.forbes.com/companies/marsh-mclennan/"/>
  </r>
  <r>
    <s v="Xcel Energy"/>
    <s v="Utilities"/>
    <s v="Electric Utilities"/>
    <s v="North America"/>
    <x v="60"/>
    <n v="15.1"/>
    <n v="10.9"/>
    <n v="0.9"/>
    <n v="33.9"/>
    <n v="558"/>
    <s v="http://www.forbes.com/companies/xcel-energy/"/>
  </r>
  <r>
    <s v="Franklin Resources"/>
    <s v="Financials"/>
    <s v="Investment Services"/>
    <s v="North America"/>
    <x v="60"/>
    <n v="34.299999999999997"/>
    <n v="8.1999999999999993"/>
    <n v="2.2000000000000002"/>
    <n v="15.9"/>
    <n v="561"/>
    <s v="http://www.forbes.com/companies/franklin-resources/"/>
  </r>
  <r>
    <s v="Hartford Financial Services"/>
    <s v="Financials"/>
    <s v="Diversified Insurance"/>
    <s v="North America"/>
    <x v="60"/>
    <n v="15.9"/>
    <n v="26.4"/>
    <n v="0.3"/>
    <n v="279.60000000000002"/>
    <n v="568"/>
    <s v="http://www.forbes.com/companies/hartford-financial-services/"/>
  </r>
  <r>
    <s v="Simon Property Group"/>
    <s v="Financials"/>
    <s v="Real Estate"/>
    <s v="North America"/>
    <x v="60"/>
    <n v="51.8"/>
    <n v="5.2"/>
    <n v="1.3"/>
    <n v="33.299999999999997"/>
    <n v="571"/>
    <s v="http://www.forbes.com/companies/simon-property-group/"/>
  </r>
  <r>
    <s v="Regions Financial"/>
    <s v="Financials"/>
    <s v="Regional Banks"/>
    <s v="North America"/>
    <x v="60"/>
    <n v="16"/>
    <n v="5.6"/>
    <n v="1.1000000000000001"/>
    <n v="118.1"/>
    <n v="573"/>
    <s v="http://www.forbes.com/companies/regions-financial/"/>
  </r>
  <r>
    <s v="Southwest Airlines"/>
    <s v="Industrials"/>
    <s v="Airline"/>
    <s v="North America"/>
    <x v="60"/>
    <n v="16.8"/>
    <n v="17.7"/>
    <n v="0.8"/>
    <n v="19.3"/>
    <n v="575"/>
    <s v="http://www.forbes.com/companies/southwest-airlines/"/>
  </r>
  <r>
    <s v="Western Digital"/>
    <s v="Information Technology"/>
    <s v="Computer Storage Devices"/>
    <s v="North America"/>
    <x v="60"/>
    <n v="22.1"/>
    <n v="15.3"/>
    <n v="1"/>
    <n v="15.3"/>
    <n v="576"/>
    <s v="http://www.forbes.com/companies/western-digital/"/>
  </r>
  <r>
    <s v="Air Products &amp; Chemicals"/>
    <s v="Materials"/>
    <s v="Specialized Chemicals"/>
    <s v="North America"/>
    <x v="60"/>
    <n v="25.4"/>
    <n v="10.199999999999999"/>
    <n v="1"/>
    <n v="17.899999999999999"/>
    <n v="587"/>
    <s v="http://www.forbes.com/companies/air-products-chemicals/"/>
  </r>
  <r>
    <s v="Entergy"/>
    <s v="Utilities"/>
    <s v="Electric Utilities"/>
    <s v="North America"/>
    <x v="60"/>
    <n v="12"/>
    <n v="11.4"/>
    <n v="0.7"/>
    <n v="43.4"/>
    <n v="590"/>
    <s v="http://www.forbes.com/companies/entergy/"/>
  </r>
  <r>
    <s v="SLM"/>
    <s v="Financials"/>
    <s v="Consumer Financial Services"/>
    <s v="North America"/>
    <x v="60"/>
    <n v="10.6"/>
    <n v="5.8"/>
    <n v="1.4"/>
    <n v="159.5"/>
    <n v="592"/>
    <s v="http://www.forbes.com/companies/slm/"/>
  </r>
  <r>
    <s v="ConAgra Foods"/>
    <s v="Consumer Staples"/>
    <s v="Food Processing"/>
    <s v="North America"/>
    <x v="60"/>
    <n v="13"/>
    <n v="17.899999999999999"/>
    <n v="0.8"/>
    <n v="20.399999999999999"/>
    <n v="593"/>
    <s v="http://www.forbes.com/companies/conagra-foods/"/>
  </r>
  <r>
    <s v="Reynolds American"/>
    <s v="Consumer Staples"/>
    <s v="Tobacco"/>
    <s v="North America"/>
    <x v="60"/>
    <n v="28.8"/>
    <n v="8.1999999999999993"/>
    <n v="1.7"/>
    <n v="15.4"/>
    <n v="594"/>
    <s v="http://www.forbes.com/companies/reynolds-american/"/>
  </r>
  <r>
    <s v="Unum Group"/>
    <s v="Financials"/>
    <s v="Life &amp; Health Insurance"/>
    <s v="North America"/>
    <x v="60"/>
    <n v="9.1999999999999993"/>
    <n v="10.4"/>
    <n v="0.9"/>
    <n v="60.7"/>
    <n v="597"/>
    <s v="http://www.forbes.com/companies/unum-group/"/>
  </r>
  <r>
    <s v="Mosaic"/>
    <s v="Materials"/>
    <s v="Specialized Chemicals"/>
    <s v="North America"/>
    <x v="60"/>
    <n v="19.899999999999999"/>
    <n v="8.1999999999999993"/>
    <n v="1.3"/>
    <n v="19.600000000000001"/>
    <n v="601"/>
    <s v="http://www.forbes.com/companies/mosaic/"/>
  </r>
  <r>
    <s v="Stryker"/>
    <s v="Health Care"/>
    <s v="Medical Equipment &amp; Supplies"/>
    <s v="North America"/>
    <x v="60"/>
    <n v="31"/>
    <n v="9"/>
    <n v="1"/>
    <n v="15.7"/>
    <n v="608"/>
    <s v="http://www.forbes.com/companies/stryker/"/>
  </r>
  <r>
    <s v="Spectra Energy"/>
    <s v="Energy"/>
    <s v="Oil Services &amp; Equipment"/>
    <s v="North America"/>
    <x v="60"/>
    <n v="25.3"/>
    <n v="5.5"/>
    <n v="1"/>
    <n v="33.5"/>
    <n v="610"/>
    <s v="http://www.forbes.com/companies/spectra-energy/"/>
  </r>
  <r>
    <s v="Tyson Foods"/>
    <s v="Consumer Staples"/>
    <s v="Food Processing"/>
    <s v="North America"/>
    <x v="60"/>
    <n v="14.8"/>
    <n v="34.799999999999997"/>
    <n v="0.9"/>
    <n v="11.8"/>
    <n v="611"/>
    <s v="http://www.forbes.com/companies/tyson-foods/"/>
  </r>
  <r>
    <s v="FirstEnergy"/>
    <s v="Utilities"/>
    <s v="Electric Utilities"/>
    <s v="North America"/>
    <x v="60"/>
    <n v="14"/>
    <n v="14.9"/>
    <n v="0.4"/>
    <n v="50.4"/>
    <n v="612"/>
    <s v="http://www.forbes.com/companies/firstenergy/"/>
  </r>
  <r>
    <s v="Biogen Idec"/>
    <s v="Health Care"/>
    <s v="Biotechs"/>
    <s v="North America"/>
    <x v="60"/>
    <n v="73.2"/>
    <n v="6.9"/>
    <n v="1.9"/>
    <n v="11.9"/>
    <n v="614"/>
    <s v="http://www.forbes.com/companies/biogen-idec/"/>
  </r>
  <r>
    <s v="M&amp;T Bank"/>
    <s v="Financials"/>
    <s v="Regional Banks"/>
    <s v="North America"/>
    <x v="60"/>
    <n v="16"/>
    <n v="4.8"/>
    <n v="1.1000000000000001"/>
    <n v="85.6"/>
    <n v="615"/>
    <s v="http://www.forbes.com/companies/mt-bank/"/>
  </r>
  <r>
    <s v="Murphy Oil"/>
    <s v="Energy"/>
    <s v="Oil &amp; Gas Operations"/>
    <s v="North America"/>
    <x v="60"/>
    <n v="11.3"/>
    <n v="16.8"/>
    <n v="1"/>
    <n v="17.5"/>
    <n v="618"/>
    <s v="http://www.forbes.com/companies/murphy-oil/"/>
  </r>
  <r>
    <s v="Celgene"/>
    <s v="Health Care"/>
    <s v="Biotechs"/>
    <s v="North America"/>
    <x v="60"/>
    <n v="59.5"/>
    <n v="6.5"/>
    <n v="1.4"/>
    <n v="13.4"/>
    <n v="629"/>
    <s v="http://www.forbes.com/companies/celgene/"/>
  </r>
  <r>
    <s v="Dollar General"/>
    <s v="Consumer Discretionary"/>
    <s v="Discount Stores"/>
    <s v="North America"/>
    <x v="60"/>
    <n v="18.100000000000001"/>
    <n v="17.5"/>
    <n v="1"/>
    <n v="10.9"/>
    <n v="640"/>
    <s v="http://www.forbes.com/companies/dollar-general/"/>
  </r>
  <r>
    <s v="Parker-Hannifin"/>
    <s v="Industrials"/>
    <s v="Other Industrial Equipment"/>
    <s v="North America"/>
    <x v="60"/>
    <n v="18.2"/>
    <n v="13.1"/>
    <n v="1"/>
    <n v="12.9"/>
    <n v="642"/>
    <s v="http://www.forbes.com/companies/parker-hannifin/"/>
  </r>
  <r>
    <s v="Whirlpool"/>
    <s v="Consumer Discretionary"/>
    <s v="Household Appliances"/>
    <s v="North America"/>
    <x v="60"/>
    <n v="11.9"/>
    <n v="18.8"/>
    <n v="0.8"/>
    <n v="15.5"/>
    <n v="648"/>
    <s v="http://www.forbes.com/companies/whirlpool/"/>
  </r>
  <r>
    <s v="Liberty Media"/>
    <s v="Consumer Discretionary"/>
    <s v="Broadcasting &amp; Cable"/>
    <s v="North America"/>
    <x v="60"/>
    <n v="15.1"/>
    <n v="4"/>
    <n v="8.8000000000000007"/>
    <n v="34.5"/>
    <n v="651"/>
    <s v="http://www.forbes.com/companies/liberty-media-1/"/>
  </r>
  <r>
    <s v="Kohl's"/>
    <s v="Consumer Discretionary"/>
    <s v="Department Stores"/>
    <s v="North America"/>
    <x v="60"/>
    <n v="11.9"/>
    <n v="19"/>
    <n v="0.9"/>
    <n v="14.4"/>
    <n v="652"/>
    <s v="http://www.forbes.com/companies/kohls/"/>
  </r>
  <r>
    <s v="Genworth Financial"/>
    <s v="Financials"/>
    <s v="Diversified Insurance"/>
    <s v="North America"/>
    <x v="60"/>
    <n v="8.9"/>
    <n v="9.6"/>
    <n v="0.6"/>
    <n v="111"/>
    <n v="653"/>
    <s v="http://www.forbes.com/companies/genworth-financial/"/>
  </r>
  <r>
    <s v="Priceline.com"/>
    <s v="Consumer Discretionary"/>
    <s v="Business &amp; Personal Services"/>
    <s v="North America"/>
    <x v="60"/>
    <n v="65.2"/>
    <n v="6.8"/>
    <n v="1.9"/>
    <n v="10.4"/>
    <n v="654"/>
    <s v="http://www.forbes.com/companies/priceline/"/>
  </r>
  <r>
    <s v="Annaly Capital Management"/>
    <s v="Financials"/>
    <s v="Real Estate"/>
    <s v="North America"/>
    <x v="60"/>
    <n v="10.4"/>
    <n v="3.6"/>
    <n v="3.7"/>
    <n v="81.900000000000006"/>
    <n v="656"/>
    <s v="http://www.forbes.com/companies/annaly-capital-management/"/>
  </r>
  <r>
    <s v="VF"/>
    <s v="Consumer Discretionary"/>
    <s v="Apparel/Accessories"/>
    <s v="North America"/>
    <x v="60"/>
    <n v="27.4"/>
    <n v="11.4"/>
    <n v="1.2"/>
    <n v="10.3"/>
    <n v="658"/>
    <s v="http://www.forbes.com/companies/vf/"/>
  </r>
  <r>
    <s v="CME Group"/>
    <s v="Financials"/>
    <s v="Investment Services"/>
    <s v="North America"/>
    <x v="60"/>
    <n v="24.4"/>
    <n v="2.9"/>
    <n v="1"/>
    <n v="54.5"/>
    <n v="662"/>
    <s v="http://www.forbes.com/companies/cme-group/"/>
  </r>
  <r>
    <s v="CenturyLink"/>
    <s v="Telecommunication Services"/>
    <s v="Telecommunications services"/>
    <s v="North America"/>
    <x v="60"/>
    <n v="19.100000000000001"/>
    <n v="18.100000000000001"/>
    <n v="-0.2"/>
    <n v="51.8"/>
    <n v="665"/>
    <s v="http://www.forbes.com/companies/centurylink/"/>
  </r>
  <r>
    <s v="Yum Brands"/>
    <s v="Consumer Discretionary"/>
    <s v="Restaurants"/>
    <s v="North America"/>
    <x v="60"/>
    <n v="33.700000000000003"/>
    <n v="13.1"/>
    <n v="1.1000000000000001"/>
    <n v="8.6999999999999993"/>
    <n v="673"/>
    <s v="http://www.forbes.com/companies/yum-brands/"/>
  </r>
  <r>
    <s v="AmerisourceBergen"/>
    <s v="Health Care"/>
    <s v="Pharmaceuticals"/>
    <s v="North America"/>
    <x v="60"/>
    <n v="15.1"/>
    <n v="96.1"/>
    <n v="0.3"/>
    <n v="19.8"/>
    <n v="674"/>
    <s v="http://www.forbes.com/companies/amerisourcebergen/"/>
  </r>
  <r>
    <s v="DTE Energy"/>
    <s v="Utilities"/>
    <s v="Electric Utilities"/>
    <s v="North America"/>
    <x v="60"/>
    <n v="13.2"/>
    <n v="9.6"/>
    <n v="0.7"/>
    <n v="25.9"/>
    <n v="678"/>
    <s v="http://www.forbes.com/companies/dte-energy/"/>
  </r>
  <r>
    <s v="Northeast Utilities"/>
    <s v="Utilities"/>
    <s v="Electric Utilities"/>
    <s v="North America"/>
    <x v="60"/>
    <n v="14.2"/>
    <n v="7.3"/>
    <n v="0.8"/>
    <n v="27.8"/>
    <n v="679"/>
    <s v="http://www.forbes.com/companies/northeast-utilities/"/>
  </r>
  <r>
    <s v="Liberty Interactive"/>
    <s v="Consumer Discretionary"/>
    <s v="Internet &amp; Catalog Retail"/>
    <s v="North America"/>
    <x v="60"/>
    <n v="14.9"/>
    <n v="11.3"/>
    <n v="0.5"/>
    <n v="24.4"/>
    <n v="691"/>
    <s v="http://www.forbes.com/companies/liberty-interactive/"/>
  </r>
  <r>
    <s v="Nucor"/>
    <s v="Materials"/>
    <s v="Iron &amp; Steel"/>
    <s v="North America"/>
    <x v="60"/>
    <n v="16.100000000000001"/>
    <n v="19.100000000000001"/>
    <n v="0.5"/>
    <n v="15.2"/>
    <n v="698"/>
    <s v="http://www.forbes.com/companies/nucor/"/>
  </r>
  <r>
    <s v="Hilton Worldwide Holdings"/>
    <s v="Consumer Discretionary"/>
    <s v="Hotels &amp; Motels"/>
    <s v="North America"/>
    <x v="60"/>
    <n v="22.2"/>
    <n v="9.6999999999999993"/>
    <n v="0.4"/>
    <n v="26.7"/>
    <n v="700"/>
    <s v="http://www.forbes.com/companies/hilton-worldwide/"/>
  </r>
  <r>
    <s v="Gap"/>
    <s v="Consumer Discretionary"/>
    <s v="Apparel/Footwear Retail"/>
    <s v="North America"/>
    <x v="60"/>
    <n v="18.3"/>
    <n v="16.100000000000001"/>
    <n v="1.3"/>
    <n v="7.8"/>
    <n v="705"/>
    <s v="http://www.forbes.com/companies/gap/"/>
  </r>
  <r>
    <s v="KeyCorp"/>
    <s v="Financials"/>
    <s v="Regional Banks"/>
    <s v="North America"/>
    <x v="60"/>
    <n v="12.8"/>
    <n v="4.3"/>
    <n v="0.9"/>
    <n v="92.9"/>
    <n v="713"/>
    <s v="http://www.forbes.com/companies/keycorp/"/>
  </r>
  <r>
    <s v="DaVita"/>
    <s v="Health Care"/>
    <s v="Healthcare Services"/>
    <s v="North America"/>
    <x v="60"/>
    <n v="14.8"/>
    <n v="11.8"/>
    <n v="0.6"/>
    <n v="17.100000000000001"/>
    <n v="714"/>
    <s v="http://www.forbes.com/companies/davita/"/>
  </r>
  <r>
    <s v="Yahoo"/>
    <s v="Information Technology"/>
    <s v="Computer Services"/>
    <s v="North America"/>
    <x v="60"/>
    <n v="36.799999999999997"/>
    <n v="4.7"/>
    <n v="1.4"/>
    <n v="16.8"/>
    <n v="715"/>
    <s v="http://www.forbes.com/companies/yahoo/"/>
  </r>
  <r>
    <s v="Northern Trust"/>
    <s v="Financials"/>
    <s v="Regional Banks"/>
    <s v="North America"/>
    <x v="60"/>
    <n v="15.6"/>
    <n v="4"/>
    <n v="0.7"/>
    <n v="102.9"/>
    <n v="725"/>
    <s v="http://www.forbes.com/companies/northern-trust/"/>
  </r>
  <r>
    <s v="American Airlines Group"/>
    <m/>
    <m/>
    <s v="North America"/>
    <x v="60"/>
    <n v="17.899999999999999"/>
    <n v="25.8"/>
    <n v="-1.9"/>
    <n v="26.8"/>
    <n v="726"/>
    <s v="http://www.forbes.com/companies/american-airlines-group/"/>
  </r>
  <r>
    <s v="Williams Cos"/>
    <s v="Energy"/>
    <s v="Oil Services &amp; Equipment"/>
    <s v="North America"/>
    <x v="60"/>
    <n v="28.1"/>
    <n v="6.9"/>
    <n v="0.4"/>
    <n v="27.1"/>
    <n v="733"/>
    <s v="http://www.forbes.com/companies/williams-cos/"/>
  </r>
  <r>
    <s v="Devon Energy"/>
    <s v="Energy"/>
    <s v="Oil &amp; Gas Operations"/>
    <s v="North America"/>
    <x v="60"/>
    <n v="27.6"/>
    <n v="10.8"/>
    <n v="0"/>
    <n v="42.9"/>
    <n v="741"/>
    <s v="http://www.forbes.com/companies/devon-energy/"/>
  </r>
  <r>
    <s v="Becton"/>
    <s v=" Dickinson"/>
    <s v="Health Care"/>
    <s v="Medical Equipment &amp; Supplies"/>
    <x v="61"/>
    <s v="United States"/>
    <n v="22.6"/>
    <n v="8.1999999999999993"/>
    <n v="0.9"/>
    <n v="12"/>
    <n v="744"/>
  </r>
  <r>
    <s v="Alcoa"/>
    <s v="Materials"/>
    <s v="Aluminum"/>
    <s v="North America"/>
    <x v="60"/>
    <n v="14.1"/>
    <n v="23"/>
    <n v="-2.2999999999999998"/>
    <n v="35.700000000000003"/>
    <n v="746"/>
    <s v="http://www.forbes.com/companies/alcoa/"/>
  </r>
  <r>
    <s v="Thomson Reuters"/>
    <s v="Consumer Discretionary"/>
    <s v="Printing &amp; Publishing"/>
    <s v="North America"/>
    <x v="60"/>
    <n v="28.3"/>
    <n v="12.7"/>
    <n v="0.1"/>
    <n v="32.4"/>
    <n v="747"/>
    <s v="http://www.forbes.com/companies/thomson-reuters/"/>
  </r>
  <r>
    <s v="Best Buy"/>
    <s v="Information Technology"/>
    <s v="Computer &amp; Electronics Retail"/>
    <s v="North America"/>
    <x v="60"/>
    <n v="9.1999999999999993"/>
    <n v="42.4"/>
    <n v="0.5"/>
    <n v="14"/>
    <n v="748"/>
    <s v="http://www.forbes.com/companies/best-buy/"/>
  </r>
  <r>
    <s v="Allergan"/>
    <s v="Health Care"/>
    <s v="Pharmaceuticals"/>
    <s v="North America"/>
    <x v="60"/>
    <n v="36.9"/>
    <n v="6.3"/>
    <n v="1.3"/>
    <n v="10.6"/>
    <n v="753"/>
    <s v="http://www.forbes.com/companies/allergan/"/>
  </r>
  <r>
    <s v="TRW Automotive Holdings"/>
    <s v="Consumer Discretionary"/>
    <s v="Auto &amp; Truck Parts"/>
    <s v="North America"/>
    <x v="60"/>
    <n v="9.3000000000000007"/>
    <n v="17.399999999999999"/>
    <n v="1"/>
    <n v="12.3"/>
    <n v="758"/>
    <s v="http://www.forbes.com/companies/trw-automotive-holdings/"/>
  </r>
  <r>
    <s v="Bunge"/>
    <s v="Consumer Staples"/>
    <s v="Food Processing"/>
    <s v="North America"/>
    <x v="60"/>
    <n v="11.7"/>
    <n v="61.4"/>
    <n v="0.2"/>
    <n v="26.8"/>
    <n v="759"/>
    <s v="http://www.forbes.com/companies/bunge/"/>
  </r>
  <r>
    <s v="Motorola Solutions"/>
    <s v="Information Technology"/>
    <s v="Communications Equipment"/>
    <s v="North America"/>
    <x v="60"/>
    <n v="16.5"/>
    <n v="8.6999999999999993"/>
    <n v="1.1000000000000001"/>
    <n v="11.9"/>
    <n v="767"/>
    <s v="http://www.forbes.com/companies/motorola-solutions/"/>
  </r>
  <r>
    <s v="Noble Energy"/>
    <s v="Energy"/>
    <s v="Oil &amp; Gas Operations"/>
    <s v="North America"/>
    <x v="60"/>
    <n v="25.5"/>
    <n v="4.8"/>
    <n v="0.9"/>
    <n v="19.600000000000001"/>
    <n v="769"/>
    <s v="http://www.forbes.com/companies/noble-energy/"/>
  </r>
  <r>
    <s v="Cognizant Technology"/>
    <s v="Information Technology"/>
    <s v="Computer Services"/>
    <s v="North America"/>
    <x v="60"/>
    <n v="31.4"/>
    <n v="8.8000000000000007"/>
    <n v="1.2"/>
    <n v="8.1999999999999993"/>
    <n v="772"/>
    <s v="http://www.forbes.com/companies/cognizant-technology/"/>
  </r>
  <r>
    <s v="EstÃƒÂ©e Lauder Cos"/>
    <s v="Consumer Staples"/>
    <s v="Household/Personal Care"/>
    <s v="North America"/>
    <x v="60"/>
    <n v="26.4"/>
    <n v="10.4"/>
    <n v="1"/>
    <n v="7.8"/>
    <n v="779"/>
    <s v="http://www.forbes.com/companies/estee-lauder-cos/"/>
  </r>
  <r>
    <s v="L-3 Communications"/>
    <s v="Industrials"/>
    <s v="Aerospace &amp; Defense"/>
    <s v="North America"/>
    <x v="60"/>
    <n v="10.199999999999999"/>
    <n v="12.6"/>
    <n v="0.8"/>
    <n v="14"/>
    <n v="782"/>
    <s v="http://www.forbes.com/companies/l-3-communications/"/>
  </r>
  <r>
    <s v="Leucadia National"/>
    <s v="Industrials"/>
    <s v="Conglomerates"/>
    <s v="North America"/>
    <x v="60"/>
    <n v="10.1"/>
    <n v="10.6"/>
    <n v="0.4"/>
    <n v="47.9"/>
    <n v="783"/>
    <s v="http://www.forbes.com/companies/leucadia-national/"/>
  </r>
  <r>
    <s v="VMware"/>
    <s v="Information Technology"/>
    <s v="Software &amp; Programming"/>
    <s v="North America"/>
    <x v="60"/>
    <n v="48.2"/>
    <n v="5.2"/>
    <n v="1"/>
    <n v="12.3"/>
    <n v="784"/>
    <s v="http://www.forbes.com/companies/vmware/"/>
  </r>
  <r>
    <s v="Eastman Chemical"/>
    <s v="Materials"/>
    <s v="Specialized Chemicals"/>
    <s v="North America"/>
    <x v="60"/>
    <n v="13.1"/>
    <n v="9.4"/>
    <n v="1.2"/>
    <n v="11.8"/>
    <n v="786"/>
    <s v="http://www.forbes.com/companies/eastman-chemical/"/>
  </r>
  <r>
    <s v="Cameron International"/>
    <s v="Energy"/>
    <s v="Oil Services &amp; Equipment"/>
    <s v="North America"/>
    <x v="60"/>
    <n v="13.6"/>
    <n v="9.8000000000000007"/>
    <n v="0.7"/>
    <n v="14.2"/>
    <n v="791"/>
    <s v="http://www.forbes.com/companies/cameron-international/"/>
  </r>
  <r>
    <s v="Discovery Communications"/>
    <s v="Consumer Discretionary"/>
    <s v="Broadcasting &amp; Cable"/>
    <s v="North America"/>
    <x v="60"/>
    <n v="19.600000000000001"/>
    <n v="5.5"/>
    <n v="1.1000000000000001"/>
    <n v="15"/>
    <n v="793"/>
    <s v="http://www.forbes.com/companies/discovery-communications/"/>
  </r>
  <r>
    <s v="Republic Services"/>
    <s v="Industrials"/>
    <s v="Environmental &amp; Waste"/>
    <s v="North America"/>
    <x v="60"/>
    <n v="12.3"/>
    <n v="8.4"/>
    <n v="0.6"/>
    <n v="19.899999999999999"/>
    <n v="800"/>
    <s v="http://www.forbes.com/companies/republic-services/"/>
  </r>
  <r>
    <s v="Goodyear"/>
    <s v="Consumer Discretionary"/>
    <s v="Auto &amp; Truck Parts"/>
    <s v="North America"/>
    <x v="60"/>
    <n v="6.7"/>
    <n v="19.5"/>
    <n v="0.6"/>
    <n v="17.5"/>
    <n v="810"/>
    <s v="http://www.forbes.com/companies/goodyear/"/>
  </r>
  <r>
    <s v="AES"/>
    <s v="Utilities"/>
    <s v="Electric Utilities"/>
    <s v="North America"/>
    <x v="60"/>
    <n v="10.4"/>
    <n v="16.100000000000001"/>
    <n v="0.3"/>
    <n v="40.4"/>
    <n v="812"/>
    <s v="http://www.forbes.com/companies/aes/"/>
  </r>
  <r>
    <s v="Fluor"/>
    <s v="Industrials"/>
    <s v="Construction Services"/>
    <s v="North America"/>
    <x v="60"/>
    <n v="12.4"/>
    <n v="27.4"/>
    <n v="0.7"/>
    <n v="8.3000000000000007"/>
    <n v="813"/>
    <s v="http://www.forbes.com/companies/fluor/"/>
  </r>
  <r>
    <s v="Weyerhaeuser"/>
    <s v="Financials"/>
    <s v="Real Estate"/>
    <s v="North America"/>
    <x v="60"/>
    <n v="17.399999999999999"/>
    <n v="8.6"/>
    <n v="0.6"/>
    <n v="14.5"/>
    <n v="815"/>
    <s v="http://www.forbes.com/companies/weyerhaeuser/"/>
  </r>
  <r>
    <s v="Mylan"/>
    <s v="Health Care"/>
    <s v="Pharmaceuticals"/>
    <s v="North America"/>
    <x v="60"/>
    <n v="18.3"/>
    <n v="7"/>
    <n v="0.6"/>
    <n v="15.2"/>
    <n v="816"/>
    <s v="http://www.forbes.com/companies/mylan/"/>
  </r>
  <r>
    <s v="HollyFrontier"/>
    <s v="Energy"/>
    <s v="Oil &amp; Gas Operations"/>
    <s v="North America"/>
    <x v="60"/>
    <n v="9.6"/>
    <n v="20.2"/>
    <n v="0.7"/>
    <n v="10.1"/>
    <n v="820"/>
    <s v="http://www.forbes.com/companies/hollyfrontier/"/>
  </r>
  <r>
    <s v="Stanley Black &amp; Decker"/>
    <s v="Consumer Staples"/>
    <s v="Household/Personal Care"/>
    <s v="North America"/>
    <x v="60"/>
    <n v="12.7"/>
    <n v="11"/>
    <n v="0.5"/>
    <n v="16.5"/>
    <n v="824"/>
    <s v="http://www.forbes.com/companies/stanley-black-decker/"/>
  </r>
  <r>
    <s v="Dover"/>
    <s v="Industrials"/>
    <s v="Conglomerates"/>
    <s v="North America"/>
    <x v="60"/>
    <n v="14.1"/>
    <n v="8.6999999999999993"/>
    <n v="1"/>
    <n v="10.8"/>
    <n v="827"/>
    <s v="http://www.forbes.com/companies/dover/"/>
  </r>
  <r>
    <s v="Bed Bath &amp; Beyond"/>
    <s v="Consumer Discretionary"/>
    <s v="Specialty Stores"/>
    <s v="North America"/>
    <x v="60"/>
    <n v="14.9"/>
    <n v="11.7"/>
    <n v="1.1000000000000001"/>
    <n v="6.5"/>
    <n v="827"/>
    <s v="http://www.forbes.com/companies/bed-bath-beyond/"/>
  </r>
  <r>
    <s v="Waste Management"/>
    <s v="Industrials"/>
    <s v="Environmental &amp; Waste"/>
    <s v="North America"/>
    <x v="60"/>
    <n v="19.5"/>
    <n v="14"/>
    <n v="0.1"/>
    <n v="22.6"/>
    <n v="831"/>
    <s v="http://www.forbes.com/companies/waste-management/"/>
  </r>
  <r>
    <s v="Invesco"/>
    <s v="Financials"/>
    <s v="Investment Services"/>
    <s v="North America"/>
    <x v="60"/>
    <n v="16.2"/>
    <n v="4.7"/>
    <n v="0.9"/>
    <n v="19.3"/>
    <n v="834"/>
    <s v="http://www.forbes.com/companies/invesco/"/>
  </r>
  <r>
    <s v="American Capital Agency"/>
    <s v="Financials"/>
    <s v="Real Estate"/>
    <s v="North America"/>
    <x v="60"/>
    <n v="7.7"/>
    <n v="2"/>
    <n v="1.3"/>
    <n v="76.3"/>
    <n v="835"/>
    <s v="http://www.forbes.com/companies/american-capital-agency/"/>
  </r>
  <r>
    <s v="Hertz Global Holdings"/>
    <s v="Financials"/>
    <s v="Rental &amp; Leasing"/>
    <s v="North America"/>
    <x v="60"/>
    <n v="12.3"/>
    <n v="10.8"/>
    <n v="0.4"/>
    <n v="24.6"/>
    <n v="843"/>
    <s v="http://www.forbes.com/companies/hertz-global-holdings/"/>
  </r>
  <r>
    <s v="AutoZone"/>
    <s v="Consumer Discretionary"/>
    <s v="Specialty Stores"/>
    <s v="North America"/>
    <x v="60"/>
    <n v="17.8"/>
    <n v="9.4"/>
    <n v="1"/>
    <n v="7.3"/>
    <n v="846"/>
    <s v="http://www.forbes.com/companies/autozone/"/>
  </r>
  <r>
    <s v="Symantec"/>
    <s v="Information Technology"/>
    <s v="Software &amp; Programming"/>
    <s v="North America"/>
    <x v="60"/>
    <n v="14"/>
    <n v="6.8"/>
    <n v="0.9"/>
    <n v="13.3"/>
    <n v="848"/>
    <s v="http://www.forbes.com/companies/symantec/"/>
  </r>
  <r>
    <s v="Nielsen Holdings"/>
    <s v="Consumer Discretionary"/>
    <s v="Printing &amp; Publishing"/>
    <s v="North America"/>
    <x v="60"/>
    <n v="17.100000000000001"/>
    <n v="5.8"/>
    <n v="0.7"/>
    <n v="15.5"/>
    <n v="850"/>
    <s v="http://www.forbes.com/companies/nielsen-holdings/"/>
  </r>
  <r>
    <s v="L Brands"/>
    <s v="Consumer Discretionary"/>
    <s v="Apparel/Footwear Retail"/>
    <s v="North America"/>
    <x v="60"/>
    <n v="16.7"/>
    <n v="10.8"/>
    <n v="0.9"/>
    <n v="7.2"/>
    <n v="851"/>
    <s v="http://www.forbes.com/companies/l-brands/"/>
  </r>
  <r>
    <s v="Sherwin-Williams"/>
    <s v="Consumer Discretionary"/>
    <s v="Home Improvement Retail"/>
    <s v="North America"/>
    <x v="60"/>
    <n v="19.899999999999999"/>
    <n v="10.199999999999999"/>
    <n v="0.7"/>
    <n v="6.4"/>
    <n v="856"/>
    <s v="http://www.forbes.com/companies/sherwin-williams/"/>
  </r>
  <r>
    <s v="Royal Caribbean Cruises"/>
    <s v="Consumer Discretionary"/>
    <s v="Hotels &amp; Motels"/>
    <s v="North America"/>
    <x v="60"/>
    <n v="12.4"/>
    <n v="8"/>
    <n v="0.5"/>
    <n v="20.100000000000001"/>
    <n v="860"/>
    <s v="http://www.forbes.com/companies/royal-caribbean-cruises/"/>
  </r>
  <r>
    <s v="Constellation Brands"/>
    <s v="Consumer Staples"/>
    <s v="Beverages"/>
    <s v="North America"/>
    <x v="60"/>
    <n v="16.2"/>
    <n v="4.3"/>
    <n v="1.9"/>
    <n v="14.3"/>
    <n v="866"/>
    <s v="http://www.forbes.com/companies/constellation-brands/"/>
  </r>
  <r>
    <s v="SanDisk"/>
    <s v="Information Technology"/>
    <s v="Computer Storage Devices"/>
    <s v="North America"/>
    <x v="60"/>
    <n v="18.7"/>
    <n v="6.2"/>
    <n v="1"/>
    <n v="10.5"/>
    <n v="866"/>
    <s v="http://www.forbes.com/companies/sandisk/"/>
  </r>
  <r>
    <s v="Applied Materials"/>
    <s v="Information Technology"/>
    <s v="Semiconductors"/>
    <s v="North America"/>
    <x v="60"/>
    <n v="25"/>
    <n v="8.1"/>
    <n v="0.5"/>
    <n v="12.2"/>
    <n v="868"/>
    <s v="http://www.forbes.com/companies/applied-materials/"/>
  </r>
  <r>
    <s v="Whole Foods Market"/>
    <s v="Consumer Staples"/>
    <s v="Food Retail"/>
    <s v="North America"/>
    <x v="60"/>
    <n v="19.399999999999999"/>
    <n v="13.3"/>
    <n v="0.6"/>
    <n v="5.7"/>
    <n v="869"/>
    <s v="http://www.forbes.com/companies/whole-foods-market/"/>
  </r>
  <r>
    <s v="HCP"/>
    <s v="Financials"/>
    <s v="Real Estate"/>
    <s v="North America"/>
    <x v="60"/>
    <n v="17.7"/>
    <n v="2.1"/>
    <n v="0.9"/>
    <n v="20.100000000000001"/>
    <n v="870"/>
    <s v="http://www.forbes.com/companies/hcp/"/>
  </r>
  <r>
    <s v="TD Ameritrade Holding"/>
    <s v="Financials"/>
    <s v="Investment Services"/>
    <s v="North America"/>
    <x v="60"/>
    <n v="18.8"/>
    <n v="2.9"/>
    <n v="0.7"/>
    <n v="22.2"/>
    <n v="876"/>
    <s v="http://www.forbes.com/companies/td-ameritrade-holding/"/>
  </r>
  <r>
    <s v="Marriott International"/>
    <s v="Consumer Discretionary"/>
    <s v="Hotels &amp; Motels"/>
    <s v="North America"/>
    <x v="60"/>
    <n v="16.8"/>
    <n v="12.8"/>
    <n v="0.6"/>
    <n v="6.8"/>
    <n v="878"/>
    <s v="http://www.forbes.com/companies/marriott-international/"/>
  </r>
  <r>
    <s v="Genuine Parts"/>
    <s v="Consumer Discretionary"/>
    <s v="Specialty Stores"/>
    <s v="North America"/>
    <x v="60"/>
    <n v="13.3"/>
    <n v="14.1"/>
    <n v="0.7"/>
    <n v="7.7"/>
    <n v="879"/>
    <s v="http://www.forbes.com/companies/genuine-parts/"/>
  </r>
  <r>
    <s v="Ross Stores"/>
    <s v="Consumer Discretionary"/>
    <s v="Apparel/Footwear Retail"/>
    <s v="North America"/>
    <x v="60"/>
    <n v="15.5"/>
    <n v="10.199999999999999"/>
    <n v="0.8"/>
    <n v="4.0999999999999996"/>
    <n v="881"/>
    <s v="http://www.forbes.com/companies/ross-stores/"/>
  </r>
  <r>
    <s v="Agilent Technologies"/>
    <s v="Information Technology"/>
    <s v="Electronics"/>
    <s v="North America"/>
    <x v="60"/>
    <n v="18.8"/>
    <n v="6.8"/>
    <n v="0.7"/>
    <n v="10.6"/>
    <n v="883"/>
    <s v="http://www.forbes.com/companies/agilent-technologies/"/>
  </r>
  <r>
    <s v="Textron"/>
    <s v="Industrials"/>
    <s v="Conglomerates"/>
    <s v="North America"/>
    <x v="60"/>
    <n v="11.1"/>
    <n v="12.1"/>
    <n v="0.5"/>
    <n v="12.9"/>
    <n v="884"/>
    <s v="http://www.forbes.com/companies/textron/"/>
  </r>
  <r>
    <s v="Staples"/>
    <s v="Consumer Discretionary"/>
    <s v="Specialty Stores"/>
    <s v="North America"/>
    <x v="60"/>
    <n v="7.4"/>
    <n v="23.1"/>
    <n v="0.6"/>
    <n v="11.2"/>
    <n v="885"/>
    <s v="http://www.forbes.com/companies/staples/"/>
  </r>
  <r>
    <s v="WW Grainger"/>
    <s v="Industrials"/>
    <s v="Electrical Equipment"/>
    <s v="North America"/>
    <x v="60"/>
    <n v="17.399999999999999"/>
    <n v="9.4"/>
    <n v="0.8"/>
    <n v="5.3"/>
    <n v="889"/>
    <s v="http://www.forbes.com/companies/ww-grainger/"/>
  </r>
  <r>
    <s v="American Tower"/>
    <s v="Financials"/>
    <s v="Real Estate"/>
    <s v="North America"/>
    <x v="60"/>
    <n v="32.200000000000003"/>
    <n v="3.4"/>
    <n v="0.6"/>
    <n v="20.3"/>
    <n v="890"/>
    <s v="http://www.forbes.com/companies/american-tower/"/>
  </r>
  <r>
    <s v="Computer Sciences"/>
    <s v="Information Technology"/>
    <s v="Computer Services"/>
    <s v="North America"/>
    <x v="60"/>
    <n v="9"/>
    <n v="13.2"/>
    <n v="0.7"/>
    <n v="11.2"/>
    <n v="896"/>
    <s v="http://www.forbes.com/companies/computer-sciences/"/>
  </r>
  <r>
    <s v="CF Industries Holdings"/>
    <s v="Materials"/>
    <s v="Specialized Chemicals"/>
    <s v="North America"/>
    <x v="60"/>
    <n v="14.8"/>
    <n v="5.5"/>
    <n v="1.5"/>
    <n v="10.9"/>
    <n v="899"/>
    <s v="http://www.forbes.com/companies/cf-industries-holdings/"/>
  </r>
  <r>
    <s v="Hershey"/>
    <s v="Consumer Staples"/>
    <s v="Food Processing"/>
    <s v="North America"/>
    <x v="60"/>
    <n v="23.3"/>
    <n v="7.1"/>
    <n v="0.8"/>
    <n v="5.4"/>
    <n v="902"/>
    <s v="http://www.forbes.com/companies/hershey/"/>
  </r>
  <r>
    <s v="CIT Group"/>
    <s v="Financials"/>
    <s v="Consumer Financial Services"/>
    <s v="North America"/>
    <x v="60"/>
    <n v="9.6999999999999993"/>
    <n v="3.5"/>
    <n v="0.7"/>
    <n v="47.1"/>
    <n v="909"/>
    <s v="http://www.forbes.com/companies/cit-group/"/>
  </r>
  <r>
    <s v="Nordstrom"/>
    <s v="Consumer Discretionary"/>
    <s v="Department Stores"/>
    <s v="North America"/>
    <x v="60"/>
    <n v="11.9"/>
    <n v="12.5"/>
    <n v="0.7"/>
    <n v="8.6"/>
    <n v="909"/>
    <s v="http://www.forbes.com/companies/nordstrom/"/>
  </r>
  <r>
    <s v="Boston Properties"/>
    <s v="Financials"/>
    <s v="Real Estate"/>
    <s v="North America"/>
    <x v="60"/>
    <n v="17.7"/>
    <n v="2.1"/>
    <n v="0.7"/>
    <n v="20.2"/>
    <n v="917"/>
    <s v="http://www.forbes.com/companies/boston-properties/"/>
  </r>
  <r>
    <s v="Starbucks"/>
    <s v="Consumer Discretionary"/>
    <s v="Restaurants"/>
    <s v="North America"/>
    <x v="60"/>
    <n v="55.9"/>
    <n v="15.3"/>
    <n v="0"/>
    <n v="10.3"/>
    <n v="919"/>
    <s v="http://www.forbes.com/companies/starbucks/"/>
  </r>
  <r>
    <s v="News Corp"/>
    <s v="Consumer Discretionary"/>
    <s v="Broadcasting &amp; Cable"/>
    <s v="North America"/>
    <x v="60"/>
    <n v="10.1"/>
    <n v="8.8000000000000007"/>
    <n v="0.5"/>
    <n v="16"/>
    <n v="922"/>
    <s v="http://www.forbes.com/companies/news-corp/"/>
  </r>
  <r>
    <s v="Tesoro"/>
    <s v="Energy"/>
    <s v="Oil &amp; Gas Operations"/>
    <s v="North America"/>
    <x v="60"/>
    <n v="6.8"/>
    <n v="38.4"/>
    <n v="0.4"/>
    <n v="13.4"/>
    <n v="925"/>
    <s v="http://www.forbes.com/companies/tesoro/"/>
  </r>
  <r>
    <s v="NRG Energy"/>
    <s v="Utilities"/>
    <s v="Electric Utilities"/>
    <s v="North America"/>
    <x v="60"/>
    <n v="10.3"/>
    <n v="11.8"/>
    <n v="-0.4"/>
    <n v="33.9"/>
    <n v="930"/>
    <s v="http://www.forbes.com/companies/nrg-energy/"/>
  </r>
  <r>
    <s v="CarMax"/>
    <s v="Consumer Discretionary"/>
    <s v="Specialty Stores"/>
    <s v="North America"/>
    <x v="60"/>
    <n v="10.6"/>
    <n v="12.3"/>
    <n v="0.5"/>
    <n v="11.3"/>
    <n v="936"/>
    <s v="http://www.forbes.com/companies/carmax/"/>
  </r>
  <r>
    <s v="NiSource"/>
    <s v="Utilities"/>
    <s v="Natural Gas Utilities"/>
    <s v="North America"/>
    <x v="60"/>
    <n v="11.2"/>
    <n v="5.7"/>
    <n v="0.5"/>
    <n v="22.7"/>
    <n v="941"/>
    <s v="http://www.forbes.com/companies/nisource/"/>
  </r>
  <r>
    <s v="Huntington Bancshares"/>
    <s v="Financials"/>
    <s v="Regional Banks"/>
    <s v="North America"/>
    <x v="60"/>
    <n v="8.5"/>
    <n v="2.8"/>
    <n v="0.6"/>
    <n v="59.5"/>
    <n v="941"/>
    <s v="http://www.forbes.com/companies/huntington-bancshares/"/>
  </r>
  <r>
    <s v="Comerica"/>
    <s v="Financials"/>
    <s v="Regional Banks"/>
    <s v="North America"/>
    <x v="60"/>
    <n v="9.4"/>
    <n v="2.6"/>
    <n v="0.5"/>
    <n v="65.5"/>
    <n v="950"/>
    <s v="http://www.forbes.com/companies/comerica/"/>
  </r>
  <r>
    <s v="Oneok"/>
    <s v="Energy"/>
    <s v="Oil Services &amp; Equipment"/>
    <s v="North America"/>
    <x v="60"/>
    <n v="12.3"/>
    <n v="14.6"/>
    <n v="0.3"/>
    <n v="17.7"/>
    <n v="951"/>
    <s v="http://www.forbes.com/companies/oneok/"/>
  </r>
  <r>
    <s v="Reinsurance Group of America"/>
    <s v="Financials"/>
    <s v="Diversified Insurance"/>
    <s v="North America"/>
    <x v="60"/>
    <n v="5.6"/>
    <n v="10.3"/>
    <n v="0.4"/>
    <n v="39.700000000000003"/>
    <n v="959"/>
    <s v="http://www.forbes.com/companies/reinsurance-group/"/>
  </r>
  <r>
    <s v="MGM Resorts"/>
    <s v="Consumer Discretionary"/>
    <s v="Casinos &amp; Gaming"/>
    <s v="North America"/>
    <x v="60"/>
    <n v="13"/>
    <n v="9.8000000000000007"/>
    <n v="-0.2"/>
    <n v="26.1"/>
    <n v="962"/>
    <s v="http://www.forbes.com/companies/mgm-resorts/"/>
  </r>
  <r>
    <s v="Broadcom"/>
    <s v="Information Technology"/>
    <s v="Semiconductors"/>
    <s v="North America"/>
    <x v="60"/>
    <n v="18.3"/>
    <n v="8.1999999999999993"/>
    <n v="0.4"/>
    <n v="11.5"/>
    <n v="964"/>
    <s v="http://www.forbes.com/companies/broadcom/"/>
  </r>
  <r>
    <s v="Fidelity National Information"/>
    <s v="Consumer Discretionary"/>
    <s v="Business &amp; Personal Services"/>
    <s v="North America"/>
    <x v="60"/>
    <n v="15.7"/>
    <n v="6.1"/>
    <n v="0.5"/>
    <n v="14"/>
    <n v="971"/>
    <s v="http://www.forbes.com/companies/fidelity-national-information/"/>
  </r>
  <r>
    <s v="St Jude Medical"/>
    <s v="Health Care"/>
    <s v="Medical Equipment &amp; Supplies"/>
    <s v="North America"/>
    <x v="60"/>
    <n v="18.899999999999999"/>
    <n v="5.5"/>
    <n v="0.7"/>
    <n v="10.199999999999999"/>
    <n v="973"/>
    <s v="http://www.forbes.com/companies/st-jude-medical/"/>
  </r>
  <r>
    <s v="Public Storage"/>
    <s v="Financials"/>
    <s v="Real Estate"/>
    <s v="North America"/>
    <x v="60"/>
    <n v="29.2"/>
    <n v="2"/>
    <n v="1"/>
    <n v="9.9"/>
    <n v="977"/>
    <s v="http://www.forbes.com/companies/public-storage/"/>
  </r>
  <r>
    <s v="Coca-Cola Enterprises"/>
    <s v="Consumer Staples"/>
    <s v="Beverages"/>
    <s v="North America"/>
    <x v="60"/>
    <n v="12.2"/>
    <n v="8.1999999999999993"/>
    <n v="0.7"/>
    <n v="9.5"/>
    <n v="982"/>
    <s v="http://www.forbes.com/companies/coca-cola-enterprises/"/>
  </r>
  <r>
    <s v="Rockwell Automation"/>
    <s v="Industrials"/>
    <s v="Other Industrial Equipment"/>
    <s v="North America"/>
    <x v="60"/>
    <n v="17.3"/>
    <n v="6.5"/>
    <n v="0.8"/>
    <n v="5.9"/>
    <n v="984"/>
    <s v="http://www.forbes.com/companies/rockwell-automation/"/>
  </r>
  <r>
    <s v="Avnet"/>
    <s v="Information Technology"/>
    <s v="Electronics"/>
    <s v="North America"/>
    <x v="60"/>
    <n v="6.5"/>
    <n v="26.7"/>
    <n v="0.5"/>
    <n v="11.5"/>
    <n v="985"/>
    <s v="http://www.forbes.com/companies/avnet/"/>
  </r>
  <r>
    <s v="Ralph Lauren"/>
    <s v="Consumer Discretionary"/>
    <s v="Apparel/Accessories"/>
    <s v="North America"/>
    <x v="60"/>
    <n v="14.7"/>
    <n v="7.2"/>
    <n v="0.8"/>
    <n v="6.1"/>
    <n v="990"/>
    <s v="http://www.forbes.com/companies/ralph-lauren/"/>
  </r>
  <r>
    <s v="Lorillard"/>
    <s v="Consumer Staples"/>
    <s v="Tobacco"/>
    <s v="North America"/>
    <x v="60"/>
    <n v="19.5"/>
    <n v="5"/>
    <n v="1.2"/>
    <n v="3.5"/>
    <n v="994"/>
    <s v="http://www.forbes.com/companies/lorillard/"/>
  </r>
  <r>
    <s v="Continental Resources"/>
    <s v="Energy"/>
    <s v="Oil &amp; Gas Operations"/>
    <s v="North America"/>
    <x v="60"/>
    <n v="22.8"/>
    <n v="3.5"/>
    <n v="0.8"/>
    <n v="12"/>
    <n v="997"/>
    <s v="http://www.forbes.com/companies/continental-resources/"/>
  </r>
  <r>
    <s v="CA"/>
    <s v="Information Technology"/>
    <s v="Software &amp; Programming"/>
    <s v="North America"/>
    <x v="60"/>
    <n v="14.1"/>
    <n v="4.5999999999999996"/>
    <n v="1"/>
    <n v="11.8"/>
    <n v="998"/>
    <s v="http://www.forbes.com/companies/ca/"/>
  </r>
  <r>
    <s v="Wynn Resorts"/>
    <s v="Consumer Discretionary"/>
    <s v="Casinos &amp; Gaming"/>
    <s v="North America"/>
    <x v="60"/>
    <n v="23"/>
    <n v="5.6"/>
    <n v="0.7"/>
    <n v="8.4"/>
    <n v="1000"/>
    <s v="http://www.forbes.com/companies/wynn-resorts/"/>
  </r>
  <r>
    <s v="IntercontinentalExchange"/>
    <s v="Financials"/>
    <s v="Investment Services"/>
    <s v="North America"/>
    <x v="60"/>
    <n v="22.2"/>
    <n v="1.8"/>
    <n v="0.3"/>
    <n v="64.8"/>
    <n v="1011"/>
    <s v="http://www.forbes.com/companies/intercontinentalexchange/"/>
  </r>
  <r>
    <s v="Rock-Tenn"/>
    <s v="Materials"/>
    <s v="Containers &amp; Packaging"/>
    <s v="North America"/>
    <x v="60"/>
    <n v="7.5"/>
    <n v="9.6"/>
    <n v="0.8"/>
    <n v="10.6"/>
    <n v="1013"/>
    <s v="http://www.forbes.com/companies/rock-tenn/"/>
  </r>
  <r>
    <s v="Mattel"/>
    <s v="Consumer Staples"/>
    <s v="Household/Personal Care"/>
    <s v="North America"/>
    <x v="60"/>
    <n v="13.7"/>
    <n v="6.5"/>
    <n v="0.9"/>
    <n v="6.4"/>
    <n v="1013"/>
    <s v="http://www.forbes.com/companies/mattel/"/>
  </r>
  <r>
    <s v="CenterPoint Energy"/>
    <s v="Utilities"/>
    <s v="Natural Gas Utilities"/>
    <s v="North America"/>
    <x v="60"/>
    <n v="10.199999999999999"/>
    <n v="8.1"/>
    <n v="0.3"/>
    <n v="21.9"/>
    <n v="1017"/>
    <s v="http://www.forbes.com/companies/centerpoint-energy/"/>
  </r>
  <r>
    <s v="Harley-Davidson"/>
    <s v="Consumer Discretionary"/>
    <s v="Recreational Products"/>
    <s v="North America"/>
    <x v="60"/>
    <n v="15"/>
    <n v="5.9"/>
    <n v="0.7"/>
    <n v="9.4"/>
    <n v="1019"/>
    <s v="http://www.forbes.com/companies/harley-davidson/"/>
  </r>
  <r>
    <s v="Ventas"/>
    <s v="Financials"/>
    <s v="Real Estate"/>
    <s v="North America"/>
    <x v="60"/>
    <n v="18.100000000000001"/>
    <n v="2.8"/>
    <n v="0.4"/>
    <n v="19.7"/>
    <n v="1031"/>
    <s v="http://www.forbes.com/companies/ventas/"/>
  </r>
  <r>
    <s v="O'Reilly Automotive"/>
    <s v="Consumer Discretionary"/>
    <s v="Specialty Stores"/>
    <s v="North America"/>
    <x v="60"/>
    <n v="15.9"/>
    <n v="6.6"/>
    <n v="0.7"/>
    <n v="6.1"/>
    <n v="1032"/>
    <s v="http://www.forbes.com/companies/oreilly-automotive/"/>
  </r>
  <r>
    <s v="Newmont Mining"/>
    <s v="Materials"/>
    <s v="Diversified Metals &amp; Mining"/>
    <s v="North America"/>
    <x v="60"/>
    <n v="11.8"/>
    <n v="8.3000000000000007"/>
    <n v="-2.5"/>
    <n v="24.8"/>
    <n v="1033"/>
    <s v="http://www.forbes.com/companies/newmont-mining/"/>
  </r>
  <r>
    <s v="McGraw-Hill Cos"/>
    <s v="Consumer Discretionary"/>
    <s v="Printing &amp; Publishing"/>
    <s v="North America"/>
    <x v="60"/>
    <n v="21.1"/>
    <n v="4.9000000000000004"/>
    <n v="0.9"/>
    <n v="6.1"/>
    <n v="1040"/>
    <s v="http://www.forbes.com/companies/mcgraw-hill-cos/"/>
  </r>
  <r>
    <s v="Assurant"/>
    <s v="Financials"/>
    <s v="Diversified Insurance"/>
    <s v="North America"/>
    <x v="60"/>
    <n v="4.7"/>
    <n v="9"/>
    <n v="0.5"/>
    <n v="30.8"/>
    <n v="1042"/>
    <s v="http://www.forbes.com/companies/assurant/"/>
  </r>
  <r>
    <s v="BorgWarner"/>
    <s v="Consumer Discretionary"/>
    <s v="Auto &amp; Truck Parts"/>
    <s v="North America"/>
    <x v="60"/>
    <n v="14.4"/>
    <n v="7.4"/>
    <n v="0.6"/>
    <n v="6.9"/>
    <n v="1043"/>
    <s v="http://www.forbes.com/companies/borgwarner/"/>
  </r>
  <r>
    <s v="Ashland"/>
    <s v="Materials"/>
    <s v="Specialized Chemicals"/>
    <s v="North America"/>
    <x v="60"/>
    <n v="7.8"/>
    <n v="7.8"/>
    <n v="0.7"/>
    <n v="12"/>
    <n v="1049"/>
    <s v="http://www.forbes.com/companies/ashland/"/>
  </r>
  <r>
    <s v="Ambac Financial Group"/>
    <s v="Financials"/>
    <s v="Diversified Insurance"/>
    <s v="North America"/>
    <x v="60"/>
    <n v="1.4"/>
    <n v="1"/>
    <n v="3.9"/>
    <n v="27"/>
    <n v="1051"/>
    <s v="http://www.forbes.com/companies/ambac-financial-group/"/>
  </r>
  <r>
    <s v="Hormel Foods"/>
    <s v="Consumer Staples"/>
    <s v="Food Processing"/>
    <s v="North America"/>
    <x v="60"/>
    <n v="12.9"/>
    <n v="8.9"/>
    <n v="0.5"/>
    <n v="5.0999999999999996"/>
    <n v="1057"/>
    <s v="http://www.forbes.com/companies/hormel-foods/"/>
  </r>
  <r>
    <s v="Prologis"/>
    <s v="Financials"/>
    <s v="Real Estate"/>
    <s v="North America"/>
    <x v="60"/>
    <n v="20.399999999999999"/>
    <n v="1.8"/>
    <n v="0.3"/>
    <n v="24.6"/>
    <n v="1063"/>
    <s v="http://www.forbes.com/companies/prologis/"/>
  </r>
  <r>
    <s v="Celanese"/>
    <s v="Materials"/>
    <s v="Diversified Chemicals"/>
    <s v="North America"/>
    <x v="60"/>
    <n v="8.6999999999999993"/>
    <n v="6.5"/>
    <n v="1.1000000000000001"/>
    <n v="9"/>
    <n v="1071"/>
    <s v="http://www.forbes.com/companies/celanese/"/>
  </r>
  <r>
    <s v="Alleghany"/>
    <s v="Financials"/>
    <s v="Property &amp; Casualty Insurance"/>
    <s v="North America"/>
    <x v="60"/>
    <n v="6.8"/>
    <n v="4.9000000000000004"/>
    <n v="0.6"/>
    <n v="23.7"/>
    <n v="1077"/>
    <s v="http://www.forbes.com/companies/alleghany/"/>
  </r>
  <r>
    <s v="Arrow Electronics"/>
    <s v="Information Technology"/>
    <s v="Electronics"/>
    <s v="North America"/>
    <x v="60"/>
    <n v="6"/>
    <n v="21.4"/>
    <n v="0.4"/>
    <n v="12.1"/>
    <n v="1078"/>
    <s v="http://www.forbes.com/companies/arrow-electronics/"/>
  </r>
  <r>
    <s v="Boston Scientific"/>
    <s v="Health Care"/>
    <s v="Medical Equipment &amp; Supplies"/>
    <s v="North America"/>
    <x v="60"/>
    <n v="18"/>
    <n v="7.1"/>
    <n v="-0.1"/>
    <n v="16.600000000000001"/>
    <n v="1079"/>
    <s v="http://www.forbes.com/companies/boston-scientific/"/>
  </r>
  <r>
    <s v="PulteGroup"/>
    <s v="Industrials"/>
    <s v="Construction Services"/>
    <s v="North America"/>
    <x v="60"/>
    <n v="7.5"/>
    <n v="5.6"/>
    <n v="2.6"/>
    <n v="8.6999999999999993"/>
    <n v="1086"/>
    <s v="http://www.forbes.com/companies/pultegroup/"/>
  </r>
  <r>
    <s v="T Rowe Price"/>
    <s v="Financials"/>
    <s v="Investment Services"/>
    <s v="North America"/>
    <x v="60"/>
    <n v="21.8"/>
    <n v="3.5"/>
    <n v="1"/>
    <n v="5.2"/>
    <n v="1086"/>
    <s v="http://www.forbes.com/companies/t-rowe-price/"/>
  </r>
  <r>
    <s v="Quest Diagnostics"/>
    <s v="Health Care"/>
    <s v="Healthcare Services"/>
    <s v="North America"/>
    <x v="60"/>
    <n v="8.6999999999999993"/>
    <n v="7.1"/>
    <n v="0.8"/>
    <n v="8.9"/>
    <n v="1089"/>
    <s v="http://www.forbes.com/companies/quest-diagnostics/"/>
  </r>
  <r>
    <s v="CMS Energy"/>
    <s v="Utilities"/>
    <s v="Electric Utilities"/>
    <s v="North America"/>
    <x v="60"/>
    <n v="7.8"/>
    <n v="6.6"/>
    <n v="0.5"/>
    <n v="17.399999999999999"/>
    <n v="1090"/>
    <s v="http://www.forbes.com/companies/cms-energy/"/>
  </r>
  <r>
    <s v="Zimmer Holdings"/>
    <s v="Health Care"/>
    <s v="Medical Equipment &amp; Supplies"/>
    <s v="North America"/>
    <x v="60"/>
    <n v="16.100000000000001"/>
    <n v="4.5999999999999996"/>
    <n v="0.8"/>
    <n v="9.6"/>
    <n v="1097"/>
    <s v="http://www.forbes.com/companies/zimmer-holdings/"/>
  </r>
  <r>
    <s v="General Growth Properties"/>
    <s v="Financials"/>
    <s v="Real Estate"/>
    <s v="North America"/>
    <x v="60"/>
    <n v="19.5"/>
    <n v="2.5"/>
    <n v="0.3"/>
    <n v="25.8"/>
    <n v="1099"/>
    <s v="http://www.forbes.com/companies/general-growth-properties/"/>
  </r>
  <r>
    <s v="Charter Communications"/>
    <s v="Consumer Discretionary"/>
    <s v="Broadcasting &amp; Cable"/>
    <s v="North America"/>
    <x v="60"/>
    <n v="13.6"/>
    <n v="8.1999999999999993"/>
    <n v="-0.2"/>
    <n v="17.3"/>
    <n v="1101"/>
    <s v="http://www.forbes.com/companies/charter-communications/"/>
  </r>
  <r>
    <s v="NetApp"/>
    <s v="Information Technology"/>
    <s v="Computer Storage Devices"/>
    <s v="North America"/>
    <x v="60"/>
    <n v="12.3"/>
    <n v="6.4"/>
    <n v="0.6"/>
    <n v="9"/>
    <n v="1102"/>
    <s v="http://www.forbes.com/companies/netapp/"/>
  </r>
  <r>
    <s v="Starwood Hotels"/>
    <s v="Consumer Discretionary"/>
    <s v="Hotels &amp; Motels"/>
    <s v="North America"/>
    <x v="60"/>
    <n v="15.4"/>
    <n v="6.1"/>
    <n v="0.6"/>
    <n v="8.8000000000000007"/>
    <n v="1103"/>
    <s v="http://www.forbes.com/companies/starwood-hotels/"/>
  </r>
  <r>
    <s v="Coach"/>
    <s v="Consumer Discretionary"/>
    <s v="Apparel/Accessories"/>
    <s v="North America"/>
    <x v="60"/>
    <n v="13.8"/>
    <n v="5"/>
    <n v="1"/>
    <n v="3.5"/>
    <n v="1106"/>
    <s v="http://www.forbes.com/companies/coach/"/>
  </r>
  <r>
    <s v="New York Community"/>
    <s v="Financials"/>
    <s v="Thrifts &amp; Mortgage Finance"/>
    <s v="North America"/>
    <x v="60"/>
    <n v="7.1"/>
    <n v="1.9"/>
    <n v="0.5"/>
    <n v="46.9"/>
    <n v="1109"/>
    <s v="http://www.forbes.com/companies/new-york-community/"/>
  </r>
  <r>
    <s v="Campbell Soup"/>
    <s v="Consumer Staples"/>
    <s v="Food Processing"/>
    <s v="North America"/>
    <x v="60"/>
    <n v="14"/>
    <n v="8.3000000000000007"/>
    <n v="0.5"/>
    <n v="8.1"/>
    <n v="1110"/>
    <s v="http://www.forbes.com/companies/campbell-soup/"/>
  </r>
  <r>
    <s v="Dollar Tree"/>
    <s v="Consumer Discretionary"/>
    <s v="Discount Stores"/>
    <s v="North America"/>
    <x v="60"/>
    <n v="10.8"/>
    <n v="7.8"/>
    <n v="0.6"/>
    <n v="2.8"/>
    <n v="1113"/>
    <s v="http://www.forbes.com/companies/dollar-tree/"/>
  </r>
  <r>
    <s v="Western Union"/>
    <s v="Consumer Discretionary"/>
    <s v="Business &amp; Personal Services"/>
    <s v="North America"/>
    <x v="60"/>
    <n v="9.1999999999999993"/>
    <n v="5.5"/>
    <n v="0.8"/>
    <n v="10.199999999999999"/>
    <n v="1122"/>
    <s v="http://www.forbes.com/companies/western-union/"/>
  </r>
  <r>
    <s v="First Republic Bank"/>
    <s v="Financials"/>
    <s v="Regional Banks"/>
    <s v="North America"/>
    <x v="60"/>
    <n v="7.3"/>
    <n v="1.6"/>
    <n v="0.5"/>
    <n v="42.2"/>
    <n v="1125"/>
    <s v="http://www.forbes.com/companies/first-republic-bank/"/>
  </r>
  <r>
    <s v="Fiserv"/>
    <s v="Information Technology"/>
    <s v="Software &amp; Programming"/>
    <s v="North America"/>
    <x v="60"/>
    <n v="14.6"/>
    <n v="4.8"/>
    <n v="0.7"/>
    <n v="9.6999999999999993"/>
    <n v="1126"/>
    <s v="http://www.forbes.com/companies/fiserv/"/>
  </r>
  <r>
    <s v="Wisconsin Energy"/>
    <s v="Utilities"/>
    <s v="Electric Utilities"/>
    <s v="North America"/>
    <x v="60"/>
    <n v="10.5"/>
    <n v="4.5"/>
    <n v="0.6"/>
    <n v="14.8"/>
    <n v="1134"/>
    <s v="http://www.forbes.com/companies/wisconsin-energy/"/>
  </r>
  <r>
    <s v="Molson Coors Brewing"/>
    <s v="Consumer Staples"/>
    <s v="Beverages"/>
    <s v="North America"/>
    <x v="60"/>
    <n v="10.8"/>
    <n v="4.2"/>
    <n v="0.6"/>
    <n v="15.6"/>
    <n v="1142"/>
    <s v="http://www.forbes.com/companies/molson-coors-brewing/"/>
  </r>
  <r>
    <s v="Sears Holdings"/>
    <s v="Consumer Discretionary"/>
    <s v="Department Stores"/>
    <s v="North America"/>
    <x v="60"/>
    <n v="5.2"/>
    <n v="36.200000000000003"/>
    <n v="-1.4"/>
    <n v="18.3"/>
    <n v="1146"/>
    <s v="http://www.forbes.com/companies/sears-holdings/"/>
  </r>
  <r>
    <s v="Alliance Data Systems"/>
    <s v="Consumer Discretionary"/>
    <s v="Business &amp; Personal Services"/>
    <s v="North America"/>
    <x v="60"/>
    <n v="14.5"/>
    <n v="4.3"/>
    <n v="0.5"/>
    <n v="13.2"/>
    <n v="1147"/>
    <s v="http://www.forbes.com/companies/alliance-data-systems/"/>
  </r>
  <r>
    <s v="FMC Technologies"/>
    <s v="Energy"/>
    <s v="Oil Services &amp; Equipment"/>
    <s v="North America"/>
    <x v="60"/>
    <n v="12.5"/>
    <n v="7.1"/>
    <n v="0.5"/>
    <n v="6.6"/>
    <n v="1150"/>
    <s v="http://www.forbes.com/companies/fmc-technologies/"/>
  </r>
  <r>
    <s v="Intuit"/>
    <s v="Information Technology"/>
    <s v="Software &amp; Programming"/>
    <s v="North America"/>
    <x v="60"/>
    <n v="22.4"/>
    <n v="4.2"/>
    <n v="0.7"/>
    <n v="4.7"/>
    <n v="1158"/>
    <s v="http://www.forbes.com/companies/intuit/"/>
  </r>
  <r>
    <s v="Henry Schein"/>
    <s v="Health Care"/>
    <s v="Medical Equipment &amp; Supplies"/>
    <s v="North America"/>
    <x v="60"/>
    <n v="10.199999999999999"/>
    <n v="9.6"/>
    <n v="0.4"/>
    <n v="5.6"/>
    <n v="1171"/>
    <s v="http://www.forbes.com/companies/henry-schein/"/>
  </r>
  <r>
    <s v="Lear"/>
    <s v="Consumer Discretionary"/>
    <s v="Auto &amp; Truck Parts"/>
    <s v="North America"/>
    <x v="60"/>
    <n v="7.1"/>
    <n v="16.2"/>
    <n v="0.4"/>
    <n v="8.3000000000000007"/>
    <n v="1172"/>
    <s v="http://www.forbes.com/companies/lear/"/>
  </r>
  <r>
    <s v="Ameren"/>
    <s v="Utilities"/>
    <s v="Electric Utilities"/>
    <s v="North America"/>
    <x v="60"/>
    <n v="9.9"/>
    <n v="5.8"/>
    <n v="0.3"/>
    <n v="21"/>
    <n v="1182"/>
    <s v="http://www.forbes.com/companies/ameren/"/>
  </r>
  <r>
    <s v="Fidelity National Financial"/>
    <s v="Financials"/>
    <s v="Property &amp; Casualty Insurance"/>
    <s v="North America"/>
    <x v="60"/>
    <n v="8.9"/>
    <n v="8.6"/>
    <n v="0.4"/>
    <n v="10.5"/>
    <n v="1186"/>
    <s v="http://www.forbes.com/companies/fidelity-national-financial/"/>
  </r>
  <r>
    <s v="American Financial Group"/>
    <s v="Financials"/>
    <s v="Diversified Insurance"/>
    <s v="North America"/>
    <x v="60"/>
    <n v="5.2"/>
    <n v="5"/>
    <n v="0.5"/>
    <n v="40.9"/>
    <n v="1189"/>
    <s v="http://www.forbes.com/companies/american-financial-group/"/>
  </r>
  <r>
    <s v="WR Berkley"/>
    <s v="Financials"/>
    <s v="Property &amp; Casualty Insurance"/>
    <s v="North America"/>
    <x v="60"/>
    <n v="5.3"/>
    <n v="6.4"/>
    <n v="0.5"/>
    <n v="20.6"/>
    <n v="1192"/>
    <s v="http://www.forbes.com/companies/wr-berkley/"/>
  </r>
  <r>
    <s v="Moody's"/>
    <s v="Consumer Discretionary"/>
    <s v="Business &amp; Personal Services"/>
    <s v="North America"/>
    <x v="60"/>
    <n v="17.3"/>
    <n v="3"/>
    <n v="0.8"/>
    <n v="4.4000000000000004"/>
    <n v="1193"/>
    <s v="http://www.forbes.com/companies/moodys/"/>
  </r>
  <r>
    <s v="Jacobs Engineering"/>
    <s v="Industrials"/>
    <s v="Construction Services"/>
    <s v="North America"/>
    <x v="60"/>
    <n v="8.4"/>
    <n v="12.1"/>
    <n v="0.4"/>
    <n v="8.4"/>
    <n v="1195"/>
    <s v="http://www.forbes.com/companies/jacobs-engineering/"/>
  </r>
  <r>
    <s v="Dr Pepper Snapple Group"/>
    <s v="Consumer Staples"/>
    <s v="Beverages"/>
    <s v="North America"/>
    <x v="60"/>
    <n v="10.7"/>
    <n v="6"/>
    <n v="0.6"/>
    <n v="8.1999999999999993"/>
    <n v="1205"/>
    <s v="http://www.forbes.com/companies/dr-pepper-snapple/"/>
  </r>
  <r>
    <s v="Cincinnati Financial"/>
    <s v="Financials"/>
    <s v="Diversified Insurance"/>
    <s v="North America"/>
    <x v="60"/>
    <n v="7.8"/>
    <n v="4.5"/>
    <n v="0.5"/>
    <n v="18.100000000000001"/>
    <n v="1210"/>
    <s v="http://www.forbes.com/companies/cincinnati-financial/"/>
  </r>
  <r>
    <s v="Crown Castle International"/>
    <s v="Telecommunication Services"/>
    <s v="Telecommunications services"/>
    <s v="North America"/>
    <x v="60"/>
    <n v="25"/>
    <n v="3"/>
    <n v="0.1"/>
    <n v="20.6"/>
    <n v="1215"/>
    <s v="http://www.forbes.com/companies/crown-castle-international/"/>
  </r>
  <r>
    <s v="Lennar"/>
    <s v="Industrials"/>
    <s v="Construction Services"/>
    <s v="North America"/>
    <x v="60"/>
    <n v="8.3000000000000007"/>
    <n v="6.3"/>
    <n v="0.5"/>
    <n v="11.3"/>
    <n v="1216"/>
    <s v="http://www.forbes.com/companies/lennar/"/>
  </r>
  <r>
    <s v="Equity Residential"/>
    <s v="Financials"/>
    <s v="Real Estate"/>
    <s v="North America"/>
    <x v="60"/>
    <n v="21.1"/>
    <n v="2.4"/>
    <n v="-0.2"/>
    <n v="22.8"/>
    <n v="1217"/>
    <s v="http://www.forbes.com/companies/equity-residential/"/>
  </r>
  <r>
    <s v="Intuitive Surgical"/>
    <s v="Health Care"/>
    <s v="Medical Equipment &amp; Supplies"/>
    <s v="North America"/>
    <x v="60"/>
    <n v="18.899999999999999"/>
    <n v="2.2999999999999998"/>
    <n v="0.7"/>
    <n v="4"/>
    <n v="1223"/>
    <s v="http://www.forbes.com/companies/intuitive-surgical/"/>
  </r>
  <r>
    <s v="CH Robinson Worldwide"/>
    <s v="Industrials"/>
    <s v="Other Transportation"/>
    <s v="North America"/>
    <x v="60"/>
    <n v="7.7"/>
    <n v="12.8"/>
    <n v="0.4"/>
    <n v="2.8"/>
    <n v="1227"/>
    <s v="http://www.forbes.com/companies/ch-robinson-worldwide/"/>
  </r>
  <r>
    <s v="Ingram Micro"/>
    <s v="Information Technology"/>
    <s v="Electronics"/>
    <s v="North America"/>
    <x v="60"/>
    <n v="4.5999999999999996"/>
    <n v="42.6"/>
    <n v="0.3"/>
    <n v="11.8"/>
    <n v="1234"/>
    <s v="http://www.forbes.com/companies/ingram-micro/"/>
  </r>
  <r>
    <s v="Avalonbay Communities"/>
    <s v="Financials"/>
    <s v="Real Estate"/>
    <s v="North America"/>
    <x v="60"/>
    <n v="17"/>
    <n v="1.4"/>
    <n v="0.4"/>
    <n v="15.3"/>
    <n v="1235"/>
    <s v="http://www.forbes.com/companies/avalonbay-communities/"/>
  </r>
  <r>
    <s v="Host Hotels &amp; Resorts"/>
    <s v="Financials"/>
    <s v="Real Estate"/>
    <s v="North America"/>
    <x v="60"/>
    <n v="15.6"/>
    <n v="5.3"/>
    <n v="0.3"/>
    <n v="12.8"/>
    <n v="1236"/>
    <s v="http://www.forbes.com/companies/host-hotels-resorts/"/>
  </r>
  <r>
    <s v="Brown-Forman"/>
    <s v="Consumer Staples"/>
    <s v="Beverages"/>
    <s v="North America"/>
    <x v="60"/>
    <n v="19.100000000000001"/>
    <n v="3"/>
    <n v="0.6"/>
    <n v="4"/>
    <n v="1237"/>
    <s v="http://www.forbes.com/companies/brown-forman/"/>
  </r>
  <r>
    <s v="JM Smucker"/>
    <s v="Consumer Staples"/>
    <s v="Food Processing"/>
    <s v="North America"/>
    <x v="60"/>
    <n v="10.1"/>
    <n v="5.7"/>
    <n v="0.6"/>
    <n v="9"/>
    <n v="1238"/>
    <s v="http://www.forbes.com/companies/jm-smucker/"/>
  </r>
  <r>
    <s v="Mead Johnson Nutrition"/>
    <s v="Consumer Staples"/>
    <s v="Household/Personal Care"/>
    <s v="North America"/>
    <x v="60"/>
    <n v="17.3"/>
    <n v="4.2"/>
    <n v="0.6"/>
    <n v="3.5"/>
    <n v="1241"/>
    <s v="http://www.forbes.com/companies/mead-johnson-nutrition/"/>
  </r>
  <r>
    <s v="Analog Devices"/>
    <s v="Information Technology"/>
    <s v="Semiconductors"/>
    <s v="North America"/>
    <x v="60"/>
    <n v="16.899999999999999"/>
    <n v="2.6"/>
    <n v="0.7"/>
    <n v="6.4"/>
    <n v="1242"/>
    <s v="http://www.forbes.com/companies/analog-devices/"/>
  </r>
  <r>
    <s v="Clorox"/>
    <s v="Consumer Staples"/>
    <s v="Household/Personal Care"/>
    <s v="North America"/>
    <x v="60"/>
    <n v="11.4"/>
    <n v="5.7"/>
    <n v="0.6"/>
    <n v="4.4000000000000004"/>
    <n v="1244"/>
    <s v="http://www.forbes.com/companies/clorox/"/>
  </r>
  <r>
    <s v="Amphenol"/>
    <s v="Information Technology"/>
    <s v="Electronics"/>
    <s v="North America"/>
    <x v="60"/>
    <n v="14.6"/>
    <n v="4.5999999999999996"/>
    <n v="0.6"/>
    <n v="6.2"/>
    <n v="1246"/>
    <s v="http://www.forbes.com/companies/amphenol/"/>
  </r>
  <r>
    <s v="Southwestern Energy"/>
    <s v="Energy"/>
    <s v="Oil &amp; Gas Operations"/>
    <s v="North America"/>
    <x v="60"/>
    <n v="16.2"/>
    <n v="3.1"/>
    <n v="0.7"/>
    <n v="8"/>
    <n v="1254"/>
    <s v="http://www.forbes.com/companies/southwestern-energy/"/>
  </r>
  <r>
    <s v="Raymond James Financial"/>
    <s v="Financials"/>
    <s v="Investment Services"/>
    <s v="North America"/>
    <x v="60"/>
    <n v="7.8"/>
    <n v="4.5999999999999996"/>
    <n v="0.4"/>
    <n v="21.9"/>
    <n v="1260"/>
    <s v="http://www.forbes.com/companies/raymond-james-financial/"/>
  </r>
  <r>
    <s v="Health Care REIT"/>
    <s v="Financials"/>
    <s v="Real Estate"/>
    <s v="North America"/>
    <x v="60"/>
    <n v="17.3"/>
    <n v="2.9"/>
    <n v="0.1"/>
    <n v="23.1"/>
    <n v="1264"/>
    <s v="http://www.forbes.com/companies/health-care-reit/"/>
  </r>
  <r>
    <s v="AutoNation"/>
    <s v="Consumer Discretionary"/>
    <s v="Specialty Stores"/>
    <s v="North America"/>
    <x v="60"/>
    <n v="6.5"/>
    <n v="17.5"/>
    <n v="0.4"/>
    <n v="7.9"/>
    <n v="1267"/>
    <s v="http://www.forbes.com/companies/autonation/"/>
  </r>
  <r>
    <s v="CONSOL Energy"/>
    <s v="Materials"/>
    <s v="Diversified Metals &amp; Mining"/>
    <s v="North America"/>
    <x v="60"/>
    <n v="9.1"/>
    <n v="4.4000000000000004"/>
    <n v="0.7"/>
    <n v="11.4"/>
    <n v="1279"/>
    <s v="http://www.forbes.com/companies/consol-energy/"/>
  </r>
  <r>
    <s v="Zions Bancorp"/>
    <s v="Financials"/>
    <s v="Regional Banks"/>
    <s v="North America"/>
    <x v="60"/>
    <n v="5.8"/>
    <n v="2.2999999999999998"/>
    <n v="0.4"/>
    <n v="56.4"/>
    <n v="1288"/>
    <s v="http://www.forbes.com/companies/zions-bancorp/"/>
  </r>
  <r>
    <s v="Vornado Realty"/>
    <s v="Financials"/>
    <s v="Real Estate"/>
    <s v="North America"/>
    <x v="60"/>
    <n v="18.600000000000001"/>
    <n v="2.7"/>
    <n v="0.1"/>
    <n v="20.100000000000001"/>
    <n v="1294"/>
    <s v="http://www.forbes.com/companies/vornado-realty/"/>
  </r>
  <r>
    <s v="Juniper Networks"/>
    <s v="Information Technology"/>
    <s v="Communications Equipment"/>
    <s v="North America"/>
    <x v="60"/>
    <n v="13.2"/>
    <n v="4.7"/>
    <n v="0.4"/>
    <n v="10.3"/>
    <n v="1303"/>
    <s v="http://www.forbes.com/companies/juniper-networks/"/>
  </r>
  <r>
    <s v="Universal Health"/>
    <s v="Health Care"/>
    <s v="Healthcare Services"/>
    <s v="North America"/>
    <x v="60"/>
    <n v="8.1"/>
    <n v="7.3"/>
    <n v="0.5"/>
    <n v="8.3000000000000007"/>
    <n v="1306"/>
    <s v="http://www.forbes.com/companies/universal-health/"/>
  </r>
  <r>
    <s v="Regeneron Pharmaceuticals"/>
    <s v="Health Care"/>
    <s v="Biotechs"/>
    <s v="North America"/>
    <x v="60"/>
    <n v="30.7"/>
    <n v="2.1"/>
    <n v="0.4"/>
    <n v="3"/>
    <n v="1310"/>
    <s v="http://www.forbes.com/companies/regeneron-pharmaceuticals/"/>
  </r>
  <r>
    <s v="Keurig Green Mountain"/>
    <m/>
    <m/>
    <s v="North America"/>
    <x v="60"/>
    <n v="16.3"/>
    <n v="4.4000000000000004"/>
    <n v="0.5"/>
    <n v="3.7"/>
    <n v="1315"/>
    <s v="http://www.forbes.com/companies/keurig-green-mountain/"/>
  </r>
  <r>
    <s v="Torchmark"/>
    <s v="Financials"/>
    <s v="Life &amp; Health Insurance"/>
    <s v="North America"/>
    <x v="60"/>
    <n v="7"/>
    <n v="3.8"/>
    <n v="0.5"/>
    <n v="18.2"/>
    <n v="1316"/>
    <s v="http://www.forbes.com/companies/torchmark/"/>
  </r>
  <r>
    <s v="Paychex"/>
    <s v="Consumer Discretionary"/>
    <s v="Business &amp; Personal Services"/>
    <s v="North America"/>
    <x v="60"/>
    <n v="15.5"/>
    <n v="2.4"/>
    <n v="0.6"/>
    <n v="7.1"/>
    <n v="1320"/>
    <s v="http://www.forbes.com/companies/paychex/"/>
  </r>
  <r>
    <s v="Catamaran"/>
    <s v="Health Care"/>
    <s v="Healthcare Services"/>
    <s v="North America"/>
    <x v="60"/>
    <n v="9.4"/>
    <n v="14.8"/>
    <n v="0.3"/>
    <n v="8"/>
    <n v="1323"/>
    <s v="http://www.forbes.com/companies/catamaran/"/>
  </r>
  <r>
    <s v="CNO Financial Group"/>
    <s v="Financials"/>
    <s v="Life &amp; Health Insurance"/>
    <s v="North America"/>
    <x v="60"/>
    <n v="4.0999999999999996"/>
    <n v="4.5"/>
    <n v="0.5"/>
    <n v="34.799999999999997"/>
    <n v="1324"/>
    <s v="http://www.forbes.com/companies/cno-financial-group/"/>
  </r>
  <r>
    <s v="Zoetis"/>
    <s v="Health Care"/>
    <s v="Pharmaceuticals"/>
    <s v="North America"/>
    <x v="60"/>
    <n v="14.7"/>
    <n v="4.5999999999999996"/>
    <n v="0.5"/>
    <n v="6.6"/>
    <n v="1330"/>
    <s v="http://www.forbes.com/companies/zoetis/"/>
  </r>
  <r>
    <s v="Helmerich &amp; Payne"/>
    <s v="Energy"/>
    <s v="Oil Services &amp; Equipment"/>
    <s v="North America"/>
    <x v="60"/>
    <n v="11.7"/>
    <n v="3.4"/>
    <n v="0.7"/>
    <n v="6.4"/>
    <n v="1333"/>
    <s v="http://www.forbes.com/companies/helmerich-payne/"/>
  </r>
  <r>
    <s v="Xilinx"/>
    <s v="Information Technology"/>
    <s v="Semiconductors"/>
    <s v="North America"/>
    <x v="60"/>
    <n v="14.7"/>
    <n v="2.2999999999999998"/>
    <n v="0.6"/>
    <n v="5"/>
    <n v="1338"/>
    <s v="http://www.forbes.com/companies/xilinx/"/>
  </r>
  <r>
    <s v="Rockwell Collins"/>
    <s v="Industrials"/>
    <s v="Aerospace &amp; Defense"/>
    <s v="North America"/>
    <x v="60"/>
    <n v="10.9"/>
    <n v="4.5999999999999996"/>
    <n v="0.6"/>
    <n v="7.1"/>
    <n v="1341"/>
    <s v="http://www.forbes.com/companies/rockwell-collins/"/>
  </r>
  <r>
    <s v="LabCorp"/>
    <s v="Health Care"/>
    <s v="Healthcare Services"/>
    <s v="North America"/>
    <x v="60"/>
    <n v="8.6999999999999993"/>
    <n v="5.8"/>
    <n v="0.6"/>
    <n v="7"/>
    <n v="1343"/>
    <s v="http://www.forbes.com/companies/labcorp/"/>
  </r>
  <r>
    <s v="Family Dollar Stores"/>
    <s v="Consumer Discretionary"/>
    <s v="Discount Stores"/>
    <s v="North America"/>
    <x v="60"/>
    <n v="6.6"/>
    <n v="10.5"/>
    <n v="0.4"/>
    <n v="3.9"/>
    <n v="1347"/>
    <s v="http://www.forbes.com/companies/family-dollar-stores/"/>
  </r>
  <r>
    <s v="Protective Life"/>
    <s v="Financials"/>
    <s v="Life &amp; Health Insurance"/>
    <s v="North America"/>
    <x v="60"/>
    <n v="4.2"/>
    <n v="4"/>
    <n v="0.4"/>
    <n v="69.2"/>
    <n v="1355"/>
    <s v="http://www.forbes.com/companies/protective-life/"/>
  </r>
  <r>
    <s v="PVH"/>
    <s v="Consumer Discretionary"/>
    <s v="Apparel/Accessories"/>
    <s v="North America"/>
    <x v="60"/>
    <n v="10.3"/>
    <n v="8.1999999999999993"/>
    <n v="0.1"/>
    <n v="11.6"/>
    <n v="1357"/>
    <s v="http://www.forbes.com/companies/pvh/"/>
  </r>
  <r>
    <s v="Calpine"/>
    <s v="Utilities"/>
    <s v="Electric Utilities"/>
    <s v="North America"/>
    <x v="60"/>
    <n v="8.9"/>
    <n v="6.5"/>
    <n v="0"/>
    <n v="16.600000000000001"/>
    <n v="1359"/>
    <s v="http://www.forbes.com/companies/calpine/"/>
  </r>
  <r>
    <s v="DR Horton"/>
    <s v="Industrials"/>
    <s v="Construction Services"/>
    <s v="North America"/>
    <x v="60"/>
    <n v="7.2"/>
    <n v="6.6"/>
    <n v="0.5"/>
    <n v="8.9"/>
    <n v="1367"/>
    <s v="http://www.forbes.com/companies/dr-horton/"/>
  </r>
  <r>
    <s v="AGCO"/>
    <s v="Industrials"/>
    <s v="Heavy Equipment"/>
    <s v="North America"/>
    <x v="60"/>
    <n v="5.0999999999999996"/>
    <n v="10.8"/>
    <n v="0.6"/>
    <n v="8.4"/>
    <n v="1369"/>
    <s v="http://www.forbes.com/companies/agco/"/>
  </r>
  <r>
    <s v="Rite Aid"/>
    <s v="Consumer Staples"/>
    <s v="Drug Retail"/>
    <s v="North America"/>
    <x v="60"/>
    <n v="6.2"/>
    <n v="25.4"/>
    <n v="0.3"/>
    <n v="7.1"/>
    <n v="1370"/>
    <s v="http://www.forbes.com/companies/rite-aid/"/>
  </r>
  <r>
    <s v="Mohawk Industries"/>
    <s v="Consumer Discretionary"/>
    <s v="Furniture &amp; Fixtures"/>
    <s v="North America"/>
    <x v="60"/>
    <n v="10"/>
    <n v="7.3"/>
    <n v="0.3"/>
    <n v="8.5"/>
    <n v="1371"/>
    <s v="http://www.forbes.com/companies/mohawk-industries/"/>
  </r>
  <r>
    <s v="CR Bard"/>
    <s v="Health Care"/>
    <s v="Medical Equipment &amp; Supplies"/>
    <s v="North America"/>
    <x v="60"/>
    <n v="11.6"/>
    <n v="3"/>
    <n v="0.7"/>
    <n v="5"/>
    <n v="1373"/>
    <s v="http://www.forbes.com/companies/cr-bard/"/>
  </r>
  <r>
    <s v="SCANA"/>
    <s v="Utilities"/>
    <s v="Electric Utilities"/>
    <s v="North America"/>
    <x v="60"/>
    <n v="7.2"/>
    <n v="4.5"/>
    <n v="0.5"/>
    <n v="15.2"/>
    <n v="1374"/>
    <s v="http://www.forbes.com/companies/scana/"/>
  </r>
  <r>
    <s v="Manpower"/>
    <s v="Consumer Discretionary"/>
    <s v="Business &amp; Personal Services"/>
    <s v="North America"/>
    <x v="60"/>
    <n v="6.5"/>
    <n v="20.2"/>
    <n v="0.3"/>
    <n v="7.3"/>
    <n v="1375"/>
    <s v="http://www.forbes.com/companies/manpower/"/>
  </r>
  <r>
    <s v="Ball"/>
    <s v="Materials"/>
    <s v="Containers &amp; Packaging"/>
    <s v="North America"/>
    <x v="60"/>
    <n v="7.7"/>
    <n v="8.5"/>
    <n v="0.4"/>
    <n v="7.8"/>
    <n v="1379"/>
    <s v="http://www.forbes.com/companies/ball/"/>
  </r>
  <r>
    <s v="Flowserve"/>
    <s v="Industrials"/>
    <s v="Other Industrial Equipment"/>
    <s v="North America"/>
    <x v="60"/>
    <n v="10.8"/>
    <n v="5"/>
    <n v="0.5"/>
    <n v="5"/>
    <n v="1390"/>
    <s v="http://www.forbes.com/companies/flowserve/"/>
  </r>
  <r>
    <s v="Markel"/>
    <s v="Financials"/>
    <s v="Diversified Insurance"/>
    <s v="North America"/>
    <x v="60"/>
    <n v="8.3000000000000007"/>
    <n v="4.3"/>
    <n v="0.3"/>
    <n v="24.6"/>
    <n v="1394"/>
    <s v="http://www.forbes.com/companies/markel/"/>
  </r>
  <r>
    <s v="Roper Industries"/>
    <s v="Industrials"/>
    <s v="Other Industrial Equipment"/>
    <s v="North America"/>
    <x v="60"/>
    <n v="13.4"/>
    <n v="3.2"/>
    <n v="0.5"/>
    <n v="8.1999999999999993"/>
    <n v="1409"/>
    <s v="http://www.forbes.com/companies/roper-inds/"/>
  </r>
  <r>
    <s v="Wyndham Worldwide"/>
    <s v="Consumer Discretionary"/>
    <s v="Hotels &amp; Motels"/>
    <s v="North America"/>
    <x v="60"/>
    <n v="9.5"/>
    <n v="5"/>
    <n v="0.4"/>
    <n v="9.6999999999999993"/>
    <n v="1410"/>
    <s v="http://www.forbes.com/companies/wyndham-worldwide/"/>
  </r>
  <r>
    <s v="Community Health Sys"/>
    <s v="Health Care"/>
    <s v="Healthcare Services"/>
    <s v="North America"/>
    <x v="60"/>
    <n v="4.4000000000000004"/>
    <n v="13"/>
    <n v="0.1"/>
    <n v="17.100000000000001"/>
    <n v="1411"/>
    <s v="http://www.forbes.com/companies/community-health-sys/"/>
  </r>
  <r>
    <s v="Advance Auto Parts"/>
    <s v="Consumer Discretionary"/>
    <s v="Specialty Stores"/>
    <s v="North America"/>
    <x v="60"/>
    <n v="9.3000000000000007"/>
    <n v="6.5"/>
    <n v="0.4"/>
    <n v="5.6"/>
    <n v="1412"/>
    <s v="http://www.forbes.com/companies/advance-auto-parts/"/>
  </r>
  <r>
    <s v="Adobe Systems"/>
    <s v="Information Technology"/>
    <s v="Software &amp; Programming"/>
    <s v="North America"/>
    <x v="60"/>
    <n v="32.799999999999997"/>
    <n v="4"/>
    <n v="0.3"/>
    <n v="10.199999999999999"/>
    <n v="1417"/>
    <s v="http://www.forbes.com/companies/adobe-systems/"/>
  </r>
  <r>
    <s v="Pioneer Natural Resources"/>
    <s v="Energy"/>
    <s v="Oil &amp; Gas Operations"/>
    <s v="North America"/>
    <x v="60"/>
    <n v="26.5"/>
    <n v="3.5"/>
    <n v="-0.8"/>
    <n v="12.3"/>
    <n v="1420"/>
    <s v="http://www.forbes.com/companies/pioneer-natural-resources/"/>
  </r>
  <r>
    <s v="Starwood Property Trust"/>
    <m/>
    <m/>
    <s v="North America"/>
    <x v="60"/>
    <n v="4.5999999999999996"/>
    <n v="0.6"/>
    <n v="0.3"/>
    <n v="104.1"/>
    <n v="1423"/>
    <s v="http://www.forbes.com/companies/starwood-property-trust/"/>
  </r>
  <r>
    <s v="Cerner"/>
    <s v="Health Care"/>
    <s v="Healthcare Services"/>
    <s v="North America"/>
    <x v="60"/>
    <n v="19.399999999999999"/>
    <n v="2.9"/>
    <n v="0.4"/>
    <n v="4.0999999999999996"/>
    <n v="1425"/>
    <s v="http://www.forbes.com/companies/cerner/"/>
  </r>
  <r>
    <s v="United Rentals"/>
    <s v="Financials"/>
    <s v="Rental &amp; Leasing"/>
    <s v="North America"/>
    <x v="60"/>
    <n v="8.9"/>
    <n v="5"/>
    <n v="0.4"/>
    <n v="11.2"/>
    <n v="1427"/>
    <s v="http://www.forbes.com/companies/united-rentals/"/>
  </r>
  <r>
    <s v="Caesars Entertainment"/>
    <s v="Consumer Discretionary"/>
    <s v="Casinos &amp; Gaming"/>
    <s v="North America"/>
    <x v="60"/>
    <n v="2.8"/>
    <n v="8.6"/>
    <n v="-2.9"/>
    <n v="24.7"/>
    <n v="1428"/>
    <s v="http://www.forbes.com/companies/caesars-entertainment/"/>
  </r>
  <r>
    <s v="EQT"/>
    <s v="Energy"/>
    <s v="Oil &amp; Gas Operations"/>
    <s v="North America"/>
    <x v="60"/>
    <n v="15"/>
    <n v="2.1"/>
    <n v="0.4"/>
    <n v="9.6999999999999993"/>
    <n v="1433"/>
    <s v="http://www.forbes.com/companies/eqt/"/>
  </r>
  <r>
    <s v="Ametek"/>
    <s v="Industrials"/>
    <s v="Electrical Equipment"/>
    <s v="North America"/>
    <x v="60"/>
    <n v="12.9"/>
    <n v="3.6"/>
    <n v="0.5"/>
    <n v="5.9"/>
    <n v="1436"/>
    <s v="http://www.forbes.com/companies/ametek/"/>
  </r>
  <r>
    <s v="Level 3 Communications"/>
    <s v="Telecommunication Services"/>
    <s v="Telecommunications services"/>
    <s v="North America"/>
    <x v="60"/>
    <n v="9.6"/>
    <n v="6.3"/>
    <n v="-0.1"/>
    <n v="12.9"/>
    <n v="1438"/>
    <s v="http://www.forbes.com/companies/level-3-communications/"/>
  </r>
  <r>
    <s v="Aramark"/>
    <m/>
    <m/>
    <s v="North America"/>
    <x v="60"/>
    <n v="6.6"/>
    <n v="13.5"/>
    <n v="0.1"/>
    <n v="10.199999999999999"/>
    <n v="1441"/>
    <s v="http://www.forbes.com/companies/aramark/"/>
  </r>
  <r>
    <s v="US Steel"/>
    <s v="Materials"/>
    <s v="Iron &amp; Steel"/>
    <s v="North America"/>
    <x v="60"/>
    <n v="4"/>
    <n v="17.399999999999999"/>
    <n v="-1.7"/>
    <n v="13.1"/>
    <n v="1442"/>
    <s v="http://www.forbes.com/companies/us-steel/"/>
  </r>
  <r>
    <s v="E-Trade Financial"/>
    <s v="Financials"/>
    <s v="Investment Services"/>
    <s v="North America"/>
    <x v="60"/>
    <n v="6.8"/>
    <n v="1.9"/>
    <n v="0.1"/>
    <n v="46.3"/>
    <n v="1450"/>
    <s v="http://www.forbes.com/companies/e-trade-financial/"/>
  </r>
  <r>
    <s v="KLA-Tencor"/>
    <s v="Information Technology"/>
    <s v="Semiconductors"/>
    <s v="North America"/>
    <x v="60"/>
    <n v="11.7"/>
    <n v="2.8"/>
    <n v="0.6"/>
    <n v="5.4"/>
    <n v="1454"/>
    <s v="http://www.forbes.com/companies/kla-tencor/"/>
  </r>
  <r>
    <s v="Fastenal"/>
    <s v="Consumer Discretionary"/>
    <s v="Home Improvement Retail"/>
    <s v="North America"/>
    <x v="60"/>
    <n v="14.8"/>
    <n v="3.3"/>
    <n v="0.4"/>
    <n v="2.1"/>
    <n v="1464"/>
    <s v="http://www.forbes.com/companies/fastenal/"/>
  </r>
  <r>
    <s v="Interpublic Group"/>
    <s v="Consumer Discretionary"/>
    <s v="Advertising"/>
    <s v="North America"/>
    <x v="60"/>
    <n v="7.3"/>
    <n v="7.1"/>
    <n v="0.3"/>
    <n v="12.9"/>
    <n v="1476"/>
    <s v="http://www.forbes.com/companies/interpublic-group/"/>
  </r>
  <r>
    <s v="Quanta Services"/>
    <s v="Industrials"/>
    <s v="Construction Services"/>
    <s v="North America"/>
    <x v="60"/>
    <n v="8"/>
    <n v="6.5"/>
    <n v="0.4"/>
    <n v="5.9"/>
    <n v="1478"/>
    <s v="http://www.forbes.com/companies/quanta-services/"/>
  </r>
  <r>
    <s v="Old Republic International"/>
    <s v="Financials"/>
    <s v="Property &amp; Casualty Insurance"/>
    <s v="North America"/>
    <x v="60"/>
    <n v="4.3"/>
    <n v="5.4"/>
    <n v="0.4"/>
    <n v="16.5"/>
    <n v="1487"/>
    <s v="http://www.forbes.com/companies/old-republic-international/"/>
  </r>
  <r>
    <s v="Visteon"/>
    <s v="Consumer Discretionary"/>
    <s v="Auto &amp; Truck Parts"/>
    <s v="North America"/>
    <x v="60"/>
    <n v="4.3"/>
    <n v="7.4"/>
    <n v="0.7"/>
    <n v="6"/>
    <n v="1489"/>
    <s v="http://www.forbes.com/companies/visteon/"/>
  </r>
  <r>
    <s v="CBRE Group"/>
    <s v="Financials"/>
    <s v="Real Estate"/>
    <s v="North America"/>
    <x v="60"/>
    <n v="9.1999999999999993"/>
    <n v="7.2"/>
    <n v="0.3"/>
    <n v="7"/>
    <n v="1492"/>
    <s v="http://www.forbes.com/companies/cbre-group/"/>
  </r>
  <r>
    <s v="Scripps Networks Interactive"/>
    <s v="Consumer Discretionary"/>
    <s v="Broadcasting &amp; Cable"/>
    <s v="North America"/>
    <x v="60"/>
    <n v="11.4"/>
    <n v="2.5"/>
    <n v="0.5"/>
    <n v="4.4000000000000004"/>
    <n v="1499"/>
    <s v="http://www.forbes.com/companies/scripps-networks-interactive/"/>
  </r>
  <r>
    <s v="Cimarex Energy"/>
    <s v="Energy"/>
    <s v="Oil &amp; Gas Operations"/>
    <s v="North America"/>
    <x v="60"/>
    <n v="10.3"/>
    <n v="2"/>
    <n v="0.6"/>
    <n v="7.3"/>
    <n v="1499"/>
    <s v="http://www.forbes.com/companies/cimarex-energy/"/>
  </r>
  <r>
    <s v="American Water Works"/>
    <s v="Utilities"/>
    <s v="Diversified Utilities"/>
    <s v="North America"/>
    <x v="60"/>
    <n v="8.1"/>
    <n v="2.9"/>
    <n v="0.4"/>
    <n v="15.1"/>
    <n v="1505"/>
    <s v="http://www.forbes.com/companies/american-water-works/"/>
  </r>
  <r>
    <s v="Tenet Healthcare"/>
    <s v="Health Care"/>
    <s v="Healthcare Services"/>
    <s v="North America"/>
    <x v="60"/>
    <n v="4.2"/>
    <n v="11.1"/>
    <n v="-0.1"/>
    <n v="16.100000000000001"/>
    <n v="1508"/>
    <s v="http://www.forbes.com/companies/tenet-healthcare/"/>
  </r>
  <r>
    <s v="Sigma-Aldrich"/>
    <s v="Materials"/>
    <s v="Specialized Chemicals"/>
    <s v="North America"/>
    <x v="60"/>
    <n v="11.2"/>
    <n v="2.7"/>
    <n v="0.5"/>
    <n v="3.8"/>
    <n v="1510"/>
    <s v="http://www.forbes.com/companies/sigma-aldrich/"/>
  </r>
  <r>
    <s v="Petsmart"/>
    <s v="Consumer Discretionary"/>
    <s v="Specialty Stores"/>
    <s v="North America"/>
    <x v="60"/>
    <n v="6.9"/>
    <n v="6.9"/>
    <n v="0.4"/>
    <n v="2.5"/>
    <n v="1510"/>
    <s v="http://www.forbes.com/companies/petsmart/"/>
  </r>
  <r>
    <s v="Newell Rubbermaid"/>
    <s v="Consumer Staples"/>
    <s v="Household/Personal Care"/>
    <s v="North America"/>
    <x v="60"/>
    <n v="8.5"/>
    <n v="5.7"/>
    <n v="0.4"/>
    <n v="6.1"/>
    <n v="1514"/>
    <s v="http://www.forbes.com/companies/newell-rubbermaid/"/>
  </r>
  <r>
    <s v="Salesforce.com"/>
    <s v="Information Technology"/>
    <s v="Software &amp; Programming"/>
    <s v="North America"/>
    <x v="60"/>
    <n v="35.9"/>
    <n v="4.0999999999999996"/>
    <n v="-0.2"/>
    <n v="9.1999999999999993"/>
    <n v="1521"/>
    <s v="http://www.forbes.com/companies/salesforce/"/>
  </r>
  <r>
    <s v="Foot Locker"/>
    <s v="Consumer Discretionary"/>
    <s v="Apparel/Footwear Retail"/>
    <s v="North America"/>
    <x v="60"/>
    <n v="6.9"/>
    <n v="6.5"/>
    <n v="0.4"/>
    <n v="3.5"/>
    <n v="1530"/>
    <s v="http://www.forbes.com/companies/foot-locker/"/>
  </r>
  <r>
    <s v="Westlake Chemical"/>
    <s v="Materials"/>
    <s v="Diversified Chemicals"/>
    <s v="North America"/>
    <x v="60"/>
    <n v="8.9"/>
    <n v="3.8"/>
    <n v="0.6"/>
    <n v="4.0999999999999996"/>
    <n v="1531"/>
    <s v="http://www.forbes.com/companies/westlake-chemical/"/>
  </r>
  <r>
    <s v="Rockwood Holdings"/>
    <s v="Materials"/>
    <s v="Specialized Chemicals"/>
    <s v="North America"/>
    <x v="60"/>
    <n v="5.6"/>
    <n v="2.4"/>
    <n v="1.7"/>
    <n v="5.5"/>
    <n v="1536"/>
    <s v="http://www.forbes.com/companies/rockwood-holdings/"/>
  </r>
  <r>
    <s v="Darden Restaurants"/>
    <s v="Consumer Discretionary"/>
    <s v="Restaurants"/>
    <s v="North America"/>
    <x v="60"/>
    <n v="6.8"/>
    <n v="8.6999999999999993"/>
    <n v="0.3"/>
    <n v="7.2"/>
    <n v="1542"/>
    <s v="http://www.forbes.com/companies/darden-restaurants/"/>
  </r>
  <r>
    <s v="Two Harbors Investment"/>
    <s v="Financials"/>
    <s v="Real Estate"/>
    <s v="North America"/>
    <x v="60"/>
    <n v="3.8"/>
    <n v="0.6"/>
    <n v="0.6"/>
    <n v="17.2"/>
    <n v="1543"/>
    <s v="http://www.forbes.com/companies/two-harbors-investment/"/>
  </r>
  <r>
    <s v="World Fuel Services"/>
    <s v="Consumer Discretionary"/>
    <s v="Specialty Stores"/>
    <s v="North America"/>
    <x v="60"/>
    <n v="3.2"/>
    <n v="41.5"/>
    <n v="0.2"/>
    <n v="4.7"/>
    <n v="1545"/>
    <s v="http://www.forbes.com/companies/world-fuel-services/"/>
  </r>
  <r>
    <s v="Altera"/>
    <s v="Information Technology"/>
    <s v="Semiconductors"/>
    <s v="North America"/>
    <x v="60"/>
    <n v="11.6"/>
    <n v="1.7"/>
    <n v="0.4"/>
    <n v="6"/>
    <n v="1559"/>
    <s v="http://www.forbes.com/companies/altera/"/>
  </r>
  <r>
    <s v="Chipotle Mexican Grill"/>
    <s v="Consumer Discretionary"/>
    <s v="Restaurants"/>
    <s v="North America"/>
    <x v="60"/>
    <n v="18"/>
    <n v="3.2"/>
    <n v="0.3"/>
    <n v="2.1"/>
    <n v="1561"/>
    <s v="http://www.forbes.com/companies/chipotle-mexican-grill/"/>
  </r>
  <r>
    <s v="Linear Technology"/>
    <s v="Information Technology"/>
    <s v="Semiconductors"/>
    <s v="North America"/>
    <x v="60"/>
    <n v="11.9"/>
    <n v="1.3"/>
    <n v="0.4"/>
    <n v="2.2999999999999998"/>
    <n v="1563"/>
    <s v="http://www.forbes.com/companies/linear-technology/"/>
  </r>
  <r>
    <s v="Beam"/>
    <s v="Consumer Staples"/>
    <s v="Beverages"/>
    <s v="North America"/>
    <x v="60"/>
    <n v="13.8"/>
    <n v="2.5"/>
    <n v="0.4"/>
    <n v="8.6"/>
    <n v="1570"/>
    <s v="http://www.forbes.com/companies/beam/"/>
  </r>
  <r>
    <s v="Avis Budget Group"/>
    <s v="Financials"/>
    <s v="Rental &amp; Leasing"/>
    <s v="North America"/>
    <x v="60"/>
    <n v="5.3"/>
    <n v="7.9"/>
    <n v="0"/>
    <n v="16.3"/>
    <n v="1571"/>
    <s v="http://www.forbes.com/companies/avis-budget-group/"/>
  </r>
  <r>
    <s v="Jarden"/>
    <s v="Consumer Discretionary"/>
    <s v="Furniture &amp; Fixtures"/>
    <s v="North America"/>
    <x v="60"/>
    <n v="8"/>
    <n v="7.4"/>
    <n v="0.2"/>
    <n v="10.1"/>
    <n v="1578"/>
    <s v="http://www.forbes.com/companies/jarden/"/>
  </r>
  <r>
    <s v="Harbinger Group"/>
    <s v="Consumer Staples"/>
    <s v="Household/Personal Care"/>
    <s v="North America"/>
    <x v="60"/>
    <n v="1.8"/>
    <n v="5.7"/>
    <n v="-0.1"/>
    <n v="28.8"/>
    <n v="1583"/>
    <s v="http://www.forbes.com/companies/harbinger-group/"/>
  </r>
  <r>
    <s v="NVIDIA"/>
    <s v="Information Technology"/>
    <s v="Semiconductors"/>
    <s v="North America"/>
    <x v="60"/>
    <n v="10.3"/>
    <n v="4.0999999999999996"/>
    <n v="0.4"/>
    <n v="7.3"/>
    <n v="1589"/>
    <s v="http://www.forbes.com/companies/nvidia/"/>
  </r>
  <r>
    <s v="Harris"/>
    <s v="Information Technology"/>
    <s v="Communications Equipment"/>
    <s v="North America"/>
    <x v="60"/>
    <n v="7.9"/>
    <n v="5"/>
    <n v="0.4"/>
    <n v="4.9000000000000004"/>
    <n v="1593"/>
    <s v="http://www.forbes.com/companies/harris/"/>
  </r>
  <r>
    <s v="Forest Laboratories"/>
    <s v="Health Care"/>
    <s v="Pharmaceuticals"/>
    <s v="North America"/>
    <x v="60"/>
    <n v="25.3"/>
    <n v="3.4"/>
    <n v="0.2"/>
    <n v="9.1"/>
    <n v="1595"/>
    <s v="http://www.forbes.com/companies/forest-laboratories/"/>
  </r>
  <r>
    <s v="Expeditors International"/>
    <s v="Industrials"/>
    <s v="Air Courier"/>
    <s v="North America"/>
    <x v="60"/>
    <n v="8"/>
    <n v="6.1"/>
    <n v="0.3"/>
    <n v="3"/>
    <n v="1600"/>
    <s v="http://www.forbes.com/companies/expeditors-international/"/>
  </r>
  <r>
    <s v="Eastman Kodak"/>
    <s v="Consumer Discretionary"/>
    <s v="Consumer Electronics"/>
    <s v="North America"/>
    <x v="60"/>
    <n v="1.4"/>
    <n v="2.2999999999999998"/>
    <n v="2"/>
    <n v="3.2"/>
    <n v="1603"/>
    <s v="http://www.forbes.com/companies/eastman-kodak/"/>
  </r>
  <r>
    <s v="Alexion Pharmaceuticals"/>
    <s v="Health Care"/>
    <s v="Biotechs"/>
    <s v="North America"/>
    <x v="60"/>
    <n v="30.7"/>
    <n v="1.5"/>
    <n v="0.3"/>
    <n v="3.3"/>
    <n v="1610"/>
    <s v="http://www.forbes.com/companies/alexion-pharmaceuticals/"/>
  </r>
  <r>
    <s v="Tech Data"/>
    <s v="Information Technology"/>
    <s v="Electronics"/>
    <s v="North America"/>
    <x v="60"/>
    <n v="2.4"/>
    <n v="26.3"/>
    <n v="0.2"/>
    <n v="6.7"/>
    <n v="1617"/>
    <s v="http://www.forbes.com/companies/tech-data/"/>
  </r>
  <r>
    <s v="Tractor Supply"/>
    <s v="Consumer Discretionary"/>
    <s v="Specialty Stores"/>
    <s v="North America"/>
    <x v="60"/>
    <n v="10"/>
    <n v="5.2"/>
    <n v="0.3"/>
    <n v="1.9"/>
    <n v="1618"/>
    <s v="http://www.forbes.com/companies/tractor-supply/"/>
  </r>
  <r>
    <s v="Crown Holdings"/>
    <s v="Materials"/>
    <s v="Containers &amp; Packaging"/>
    <s v="North America"/>
    <x v="60"/>
    <n v="6.3"/>
    <n v="8.6999999999999993"/>
    <n v="0.3"/>
    <n v="8"/>
    <n v="1622"/>
    <s v="http://www.forbes.com/companies/crown-holdings/"/>
  </r>
  <r>
    <s v="Cliffs Natural Resources"/>
    <s v="Materials"/>
    <s v="Iron &amp; Steel"/>
    <s v="North America"/>
    <x v="60"/>
    <n v="3.1"/>
    <n v="5.6"/>
    <n v="0.4"/>
    <n v="13.1"/>
    <n v="1626"/>
    <s v="http://www.forbes.com/companies/cliffs-natural-resources/"/>
  </r>
  <r>
    <s v="Alaska Air Group"/>
    <s v="Industrials"/>
    <s v="Airline"/>
    <s v="North America"/>
    <x v="60"/>
    <n v="6.5"/>
    <n v="5.2"/>
    <n v="0.5"/>
    <n v="5.8"/>
    <n v="1628"/>
    <s v="http://www.forbes.com/companies/alaska-air-group/"/>
  </r>
  <r>
    <s v="JB Hunt Transport"/>
    <s v="Industrials"/>
    <s v="Trucking"/>
    <s v="North America"/>
    <x v="60"/>
    <n v="8.6"/>
    <n v="5.6"/>
    <n v="0.3"/>
    <n v="2.8"/>
    <n v="1630"/>
    <s v="http://www.forbes.com/companies/jb-hunt-transport/"/>
  </r>
  <r>
    <s v="NCR"/>
    <s v="Information Technology"/>
    <s v="Computer Hardware"/>
    <s v="North America"/>
    <x v="60"/>
    <n v="6.1"/>
    <n v="6.1"/>
    <n v="0.4"/>
    <n v="8.1"/>
    <n v="1635"/>
    <s v="http://www.forbes.com/companies/ncr/"/>
  </r>
  <r>
    <s v="Masco"/>
    <s v="Materials"/>
    <s v="Construction Materials"/>
    <s v="North America"/>
    <x v="60"/>
    <n v="8"/>
    <n v="8.1999999999999993"/>
    <n v="0.3"/>
    <n v="6.9"/>
    <n v="1638"/>
    <s v="http://www.forbes.com/companies/masco/"/>
  </r>
  <r>
    <s v="Twitter"/>
    <m/>
    <m/>
    <s v="North America"/>
    <x v="60"/>
    <n v="27.6"/>
    <n v="0.7"/>
    <n v="-0.6"/>
    <n v="3.4"/>
    <n v="1644"/>
    <s v="http://www.forbes.com/companies/twitter/"/>
  </r>
  <r>
    <s v="First Niagara Financial"/>
    <s v="Financials"/>
    <s v="Thrifts &amp; Mortgage Finance"/>
    <s v="North America"/>
    <x v="60"/>
    <n v="3.4"/>
    <n v="1.6"/>
    <n v="0.3"/>
    <n v="37.799999999999997"/>
    <n v="1646"/>
    <s v="http://www.forbes.com/companies/first-niagara-financial/"/>
  </r>
  <r>
    <s v="Netflix"/>
    <s v="Consumer Discretionary"/>
    <s v="Internet &amp; Catalog Retail"/>
    <s v="North America"/>
    <x v="60"/>
    <n v="21.8"/>
    <n v="4.4000000000000004"/>
    <n v="0.1"/>
    <n v="5.4"/>
    <n v="1647"/>
    <s v="http://www.forbes.com/companies/netflix/"/>
  </r>
  <r>
    <s v="JC Penney"/>
    <s v="Consumer Discretionary"/>
    <s v="Department Stores"/>
    <s v="North America"/>
    <x v="60"/>
    <n v="2.7"/>
    <n v="11.9"/>
    <n v="-1.4"/>
    <n v="11.8"/>
    <n v="1655"/>
    <s v="http://www.forbes.com/companies/jc-penney/"/>
  </r>
  <r>
    <s v="Tesla Motors"/>
    <m/>
    <m/>
    <s v="North America"/>
    <x v="60"/>
    <n v="26.7"/>
    <n v="2"/>
    <n v="-0.1"/>
    <n v="2.4"/>
    <n v="1657"/>
    <s v="http://www.forbes.com/companies/tesla-motors/"/>
  </r>
  <r>
    <s v="Huntsman"/>
    <s v="Materials"/>
    <s v="Diversified Chemicals"/>
    <s v="North America"/>
    <x v="60"/>
    <n v="6"/>
    <n v="11.1"/>
    <n v="0.1"/>
    <n v="9.1999999999999993"/>
    <n v="1663"/>
    <s v="http://www.forbes.com/companies/huntsman/"/>
  </r>
  <r>
    <s v="Waters"/>
    <m/>
    <s v="Precision Healthcare Equipment"/>
    <s v="North America"/>
    <x v="60"/>
    <n v="9.3000000000000007"/>
    <n v="1.9"/>
    <n v="0.4"/>
    <n v="3.6"/>
    <n v="1665"/>
    <s v="http://www.forbes.com/companies/waters/"/>
  </r>
  <r>
    <s v="SL Green Realty"/>
    <s v="Financials"/>
    <s v="Real Estate"/>
    <s v="North America"/>
    <x v="60"/>
    <n v="9.6"/>
    <n v="1.5"/>
    <n v="0.1"/>
    <n v="15"/>
    <n v="1669"/>
    <s v="http://www.forbes.com/companies/sl-green-realty/"/>
  </r>
  <r>
    <s v="WABCO Holdings"/>
    <s v="Consumer Discretionary"/>
    <s v="Auto &amp; Truck Parts"/>
    <s v="North America"/>
    <x v="60"/>
    <n v="6.6"/>
    <n v="2.7"/>
    <n v="0.7"/>
    <n v="2.4"/>
    <n v="1687"/>
    <s v="http://www.forbes.com/companies/wabco-holdings/"/>
  </r>
  <r>
    <s v="Affiliated Managers Group"/>
    <s v="Financials"/>
    <s v="Investment Services"/>
    <s v="North America"/>
    <x v="60"/>
    <n v="11.3"/>
    <n v="2.2000000000000002"/>
    <n v="0.4"/>
    <n v="6.3"/>
    <n v="1696"/>
    <s v="http://www.forbes.com/companies/affiliated-managers-group/"/>
  </r>
  <r>
    <s v="LinkedIn"/>
    <s v="Information Technology"/>
    <s v="Computer Services"/>
    <s v="North America"/>
    <x v="60"/>
    <n v="22.7"/>
    <n v="1.5"/>
    <n v="0"/>
    <n v="3.4"/>
    <n v="1700"/>
    <s v="http://www.forbes.com/companies/linkedin/"/>
  </r>
  <r>
    <s v="PBF Energy"/>
    <s v="Energy"/>
    <s v="Oil &amp; Gas Operations"/>
    <s v="North America"/>
    <x v="60"/>
    <n v="3"/>
    <n v="19.2"/>
    <n v="0"/>
    <n v="4.4000000000000004"/>
    <n v="1702"/>
    <s v="http://www.forbes.com/companies/pbf-energy/"/>
  </r>
  <r>
    <s v="Reliance Steel"/>
    <s v="Materials"/>
    <s v="Iron &amp; Steel"/>
    <s v="North America"/>
    <x v="60"/>
    <n v="5.5"/>
    <n v="9.1999999999999993"/>
    <n v="0.3"/>
    <n v="7.3"/>
    <n v="1705"/>
    <s v="http://www.forbes.com/companies/reliance-steel/"/>
  </r>
  <r>
    <s v="Pinnacle West"/>
    <s v="Utilities"/>
    <s v="Electric Utilities"/>
    <s v="North America"/>
    <x v="60"/>
    <n v="6"/>
    <n v="3.5"/>
    <n v="0.4"/>
    <n v="13.5"/>
    <n v="1709"/>
    <s v="http://www.forbes.com/companies/pinnacle-west/"/>
  </r>
  <r>
    <s v="BOK Financial"/>
    <s v="Financials"/>
    <s v="Regional Banks"/>
    <s v="North America"/>
    <x v="60"/>
    <n v="4.9000000000000004"/>
    <n v="1.3"/>
    <n v="0.3"/>
    <n v="27"/>
    <n v="1711"/>
    <s v="http://www.forbes.com/companies/bok-financial/"/>
  </r>
  <r>
    <s v="Hudson City Bancorp"/>
    <s v="Financials"/>
    <s v="Thrifts &amp; Mortgage Finance"/>
    <s v="North America"/>
    <x v="60"/>
    <n v="5.2"/>
    <n v="1.4"/>
    <n v="0.2"/>
    <n v="38.6"/>
    <n v="1712"/>
    <s v="http://www.forbes.com/companies/hudson-city-bancorp/"/>
  </r>
  <r>
    <s v="Realogy Holdings"/>
    <m/>
    <m/>
    <s v="North America"/>
    <x v="60"/>
    <n v="6.4"/>
    <n v="5.3"/>
    <n v="0.4"/>
    <n v="7.3"/>
    <n v="1716"/>
    <s v="http://www.forbes.com/companies/realogy-holdings/"/>
  </r>
  <r>
    <s v="Kansas City Southern"/>
    <s v="Industrials"/>
    <s v="Railroads"/>
    <s v="North America"/>
    <x v="60"/>
    <n v="11.4"/>
    <n v="2.4"/>
    <n v="0.4"/>
    <n v="7.4"/>
    <n v="1718"/>
    <s v="http://www.forbes.com/companies/kansas-city-southern/"/>
  </r>
  <r>
    <s v="McCormick &amp; Co"/>
    <s v="Consumer Staples"/>
    <s v="Food Processing"/>
    <s v="North America"/>
    <x v="60"/>
    <n v="9.3000000000000007"/>
    <n v="4.2"/>
    <n v="0.4"/>
    <n v="4.4000000000000004"/>
    <n v="1725"/>
    <s v="http://www.forbes.com/companies/mccormick-co/"/>
  </r>
  <r>
    <s v="Jabil Circuit"/>
    <s v="Information Technology"/>
    <s v="Electronics"/>
    <s v="North America"/>
    <x v="60"/>
    <n v="3.7"/>
    <n v="17.5"/>
    <n v="0.3"/>
    <n v="8.1"/>
    <n v="1727"/>
    <s v="http://www.forbes.com/companies/jabil-circuit/"/>
  </r>
  <r>
    <s v="Dick's Sporting Goods"/>
    <s v="Consumer Discretionary"/>
    <s v="Specialty Stores"/>
    <s v="North America"/>
    <x v="60"/>
    <n v="6.8"/>
    <n v="6.2"/>
    <n v="0.3"/>
    <n v="3.1"/>
    <n v="1727"/>
    <s v="http://www.forbes.com/companies/dicks-sporting-goods/"/>
  </r>
  <r>
    <s v="Murphy USA"/>
    <s v="Consumer Discretionary"/>
    <s v="Specialty Stores"/>
    <s v="North America"/>
    <x v="60"/>
    <n v="1.9"/>
    <n v="18.100000000000001"/>
    <n v="0.2"/>
    <n v="1.9"/>
    <n v="1727"/>
    <s v="http://www.forbes.com/companies/murphy-usa/"/>
  </r>
  <r>
    <s v="Varian Medical Systems"/>
    <s v="Health Care"/>
    <s v="Medical Equipment &amp; Supplies"/>
    <s v="North America"/>
    <x v="60"/>
    <n v="8.6999999999999993"/>
    <n v="3"/>
    <n v="0.4"/>
    <n v="3.4"/>
    <n v="1730"/>
    <s v="http://www.forbes.com/companies/varian-medical-systems/"/>
  </r>
  <r>
    <s v="MeadWestvaco"/>
    <s v="Materials"/>
    <s v="Paper &amp; Paper Products"/>
    <s v="North America"/>
    <x v="60"/>
    <n v="6.7"/>
    <n v="5.4"/>
    <n v="0.3"/>
    <n v="10.3"/>
    <n v="1732"/>
    <s v="http://www.forbes.com/companies/meadwestvaco/"/>
  </r>
  <r>
    <s v="VeriSign"/>
    <s v="Information Technology"/>
    <s v="Software &amp; Programming"/>
    <s v="North America"/>
    <x v="60"/>
    <n v="7.2"/>
    <n v="1"/>
    <n v="0.5"/>
    <n v="2.7"/>
    <n v="1739"/>
    <s v="http://www.forbes.com/companies/verisign/"/>
  </r>
  <r>
    <s v="CVR Energy"/>
    <s v="Energy"/>
    <s v="Oil &amp; Gas Operations"/>
    <s v="North America"/>
    <x v="60"/>
    <n v="3.8"/>
    <n v="9"/>
    <n v="0.4"/>
    <n v="3.7"/>
    <n v="1741"/>
    <s v="http://www.forbes.com/companies/cvr-energy/"/>
  </r>
  <r>
    <s v="Monster Beverage"/>
    <s v="Consumer Staples"/>
    <s v="Beverages"/>
    <s v="North America"/>
    <x v="60"/>
    <n v="11.9"/>
    <n v="2.2000000000000002"/>
    <n v="0.3"/>
    <n v="1.4"/>
    <n v="1745"/>
    <s v="http://www.forbes.com/companies/monster-beverage/"/>
  </r>
  <r>
    <s v="East West Bancorp"/>
    <s v="Financials"/>
    <s v="Regional Banks"/>
    <s v="North America"/>
    <x v="60"/>
    <n v="5.3"/>
    <n v="1.1000000000000001"/>
    <n v="0.3"/>
    <n v="24.7"/>
    <n v="1753"/>
    <s v="http://www.forbes.com/companies/east-west-bancorp/"/>
  </r>
  <r>
    <s v="Gannett"/>
    <s v="Consumer Discretionary"/>
    <s v="Printing &amp; Publishing"/>
    <s v="North America"/>
    <x v="60"/>
    <n v="6.4"/>
    <n v="5.2"/>
    <n v="0.4"/>
    <n v="9.1999999999999993"/>
    <n v="1754"/>
    <s v="http://www.forbes.com/companies/gannett/"/>
  </r>
  <r>
    <s v="Illumina"/>
    <s v="Health Care"/>
    <s v="Biotechs"/>
    <s v="North America"/>
    <x v="60"/>
    <n v="20.100000000000001"/>
    <n v="1.4"/>
    <n v="0.1"/>
    <n v="3"/>
    <n v="1756"/>
    <s v="http://www.forbes.com/companies/illumina/"/>
  </r>
  <r>
    <s v="Nelnet"/>
    <s v="Financials"/>
    <s v="Consumer Financial Services"/>
    <s v="North America"/>
    <x v="60"/>
    <n v="1.9"/>
    <n v="1.1000000000000001"/>
    <n v="0.3"/>
    <n v="27.8"/>
    <n v="1757"/>
    <s v="http://www.forbes.com/companies/nelnet/"/>
  </r>
  <r>
    <s v="SVB Financial Group"/>
    <s v="Financials"/>
    <s v="Regional Banks"/>
    <s v="North America"/>
    <x v="60"/>
    <n v="5.9"/>
    <n v="1.4"/>
    <n v="0.2"/>
    <n v="26.5"/>
    <n v="1758"/>
    <s v="http://www.forbes.com/companies/svb-financial-group/"/>
  </r>
  <r>
    <s v="Church &amp; Dwight"/>
    <s v="Consumer Staples"/>
    <s v="Household/Personal Care"/>
    <s v="North America"/>
    <x v="60"/>
    <n v="9.4"/>
    <n v="3.2"/>
    <n v="0.4"/>
    <n v="4.3"/>
    <n v="1759"/>
    <s v="http://www.forbes.com/companies/church-dwight/"/>
  </r>
  <r>
    <s v="Maxim Integrated Products"/>
    <s v="Information Technology"/>
    <s v="Semiconductors"/>
    <s v="North America"/>
    <x v="60"/>
    <n v="9.3000000000000007"/>
    <n v="2.4"/>
    <n v="0.4"/>
    <n v="4.3"/>
    <n v="1765"/>
    <s v="http://www.forbes.com/companies/maxim-integrated-products/"/>
  </r>
  <r>
    <s v="AGL Resources"/>
    <s v="Utilities"/>
    <s v="Natural Gas Utilities"/>
    <s v="North America"/>
    <x v="60"/>
    <n v="5.8"/>
    <n v="4.7"/>
    <n v="0.3"/>
    <n v="14.8"/>
    <n v="1766"/>
    <s v="http://www.forbes.com/companies/agl-resources/"/>
  </r>
  <r>
    <s v="Supervalu"/>
    <s v="Consumer Staples"/>
    <s v="Food Retail"/>
    <s v="North America"/>
    <x v="60"/>
    <n v="1.8"/>
    <n v="17"/>
    <n v="-1.3"/>
    <n v="4.7"/>
    <n v="1767"/>
    <s v="http://www.forbes.com/companies/supervalu/"/>
  </r>
  <r>
    <s v="Avon Products"/>
    <s v="Consumer Staples"/>
    <s v="Household/Personal Care"/>
    <s v="North America"/>
    <x v="60"/>
    <n v="6.4"/>
    <n v="10"/>
    <n v="-0.1"/>
    <n v="6.5"/>
    <n v="1768"/>
    <s v="http://www.forbes.com/companies/avon-products/"/>
  </r>
  <r>
    <s v="Airgas"/>
    <s v="Materials"/>
    <s v="Specialized Chemicals"/>
    <s v="North America"/>
    <x v="60"/>
    <n v="8"/>
    <n v="5.0999999999999996"/>
    <n v="0.3"/>
    <n v="5.8"/>
    <n v="1770"/>
    <s v="http://www.forbes.com/companies/airgas/"/>
  </r>
  <r>
    <s v="GameStop Corp."/>
    <s v="Information Technology"/>
    <s v="Computer &amp; Electronics Retail"/>
    <s v="North America"/>
    <x v="60"/>
    <n v="4.9000000000000004"/>
    <n v="9"/>
    <n v="0.4"/>
    <n v="4.0999999999999996"/>
    <n v="1774"/>
    <s v="http://www.forbes.com/companies/gamestop/"/>
  </r>
  <r>
    <s v="American Equity Investment"/>
    <s v="Financials"/>
    <s v="Life &amp; Health Insurance"/>
    <s v="North America"/>
    <x v="60"/>
    <n v="1.7"/>
    <n v="1.6"/>
    <n v="0.3"/>
    <n v="41.3"/>
    <n v="1776"/>
    <s v="http://www.forbes.com/companies/american-equity-investment/"/>
  </r>
  <r>
    <s v="UGI"/>
    <s v="Utilities"/>
    <s v="Natural Gas Utilities"/>
    <s v="North America"/>
    <x v="60"/>
    <n v="5.2"/>
    <n v="7.5"/>
    <n v="0.3"/>
    <n v="10.7"/>
    <n v="1777"/>
    <s v="http://www.forbes.com/companies/ugi/"/>
  </r>
  <r>
    <s v="Polaris Industries"/>
    <s v="Consumer Discretionary"/>
    <s v="Recreational Products"/>
    <s v="North America"/>
    <x v="60"/>
    <n v="9.4"/>
    <n v="3.8"/>
    <n v="0.4"/>
    <n v="1.7"/>
    <n v="1793"/>
    <s v="http://www.forbes.com/companies/polaris-industries/"/>
  </r>
  <r>
    <s v="Citrix Systems"/>
    <s v="Information Technology"/>
    <s v="Software &amp; Programming"/>
    <s v="North America"/>
    <x v="60"/>
    <n v="10.7"/>
    <n v="2.9"/>
    <n v="0.3"/>
    <n v="5.2"/>
    <n v="1793"/>
    <s v="http://www.forbes.com/companies/citrix-systems/"/>
  </r>
  <r>
    <s v="Signature Bank"/>
    <s v="Financials"/>
    <s v="Regional Banks"/>
    <s v="North America"/>
    <x v="60"/>
    <n v="6.1"/>
    <n v="0.8"/>
    <n v="0.2"/>
    <n v="22.4"/>
    <n v="1803"/>
    <s v="http://www.forbes.com/companies/signature-bank/"/>
  </r>
  <r>
    <s v="NASDAQ OMX Group"/>
    <s v="Financials"/>
    <s v="Investment Services"/>
    <s v="North America"/>
    <x v="60"/>
    <n v="6.1"/>
    <n v="3.2"/>
    <n v="0.4"/>
    <n v="12.6"/>
    <n v="1804"/>
    <s v="http://www.forbes.com/companies/nasdaq-omx-group/"/>
  </r>
  <r>
    <s v="Interactive Brokers Group"/>
    <s v="Financials"/>
    <s v="Investment Services"/>
    <s v="North America"/>
    <x v="60"/>
    <n v="1.2"/>
    <n v="1.1000000000000001"/>
    <n v="0"/>
    <n v="37.9"/>
    <n v="1806"/>
    <s v="http://www.forbes.com/companies/interactive-brokers-group/"/>
  </r>
  <r>
    <s v="Cablevision Systems Corporation"/>
    <s v="Consumer Discretionary"/>
    <s v="Broadcasting &amp; Cable"/>
    <s v="North America"/>
    <x v="60"/>
    <n v="4.4000000000000004"/>
    <n v="6.2"/>
    <n v="0.5"/>
    <n v="6.9"/>
    <n v="1808"/>
    <s v="http://www.forbes.com/companies/cablevision/"/>
  </r>
  <r>
    <s v="Cheniere Energy"/>
    <m/>
    <m/>
    <s v="North America"/>
    <x v="60"/>
    <n v="13.7"/>
    <n v="0.3"/>
    <n v="-0.5"/>
    <n v="9.6999999999999993"/>
    <n v="1808"/>
    <s v="http://www.forbes.com/companies/cheniere-energy/"/>
  </r>
  <r>
    <s v="Cabot Oil &amp; Gas"/>
    <s v="Energy"/>
    <s v="Oil &amp; Gas Operations"/>
    <s v="North America"/>
    <x v="60"/>
    <n v="14.3"/>
    <n v="1.7"/>
    <n v="0.3"/>
    <n v="5"/>
    <n v="1811"/>
    <s v="http://www.forbes.com/companies/cabot-oil-gas/"/>
  </r>
  <r>
    <s v="Workday"/>
    <s v=" Inc."/>
    <m/>
    <m/>
    <x v="61"/>
    <s v="United States"/>
    <n v="17.5"/>
    <n v="0.5"/>
    <n v="-0.2"/>
    <n v="2.2000000000000002"/>
    <n v="1819"/>
  </r>
  <r>
    <s v="Erie Indemnity"/>
    <s v="Financials"/>
    <s v="Diversified Insurance"/>
    <s v="North America"/>
    <x v="60"/>
    <n v="3.7"/>
    <n v="6.1"/>
    <n v="0.2"/>
    <n v="17"/>
    <n v="1820"/>
    <s v="http://www.forbes.com/companies/erie-indemnity/"/>
  </r>
  <r>
    <s v="Verisk Analytics"/>
    <s v="Consumer Discretionary"/>
    <s v="Business &amp; Personal Services"/>
    <s v="North America"/>
    <x v="60"/>
    <n v="10"/>
    <n v="1.7"/>
    <n v="0.3"/>
    <n v="2.5"/>
    <n v="1822"/>
    <s v="http://www.forbes.com/companies/verisk-analytics/"/>
  </r>
  <r>
    <s v="Sealed Air"/>
    <s v="Materials"/>
    <s v="Containers &amp; Packaging"/>
    <s v="North America"/>
    <x v="60"/>
    <n v="6.5"/>
    <n v="7.8"/>
    <n v="0.1"/>
    <n v="9.1"/>
    <n v="1825"/>
    <s v="http://www.forbes.com/companies/sealed-air/"/>
  </r>
  <r>
    <s v="B/E Aerospace"/>
    <s v="Industrials"/>
    <s v="Aerospace &amp; Defense"/>
    <s v="North America"/>
    <x v="60"/>
    <n v="9.3000000000000007"/>
    <n v="3.5"/>
    <n v="0.4"/>
    <n v="5.7"/>
    <n v="1827"/>
    <s v="http://www.forbes.com/companies/b-e-aerospace/"/>
  </r>
  <r>
    <s v="Dean Foods"/>
    <s v="Consumer Staples"/>
    <s v="Food Processing"/>
    <s v="North America"/>
    <x v="60"/>
    <n v="1.4"/>
    <n v="9.6"/>
    <n v="0.3"/>
    <n v="2.8"/>
    <n v="1827"/>
    <s v="http://www.forbes.com/companies/dean-foods/"/>
  </r>
  <r>
    <s v="Penske Automotive"/>
    <s v="Consumer Discretionary"/>
    <s v="Specialty Stores"/>
    <s v="North America"/>
    <x v="60"/>
    <n v="3.9"/>
    <n v="14.7"/>
    <n v="0.2"/>
    <n v="6.4"/>
    <n v="1829"/>
    <s v="http://www.forbes.com/companies/penske-automotive/"/>
  </r>
  <r>
    <s v="Antero Resources"/>
    <m/>
    <m/>
    <s v="North America"/>
    <x v="60"/>
    <n v="17.100000000000001"/>
    <n v="0.8"/>
    <n v="0"/>
    <n v="6.6"/>
    <n v="1834"/>
    <s v="http://www.forbes.com/companies/antero-resources/"/>
  </r>
  <r>
    <s v="Vertex Pharmaceuticals"/>
    <s v="Health Care"/>
    <s v="Biotechs"/>
    <s v="North America"/>
    <x v="60"/>
    <n v="16.899999999999999"/>
    <n v="1.2"/>
    <n v="-0.4"/>
    <n v="2.2999999999999998"/>
    <n v="1837"/>
    <s v="http://www.forbes.com/companies/vertex-pharmaceuticals/"/>
  </r>
  <r>
    <s v="Peabody Energy"/>
    <s v="Materials"/>
    <s v="Diversified Metals &amp; Mining"/>
    <s v="North America"/>
    <x v="60"/>
    <n v="4.4000000000000004"/>
    <n v="6.9"/>
    <n v="-0.5"/>
    <n v="14.1"/>
    <n v="1844"/>
    <s v="http://www.forbes.com/companies/peabody-energy/"/>
  </r>
  <r>
    <s v="LKQ"/>
    <s v="Consumer Discretionary"/>
    <s v="Auto &amp; Truck Parts"/>
    <s v="North America"/>
    <x v="60"/>
    <n v="8.1999999999999993"/>
    <n v="5.0999999999999996"/>
    <n v="0.3"/>
    <n v="4.5"/>
    <n v="1846"/>
    <s v="http://www.forbes.com/companies/lkq/"/>
  </r>
  <r>
    <s v="Whiting Petroleum"/>
    <s v="Energy"/>
    <s v="Oil &amp; Gas Operations"/>
    <s v="North America"/>
    <x v="60"/>
    <n v="8.5"/>
    <n v="2.7"/>
    <n v="0.4"/>
    <n v="8.8000000000000007"/>
    <n v="1853"/>
    <s v="http://www.forbes.com/companies/whiting-petroleum/"/>
  </r>
  <r>
    <s v="Denbury Resources"/>
    <s v="Energy"/>
    <s v="Oil &amp; Gas Operations"/>
    <s v="North America"/>
    <x v="60"/>
    <n v="5.9"/>
    <n v="2.5"/>
    <n v="0.4"/>
    <n v="11.8"/>
    <n v="1854"/>
    <s v="http://www.forbes.com/companies/denbury-resources/"/>
  </r>
  <r>
    <s v="Concho Resources"/>
    <s v="Energy"/>
    <s v="Oil &amp; Gas Operations"/>
    <s v="North America"/>
    <x v="60"/>
    <n v="13.1"/>
    <n v="2.2999999999999998"/>
    <n v="0.2"/>
    <n v="9.6"/>
    <n v="1857"/>
    <s v="http://www.forbes.com/companies/concho-resources/"/>
  </r>
  <r>
    <s v="OGE Energy"/>
    <s v="Utilities"/>
    <s v="Electric Utilities"/>
    <s v="North America"/>
    <x v="60"/>
    <n v="7.3"/>
    <n v="2.9"/>
    <n v="0.4"/>
    <n v="9.5"/>
    <n v="1862"/>
    <s v="http://www.forbes.com/companies/oge-energy/"/>
  </r>
  <r>
    <s v="People's United Financial"/>
    <s v="Financials"/>
    <s v="Thrifts &amp; Mortgage Finance"/>
    <s v="North America"/>
    <x v="60"/>
    <n v="4.5999999999999996"/>
    <n v="1.3"/>
    <n v="0.2"/>
    <n v="33.5"/>
    <n v="1864"/>
    <s v="http://www.forbes.com/companies/peoples-united-financial/"/>
  </r>
  <r>
    <s v="Microchip Technology"/>
    <s v="Information Technology"/>
    <s v="Semiconductors"/>
    <s v="North America"/>
    <x v="60"/>
    <n v="9.5"/>
    <n v="1.9"/>
    <n v="0.3"/>
    <n v="4"/>
    <n v="1869"/>
    <s v="http://www.forbes.com/companies/microchip-technology/"/>
  </r>
  <r>
    <s v="CareFusion"/>
    <s v="Health Care"/>
    <s v="Medical Equipment &amp; Supplies"/>
    <s v="North America"/>
    <x v="60"/>
    <n v="8.4"/>
    <n v="3.6"/>
    <n v="0.4"/>
    <n v="8.6"/>
    <n v="1871"/>
    <s v="http://www.forbes.com/companies/carefusion/"/>
  </r>
  <r>
    <s v="CC Media Holdings"/>
    <s v="Consumer Discretionary"/>
    <s v="Broadcasting &amp; Cable"/>
    <s v="North America"/>
    <x v="60"/>
    <n v="0.6"/>
    <n v="6.2"/>
    <n v="-0.6"/>
    <n v="15.1"/>
    <n v="1874"/>
    <s v="http://www.forbes.com/companies/cc-media-holdings/"/>
  </r>
  <r>
    <s v="Integrys Energy Group"/>
    <s v="Utilities"/>
    <s v="Electric Utilities"/>
    <s v="North America"/>
    <x v="60"/>
    <n v="4.8"/>
    <n v="5.5"/>
    <n v="0.4"/>
    <n v="11.2"/>
    <n v="1876"/>
    <s v="http://www.forbes.com/companies/integrys-energy/"/>
  </r>
  <r>
    <s v="Alliant Energy"/>
    <s v="Utilities"/>
    <s v="Electric Utilities"/>
    <s v="North America"/>
    <x v="60"/>
    <n v="6.3"/>
    <n v="3.3"/>
    <n v="0.4"/>
    <n v="11.1"/>
    <n v="1894"/>
    <s v="http://www.forbes.com/companies/alliant-energy/"/>
  </r>
  <r>
    <s v="Ingredion"/>
    <s v="Consumer Staples"/>
    <s v="Food Processing"/>
    <s v="North America"/>
    <x v="60"/>
    <n v="5"/>
    <n v="6.3"/>
    <n v="0.4"/>
    <n v="5.4"/>
    <n v="1900"/>
    <s v="http://www.forbes.com/companies/ingredion/"/>
  </r>
  <r>
    <s v="Symetra Financial"/>
    <s v="Financials"/>
    <s v="Life &amp; Health Insurance"/>
    <s v="North America"/>
    <x v="60"/>
    <n v="2.2999999999999998"/>
    <n v="2.2000000000000002"/>
    <n v="0.2"/>
    <n v="30.5"/>
    <n v="1901"/>
    <s v="http://www.forbes.com/companies/symetra-financial/"/>
  </r>
  <r>
    <s v="City National"/>
    <s v="Financials"/>
    <s v="Regional Banks"/>
    <s v="North America"/>
    <x v="60"/>
    <n v="4.4000000000000004"/>
    <n v="1.2"/>
    <n v="0.2"/>
    <n v="29.8"/>
    <n v="1909"/>
    <s v="http://www.forbes.com/companies/city-national/"/>
  </r>
  <r>
    <s v="CST Brands"/>
    <s v="Consumer Discretionary"/>
    <s v="Specialty Stores"/>
    <s v="North America"/>
    <x v="60"/>
    <n v="2.4"/>
    <n v="12.8"/>
    <n v="0.1"/>
    <n v="2.2999999999999998"/>
    <n v="1910"/>
    <s v="http://www.forbes.com/companies/cst-brands/"/>
  </r>
  <r>
    <s v="Edwards Lifesciences"/>
    <s v="Health Care"/>
    <s v="Medical Equipment &amp; Supplies"/>
    <s v="North America"/>
    <x v="60"/>
    <n v="7.8"/>
    <n v="2"/>
    <n v="0.4"/>
    <n v="2.7"/>
    <n v="1913"/>
    <s v="http://www.forbes.com/companies/edwards-lifesciences/"/>
  </r>
  <r>
    <s v="New Media Investment Group"/>
    <m/>
    <m/>
    <s v="North America"/>
    <x v="60"/>
    <n v="0.5"/>
    <n v="0.5"/>
    <n v="0.8"/>
    <n v="0.7"/>
    <n v="1914"/>
    <s v="http://www.forbes.com/companies/new-media-investment-group/"/>
  </r>
  <r>
    <s v="Pall"/>
    <m/>
    <s v="Precision Healthcare Equipment"/>
    <s v="North America"/>
    <x v="60"/>
    <n v="10"/>
    <n v="2.7"/>
    <n v="0.3"/>
    <n v="3.5"/>
    <n v="1915"/>
    <s v="http://www.forbes.com/companies/pall/"/>
  </r>
  <r>
    <s v="Amdocs"/>
    <s v="Information Technology"/>
    <s v="Software &amp; Programming"/>
    <s v="North America"/>
    <x v="60"/>
    <n v="7.4"/>
    <n v="3.4"/>
    <n v="0.4"/>
    <n v="4.9000000000000004"/>
    <n v="1918"/>
    <s v="http://www.forbes.com/companies/amdocs/"/>
  </r>
  <r>
    <s v="Frontier Communications"/>
    <s v="Telecommunication Services"/>
    <s v="Telecommunications services"/>
    <s v="North America"/>
    <x v="60"/>
    <n v="5.6"/>
    <n v="4.8"/>
    <n v="0.1"/>
    <n v="16.600000000000001"/>
    <n v="1924"/>
    <s v="http://www.forbes.com/companies/frontier-communications/"/>
  </r>
  <r>
    <s v="Packaging Corp of America"/>
    <m/>
    <m/>
    <s v="North America"/>
    <x v="60"/>
    <n v="7"/>
    <n v="3.7"/>
    <n v="0.4"/>
    <n v="5.2"/>
    <n v="1931"/>
    <s v="http://www.forbes.com/companies/packaging-corp-amer/"/>
  </r>
  <r>
    <s v="Brunswick"/>
    <s v="Consumer Discretionary"/>
    <s v="Recreational Products"/>
    <s v="North America"/>
    <x v="60"/>
    <n v="4.3"/>
    <n v="3.9"/>
    <n v="0.8"/>
    <n v="2.9"/>
    <n v="1934"/>
    <s v="http://www.forbes.com/companies/brunswick/"/>
  </r>
  <r>
    <s v="Hanesbrands"/>
    <s v="Consumer Discretionary"/>
    <s v="Apparel/Accessories"/>
    <s v="North America"/>
    <x v="60"/>
    <n v="7.7"/>
    <n v="4.5999999999999996"/>
    <n v="0.3"/>
    <n v="4.0999999999999996"/>
    <n v="1937"/>
    <s v="http://www.forbes.com/companies/hanesbrands/"/>
  </r>
  <r>
    <s v="Akamai Technologies"/>
    <s v="Information Technology"/>
    <s v="Computer Services"/>
    <s v="North America"/>
    <x v="60"/>
    <n v="10.6"/>
    <n v="1.6"/>
    <n v="0.3"/>
    <n v="3"/>
    <n v="1940"/>
    <s v="http://www.forbes.com/companies/akamai-technologies/"/>
  </r>
  <r>
    <s v="Towers Watson &amp; Co."/>
    <s v="Consumer Discretionary"/>
    <s v="Business &amp; Personal Services"/>
    <s v="North America"/>
    <x v="60"/>
    <n v="8.4"/>
    <n v="3.5"/>
    <n v="0.4"/>
    <n v="5.5"/>
    <n v="1945"/>
    <s v="http://www.forbes.com/companies/towers-watson/"/>
  </r>
  <r>
    <s v="Stericycle"/>
    <s v="Health Care"/>
    <s v="Healthcare Services"/>
    <s v="North America"/>
    <x v="60"/>
    <n v="9.6999999999999993"/>
    <n v="2.1"/>
    <n v="0.3"/>
    <n v="3.9"/>
    <n v="1959"/>
    <s v="http://www.forbes.com/companies/stericycle/"/>
  </r>
  <r>
    <s v="Range Resources"/>
    <s v="Energy"/>
    <s v="Oil &amp; Gas Operations"/>
    <s v="North America"/>
    <x v="60"/>
    <n v="13.8"/>
    <n v="1.7"/>
    <n v="0.1"/>
    <n v="7.3"/>
    <n v="1961"/>
    <s v="http://www.forbes.com/companies/range-resources/"/>
  </r>
  <r>
    <s v="Western Refining"/>
    <s v="Energy"/>
    <s v="Oil &amp; Gas Operations"/>
    <s v="North America"/>
    <x v="60"/>
    <n v="3.2"/>
    <n v="10.1"/>
    <n v="0.3"/>
    <n v="5.5"/>
    <n v="1961"/>
    <s v="http://www.forbes.com/companies/western-refining/"/>
  </r>
  <r>
    <s v="Joy Global"/>
    <s v="Industrials"/>
    <s v="Heavy Equipment"/>
    <s v="North America"/>
    <x v="60"/>
    <n v="5.8"/>
    <n v="4.7"/>
    <n v="0.4"/>
    <n v="5.5"/>
    <n v="1965"/>
    <s v="http://www.forbes.com/companies/joy-global/"/>
  </r>
  <r>
    <s v="Oceaneering International"/>
    <s v="Energy"/>
    <s v="Oil Services &amp; Equipment"/>
    <s v="North America"/>
    <x v="60"/>
    <n v="7.8"/>
    <n v="3.3"/>
    <n v="0.4"/>
    <n v="3.1"/>
    <n v="1973"/>
    <s v="http://www.forbes.com/companies/oceaneering-international/"/>
  </r>
  <r>
    <s v="TripAdvisor"/>
    <s v="Consumer Discretionary"/>
    <s v="Business &amp; Personal Services"/>
    <s v="North America"/>
    <x v="60"/>
    <n v="13.6"/>
    <n v="0.9"/>
    <n v="0.2"/>
    <n v="1.5"/>
    <n v="1975"/>
    <s v="http://www.forbes.com/companies/tripadvisor/"/>
  </r>
  <r>
    <s v="American Natl Ins"/>
    <s v="Financials"/>
    <s v="Diversified Insurance"/>
    <s v="North America"/>
    <x v="60"/>
    <n v="3.1"/>
    <n v="3.1"/>
    <n v="0.3"/>
    <n v="23.3"/>
    <n v="1975"/>
    <s v="http://www.forbes.com/companies/american-natl-ins/"/>
  </r>
  <r>
    <s v="Windstream"/>
    <s v="Telecommunication Services"/>
    <s v="Telecommunications services"/>
    <s v="North America"/>
    <x v="60"/>
    <n v="5.0999999999999996"/>
    <n v="6"/>
    <n v="0.2"/>
    <n v="13.4"/>
    <n v="1978"/>
    <s v="http://www.forbes.com/companies/windstream/"/>
  </r>
  <r>
    <s v="Teradata"/>
    <s v="Information Technology"/>
    <s v="Computer Services"/>
    <s v="North America"/>
    <x v="60"/>
    <n v="7.7"/>
    <n v="2.7"/>
    <n v="0.4"/>
    <n v="3.1"/>
    <n v="1982"/>
    <s v="http://www.forbes.com/companies/teradata/"/>
  </r>
  <r>
    <s v="URS"/>
    <s v="Industrials"/>
    <s v="Construction Services"/>
    <s v="North America"/>
    <x v="60"/>
    <n v="3.5"/>
    <n v="11"/>
    <n v="0.2"/>
    <n v="8.6999999999999993"/>
    <n v="1985"/>
    <s v="http://www.forbes.com/companies/urs/"/>
  </r>
  <r>
    <s v="Oshkosh"/>
    <s v="Industrials"/>
    <s v="Heavy Equipment"/>
    <s v="North America"/>
    <x v="60"/>
    <n v="5"/>
    <n v="7.4"/>
    <n v="0.3"/>
    <n v="4.5"/>
    <n v="1986"/>
    <s v="http://www.forbes.com/companies/oshkosh/"/>
  </r>
  <r>
    <s v="FMC"/>
    <s v="Materials"/>
    <s v="Specialized Chemicals"/>
    <s v="North America"/>
    <x v="60"/>
    <n v="10.3"/>
    <n v="4"/>
    <n v="0.3"/>
    <n v="5.2"/>
    <n v="1986"/>
    <s v="http://www.forbes.com/companies/fmc/"/>
  </r>
  <r>
    <s v="Synovus Financial"/>
    <s v="Financials"/>
    <s v="Regional Banks"/>
    <s v="North America"/>
    <x v="60"/>
    <n v="3.4"/>
    <n v="1.2"/>
    <n v="0.2"/>
    <n v="26.2"/>
    <n v="1998"/>
    <s v="http://www.forbes.com/companies/synovus-financial/"/>
  </r>
  <r>
    <s v="Equifax"/>
    <s v="Consumer Discretionary"/>
    <s v="Business &amp; Personal Services"/>
    <s v="North America"/>
    <x v="60"/>
    <n v="8.5"/>
    <n v="2.2999999999999998"/>
    <n v="0.3"/>
    <n v="4.5"/>
    <n v="1999"/>
    <s v="http://www.forbes.com/companies/equifax/"/>
  </r>
  <r>
    <s v="Mercantil Servicios"/>
    <s v="Financials"/>
    <s v="Regional Banks"/>
    <s v="South America"/>
    <x v="62"/>
    <n v="14.4"/>
    <n v="4.0999999999999996"/>
    <n v="1.2"/>
    <n v="38"/>
    <n v="773"/>
    <s v="http://www.forbes.com/companies/mercantil-servicios/"/>
  </r>
  <r>
    <s v="Banco Occidental"/>
    <s v="Financials"/>
    <s v="Regional Banks"/>
    <s v="South America"/>
    <x v="62"/>
    <n v="11.3"/>
    <n v="1.6"/>
    <n v="0.3"/>
    <n v="17.5"/>
    <n v="1422"/>
    <s v="http://www.forbes.com/companies/banco-occidental/"/>
  </r>
  <r>
    <s v="Petrovietnam Gas"/>
    <m/>
    <m/>
    <s v="Asia"/>
    <x v="63"/>
    <n v="7.5"/>
    <n v="3.1"/>
    <n v="0.6"/>
    <n v="2.4"/>
    <n v="1650"/>
    <s v="http://www.forbes.com/companies/petrovietnam-gas/"/>
  </r>
  <r>
    <s v="Vietin Bank"/>
    <s v="Financials"/>
    <s v="Regional Banks"/>
    <s v="Asia"/>
    <x v="63"/>
    <n v="2.9"/>
    <n v="2.2999999999999998"/>
    <n v="0.3"/>
    <n v="27.3"/>
    <n v="1854"/>
    <s v="http://www.forbes.com/companies/vietin-ban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31A526-9CA0-5A4C-A61A-6A705E78F252}" name="PivotTable1"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1:B15" firstHeaderRow="1" firstDataRow="1" firstDataCol="1"/>
  <pivotFields count="11">
    <pivotField showAll="0"/>
    <pivotField showAll="0"/>
    <pivotField showAll="0"/>
    <pivotField showAll="0"/>
    <pivotField axis="axisRow" showAll="0">
      <items count="65">
        <item h="1" x="0"/>
        <item h="1" x="1"/>
        <item x="2"/>
        <item x="3"/>
        <item x="4"/>
        <item h="1" x="5"/>
        <item h="1" x="6"/>
        <item x="7"/>
        <item h="1" x="8"/>
        <item h="1" x="9"/>
        <item h="1" x="10"/>
        <item h="1" x="11"/>
        <item h="1" x="12"/>
        <item h="1" x="13"/>
        <item h="1" x="14"/>
        <item h="1" x="15"/>
        <item h="1" x="16"/>
        <item h="1" x="17"/>
        <item x="18"/>
        <item h="1" x="19"/>
        <item h="1" x="20"/>
        <item h="1" x="21"/>
        <item x="22"/>
        <item h="1" x="23"/>
        <item h="1" x="24"/>
        <item h="1" x="25"/>
        <item h="1" x="26"/>
        <item h="1" x="27"/>
        <item h="1" x="28"/>
        <item x="29"/>
        <item x="30"/>
        <item h="1" x="31"/>
        <item x="32"/>
        <item h="1" x="33"/>
        <item h="1" x="34"/>
        <item x="35"/>
        <item h="1" x="36"/>
        <item h="1" x="61"/>
        <item h="1" x="37"/>
        <item h="1" x="38"/>
        <item h="1" x="39"/>
        <item h="1" x="40"/>
        <item h="1" x="41"/>
        <item h="1" x="42"/>
        <item h="1" x="43"/>
        <item x="44"/>
        <item h="1" x="45"/>
        <item h="1" x="46"/>
        <item h="1" x="47"/>
        <item x="48"/>
        <item h="1" x="49"/>
        <item h="1" x="50"/>
        <item h="1" x="51"/>
        <item h="1" x="52"/>
        <item x="53"/>
        <item h="1" x="54"/>
        <item h="1" x="55"/>
        <item h="1" x="56"/>
        <item h="1" x="57"/>
        <item h="1" x="58"/>
        <item h="1" x="59"/>
        <item h="1" x="60"/>
        <item h="1" x="62"/>
        <item h="1" x="63"/>
        <item t="default"/>
      </items>
    </pivotField>
    <pivotField showAll="0"/>
    <pivotField showAll="0"/>
    <pivotField dataField="1" showAll="0"/>
    <pivotField showAll="0"/>
    <pivotField showAll="0"/>
    <pivotField showAll="0"/>
  </pivotFields>
  <rowFields count="1">
    <field x="4"/>
  </rowFields>
  <rowItems count="14">
    <i>
      <x v="2"/>
    </i>
    <i>
      <x v="3"/>
    </i>
    <i>
      <x v="4"/>
    </i>
    <i>
      <x v="7"/>
    </i>
    <i>
      <x v="18"/>
    </i>
    <i>
      <x v="22"/>
    </i>
    <i>
      <x v="29"/>
    </i>
    <i>
      <x v="30"/>
    </i>
    <i>
      <x v="32"/>
    </i>
    <i>
      <x v="35"/>
    </i>
    <i>
      <x v="45"/>
    </i>
    <i>
      <x v="49"/>
    </i>
    <i>
      <x v="54"/>
    </i>
    <i t="grand">
      <x/>
    </i>
  </rowItems>
  <colItems count="1">
    <i/>
  </colItems>
  <dataFields count="1">
    <dataField name="Sum of Profits" fld="7"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FC56F7-9806-D34F-AA2D-D4D40C5039F6}" name="Tableau1" displayName="Tableau1" ref="A1:H1287" totalsRowShown="0" headerRowDxfId="1">
  <autoFilter ref="A1:H1287" xr:uid="{00000000-0009-0000-0100-000001000000}"/>
  <tableColumns count="8">
    <tableColumn id="1" xr3:uid="{00000000-0010-0000-0000-000001000000}" name="Year" dataDxfId="0"/>
    <tableColumn id="2" xr3:uid="{00000000-0010-0000-0000-000002000000}" name="Country code (2-alpha)"/>
    <tableColumn id="3" xr3:uid="{00000000-0010-0000-0000-000003000000}" name="Country name"/>
    <tableColumn id="4" xr3:uid="{00000000-0010-0000-0000-000004000000}" name="Country group"/>
    <tableColumn id="5" xr3:uid="{00000000-0010-0000-0000-000005000000}" name="Adjusted business sector labor share"/>
    <tableColumn id="6" xr3:uid="{00000000-0010-0000-0000-000006000000}" name="Adjusted corporate sector labor share"/>
    <tableColumn id="7" xr3:uid="{00000000-0010-0000-0000-000007000000}" name="Business sector labor share, not adj. for self-emp."/>
    <tableColumn id="8" xr3:uid="{00000000-0010-0000-0000-000008000000}" name="Unadjusted corporate sector labor shar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
  <sheetViews>
    <sheetView workbookViewId="0">
      <selection activeCell="I16" sqref="I16"/>
    </sheetView>
  </sheetViews>
  <sheetFormatPr baseColWidth="10" defaultColWidth="11" defaultRowHeight="16" x14ac:dyDescent="0.2"/>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O68"/>
  <sheetViews>
    <sheetView workbookViewId="0">
      <pane xSplit="1" ySplit="8" topLeftCell="B9" activePane="bottomRight" state="frozen"/>
      <selection pane="topRight" activeCell="B1" sqref="B1"/>
      <selection pane="bottomLeft" activeCell="A10" sqref="A10"/>
      <selection pane="bottomRight" activeCell="G65" sqref="G65"/>
    </sheetView>
  </sheetViews>
  <sheetFormatPr baseColWidth="10" defaultColWidth="10.83203125" defaultRowHeight="16" x14ac:dyDescent="0.2"/>
  <cols>
    <col min="1" max="1" width="19" style="1" customWidth="1"/>
    <col min="2" max="22" width="10.83203125" style="1"/>
    <col min="23" max="23" width="19" style="1" customWidth="1"/>
    <col min="24" max="38" width="11.33203125" style="1" customWidth="1"/>
    <col min="39" max="16384" width="10.83203125" style="1"/>
  </cols>
  <sheetData>
    <row r="1" spans="1:41" x14ac:dyDescent="0.2">
      <c r="A1" s="954"/>
      <c r="B1" s="954"/>
      <c r="C1" s="954"/>
      <c r="D1" s="954"/>
      <c r="E1" s="954"/>
      <c r="F1" s="954"/>
      <c r="G1" s="954"/>
      <c r="H1" s="954"/>
      <c r="I1" s="954"/>
      <c r="J1" s="954"/>
      <c r="K1" s="954"/>
      <c r="L1" s="954"/>
      <c r="M1" s="954"/>
      <c r="N1" s="954"/>
      <c r="O1" s="954"/>
      <c r="P1" s="954"/>
      <c r="Q1" s="954"/>
      <c r="R1" s="954"/>
      <c r="S1" s="954"/>
      <c r="T1" s="954"/>
      <c r="U1" s="954"/>
      <c r="V1" s="954"/>
      <c r="W1" s="954" t="s">
        <v>219</v>
      </c>
      <c r="X1" s="954"/>
      <c r="Y1" s="954"/>
      <c r="Z1" s="954"/>
      <c r="AA1" s="954"/>
      <c r="AB1" s="954"/>
      <c r="AC1" s="954"/>
      <c r="AD1" s="954"/>
      <c r="AE1" s="954"/>
      <c r="AF1" s="954"/>
      <c r="AG1" s="954"/>
      <c r="AH1" s="954"/>
      <c r="AI1" s="954"/>
      <c r="AJ1" s="954"/>
      <c r="AK1" s="954"/>
      <c r="AL1" s="954"/>
      <c r="AM1" s="954"/>
      <c r="AN1" s="954"/>
      <c r="AO1" s="954"/>
    </row>
    <row r="2" spans="1:41" ht="17" thickBot="1" x14ac:dyDescent="0.25">
      <c r="A2" s="954"/>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row>
    <row r="3" spans="1:41" ht="32.25" customHeight="1" thickTop="1" x14ac:dyDescent="0.2">
      <c r="A3" s="2090" t="s">
        <v>220</v>
      </c>
      <c r="B3" s="2091"/>
      <c r="C3" s="2091"/>
      <c r="D3" s="2091"/>
      <c r="E3" s="2091"/>
      <c r="F3" s="2091"/>
      <c r="G3" s="2091"/>
      <c r="H3" s="2091"/>
      <c r="I3" s="2091"/>
      <c r="J3" s="2091"/>
      <c r="K3" s="2091"/>
      <c r="L3" s="2091"/>
      <c r="M3" s="2091"/>
      <c r="N3" s="2091"/>
      <c r="O3" s="2091"/>
      <c r="P3" s="2092"/>
      <c r="Q3" s="954"/>
      <c r="R3" s="954"/>
      <c r="S3" s="954"/>
      <c r="T3" s="954"/>
      <c r="U3" s="954"/>
      <c r="V3" s="954"/>
      <c r="W3" s="1951" t="s">
        <v>221</v>
      </c>
      <c r="X3" s="1952"/>
      <c r="Y3" s="1952"/>
      <c r="Z3" s="1952"/>
      <c r="AA3" s="1952"/>
      <c r="AB3" s="1952"/>
      <c r="AC3" s="1952"/>
      <c r="AD3" s="1952"/>
      <c r="AE3" s="1952"/>
      <c r="AF3" s="1952"/>
      <c r="AG3" s="1952"/>
      <c r="AH3" s="1952"/>
      <c r="AI3" s="1952"/>
      <c r="AJ3" s="1952"/>
      <c r="AK3" s="1952"/>
      <c r="AL3" s="1953"/>
      <c r="AM3" s="954"/>
      <c r="AN3" s="954"/>
      <c r="AO3" s="954"/>
    </row>
    <row r="4" spans="1:41" ht="12" customHeight="1" x14ac:dyDescent="0.2">
      <c r="A4" s="118"/>
      <c r="B4" s="620"/>
      <c r="C4" s="620"/>
      <c r="D4" s="620"/>
      <c r="E4" s="620"/>
      <c r="F4" s="620"/>
      <c r="G4" s="620"/>
      <c r="H4" s="620"/>
      <c r="I4" s="620"/>
      <c r="J4" s="620"/>
      <c r="K4" s="620"/>
      <c r="L4" s="620"/>
      <c r="M4" s="620"/>
      <c r="N4" s="620"/>
      <c r="O4" s="620"/>
      <c r="P4" s="686"/>
      <c r="Q4" s="954"/>
      <c r="R4" s="954"/>
      <c r="S4" s="954"/>
      <c r="T4" s="954"/>
      <c r="U4" s="954"/>
      <c r="V4" s="954"/>
      <c r="W4" s="4"/>
      <c r="X4" s="620"/>
      <c r="Y4" s="620"/>
      <c r="Z4" s="620"/>
      <c r="AA4" s="620"/>
      <c r="AB4" s="620"/>
      <c r="AC4" s="620"/>
      <c r="AD4" s="620"/>
      <c r="AE4" s="620"/>
      <c r="AF4" s="620"/>
      <c r="AG4" s="620"/>
      <c r="AH4" s="620"/>
      <c r="AI4" s="620"/>
      <c r="AJ4" s="620"/>
      <c r="AK4" s="620"/>
      <c r="AL4" s="5"/>
      <c r="AM4" s="954"/>
      <c r="AN4" s="954"/>
      <c r="AO4" s="954"/>
    </row>
    <row r="5" spans="1:41" ht="17" thickBot="1" x14ac:dyDescent="0.25">
      <c r="A5" s="955"/>
      <c r="B5" s="3" t="s">
        <v>1</v>
      </c>
      <c r="C5" s="3" t="s">
        <v>2</v>
      </c>
      <c r="D5" s="3" t="s">
        <v>3</v>
      </c>
      <c r="E5" s="3" t="s">
        <v>4</v>
      </c>
      <c r="F5" s="3" t="s">
        <v>5</v>
      </c>
      <c r="G5" s="3" t="s">
        <v>6</v>
      </c>
      <c r="H5" s="3" t="s">
        <v>7</v>
      </c>
      <c r="I5" s="3" t="s">
        <v>8</v>
      </c>
      <c r="J5" s="3" t="s">
        <v>9</v>
      </c>
      <c r="K5" s="3" t="s">
        <v>10</v>
      </c>
      <c r="L5" s="3" t="s">
        <v>11</v>
      </c>
      <c r="M5" s="3" t="s">
        <v>12</v>
      </c>
      <c r="N5" s="3" t="s">
        <v>13</v>
      </c>
      <c r="O5" s="3" t="s">
        <v>177</v>
      </c>
      <c r="P5" s="793" t="s">
        <v>178</v>
      </c>
      <c r="Q5" s="954"/>
      <c r="R5" s="954"/>
      <c r="S5" s="954"/>
      <c r="T5" s="954"/>
      <c r="U5" s="954"/>
      <c r="V5" s="954"/>
      <c r="W5" s="1148"/>
      <c r="X5" s="3" t="s">
        <v>1</v>
      </c>
      <c r="Y5" s="3" t="s">
        <v>2</v>
      </c>
      <c r="Z5" s="3" t="s">
        <v>3</v>
      </c>
      <c r="AA5" s="3" t="s">
        <v>4</v>
      </c>
      <c r="AB5" s="3" t="s">
        <v>5</v>
      </c>
      <c r="AC5" s="954"/>
      <c r="AD5" s="3" t="s">
        <v>7</v>
      </c>
      <c r="AE5" s="3" t="s">
        <v>8</v>
      </c>
      <c r="AF5" s="3"/>
      <c r="AG5" s="3"/>
      <c r="AH5" s="3"/>
      <c r="AI5" s="3"/>
      <c r="AJ5" s="3"/>
      <c r="AK5" s="954"/>
      <c r="AL5" s="6" t="s">
        <v>9</v>
      </c>
      <c r="AM5" s="954"/>
      <c r="AN5" s="954"/>
      <c r="AO5" s="954"/>
    </row>
    <row r="6" spans="1:41" ht="21" customHeight="1" x14ac:dyDescent="0.2">
      <c r="A6" s="955"/>
      <c r="B6" s="2093" t="s">
        <v>31</v>
      </c>
      <c r="C6" s="2094"/>
      <c r="D6" s="2094"/>
      <c r="E6" s="2095" t="s">
        <v>43</v>
      </c>
      <c r="F6" s="2095"/>
      <c r="G6" s="2095"/>
      <c r="H6" s="2094" t="s">
        <v>86</v>
      </c>
      <c r="I6" s="2094"/>
      <c r="J6" s="2094"/>
      <c r="K6" s="2094" t="s">
        <v>49</v>
      </c>
      <c r="L6" s="2094"/>
      <c r="M6" s="2094"/>
      <c r="N6" s="2094" t="s">
        <v>51</v>
      </c>
      <c r="O6" s="2094"/>
      <c r="P6" s="2096"/>
      <c r="Q6" s="954"/>
      <c r="R6" s="954"/>
      <c r="S6" s="954"/>
      <c r="T6" s="954"/>
      <c r="U6" s="954"/>
      <c r="V6" s="954"/>
      <c r="W6" s="1148"/>
      <c r="X6" s="2046" t="s">
        <v>31</v>
      </c>
      <c r="Y6" s="2047"/>
      <c r="Z6" s="2047"/>
      <c r="AA6" s="2046" t="s">
        <v>43</v>
      </c>
      <c r="AB6" s="2047"/>
      <c r="AC6" s="2047"/>
      <c r="AD6" s="2046" t="s">
        <v>86</v>
      </c>
      <c r="AE6" s="2047"/>
      <c r="AF6" s="2047"/>
      <c r="AG6" s="2046" t="s">
        <v>49</v>
      </c>
      <c r="AH6" s="2047"/>
      <c r="AI6" s="2047"/>
      <c r="AJ6" s="2046" t="s">
        <v>51</v>
      </c>
      <c r="AK6" s="2047"/>
      <c r="AL6" s="2073"/>
      <c r="AM6" s="954"/>
      <c r="AN6" s="954"/>
      <c r="AO6" s="954"/>
    </row>
    <row r="7" spans="1:41" ht="42" customHeight="1" x14ac:dyDescent="0.2">
      <c r="A7" s="2097"/>
      <c r="B7" s="2099" t="s">
        <v>222</v>
      </c>
      <c r="C7" s="2057" t="s">
        <v>223</v>
      </c>
      <c r="D7" s="2100" t="s">
        <v>224</v>
      </c>
      <c r="E7" s="2102" t="s">
        <v>222</v>
      </c>
      <c r="F7" s="2057" t="s">
        <v>225</v>
      </c>
      <c r="G7" s="2107" t="s">
        <v>224</v>
      </c>
      <c r="H7" s="2108" t="s">
        <v>222</v>
      </c>
      <c r="I7" s="2058" t="s">
        <v>226</v>
      </c>
      <c r="J7" s="2058" t="s">
        <v>224</v>
      </c>
      <c r="K7" s="2109" t="s">
        <v>222</v>
      </c>
      <c r="L7" s="2069" t="s">
        <v>227</v>
      </c>
      <c r="M7" s="2100" t="s">
        <v>224</v>
      </c>
      <c r="N7" s="2108" t="s">
        <v>222</v>
      </c>
      <c r="O7" s="2034" t="s">
        <v>228</v>
      </c>
      <c r="P7" s="2111" t="s">
        <v>224</v>
      </c>
      <c r="Q7" s="954"/>
      <c r="R7" s="954"/>
      <c r="S7" s="954"/>
      <c r="T7" s="954"/>
      <c r="U7" s="954"/>
      <c r="V7" s="954"/>
      <c r="W7" s="2089"/>
      <c r="X7" s="2084" t="s">
        <v>222</v>
      </c>
      <c r="Y7" s="2057" t="s">
        <v>223</v>
      </c>
      <c r="Z7" s="2057" t="s">
        <v>224</v>
      </c>
      <c r="AA7" s="2084" t="s">
        <v>222</v>
      </c>
      <c r="AB7" s="2057" t="s">
        <v>225</v>
      </c>
      <c r="AC7" s="2057" t="s">
        <v>224</v>
      </c>
      <c r="AD7" s="2084" t="s">
        <v>222</v>
      </c>
      <c r="AE7" s="2057" t="s">
        <v>226</v>
      </c>
      <c r="AF7" s="2057" t="s">
        <v>224</v>
      </c>
      <c r="AG7" s="2084" t="s">
        <v>222</v>
      </c>
      <c r="AH7" s="2069" t="s">
        <v>227</v>
      </c>
      <c r="AI7" s="2057" t="s">
        <v>224</v>
      </c>
      <c r="AJ7" s="2084" t="s">
        <v>222</v>
      </c>
      <c r="AK7" s="2069" t="s">
        <v>228</v>
      </c>
      <c r="AL7" s="2085" t="s">
        <v>224</v>
      </c>
      <c r="AM7" s="954"/>
      <c r="AN7" s="954"/>
      <c r="AO7" s="954"/>
    </row>
    <row r="8" spans="1:41" ht="33" customHeight="1" x14ac:dyDescent="0.2">
      <c r="A8" s="2098"/>
      <c r="B8" s="2068"/>
      <c r="C8" s="2058"/>
      <c r="D8" s="2101"/>
      <c r="E8" s="2102"/>
      <c r="F8" s="2030"/>
      <c r="G8" s="2107"/>
      <c r="H8" s="2108"/>
      <c r="I8" s="2058"/>
      <c r="J8" s="2058"/>
      <c r="K8" s="2110"/>
      <c r="L8" s="2034"/>
      <c r="M8" s="2101"/>
      <c r="N8" s="2108"/>
      <c r="O8" s="2034"/>
      <c r="P8" s="2111"/>
      <c r="Q8" s="954"/>
      <c r="R8" s="954"/>
      <c r="S8" s="954"/>
      <c r="T8" s="954"/>
      <c r="U8" s="954"/>
      <c r="V8" s="954"/>
      <c r="W8" s="2089"/>
      <c r="X8" s="2066"/>
      <c r="Y8" s="2058"/>
      <c r="Z8" s="2058"/>
      <c r="AA8" s="2066"/>
      <c r="AB8" s="2058"/>
      <c r="AC8" s="2058"/>
      <c r="AD8" s="2066"/>
      <c r="AE8" s="2058"/>
      <c r="AF8" s="2058"/>
      <c r="AG8" s="2066"/>
      <c r="AH8" s="2034"/>
      <c r="AI8" s="2058"/>
      <c r="AJ8" s="2066"/>
      <c r="AK8" s="2034"/>
      <c r="AL8" s="2086"/>
      <c r="AM8" s="954"/>
      <c r="AN8" s="954"/>
      <c r="AO8" s="954"/>
    </row>
    <row r="9" spans="1:41" ht="33" customHeight="1" x14ac:dyDescent="0.2">
      <c r="A9" s="1834"/>
      <c r="B9" s="2103" t="s">
        <v>229</v>
      </c>
      <c r="C9" s="2104"/>
      <c r="D9" s="2104"/>
      <c r="E9" s="2105"/>
      <c r="F9" s="2105"/>
      <c r="G9" s="2105"/>
      <c r="H9" s="2104"/>
      <c r="I9" s="2104"/>
      <c r="J9" s="2104"/>
      <c r="K9" s="2104"/>
      <c r="L9" s="2104"/>
      <c r="M9" s="2104"/>
      <c r="N9" s="2104"/>
      <c r="O9" s="2104"/>
      <c r="P9" s="2106"/>
      <c r="Q9" s="954"/>
      <c r="R9" s="954"/>
      <c r="S9" s="954"/>
      <c r="T9" s="954"/>
      <c r="U9" s="954"/>
      <c r="V9" s="954"/>
      <c r="W9" s="1220"/>
      <c r="X9" s="2024" t="s">
        <v>230</v>
      </c>
      <c r="Y9" s="2087"/>
      <c r="Z9" s="2087"/>
      <c r="AA9" s="2087"/>
      <c r="AB9" s="2087"/>
      <c r="AC9" s="2087"/>
      <c r="AD9" s="2087"/>
      <c r="AE9" s="2087"/>
      <c r="AF9" s="2087"/>
      <c r="AG9" s="2087"/>
      <c r="AH9" s="2087"/>
      <c r="AI9" s="2087"/>
      <c r="AJ9" s="2087"/>
      <c r="AK9" s="2087"/>
      <c r="AL9" s="2088"/>
      <c r="AM9" s="954"/>
      <c r="AN9" s="954"/>
      <c r="AO9" s="954"/>
    </row>
    <row r="10" spans="1:41" ht="14.25" customHeight="1" x14ac:dyDescent="0.2">
      <c r="A10" s="955" t="s">
        <v>231</v>
      </c>
      <c r="B10" s="1221"/>
      <c r="C10" s="1222">
        <f>Y10/$Z$64</f>
        <v>373241.76878398593</v>
      </c>
      <c r="D10" s="1223"/>
      <c r="E10" s="1224"/>
      <c r="F10" s="1222">
        <f>AB10/$Z$64</f>
        <v>337111.81278066325</v>
      </c>
      <c r="G10" s="1223"/>
      <c r="H10" s="1224"/>
      <c r="I10" s="1222">
        <f t="shared" ref="I10:I17" si="0">AE10/$Z$64</f>
        <v>4479.1878082512349</v>
      </c>
      <c r="J10" s="1223"/>
      <c r="K10" s="1224"/>
      <c r="L10" s="1222">
        <f>AH10/$Z$64</f>
        <v>85895.998376326301</v>
      </c>
      <c r="M10" s="1223"/>
      <c r="N10" s="257"/>
      <c r="O10" s="1222">
        <f>AK10/$Z$64</f>
        <v>590440.2884017129</v>
      </c>
      <c r="P10" s="1225"/>
      <c r="Q10" s="954"/>
      <c r="R10" s="954"/>
      <c r="S10" s="954"/>
      <c r="T10" s="954"/>
      <c r="U10" s="954"/>
      <c r="V10" s="954"/>
      <c r="W10" s="1148" t="s">
        <v>231</v>
      </c>
      <c r="X10" s="1198"/>
      <c r="Y10" s="1168">
        <v>336536.8</v>
      </c>
      <c r="Z10" s="13"/>
      <c r="AA10" s="1200"/>
      <c r="AB10" s="1168">
        <v>303959.90000000002</v>
      </c>
      <c r="AC10" s="13"/>
      <c r="AD10" s="1200"/>
      <c r="AE10" s="1168">
        <v>4038.7</v>
      </c>
      <c r="AF10" s="13"/>
      <c r="AG10" s="1200"/>
      <c r="AH10" s="1168">
        <v>77448.899999999994</v>
      </c>
      <c r="AI10" s="13"/>
      <c r="AJ10" s="1200"/>
      <c r="AK10" s="1168">
        <v>532375.80000000005</v>
      </c>
      <c r="AL10" s="1186"/>
      <c r="AM10" s="954"/>
      <c r="AN10" s="954"/>
      <c r="AO10" s="954"/>
    </row>
    <row r="11" spans="1:41" ht="14.25" customHeight="1" x14ac:dyDescent="0.2">
      <c r="A11" s="955" t="s">
        <v>232</v>
      </c>
      <c r="B11" s="1208"/>
      <c r="C11" s="1168">
        <f>Y11/$Z$64</f>
        <v>194825.53825781145</v>
      </c>
      <c r="D11" s="1226"/>
      <c r="E11" s="1227"/>
      <c r="F11" s="1168">
        <f>AB11/$Z$64</f>
        <v>65574.457749548339</v>
      </c>
      <c r="G11" s="1226"/>
      <c r="H11" s="1227"/>
      <c r="I11" s="1168">
        <f t="shared" si="0"/>
        <v>2286.4519735287954</v>
      </c>
      <c r="J11" s="1226"/>
      <c r="K11" s="1227"/>
      <c r="L11" s="1168">
        <f>AH11/$Z$64</f>
        <v>43156.781000356008</v>
      </c>
      <c r="M11" s="1226"/>
      <c r="N11" s="1228"/>
      <c r="O11" s="1168">
        <f>AK11/$Z$64</f>
        <v>249711.69810316316</v>
      </c>
      <c r="P11" s="1154"/>
      <c r="Q11" s="954"/>
      <c r="R11" s="954"/>
      <c r="S11" s="954"/>
      <c r="T11" s="954"/>
      <c r="U11" s="954"/>
      <c r="V11" s="954"/>
      <c r="W11" s="1148" t="s">
        <v>232</v>
      </c>
      <c r="X11" s="1198"/>
      <c r="Y11" s="1168">
        <v>175666.2</v>
      </c>
      <c r="Z11" s="13"/>
      <c r="AA11" s="1200"/>
      <c r="AB11" s="1168">
        <v>59125.8</v>
      </c>
      <c r="AC11" s="13"/>
      <c r="AD11" s="1200"/>
      <c r="AE11" s="1168">
        <v>2061.6</v>
      </c>
      <c r="AF11" s="13"/>
      <c r="AG11" s="1200"/>
      <c r="AH11" s="1168">
        <v>38912.699999999997</v>
      </c>
      <c r="AI11" s="13"/>
      <c r="AJ11" s="1200"/>
      <c r="AK11" s="1168">
        <v>225154.8</v>
      </c>
      <c r="AL11" s="1186"/>
      <c r="AM11" s="954"/>
      <c r="AN11" s="954"/>
      <c r="AO11" s="954"/>
    </row>
    <row r="12" spans="1:41" ht="14.25" customHeight="1" x14ac:dyDescent="0.2">
      <c r="A12" s="955" t="s">
        <v>233</v>
      </c>
      <c r="B12" s="1208"/>
      <c r="C12" s="1168"/>
      <c r="D12" s="1226"/>
      <c r="E12" s="1227">
        <f>F12-G12</f>
        <v>488.10026850505562</v>
      </c>
      <c r="F12" s="1168">
        <f>AB12/$Z$64</f>
        <v>1472.9515260203691</v>
      </c>
      <c r="G12" s="1226">
        <f>AC12/$Z$64</f>
        <v>984.85125751531348</v>
      </c>
      <c r="H12" s="1227"/>
      <c r="I12" s="1168">
        <f t="shared" si="0"/>
        <v>21.848614609292426</v>
      </c>
      <c r="J12" s="1226"/>
      <c r="K12" s="1227">
        <f>L12-M12</f>
        <v>-3014.9979094092105</v>
      </c>
      <c r="L12" s="1168">
        <f>AH12/$Z$64</f>
        <v>5444.9631179858461</v>
      </c>
      <c r="M12" s="1226">
        <f>AI12/$Z$64</f>
        <v>8459.9610273950566</v>
      </c>
      <c r="N12" s="1227">
        <f>O12-P12</f>
        <v>7659.3257539712904</v>
      </c>
      <c r="O12" s="1168">
        <f>AK12/$Z$64</f>
        <v>11704.09212351898</v>
      </c>
      <c r="P12" s="1229">
        <f>AL12/$Z$64</f>
        <v>4044.7663695476895</v>
      </c>
      <c r="Q12" s="954"/>
      <c r="R12" s="954"/>
      <c r="S12" s="954"/>
      <c r="T12" s="954"/>
      <c r="U12" s="954"/>
      <c r="V12" s="954"/>
      <c r="W12" s="1148" t="s">
        <v>233</v>
      </c>
      <c r="X12" s="1198"/>
      <c r="Y12" s="1168"/>
      <c r="Z12" s="1168">
        <v>0</v>
      </c>
      <c r="AA12" s="1198">
        <f>AC12-AB12</f>
        <v>-440.09999999999991</v>
      </c>
      <c r="AB12" s="1168">
        <v>1328.1</v>
      </c>
      <c r="AC12" s="13">
        <v>888</v>
      </c>
      <c r="AD12" s="1200"/>
      <c r="AE12" s="1168">
        <v>19.7</v>
      </c>
      <c r="AF12" s="13"/>
      <c r="AG12" s="1198">
        <f>AI12-AH12</f>
        <v>2718.5</v>
      </c>
      <c r="AH12" s="1168">
        <v>4909.5</v>
      </c>
      <c r="AI12" s="1168">
        <v>7628</v>
      </c>
      <c r="AJ12" s="1198">
        <f>AL12-AK12</f>
        <v>-6906.1</v>
      </c>
      <c r="AK12" s="1168">
        <v>10553.1</v>
      </c>
      <c r="AL12" s="1211">
        <v>3647</v>
      </c>
      <c r="AM12" s="954"/>
      <c r="AN12" s="954"/>
      <c r="AO12" s="954"/>
    </row>
    <row r="13" spans="1:41" ht="14.25" customHeight="1" x14ac:dyDescent="0.2">
      <c r="A13" s="955" t="s">
        <v>234</v>
      </c>
      <c r="B13" s="1208">
        <f>C13-D13</f>
        <v>-1130.5826260260253</v>
      </c>
      <c r="C13" s="1168">
        <f>Y13/$Z$64</f>
        <v>1195.1303097956099</v>
      </c>
      <c r="D13" s="1226">
        <f>Z13/$Z$64</f>
        <v>2325.7129358216353</v>
      </c>
      <c r="E13" s="1227"/>
      <c r="F13" s="1168"/>
      <c r="G13" s="1226"/>
      <c r="H13" s="1227"/>
      <c r="I13" s="1168">
        <f t="shared" si="0"/>
        <v>0</v>
      </c>
      <c r="J13" s="1226"/>
      <c r="K13" s="1227">
        <f>L13-M13</f>
        <v>-53.235203108935863</v>
      </c>
      <c r="L13" s="1168">
        <f>AH13/$Z$64</f>
        <v>74.307471006222968</v>
      </c>
      <c r="M13" s="1226">
        <f>AI13/$Z$64</f>
        <v>127.54267411515883</v>
      </c>
      <c r="N13" s="1227">
        <f>O13-P13</f>
        <v>498.6364024536997</v>
      </c>
      <c r="O13" s="1168">
        <f>AK13/$Z$64</f>
        <v>6740.4639669764292</v>
      </c>
      <c r="P13" s="1154">
        <f>AL13/$Z$64</f>
        <v>6241.8275645227295</v>
      </c>
      <c r="Q13" s="954"/>
      <c r="R13" s="954"/>
      <c r="S13" s="954"/>
      <c r="T13" s="954"/>
      <c r="U13" s="954"/>
      <c r="V13" s="954"/>
      <c r="W13" s="1148" t="s">
        <v>234</v>
      </c>
      <c r="X13" s="1198">
        <f>Z13-Y13</f>
        <v>1019.4000000000001</v>
      </c>
      <c r="Y13" s="1168">
        <v>1077.5999999999999</v>
      </c>
      <c r="Z13" s="1168">
        <v>2097</v>
      </c>
      <c r="AA13" s="1200"/>
      <c r="AB13" s="1168"/>
      <c r="AC13" s="13"/>
      <c r="AD13" s="1200"/>
      <c r="AE13" s="1168">
        <v>0</v>
      </c>
      <c r="AF13" s="13"/>
      <c r="AG13" s="1198">
        <f>AI13-AH13</f>
        <v>48</v>
      </c>
      <c r="AH13" s="1168">
        <v>67</v>
      </c>
      <c r="AI13" s="1168">
        <v>115</v>
      </c>
      <c r="AJ13" s="1198">
        <f>AL13-AK13</f>
        <v>-449.60000000000036</v>
      </c>
      <c r="AK13" s="1168">
        <v>6077.6</v>
      </c>
      <c r="AL13" s="1186">
        <v>5628</v>
      </c>
      <c r="AM13" s="954"/>
      <c r="AN13" s="954"/>
      <c r="AO13" s="954"/>
    </row>
    <row r="14" spans="1:41" ht="14.25" customHeight="1" x14ac:dyDescent="0.2">
      <c r="A14" s="955" t="s">
        <v>235</v>
      </c>
      <c r="B14" s="1208"/>
      <c r="C14" s="1168">
        <f t="shared" ref="C14:C21" si="1">Y14/$Z$64</f>
        <v>22153.497053764229</v>
      </c>
      <c r="D14" s="1226"/>
      <c r="E14" s="1227"/>
      <c r="F14" s="1168">
        <f t="shared" ref="F14:F21" si="2">AB14/$Z$64</f>
        <v>3287.1628853036459</v>
      </c>
      <c r="G14" s="1226"/>
      <c r="H14" s="1227"/>
      <c r="I14" s="1168">
        <f t="shared" si="0"/>
        <v>12.976080757803116</v>
      </c>
      <c r="J14" s="1226"/>
      <c r="K14" s="1227"/>
      <c r="L14" s="1168"/>
      <c r="M14" s="1226"/>
      <c r="N14" s="1227">
        <f>O14-P14</f>
        <v>-41.922722448286777</v>
      </c>
      <c r="O14" s="1168">
        <f>AK14/$Z$64</f>
        <v>1715.9480468780328</v>
      </c>
      <c r="P14" s="1229">
        <f>AL14/$Z$64</f>
        <v>1757.8707693263195</v>
      </c>
      <c r="Q14" s="954"/>
      <c r="R14" s="954"/>
      <c r="S14" s="954"/>
      <c r="T14" s="954"/>
      <c r="U14" s="954"/>
      <c r="V14" s="954"/>
      <c r="W14" s="1148" t="s">
        <v>235</v>
      </c>
      <c r="X14" s="1198"/>
      <c r="Y14" s="1168">
        <v>19974.900000000001</v>
      </c>
      <c r="Z14" s="13"/>
      <c r="AA14" s="1198"/>
      <c r="AB14" s="1168">
        <v>2963.9</v>
      </c>
      <c r="AC14" s="13"/>
      <c r="AD14" s="1200"/>
      <c r="AE14" s="1168">
        <v>11.7</v>
      </c>
      <c r="AF14" s="13"/>
      <c r="AG14" s="1200"/>
      <c r="AH14" s="1168"/>
      <c r="AI14" s="1168">
        <v>0</v>
      </c>
      <c r="AJ14" s="1198">
        <f>AL14-AK14</f>
        <v>37.799999999999955</v>
      </c>
      <c r="AK14" s="1168">
        <v>1547.2</v>
      </c>
      <c r="AL14" s="1211">
        <v>1585</v>
      </c>
      <c r="AM14" s="954"/>
      <c r="AN14" s="954"/>
      <c r="AO14" s="954"/>
    </row>
    <row r="15" spans="1:41" ht="14.25" customHeight="1" x14ac:dyDescent="0.2">
      <c r="A15" s="955" t="s">
        <v>236</v>
      </c>
      <c r="B15" s="1208"/>
      <c r="C15" s="1168">
        <f t="shared" si="1"/>
        <v>22469.248352204104</v>
      </c>
      <c r="D15" s="1226"/>
      <c r="E15" s="1227"/>
      <c r="F15" s="1168">
        <f t="shared" si="2"/>
        <v>7202.9447939853098</v>
      </c>
      <c r="G15" s="1226"/>
      <c r="H15" s="1227"/>
      <c r="I15" s="1168">
        <f t="shared" si="0"/>
        <v>79.852804663403788</v>
      </c>
      <c r="J15" s="1226"/>
      <c r="K15" s="1227"/>
      <c r="L15" s="1168">
        <f t="shared" ref="L15:L21" si="3">AH15/$Z$64</f>
        <v>2002.1981702617065</v>
      </c>
      <c r="M15" s="1226"/>
      <c r="N15" s="1228"/>
      <c r="O15" s="1168"/>
      <c r="P15" s="1229"/>
      <c r="Q15" s="954"/>
      <c r="R15" s="954"/>
      <c r="S15" s="954"/>
      <c r="T15" s="954"/>
      <c r="U15" s="954"/>
      <c r="V15" s="954"/>
      <c r="W15" s="1148" t="s">
        <v>236</v>
      </c>
      <c r="X15" s="1198"/>
      <c r="Y15" s="1168">
        <v>20259.599999999999</v>
      </c>
      <c r="Z15" s="13"/>
      <c r="AA15" s="1198"/>
      <c r="AB15" s="1168">
        <v>6494.6</v>
      </c>
      <c r="AC15" s="13"/>
      <c r="AD15" s="1200"/>
      <c r="AE15" s="1168">
        <v>72</v>
      </c>
      <c r="AF15" s="13"/>
      <c r="AG15" s="1200"/>
      <c r="AH15" s="1168">
        <v>1805.3</v>
      </c>
      <c r="AI15" s="13"/>
      <c r="AJ15" s="1200"/>
      <c r="AK15" s="1168"/>
      <c r="AL15" s="1211"/>
      <c r="AM15" s="954"/>
      <c r="AN15" s="954"/>
      <c r="AO15" s="954"/>
    </row>
    <row r="16" spans="1:41" ht="14.25" customHeight="1" x14ac:dyDescent="0.2">
      <c r="A16" s="955" t="s">
        <v>237</v>
      </c>
      <c r="B16" s="1208">
        <f t="shared" ref="B16:B21" si="4">C16-D16</f>
        <v>-11865.572239616085</v>
      </c>
      <c r="C16" s="1168">
        <f t="shared" si="1"/>
        <v>75334.799519552296</v>
      </c>
      <c r="D16" s="1230">
        <f>Z16/$Z$64</f>
        <v>87200.371759168382</v>
      </c>
      <c r="E16" s="1227">
        <f>F16-G16</f>
        <v>-5754.5036427296809</v>
      </c>
      <c r="F16" s="1168">
        <f t="shared" si="2"/>
        <v>7650.7859401392316</v>
      </c>
      <c r="G16" s="1230">
        <f>AC16/$Z$64</f>
        <v>13405.289582868912</v>
      </c>
      <c r="H16" s="1227">
        <f>I16-J16</f>
        <v>-216.48982597633915</v>
      </c>
      <c r="I16" s="1168">
        <f t="shared" si="0"/>
        <v>106.24859287158449</v>
      </c>
      <c r="J16" s="1230">
        <f>AF16/$Z$64</f>
        <v>322.73841884792364</v>
      </c>
      <c r="K16" s="1227">
        <f>L16-M16</f>
        <v>-5695.1685725978441</v>
      </c>
      <c r="L16" s="1168">
        <f t="shared" si="3"/>
        <v>6703.0884181270303</v>
      </c>
      <c r="M16" s="1230">
        <f>AI16/$Z$64</f>
        <v>12398.256990724874</v>
      </c>
      <c r="N16" s="1227">
        <f t="shared" ref="N16:N21" si="5">O16-P16</f>
        <v>4276.6722230909872</v>
      </c>
      <c r="O16" s="1168">
        <f>AK16/$Z$64</f>
        <v>55563.245084893511</v>
      </c>
      <c r="P16" s="1154">
        <f>AL16/$Z$64</f>
        <v>51286.572861802524</v>
      </c>
      <c r="Q16" s="954"/>
      <c r="R16" s="954"/>
      <c r="S16" s="954"/>
      <c r="T16" s="954"/>
      <c r="U16" s="954"/>
      <c r="V16" s="954"/>
      <c r="W16" s="1148" t="s">
        <v>237</v>
      </c>
      <c r="X16" s="1198">
        <f>Z16-Y16</f>
        <v>10698.699999999997</v>
      </c>
      <c r="Y16" s="1168">
        <v>67926.3</v>
      </c>
      <c r="Z16" s="1153">
        <v>78625</v>
      </c>
      <c r="AA16" s="1198">
        <f>AC16-AB16</f>
        <v>5188.6000000000004</v>
      </c>
      <c r="AB16" s="1168">
        <v>6898.4</v>
      </c>
      <c r="AC16" s="1153">
        <v>12087</v>
      </c>
      <c r="AD16" s="1198">
        <f>AF16-AE16</f>
        <v>195.2</v>
      </c>
      <c r="AE16" s="1168">
        <v>95.8</v>
      </c>
      <c r="AF16" s="1153">
        <v>291</v>
      </c>
      <c r="AG16" s="1198">
        <f>AI16-AH16</f>
        <v>5135.1000000000004</v>
      </c>
      <c r="AH16" s="1168">
        <v>6043.9</v>
      </c>
      <c r="AI16" s="1153">
        <v>11179</v>
      </c>
      <c r="AJ16" s="1198">
        <f>AL16-AK16</f>
        <v>-3856.0999999999985</v>
      </c>
      <c r="AK16" s="1168">
        <v>50099.1</v>
      </c>
      <c r="AL16" s="1186">
        <v>46243</v>
      </c>
      <c r="AM16" s="954"/>
      <c r="AN16" s="954"/>
      <c r="AO16" s="954"/>
    </row>
    <row r="17" spans="1:40" ht="14.25" customHeight="1" x14ac:dyDescent="0.2">
      <c r="A17" s="955" t="s">
        <v>238</v>
      </c>
      <c r="B17" s="1208">
        <f t="shared" si="4"/>
        <v>-12234.115114472319</v>
      </c>
      <c r="C17" s="1153">
        <f t="shared" si="1"/>
        <v>39117.892684484934</v>
      </c>
      <c r="D17" s="1230">
        <f>Z17/$Z$64</f>
        <v>51352.007798957253</v>
      </c>
      <c r="E17" s="1227">
        <f>F17-G17</f>
        <v>-16856.59434442511</v>
      </c>
      <c r="F17" s="1153">
        <f t="shared" si="2"/>
        <v>3261.8761638269011</v>
      </c>
      <c r="G17" s="1230">
        <f>AC17/$Z$64</f>
        <v>20118.470508252012</v>
      </c>
      <c r="H17" s="1227">
        <f>I17-J17</f>
        <v>-156.15659578621182</v>
      </c>
      <c r="I17" s="1153">
        <f t="shared" si="0"/>
        <v>558.08237925867763</v>
      </c>
      <c r="J17" s="1230">
        <f>AF17/$Z$64</f>
        <v>714.23897504488946</v>
      </c>
      <c r="K17" s="1227">
        <f>L17-M17</f>
        <v>-8768.9470187731731</v>
      </c>
      <c r="L17" s="1153">
        <f t="shared" si="3"/>
        <v>5915.0965054416356</v>
      </c>
      <c r="M17" s="1230">
        <f>AI17/$Z$64</f>
        <v>14684.043524214809</v>
      </c>
      <c r="N17" s="1227">
        <f t="shared" si="5"/>
        <v>13887.622704370493</v>
      </c>
      <c r="O17" s="1153">
        <f>AK17/$Z$64</f>
        <v>77573.561623629328</v>
      </c>
      <c r="P17" s="1154">
        <f>AL17/$Z$64</f>
        <v>63685.938919258835</v>
      </c>
      <c r="Q17" s="954"/>
      <c r="R17" s="954"/>
      <c r="S17" s="954"/>
      <c r="T17" s="954"/>
      <c r="U17" s="954"/>
      <c r="V17" s="954"/>
      <c r="W17" s="1148" t="s">
        <v>238</v>
      </c>
      <c r="X17" s="1198">
        <f>Z17-Y17</f>
        <v>11031</v>
      </c>
      <c r="Y17" s="1153">
        <v>35271</v>
      </c>
      <c r="Z17" s="1153">
        <v>46302</v>
      </c>
      <c r="AA17" s="1198">
        <f>AC17-AB17</f>
        <v>15198.9</v>
      </c>
      <c r="AB17" s="1153">
        <v>2941.1</v>
      </c>
      <c r="AC17" s="1153">
        <v>18140</v>
      </c>
      <c r="AD17" s="1198">
        <f>AF17-AE17</f>
        <v>140.80000000000001</v>
      </c>
      <c r="AE17" s="1153">
        <v>503.2</v>
      </c>
      <c r="AF17" s="1153">
        <v>644</v>
      </c>
      <c r="AG17" s="1198">
        <f>AI17-AH17</f>
        <v>7906.6</v>
      </c>
      <c r="AH17" s="1153">
        <v>5333.4</v>
      </c>
      <c r="AI17" s="1153">
        <v>13240</v>
      </c>
      <c r="AJ17" s="1198">
        <f>AL17-AK17</f>
        <v>-12521.899999999994</v>
      </c>
      <c r="AK17" s="1153">
        <v>69944.899999999994</v>
      </c>
      <c r="AL17" s="1186">
        <v>57423</v>
      </c>
      <c r="AM17" s="954"/>
      <c r="AN17" s="954"/>
    </row>
    <row r="18" spans="1:40" ht="14.25" customHeight="1" x14ac:dyDescent="0.2">
      <c r="A18" s="955" t="s">
        <v>239</v>
      </c>
      <c r="B18" s="1208">
        <f t="shared" si="4"/>
        <v>586.14176756401321</v>
      </c>
      <c r="C18" s="1153">
        <f t="shared" si="1"/>
        <v>10306.002601870552</v>
      </c>
      <c r="D18" s="1230">
        <f>Z18/$Z$64</f>
        <v>9719.8608343065389</v>
      </c>
      <c r="E18" s="1227">
        <f>F18-G18</f>
        <v>2325.9347491679227</v>
      </c>
      <c r="F18" s="1153">
        <f t="shared" si="2"/>
        <v>3162.1710646707902</v>
      </c>
      <c r="G18" s="1230">
        <f>AC18/$Z$64</f>
        <v>836.23631550286746</v>
      </c>
      <c r="H18" s="1227"/>
      <c r="I18" s="1153"/>
      <c r="J18" s="1230">
        <f>AF18/$Z$64</f>
        <v>128.651740846595</v>
      </c>
      <c r="K18" s="1227">
        <f>L18-M18</f>
        <v>-727.54777582212341</v>
      </c>
      <c r="L18" s="1153">
        <f t="shared" si="3"/>
        <v>408.13655716850826</v>
      </c>
      <c r="M18" s="1230">
        <f>AI18/$Z$64</f>
        <v>1135.6843329906317</v>
      </c>
      <c r="N18" s="1227">
        <f t="shared" si="5"/>
        <v>15654.476914221452</v>
      </c>
      <c r="O18" s="1153">
        <f>AK18/$Z$64</f>
        <v>15654.476914221452</v>
      </c>
      <c r="P18" s="1154"/>
      <c r="Q18" s="954"/>
      <c r="R18" s="954"/>
      <c r="S18" s="954"/>
      <c r="T18" s="954"/>
      <c r="U18" s="954"/>
      <c r="V18" s="954"/>
      <c r="W18" s="1148" t="s">
        <v>239</v>
      </c>
      <c r="X18" s="1198">
        <f>Z18-Y18</f>
        <v>-528.5</v>
      </c>
      <c r="Y18" s="1153">
        <v>9292.5</v>
      </c>
      <c r="Z18" s="1153">
        <v>8764</v>
      </c>
      <c r="AA18" s="1198">
        <f>AC18-AB18</f>
        <v>-2097.1999999999998</v>
      </c>
      <c r="AB18" s="1153">
        <v>2851.2</v>
      </c>
      <c r="AC18" s="1153">
        <v>754</v>
      </c>
      <c r="AD18" s="1198"/>
      <c r="AE18" s="1153"/>
      <c r="AF18" s="1153">
        <v>116</v>
      </c>
      <c r="AG18" s="1198">
        <f>AI18-AH18</f>
        <v>656</v>
      </c>
      <c r="AH18" s="1153">
        <v>368</v>
      </c>
      <c r="AI18" s="1153">
        <v>1024</v>
      </c>
      <c r="AJ18" s="1198"/>
      <c r="AK18" s="1153">
        <v>14115</v>
      </c>
      <c r="AL18" s="1186" t="s">
        <v>5331</v>
      </c>
      <c r="AM18" s="954"/>
      <c r="AN18" s="954"/>
    </row>
    <row r="19" spans="1:40" ht="14.25" customHeight="1" x14ac:dyDescent="0.2">
      <c r="A19" s="955" t="s">
        <v>240</v>
      </c>
      <c r="B19" s="1208">
        <f t="shared" si="4"/>
        <v>7174.1090589679698</v>
      </c>
      <c r="C19" s="1153">
        <f t="shared" si="1"/>
        <v>15294.695666543561</v>
      </c>
      <c r="D19" s="1230">
        <f>Z19/$Z$64</f>
        <v>8120.5866075755912</v>
      </c>
      <c r="E19" s="1227">
        <f>F19-G19</f>
        <v>20546.902986605804</v>
      </c>
      <c r="F19" s="1153">
        <f t="shared" si="2"/>
        <v>30710.390513486807</v>
      </c>
      <c r="G19" s="1230">
        <f>AC19/$Z$64</f>
        <v>10163.487526881005</v>
      </c>
      <c r="H19" s="1227">
        <f>I19-J19</f>
        <v>235.56577375704114</v>
      </c>
      <c r="I19" s="1153">
        <f>AE19/$Z$64</f>
        <v>499.52365583884813</v>
      </c>
      <c r="J19" s="1230">
        <f>AF19/$Z$64</f>
        <v>263.95788208180699</v>
      </c>
      <c r="K19" s="1227">
        <f>L19-M19</f>
        <v>9116.1958123858367</v>
      </c>
      <c r="L19" s="1153">
        <f t="shared" si="3"/>
        <v>13645.624343571129</v>
      </c>
      <c r="M19" s="1230">
        <f>AI19/$Z$64</f>
        <v>4529.4285311852927</v>
      </c>
      <c r="N19" s="1227">
        <f t="shared" si="5"/>
        <v>44492.984598390307</v>
      </c>
      <c r="O19" s="1153">
        <f>AK19/$Z$64</f>
        <v>59767.051623729152</v>
      </c>
      <c r="P19" s="1154">
        <f>AL19/$Z$64</f>
        <v>15274.067025338847</v>
      </c>
      <c r="Q19" s="954"/>
      <c r="R19" s="954"/>
      <c r="S19" s="954"/>
      <c r="T19" s="954"/>
      <c r="U19" s="954"/>
      <c r="V19" s="954"/>
      <c r="W19" s="1148" t="s">
        <v>240</v>
      </c>
      <c r="X19" s="1198">
        <f>Z19-Y19</f>
        <v>-6468.6</v>
      </c>
      <c r="Y19" s="1153">
        <v>13790.6</v>
      </c>
      <c r="Z19" s="1153">
        <v>7322</v>
      </c>
      <c r="AA19" s="1198">
        <f>AC19-AB19</f>
        <v>-18526.3</v>
      </c>
      <c r="AB19" s="1153">
        <v>27690.3</v>
      </c>
      <c r="AC19" s="1153">
        <v>9164</v>
      </c>
      <c r="AD19" s="1198">
        <f>AF19-AE19</f>
        <v>-212.39999999999998</v>
      </c>
      <c r="AE19" s="1153">
        <v>450.4</v>
      </c>
      <c r="AF19" s="1153">
        <v>238</v>
      </c>
      <c r="AG19" s="1198">
        <f>AI19-AH19</f>
        <v>-8219.7000000000007</v>
      </c>
      <c r="AH19" s="1153">
        <v>12303.7</v>
      </c>
      <c r="AI19" s="1153">
        <v>4084</v>
      </c>
      <c r="AJ19" s="1198">
        <f>AL19-AK19</f>
        <v>-40117.5</v>
      </c>
      <c r="AK19" s="1153">
        <v>53889.5</v>
      </c>
      <c r="AL19" s="1186">
        <v>13772</v>
      </c>
      <c r="AM19" s="954"/>
      <c r="AN19" s="954"/>
    </row>
    <row r="20" spans="1:40" ht="14.25" customHeight="1" x14ac:dyDescent="0.2">
      <c r="A20" s="1231" t="s">
        <v>241</v>
      </c>
      <c r="B20" s="1208"/>
      <c r="C20" s="1153">
        <f t="shared" si="1"/>
        <v>8954.2720695961689</v>
      </c>
      <c r="D20" s="1230"/>
      <c r="E20" s="1227"/>
      <c r="F20" s="1153">
        <f t="shared" si="2"/>
        <v>8826.1748621152838</v>
      </c>
      <c r="G20" s="1230"/>
      <c r="H20" s="1227"/>
      <c r="I20" s="1153">
        <f>AE20/$Z$64</f>
        <v>1007.9198455291856</v>
      </c>
      <c r="J20" s="1230"/>
      <c r="K20" s="1227"/>
      <c r="L20" s="1153">
        <f t="shared" si="3"/>
        <v>8963.3664167939296</v>
      </c>
      <c r="M20" s="1230"/>
      <c r="N20" s="1227">
        <f t="shared" si="5"/>
        <v>20992.858719316275</v>
      </c>
      <c r="O20" s="1153">
        <f>AK20/$Z$64</f>
        <v>20992.858719316275</v>
      </c>
      <c r="P20" s="1154"/>
      <c r="Q20" s="954"/>
      <c r="R20" s="954"/>
      <c r="S20" s="954"/>
      <c r="T20" s="954"/>
      <c r="U20" s="954"/>
      <c r="V20" s="954"/>
      <c r="W20" s="1074" t="s">
        <v>241</v>
      </c>
      <c r="X20" s="1198"/>
      <c r="Y20" s="1153">
        <f>Y11-SUM(Y12:Y19)</f>
        <v>8073.7000000000116</v>
      </c>
      <c r="Z20" s="1153"/>
      <c r="AA20" s="1198"/>
      <c r="AB20" s="1153">
        <f>AB11-SUM(AB12:AB19)</f>
        <v>7958.2000000000044</v>
      </c>
      <c r="AC20" s="1153"/>
      <c r="AD20" s="1198"/>
      <c r="AE20" s="1153">
        <f>AE11-SUM(AE12:AE19)</f>
        <v>908.8</v>
      </c>
      <c r="AF20" s="1153"/>
      <c r="AG20" s="1198"/>
      <c r="AH20" s="1153">
        <f>AH11-SUM(AH12:AH19)</f>
        <v>8081.8999999999978</v>
      </c>
      <c r="AI20" s="1153"/>
      <c r="AJ20" s="1198"/>
      <c r="AK20" s="1153">
        <f>AK11-SUM(AK12:AK19)</f>
        <v>18928.399999999994</v>
      </c>
      <c r="AL20" s="1186"/>
      <c r="AM20" s="954"/>
      <c r="AN20" s="954"/>
    </row>
    <row r="21" spans="1:40" ht="14.25" customHeight="1" thickBot="1" x14ac:dyDescent="0.25">
      <c r="A21" s="1654" t="s">
        <v>242</v>
      </c>
      <c r="B21" s="1781">
        <f t="shared" si="4"/>
        <v>-20337.209594758097</v>
      </c>
      <c r="C21" s="1782">
        <f t="shared" si="1"/>
        <v>96436.790405241903</v>
      </c>
      <c r="D21" s="1783">
        <v>116774</v>
      </c>
      <c r="E21" s="1784">
        <f>F21-G21</f>
        <v>-125820.62489921355</v>
      </c>
      <c r="F21" s="1782">
        <f t="shared" si="2"/>
        <v>242593.37510078645</v>
      </c>
      <c r="G21" s="1783">
        <v>368414</v>
      </c>
      <c r="H21" s="1784"/>
      <c r="I21" s="1782">
        <f>AE21/$Z$64</f>
        <v>338.26535308802994</v>
      </c>
      <c r="J21" s="1783"/>
      <c r="K21" s="1784">
        <f>L21-M21</f>
        <v>-36531.38136701347</v>
      </c>
      <c r="L21" s="1782">
        <f t="shared" si="3"/>
        <v>32756.618632986527</v>
      </c>
      <c r="M21" s="1783">
        <v>69288</v>
      </c>
      <c r="N21" s="1784">
        <f t="shared" si="5"/>
        <v>-53179.384748557932</v>
      </c>
      <c r="O21" s="1782">
        <f>AK21/$Z$64</f>
        <v>199967.61525144207</v>
      </c>
      <c r="P21" s="1785">
        <v>253147</v>
      </c>
      <c r="Q21" s="954"/>
      <c r="R21" s="954"/>
      <c r="S21" s="954"/>
      <c r="T21" s="954"/>
      <c r="U21" s="954"/>
      <c r="V21" s="954"/>
      <c r="W21" s="1074" t="s">
        <v>242</v>
      </c>
      <c r="X21" s="1232">
        <f>Z21-Y21</f>
        <v>-86953.1</v>
      </c>
      <c r="Y21" s="1233">
        <v>86953.1</v>
      </c>
      <c r="Z21" s="1233"/>
      <c r="AA21" s="1232">
        <f>AC21-AB21</f>
        <v>-218736.5</v>
      </c>
      <c r="AB21" s="1233">
        <v>218736.5</v>
      </c>
      <c r="AC21" s="1233"/>
      <c r="AD21" s="1232">
        <f>AF21-AE21</f>
        <v>-305</v>
      </c>
      <c r="AE21" s="1233">
        <v>305</v>
      </c>
      <c r="AF21" s="1233"/>
      <c r="AG21" s="1232">
        <f>AI21-AH21</f>
        <v>-29535.3</v>
      </c>
      <c r="AH21" s="1233">
        <v>29535.3</v>
      </c>
      <c r="AI21" s="1233"/>
      <c r="AJ21" s="1232">
        <f>AL21-AK21</f>
        <v>-180302.6</v>
      </c>
      <c r="AK21" s="1233">
        <v>180302.6</v>
      </c>
      <c r="AL21" s="1234"/>
      <c r="AM21" s="954"/>
      <c r="AN21" s="954"/>
    </row>
    <row r="22" spans="1:40" ht="33" customHeight="1" x14ac:dyDescent="0.2">
      <c r="A22" s="1834"/>
      <c r="B22" s="2103" t="s">
        <v>243</v>
      </c>
      <c r="C22" s="2104"/>
      <c r="D22" s="2104"/>
      <c r="E22" s="2104"/>
      <c r="F22" s="2104"/>
      <c r="G22" s="2104"/>
      <c r="H22" s="2104"/>
      <c r="I22" s="2104"/>
      <c r="J22" s="2104"/>
      <c r="K22" s="2104"/>
      <c r="L22" s="2104"/>
      <c r="M22" s="2104"/>
      <c r="N22" s="2104"/>
      <c r="O22" s="2104"/>
      <c r="P22" s="2106"/>
      <c r="Q22" s="954"/>
      <c r="R22" s="954"/>
      <c r="S22" s="954"/>
      <c r="T22" s="954"/>
      <c r="U22" s="954"/>
      <c r="V22" s="954"/>
      <c r="W22" s="1220"/>
      <c r="X22" s="2024" t="s">
        <v>244</v>
      </c>
      <c r="Y22" s="2087"/>
      <c r="Z22" s="2087"/>
      <c r="AA22" s="2087"/>
      <c r="AB22" s="2087"/>
      <c r="AC22" s="2087"/>
      <c r="AD22" s="2087"/>
      <c r="AE22" s="2087"/>
      <c r="AF22" s="2087"/>
      <c r="AG22" s="2087"/>
      <c r="AH22" s="2087"/>
      <c r="AI22" s="2087"/>
      <c r="AJ22" s="2087"/>
      <c r="AK22" s="2087"/>
      <c r="AL22" s="2088"/>
      <c r="AM22" s="954"/>
      <c r="AN22" s="954"/>
    </row>
    <row r="23" spans="1:40" ht="14.25" customHeight="1" x14ac:dyDescent="0.2">
      <c r="A23" s="955" t="s">
        <v>231</v>
      </c>
      <c r="B23" s="1221"/>
      <c r="C23" s="1222">
        <f>Y23</f>
        <v>438978</v>
      </c>
      <c r="D23" s="1223"/>
      <c r="E23" s="1224"/>
      <c r="F23" s="1222">
        <f>AB23</f>
        <v>237932</v>
      </c>
      <c r="G23" s="1223"/>
      <c r="H23" s="1224"/>
      <c r="I23" s="1222">
        <f>AE23</f>
        <v>14942</v>
      </c>
      <c r="J23" s="1223"/>
      <c r="K23" s="1224"/>
      <c r="L23" s="1222">
        <f>AH23</f>
        <v>99913</v>
      </c>
      <c r="M23" s="1223"/>
      <c r="N23" s="257"/>
      <c r="O23" s="1222">
        <f>AK23</f>
        <v>916055</v>
      </c>
      <c r="P23" s="1225"/>
      <c r="Q23" s="954"/>
      <c r="R23" s="954"/>
      <c r="S23" s="954"/>
      <c r="T23" s="954"/>
      <c r="U23" s="954"/>
      <c r="V23" s="954"/>
      <c r="W23" s="1148" t="s">
        <v>231</v>
      </c>
      <c r="X23" s="1198"/>
      <c r="Y23" s="1168">
        <v>438978</v>
      </c>
      <c r="Z23" s="13"/>
      <c r="AA23" s="1200"/>
      <c r="AB23" s="1168">
        <v>237932</v>
      </c>
      <c r="AC23" s="13"/>
      <c r="AD23" s="1200"/>
      <c r="AE23" s="1168">
        <v>14942</v>
      </c>
      <c r="AF23" s="13"/>
      <c r="AG23" s="1200"/>
      <c r="AH23" s="1168">
        <v>99913</v>
      </c>
      <c r="AI23" s="13"/>
      <c r="AJ23" s="1200"/>
      <c r="AK23" s="1168">
        <v>916055</v>
      </c>
      <c r="AL23" s="1186"/>
      <c r="AM23" s="954"/>
      <c r="AN23" s="954"/>
    </row>
    <row r="24" spans="1:40" ht="14.25" customHeight="1" x14ac:dyDescent="0.2">
      <c r="A24" s="955" t="s">
        <v>232</v>
      </c>
      <c r="B24" s="1208"/>
      <c r="C24" s="1168">
        <f t="shared" ref="C24:D34" si="6">Y24</f>
        <v>290935</v>
      </c>
      <c r="D24" s="1226"/>
      <c r="E24" s="1227"/>
      <c r="F24" s="1168">
        <f t="shared" ref="F24:F34" si="7">AB24</f>
        <v>133063</v>
      </c>
      <c r="G24" s="1226"/>
      <c r="H24" s="1227"/>
      <c r="I24" s="1168">
        <f t="shared" ref="I24:I34" si="8">AE24</f>
        <v>9320</v>
      </c>
      <c r="J24" s="1226"/>
      <c r="K24" s="1227"/>
      <c r="L24" s="1168">
        <f t="shared" ref="L24:L34" si="9">AH24</f>
        <v>68957</v>
      </c>
      <c r="M24" s="1226"/>
      <c r="N24" s="1228"/>
      <c r="O24" s="1168">
        <f t="shared" ref="O24:O34" si="10">AK24</f>
        <v>540731</v>
      </c>
      <c r="P24" s="1154"/>
      <c r="Q24" s="954"/>
      <c r="R24" s="954"/>
      <c r="S24" s="954"/>
      <c r="T24" s="954"/>
      <c r="U24" s="954"/>
      <c r="V24" s="954"/>
      <c r="W24" s="1148" t="s">
        <v>232</v>
      </c>
      <c r="X24" s="1198"/>
      <c r="Y24" s="1168">
        <v>290935</v>
      </c>
      <c r="Z24" s="13"/>
      <c r="AA24" s="1200"/>
      <c r="AB24" s="1168">
        <v>133063</v>
      </c>
      <c r="AC24" s="13"/>
      <c r="AD24" s="1200"/>
      <c r="AE24" s="1168">
        <v>9320</v>
      </c>
      <c r="AF24" s="13"/>
      <c r="AG24" s="1200"/>
      <c r="AH24" s="1168">
        <v>68957</v>
      </c>
      <c r="AI24" s="13"/>
      <c r="AJ24" s="1200"/>
      <c r="AK24" s="1168">
        <v>540731</v>
      </c>
      <c r="AL24" s="1186"/>
      <c r="AM24" s="954"/>
      <c r="AN24" s="954"/>
    </row>
    <row r="25" spans="1:40" ht="14.25" customHeight="1" x14ac:dyDescent="0.2">
      <c r="A25" s="955" t="s">
        <v>233</v>
      </c>
      <c r="B25" s="1208"/>
      <c r="C25" s="1168"/>
      <c r="D25" s="1226"/>
      <c r="E25" s="1227">
        <f>F25-G25</f>
        <v>-432</v>
      </c>
      <c r="F25" s="1168">
        <f t="shared" si="7"/>
        <v>1014</v>
      </c>
      <c r="G25" s="1226">
        <f t="shared" ref="G25:G32" si="11">AC25</f>
        <v>1446</v>
      </c>
      <c r="H25" s="1227"/>
      <c r="I25" s="1168">
        <f t="shared" si="8"/>
        <v>696</v>
      </c>
      <c r="J25" s="1226"/>
      <c r="K25" s="1227"/>
      <c r="L25" s="1168">
        <f t="shared" si="9"/>
        <v>16221</v>
      </c>
      <c r="M25" s="1226"/>
      <c r="N25" s="1227"/>
      <c r="O25" s="1168">
        <f t="shared" si="10"/>
        <v>30787</v>
      </c>
      <c r="P25" s="1229">
        <f t="shared" ref="P25:P32" si="12">AL25</f>
        <v>6875</v>
      </c>
      <c r="Q25" s="954"/>
      <c r="R25" s="954"/>
      <c r="S25" s="954"/>
      <c r="T25" s="954"/>
      <c r="U25" s="954"/>
      <c r="V25" s="954"/>
      <c r="W25" s="1148" t="s">
        <v>233</v>
      </c>
      <c r="X25" s="1198"/>
      <c r="Y25" s="1168"/>
      <c r="Z25" s="1168">
        <v>0</v>
      </c>
      <c r="AA25" s="1198">
        <f>AC25-AB25</f>
        <v>432</v>
      </c>
      <c r="AB25" s="1168">
        <v>1014</v>
      </c>
      <c r="AC25" s="13">
        <v>1446</v>
      </c>
      <c r="AD25" s="1200"/>
      <c r="AE25" s="1168">
        <v>696</v>
      </c>
      <c r="AF25" s="13"/>
      <c r="AG25" s="1198"/>
      <c r="AH25" s="1168">
        <v>16221</v>
      </c>
      <c r="AI25" s="1168"/>
      <c r="AJ25" s="1198">
        <f>AL25-AK25</f>
        <v>-23912</v>
      </c>
      <c r="AK25" s="1168">
        <v>30787</v>
      </c>
      <c r="AL25" s="1211">
        <v>6875</v>
      </c>
      <c r="AM25" s="954"/>
      <c r="AN25" s="954"/>
    </row>
    <row r="26" spans="1:40" ht="14.25" customHeight="1" x14ac:dyDescent="0.2">
      <c r="A26" s="955" t="s">
        <v>234</v>
      </c>
      <c r="B26" s="1208">
        <f>C26-D26</f>
        <v>-3567</v>
      </c>
      <c r="C26" s="1168">
        <f t="shared" si="6"/>
        <v>3499</v>
      </c>
      <c r="D26" s="1226">
        <f t="shared" si="6"/>
        <v>7066</v>
      </c>
      <c r="E26" s="1227"/>
      <c r="F26" s="1168"/>
      <c r="G26" s="1226"/>
      <c r="H26" s="1227"/>
      <c r="I26" s="1168">
        <f t="shared" si="8"/>
        <v>0</v>
      </c>
      <c r="J26" s="1226"/>
      <c r="K26" s="1227">
        <f>L26-M26</f>
        <v>25</v>
      </c>
      <c r="L26" s="1168">
        <f t="shared" si="9"/>
        <v>184</v>
      </c>
      <c r="M26" s="1226">
        <f t="shared" ref="M26:M32" si="13">AI26</f>
        <v>159</v>
      </c>
      <c r="N26" s="1227">
        <f>O26-P26</f>
        <v>2270</v>
      </c>
      <c r="O26" s="1168">
        <f t="shared" si="10"/>
        <v>18412</v>
      </c>
      <c r="P26" s="1154">
        <f t="shared" si="12"/>
        <v>16142</v>
      </c>
      <c r="Q26" s="954"/>
      <c r="R26" s="954"/>
      <c r="S26" s="954"/>
      <c r="T26" s="954"/>
      <c r="U26" s="954"/>
      <c r="V26" s="954"/>
      <c r="W26" s="1148" t="s">
        <v>234</v>
      </c>
      <c r="X26" s="1198">
        <f>Z26-Y26</f>
        <v>3567</v>
      </c>
      <c r="Y26" s="1168">
        <v>3499</v>
      </c>
      <c r="Z26" s="1168">
        <v>7066</v>
      </c>
      <c r="AA26" s="1200"/>
      <c r="AB26" s="1168"/>
      <c r="AC26" s="13"/>
      <c r="AD26" s="1200"/>
      <c r="AE26" s="1168">
        <v>0</v>
      </c>
      <c r="AF26" s="13"/>
      <c r="AG26" s="1198">
        <f>AI26-AH26</f>
        <v>-25</v>
      </c>
      <c r="AH26" s="1168">
        <v>184</v>
      </c>
      <c r="AI26" s="1168">
        <v>159</v>
      </c>
      <c r="AJ26" s="1198">
        <f>AL26-AK26</f>
        <v>-2270</v>
      </c>
      <c r="AK26" s="1168">
        <v>18412</v>
      </c>
      <c r="AL26" s="1186">
        <v>16142</v>
      </c>
      <c r="AM26" s="954"/>
      <c r="AN26" s="954"/>
    </row>
    <row r="27" spans="1:40" ht="14.25" customHeight="1" x14ac:dyDescent="0.2">
      <c r="A27" s="955" t="s">
        <v>235</v>
      </c>
      <c r="B27" s="1208"/>
      <c r="C27" s="1168">
        <f t="shared" si="6"/>
        <v>21428</v>
      </c>
      <c r="D27" s="1226"/>
      <c r="E27" s="1227"/>
      <c r="F27" s="1168">
        <f t="shared" si="7"/>
        <v>5026</v>
      </c>
      <c r="G27" s="1226"/>
      <c r="H27" s="1227"/>
      <c r="I27" s="1168">
        <f t="shared" si="8"/>
        <v>82</v>
      </c>
      <c r="J27" s="1226"/>
      <c r="K27" s="1227"/>
      <c r="L27" s="1168"/>
      <c r="M27" s="1226"/>
      <c r="N27" s="1227"/>
      <c r="O27" s="1168">
        <f t="shared" si="10"/>
        <v>1244</v>
      </c>
      <c r="P27" s="1229">
        <f t="shared" si="12"/>
        <v>1105</v>
      </c>
      <c r="Q27" s="954"/>
      <c r="R27" s="954"/>
      <c r="S27" s="954"/>
      <c r="T27" s="954"/>
      <c r="U27" s="954"/>
      <c r="V27" s="954"/>
      <c r="W27" s="1148" t="s">
        <v>235</v>
      </c>
      <c r="X27" s="1198"/>
      <c r="Y27" s="1168">
        <v>21428</v>
      </c>
      <c r="Z27" s="13"/>
      <c r="AA27" s="1198"/>
      <c r="AB27" s="1168">
        <v>5026</v>
      </c>
      <c r="AC27" s="13"/>
      <c r="AD27" s="1200"/>
      <c r="AE27" s="1168">
        <v>82</v>
      </c>
      <c r="AF27" s="13"/>
      <c r="AG27" s="1200"/>
      <c r="AH27" s="1168"/>
      <c r="AI27" s="1168"/>
      <c r="AJ27" s="1198">
        <f>AL27-AK27</f>
        <v>-139</v>
      </c>
      <c r="AK27" s="1168">
        <v>1244</v>
      </c>
      <c r="AL27" s="1211">
        <v>1105</v>
      </c>
      <c r="AM27" s="954"/>
      <c r="AN27" s="954"/>
    </row>
    <row r="28" spans="1:40" ht="14.25" customHeight="1" x14ac:dyDescent="0.2">
      <c r="A28" s="955" t="s">
        <v>236</v>
      </c>
      <c r="B28" s="1208"/>
      <c r="C28" s="1168">
        <f t="shared" si="6"/>
        <v>84136</v>
      </c>
      <c r="D28" s="1226"/>
      <c r="E28" s="1227"/>
      <c r="F28" s="1168">
        <f t="shared" si="7"/>
        <v>10851</v>
      </c>
      <c r="G28" s="1226"/>
      <c r="H28" s="1227"/>
      <c r="I28" s="1168">
        <f t="shared" si="8"/>
        <v>507</v>
      </c>
      <c r="J28" s="1226"/>
      <c r="K28" s="1227"/>
      <c r="L28" s="1168">
        <f t="shared" si="9"/>
        <v>3904</v>
      </c>
      <c r="M28" s="1226"/>
      <c r="N28" s="1228"/>
      <c r="O28" s="1168"/>
      <c r="P28" s="1229"/>
      <c r="Q28" s="954"/>
      <c r="R28" s="954"/>
      <c r="S28" s="954"/>
      <c r="T28" s="954"/>
      <c r="U28" s="954"/>
      <c r="V28" s="954"/>
      <c r="W28" s="1148" t="s">
        <v>236</v>
      </c>
      <c r="X28" s="1198"/>
      <c r="Y28" s="1168">
        <v>84136</v>
      </c>
      <c r="Z28" s="13"/>
      <c r="AA28" s="1198"/>
      <c r="AB28" s="1168">
        <v>10851</v>
      </c>
      <c r="AC28" s="13"/>
      <c r="AD28" s="1200"/>
      <c r="AE28" s="1168">
        <v>507</v>
      </c>
      <c r="AF28" s="13"/>
      <c r="AG28" s="1200"/>
      <c r="AH28" s="1168">
        <v>3904</v>
      </c>
      <c r="AI28" s="13"/>
      <c r="AJ28" s="1200"/>
      <c r="AK28" s="1168"/>
      <c r="AL28" s="1211"/>
      <c r="AM28" s="954"/>
      <c r="AN28" s="954"/>
    </row>
    <row r="29" spans="1:40" ht="14.25" customHeight="1" x14ac:dyDescent="0.2">
      <c r="A29" s="955" t="s">
        <v>237</v>
      </c>
      <c r="B29" s="1208">
        <f>C29-D29</f>
        <v>-70799</v>
      </c>
      <c r="C29" s="1168">
        <f t="shared" si="6"/>
        <v>71382</v>
      </c>
      <c r="D29" s="1230">
        <f t="shared" si="6"/>
        <v>142181</v>
      </c>
      <c r="E29" s="1227">
        <f>F29-G29</f>
        <v>-2146</v>
      </c>
      <c r="F29" s="1168">
        <f t="shared" si="7"/>
        <v>10264</v>
      </c>
      <c r="G29" s="1230">
        <f t="shared" si="11"/>
        <v>12410</v>
      </c>
      <c r="H29" s="1227">
        <f>I29-J29</f>
        <v>516</v>
      </c>
      <c r="I29" s="1168">
        <f t="shared" si="8"/>
        <v>1034</v>
      </c>
      <c r="J29" s="1230">
        <f>AF29</f>
        <v>518</v>
      </c>
      <c r="K29" s="1227">
        <f>L29-M29</f>
        <v>-374</v>
      </c>
      <c r="L29" s="1168">
        <f t="shared" si="9"/>
        <v>19330</v>
      </c>
      <c r="M29" s="1230">
        <f t="shared" si="13"/>
        <v>19704</v>
      </c>
      <c r="N29" s="1227">
        <f>O29-P29</f>
        <v>-269</v>
      </c>
      <c r="O29" s="1168">
        <f t="shared" si="10"/>
        <v>122874</v>
      </c>
      <c r="P29" s="1154">
        <f t="shared" si="12"/>
        <v>123143</v>
      </c>
      <c r="Q29" s="954"/>
      <c r="R29" s="954"/>
      <c r="S29" s="954"/>
      <c r="T29" s="954"/>
      <c r="U29" s="954"/>
      <c r="V29" s="954"/>
      <c r="W29" s="1148" t="s">
        <v>237</v>
      </c>
      <c r="X29" s="1198">
        <f>Z29-Y29</f>
        <v>70799</v>
      </c>
      <c r="Y29" s="1168">
        <v>71382</v>
      </c>
      <c r="Z29" s="1153">
        <v>142181</v>
      </c>
      <c r="AA29" s="1198">
        <f>AC29-AB29</f>
        <v>2146</v>
      </c>
      <c r="AB29" s="1168">
        <v>10264</v>
      </c>
      <c r="AC29" s="1153">
        <v>12410</v>
      </c>
      <c r="AD29" s="1198">
        <f>AF29-AE29</f>
        <v>-516</v>
      </c>
      <c r="AE29" s="1168">
        <v>1034</v>
      </c>
      <c r="AF29" s="1153">
        <v>518</v>
      </c>
      <c r="AG29" s="1198">
        <f>AI29-AH29</f>
        <v>374</v>
      </c>
      <c r="AH29" s="1168">
        <v>19330</v>
      </c>
      <c r="AI29" s="1153">
        <v>19704</v>
      </c>
      <c r="AJ29" s="1198">
        <f>AL29-AK29</f>
        <v>269</v>
      </c>
      <c r="AK29" s="1168">
        <v>122874</v>
      </c>
      <c r="AL29" s="1186">
        <v>123143</v>
      </c>
      <c r="AM29" s="954"/>
      <c r="AN29" s="954"/>
    </row>
    <row r="30" spans="1:40" ht="14.25" customHeight="1" x14ac:dyDescent="0.2">
      <c r="A30" s="955" t="s">
        <v>238</v>
      </c>
      <c r="B30" s="1208">
        <f>C30-D30</f>
        <v>-24536</v>
      </c>
      <c r="C30" s="1153">
        <f t="shared" si="6"/>
        <v>41314</v>
      </c>
      <c r="D30" s="1230">
        <f t="shared" si="6"/>
        <v>65850</v>
      </c>
      <c r="E30" s="1227">
        <f>F30-G30</f>
        <v>-11102</v>
      </c>
      <c r="F30" s="1153">
        <f t="shared" si="7"/>
        <v>8503</v>
      </c>
      <c r="G30" s="1230">
        <f t="shared" si="11"/>
        <v>19605</v>
      </c>
      <c r="H30" s="1227">
        <f>I30-J30</f>
        <v>161</v>
      </c>
      <c r="I30" s="1153">
        <f t="shared" si="8"/>
        <v>1674</v>
      </c>
      <c r="J30" s="1230">
        <f>AF30</f>
        <v>1513</v>
      </c>
      <c r="K30" s="1227">
        <f>L30-M30</f>
        <v>5006</v>
      </c>
      <c r="L30" s="1153">
        <f t="shared" si="9"/>
        <v>18056</v>
      </c>
      <c r="M30" s="1230">
        <f t="shared" si="13"/>
        <v>13050</v>
      </c>
      <c r="N30" s="1227">
        <f>O30-P30</f>
        <v>33766</v>
      </c>
      <c r="O30" s="1153">
        <f t="shared" si="10"/>
        <v>140233</v>
      </c>
      <c r="P30" s="1154">
        <f t="shared" si="12"/>
        <v>106467</v>
      </c>
      <c r="Q30" s="954"/>
      <c r="R30" s="954"/>
      <c r="S30" s="954"/>
      <c r="T30" s="954"/>
      <c r="U30" s="954"/>
      <c r="V30" s="954"/>
      <c r="W30" s="1148" t="s">
        <v>238</v>
      </c>
      <c r="X30" s="1198">
        <f>Z30-Y30</f>
        <v>24536</v>
      </c>
      <c r="Y30" s="1153">
        <v>41314</v>
      </c>
      <c r="Z30" s="1153">
        <v>65850</v>
      </c>
      <c r="AA30" s="1198">
        <f>AC30-AB30</f>
        <v>11102</v>
      </c>
      <c r="AB30" s="1153">
        <v>8503</v>
      </c>
      <c r="AC30" s="1153">
        <v>19605</v>
      </c>
      <c r="AD30" s="1198">
        <f>AF30-AE30</f>
        <v>-161</v>
      </c>
      <c r="AE30" s="1153">
        <v>1674</v>
      </c>
      <c r="AF30" s="1153">
        <v>1513</v>
      </c>
      <c r="AG30" s="1198">
        <f>AI30-AH30</f>
        <v>-5006</v>
      </c>
      <c r="AH30" s="1153">
        <v>18056</v>
      </c>
      <c r="AI30" s="1153">
        <v>13050</v>
      </c>
      <c r="AJ30" s="1198">
        <f>AL30-AK30</f>
        <v>-33766</v>
      </c>
      <c r="AK30" s="1153">
        <v>140233</v>
      </c>
      <c r="AL30" s="1186">
        <v>106467</v>
      </c>
      <c r="AM30" s="954"/>
      <c r="AN30" s="954"/>
    </row>
    <row r="31" spans="1:40" ht="14.25" customHeight="1" x14ac:dyDescent="0.2">
      <c r="A31" s="955" t="s">
        <v>239</v>
      </c>
      <c r="B31" s="1208">
        <f>C31-D31</f>
        <v>-1724</v>
      </c>
      <c r="C31" s="1153">
        <f t="shared" si="6"/>
        <v>18081</v>
      </c>
      <c r="D31" s="1230">
        <f t="shared" si="6"/>
        <v>19805</v>
      </c>
      <c r="E31" s="1227">
        <f>F31-G31</f>
        <v>-273</v>
      </c>
      <c r="F31" s="1153">
        <f t="shared" si="7"/>
        <v>3459</v>
      </c>
      <c r="G31" s="1230">
        <f t="shared" si="11"/>
        <v>3732</v>
      </c>
      <c r="H31" s="1227"/>
      <c r="I31" s="1153"/>
      <c r="J31" s="1230">
        <f>AF31</f>
        <v>343</v>
      </c>
      <c r="K31" s="1227">
        <f>L31-M31</f>
        <v>-812</v>
      </c>
      <c r="L31" s="1153">
        <f t="shared" si="9"/>
        <v>1200</v>
      </c>
      <c r="M31" s="1230">
        <f t="shared" si="13"/>
        <v>2012</v>
      </c>
      <c r="N31" s="1227"/>
      <c r="O31" s="1153">
        <f t="shared" si="10"/>
        <v>33305</v>
      </c>
      <c r="P31" s="1154"/>
      <c r="Q31" s="954"/>
      <c r="R31" s="954"/>
      <c r="S31" s="954"/>
      <c r="T31" s="954"/>
      <c r="U31" s="954"/>
      <c r="V31" s="954"/>
      <c r="W31" s="1148" t="s">
        <v>239</v>
      </c>
      <c r="X31" s="1198">
        <f>Z31-Y31</f>
        <v>1724</v>
      </c>
      <c r="Y31" s="1153">
        <v>18081</v>
      </c>
      <c r="Z31" s="1153">
        <v>19805</v>
      </c>
      <c r="AA31" s="1198">
        <f>AC31-AB31</f>
        <v>273</v>
      </c>
      <c r="AB31" s="1153">
        <v>3459</v>
      </c>
      <c r="AC31" s="1153">
        <v>3732</v>
      </c>
      <c r="AD31" s="1198"/>
      <c r="AE31" s="1153"/>
      <c r="AF31" s="1153">
        <v>343</v>
      </c>
      <c r="AG31" s="1198">
        <f>AI31-AH31</f>
        <v>812</v>
      </c>
      <c r="AH31" s="1153">
        <v>1200</v>
      </c>
      <c r="AI31" s="1153">
        <v>2012</v>
      </c>
      <c r="AJ31" s="1198"/>
      <c r="AK31" s="1153">
        <v>33305</v>
      </c>
      <c r="AL31" s="1186"/>
      <c r="AM31" s="954"/>
      <c r="AN31" s="954"/>
    </row>
    <row r="32" spans="1:40" ht="14.25" customHeight="1" x14ac:dyDescent="0.2">
      <c r="A32" s="955" t="s">
        <v>240</v>
      </c>
      <c r="B32" s="1208">
        <f>C32-D32</f>
        <v>-3436</v>
      </c>
      <c r="C32" s="1153">
        <f t="shared" si="6"/>
        <v>27717</v>
      </c>
      <c r="D32" s="1230">
        <f t="shared" si="6"/>
        <v>31153</v>
      </c>
      <c r="E32" s="1227">
        <f>F32-G32</f>
        <v>19051</v>
      </c>
      <c r="F32" s="1153">
        <f t="shared" si="7"/>
        <v>86318</v>
      </c>
      <c r="G32" s="1230">
        <f t="shared" si="11"/>
        <v>67267</v>
      </c>
      <c r="H32" s="1227">
        <f>I32-J32</f>
        <v>-312</v>
      </c>
      <c r="I32" s="1153">
        <f t="shared" si="8"/>
        <v>1611</v>
      </c>
      <c r="J32" s="1230">
        <f>AF32</f>
        <v>1923</v>
      </c>
      <c r="K32" s="1227">
        <f>L32-M32</f>
        <v>-1474</v>
      </c>
      <c r="L32" s="1153">
        <f t="shared" si="9"/>
        <v>5757</v>
      </c>
      <c r="M32" s="1230">
        <f t="shared" si="13"/>
        <v>7231</v>
      </c>
      <c r="N32" s="1227">
        <f>O32-P32</f>
        <v>76016</v>
      </c>
      <c r="O32" s="1153">
        <f t="shared" si="10"/>
        <v>136664</v>
      </c>
      <c r="P32" s="1154">
        <f t="shared" si="12"/>
        <v>60648</v>
      </c>
      <c r="Q32" s="954"/>
      <c r="R32" s="954"/>
      <c r="S32" s="954"/>
      <c r="T32" s="954"/>
      <c r="U32" s="954"/>
      <c r="V32" s="954"/>
      <c r="W32" s="1148" t="s">
        <v>240</v>
      </c>
      <c r="X32" s="1198">
        <f>Z32-Y32</f>
        <v>3436</v>
      </c>
      <c r="Y32" s="1153">
        <v>27717</v>
      </c>
      <c r="Z32" s="1153">
        <v>31153</v>
      </c>
      <c r="AA32" s="1198">
        <f>AC32-AB32</f>
        <v>-19051</v>
      </c>
      <c r="AB32" s="1153">
        <v>86318</v>
      </c>
      <c r="AC32" s="1153">
        <v>67267</v>
      </c>
      <c r="AD32" s="1198">
        <f>AF32-AE32</f>
        <v>312</v>
      </c>
      <c r="AE32" s="1153">
        <v>1611</v>
      </c>
      <c r="AF32" s="1153">
        <v>1923</v>
      </c>
      <c r="AG32" s="1198">
        <f>AI32-AH32</f>
        <v>1474</v>
      </c>
      <c r="AH32" s="1153">
        <v>5757</v>
      </c>
      <c r="AI32" s="1153">
        <v>7231</v>
      </c>
      <c r="AJ32" s="1198">
        <f>AL32-AK32</f>
        <v>-76016</v>
      </c>
      <c r="AK32" s="1153">
        <v>136664</v>
      </c>
      <c r="AL32" s="1186">
        <v>60648</v>
      </c>
      <c r="AM32" s="954"/>
      <c r="AN32" s="954"/>
    </row>
    <row r="33" spans="1:38" ht="14.25" customHeight="1" x14ac:dyDescent="0.2">
      <c r="A33" s="1231" t="s">
        <v>241</v>
      </c>
      <c r="B33" s="1208"/>
      <c r="C33" s="1153">
        <f t="shared" si="6"/>
        <v>23378</v>
      </c>
      <c r="D33" s="1230"/>
      <c r="E33" s="1227"/>
      <c r="F33" s="1153">
        <f t="shared" si="7"/>
        <v>7628</v>
      </c>
      <c r="G33" s="1230"/>
      <c r="H33" s="1227"/>
      <c r="I33" s="1153">
        <f t="shared" si="8"/>
        <v>3716</v>
      </c>
      <c r="J33" s="1230"/>
      <c r="K33" s="1227"/>
      <c r="L33" s="1153">
        <f t="shared" si="9"/>
        <v>4305</v>
      </c>
      <c r="M33" s="1230"/>
      <c r="N33" s="1227"/>
      <c r="O33" s="1153">
        <f t="shared" si="10"/>
        <v>57212</v>
      </c>
      <c r="P33" s="1154"/>
      <c r="Q33" s="954"/>
      <c r="R33" s="954"/>
      <c r="S33" s="954"/>
      <c r="T33" s="954"/>
      <c r="U33" s="954"/>
      <c r="V33" s="954"/>
      <c r="W33" s="1074" t="s">
        <v>241</v>
      </c>
      <c r="X33" s="1198"/>
      <c r="Y33" s="1153">
        <f>Y24-SUM(Y25:Y32)</f>
        <v>23378</v>
      </c>
      <c r="Z33" s="1153"/>
      <c r="AA33" s="1198"/>
      <c r="AB33" s="1153">
        <f>AB24-SUM(AB25:AB32)</f>
        <v>7628</v>
      </c>
      <c r="AC33" s="1153"/>
      <c r="AD33" s="1198"/>
      <c r="AE33" s="1153">
        <f>AE24-SUM(AE25:AE32)</f>
        <v>3716</v>
      </c>
      <c r="AF33" s="1153"/>
      <c r="AG33" s="1198"/>
      <c r="AH33" s="1153">
        <f>AH24-SUM(AH25:AH32)</f>
        <v>4305</v>
      </c>
      <c r="AI33" s="1153"/>
      <c r="AJ33" s="1198"/>
      <c r="AK33" s="1153">
        <f>AK24-SUM(AK25:AK32)</f>
        <v>57212</v>
      </c>
      <c r="AL33" s="1186"/>
    </row>
    <row r="34" spans="1:38" ht="17" thickBot="1" x14ac:dyDescent="0.25">
      <c r="A34" s="1654" t="s">
        <v>242</v>
      </c>
      <c r="B34" s="1781">
        <f>C34-D34</f>
        <v>-42463</v>
      </c>
      <c r="C34" s="1782">
        <f t="shared" si="6"/>
        <v>84637</v>
      </c>
      <c r="D34" s="1783">
        <v>127100</v>
      </c>
      <c r="E34" s="1784">
        <f>F34-G34</f>
        <v>-53408</v>
      </c>
      <c r="F34" s="1782">
        <f t="shared" si="7"/>
        <v>71392</v>
      </c>
      <c r="G34" s="1783">
        <v>124800</v>
      </c>
      <c r="H34" s="1784"/>
      <c r="I34" s="1782">
        <f t="shared" si="8"/>
        <v>722</v>
      </c>
      <c r="J34" s="1783"/>
      <c r="K34" s="1784">
        <f>L34-M34</f>
        <v>-9322</v>
      </c>
      <c r="L34" s="1782">
        <f t="shared" si="9"/>
        <v>13778</v>
      </c>
      <c r="M34" s="1783">
        <v>23100</v>
      </c>
      <c r="N34" s="1784">
        <f>O34-P34</f>
        <v>-30271</v>
      </c>
      <c r="O34" s="1782">
        <f t="shared" si="10"/>
        <v>216029</v>
      </c>
      <c r="P34" s="1785">
        <v>246300</v>
      </c>
      <c r="Q34" s="954"/>
      <c r="R34" s="954"/>
      <c r="S34" s="954"/>
      <c r="T34" s="954"/>
      <c r="U34" s="954"/>
      <c r="V34" s="954"/>
      <c r="W34" s="1074" t="s">
        <v>242</v>
      </c>
      <c r="X34" s="1232">
        <f>Z34-Y34</f>
        <v>-84637</v>
      </c>
      <c r="Y34" s="1233">
        <v>84637</v>
      </c>
      <c r="Z34" s="1233"/>
      <c r="AA34" s="1232">
        <f>AC34-AB34</f>
        <v>-71392</v>
      </c>
      <c r="AB34" s="1233">
        <v>71392</v>
      </c>
      <c r="AC34" s="1233"/>
      <c r="AD34" s="1232">
        <f>AF34-AE34</f>
        <v>-722</v>
      </c>
      <c r="AE34" s="1233">
        <v>722</v>
      </c>
      <c r="AF34" s="1233"/>
      <c r="AG34" s="1232">
        <f>AI34-AH34</f>
        <v>-13778</v>
      </c>
      <c r="AH34" s="1233">
        <v>13778</v>
      </c>
      <c r="AI34" s="1233"/>
      <c r="AJ34" s="1232">
        <f>AL34-AK34</f>
        <v>-216029</v>
      </c>
      <c r="AK34" s="1233">
        <v>216029</v>
      </c>
      <c r="AL34" s="1234"/>
    </row>
    <row r="35" spans="1:38" ht="33" customHeight="1" x14ac:dyDescent="0.2">
      <c r="A35" s="955"/>
      <c r="B35" s="2103" t="s">
        <v>245</v>
      </c>
      <c r="C35" s="2104"/>
      <c r="D35" s="2104"/>
      <c r="E35" s="2104"/>
      <c r="F35" s="2104"/>
      <c r="G35" s="2104"/>
      <c r="H35" s="2104"/>
      <c r="I35" s="2104"/>
      <c r="J35" s="2104"/>
      <c r="K35" s="2104"/>
      <c r="L35" s="2104"/>
      <c r="M35" s="2104"/>
      <c r="N35" s="2104"/>
      <c r="O35" s="2104"/>
      <c r="P35" s="2106"/>
      <c r="Q35" s="954"/>
      <c r="R35" s="954"/>
      <c r="S35" s="954"/>
      <c r="T35" s="954"/>
      <c r="U35" s="954"/>
      <c r="V35" s="954"/>
      <c r="W35" s="1148"/>
      <c r="X35" s="2024" t="s">
        <v>161</v>
      </c>
      <c r="Y35" s="2087"/>
      <c r="Z35" s="2087"/>
      <c r="AA35" s="2087"/>
      <c r="AB35" s="2087"/>
      <c r="AC35" s="2087"/>
      <c r="AD35" s="2087"/>
      <c r="AE35" s="2087"/>
      <c r="AF35" s="2087"/>
      <c r="AG35" s="2087"/>
      <c r="AH35" s="2087"/>
      <c r="AI35" s="2087"/>
      <c r="AJ35" s="2087"/>
      <c r="AK35" s="2087"/>
      <c r="AL35" s="2088"/>
    </row>
    <row r="36" spans="1:38" ht="14.25" customHeight="1" x14ac:dyDescent="0.2">
      <c r="A36" s="955" t="s">
        <v>231</v>
      </c>
      <c r="B36" s="1221"/>
      <c r="C36" s="1222">
        <f>Y36/$Z$64</f>
        <v>25295.483103922881</v>
      </c>
      <c r="D36" s="1223"/>
      <c r="E36" s="1224"/>
      <c r="F36" s="1222">
        <f>AB36/$Z$64</f>
        <v>102408.56022065993</v>
      </c>
      <c r="G36" s="1223"/>
      <c r="H36" s="1224"/>
      <c r="I36" s="1222">
        <f t="shared" ref="I36:I43" si="14">AE36/$Z$64</f>
        <v>481.33496144329507</v>
      </c>
      <c r="J36" s="1223"/>
      <c r="K36" s="1224"/>
      <c r="L36" s="1222">
        <f>AH36/$Z$64</f>
        <v>6164.8583333610604</v>
      </c>
      <c r="M36" s="1223"/>
      <c r="N36" s="257"/>
      <c r="O36" s="1222">
        <f>AK36/$Z$64</f>
        <v>47234.375745154211</v>
      </c>
      <c r="P36" s="1225"/>
      <c r="Q36" s="954"/>
      <c r="R36" s="954"/>
      <c r="S36" s="954"/>
      <c r="T36" s="954"/>
      <c r="U36" s="954"/>
      <c r="V36" s="954"/>
      <c r="W36" s="1148" t="s">
        <v>231</v>
      </c>
      <c r="X36" s="1198"/>
      <c r="Y36" s="1168">
        <v>22807.9</v>
      </c>
      <c r="Z36" s="13"/>
      <c r="AA36" s="1200"/>
      <c r="AB36" s="1168">
        <v>92337.600000000006</v>
      </c>
      <c r="AC36" s="13"/>
      <c r="AD36" s="1200"/>
      <c r="AE36" s="1168">
        <v>434</v>
      </c>
      <c r="AF36" s="13"/>
      <c r="AG36" s="1200"/>
      <c r="AH36" s="1168">
        <v>5558.6</v>
      </c>
      <c r="AI36" s="13"/>
      <c r="AJ36" s="1200"/>
      <c r="AK36" s="1168">
        <v>42589.3</v>
      </c>
      <c r="AL36" s="1186"/>
    </row>
    <row r="37" spans="1:38" ht="14.25" customHeight="1" x14ac:dyDescent="0.2">
      <c r="A37" s="955" t="s">
        <v>232</v>
      </c>
      <c r="B37" s="1208"/>
      <c r="C37" s="1168">
        <f>Y37/$Z$64</f>
        <v>14287.330354380092</v>
      </c>
      <c r="D37" s="1226"/>
      <c r="E37" s="1227"/>
      <c r="F37" s="1168">
        <f>AB37/$Z$64</f>
        <v>9412.8711630450107</v>
      </c>
      <c r="G37" s="1226"/>
      <c r="H37" s="1227"/>
      <c r="I37" s="1168">
        <f t="shared" si="14"/>
        <v>307.4332979541046</v>
      </c>
      <c r="J37" s="1226"/>
      <c r="K37" s="1227"/>
      <c r="L37" s="1168">
        <f>AH37/$Z$64</f>
        <v>3248.0128296839493</v>
      </c>
      <c r="M37" s="1226"/>
      <c r="N37" s="1228"/>
      <c r="O37" s="1168">
        <f>AK37/$Z$64</f>
        <v>23024.447157961047</v>
      </c>
      <c r="P37" s="1154"/>
      <c r="Q37" s="954"/>
      <c r="R37" s="954"/>
      <c r="S37" s="954"/>
      <c r="T37" s="954"/>
      <c r="U37" s="954"/>
      <c r="V37" s="954"/>
      <c r="W37" s="1148" t="s">
        <v>232</v>
      </c>
      <c r="X37" s="1200"/>
      <c r="Y37" s="1168">
        <v>12882.3</v>
      </c>
      <c r="Z37" s="13"/>
      <c r="AA37" s="1200"/>
      <c r="AB37" s="1168">
        <v>8487.2000000000007</v>
      </c>
      <c r="AC37" s="13"/>
      <c r="AD37" s="1200"/>
      <c r="AE37" s="1168">
        <v>277.2</v>
      </c>
      <c r="AF37" s="13"/>
      <c r="AG37" s="1200"/>
      <c r="AH37" s="1168">
        <v>2928.6</v>
      </c>
      <c r="AI37" s="13"/>
      <c r="AJ37" s="1200"/>
      <c r="AK37" s="1168">
        <v>20760.2</v>
      </c>
      <c r="AL37" s="14"/>
    </row>
    <row r="38" spans="1:38" ht="14.25" customHeight="1" x14ac:dyDescent="0.2">
      <c r="A38" s="955" t="s">
        <v>233</v>
      </c>
      <c r="B38" s="1208"/>
      <c r="C38" s="1168"/>
      <c r="D38" s="1226"/>
      <c r="E38" s="1227"/>
      <c r="F38" s="1168">
        <f>AB38/$Z$64</f>
        <v>654.34937154733666</v>
      </c>
      <c r="G38" s="1226"/>
      <c r="H38" s="1227"/>
      <c r="I38" s="1168">
        <f t="shared" si="14"/>
        <v>2.1072267897287111</v>
      </c>
      <c r="J38" s="1226"/>
      <c r="K38" s="1227"/>
      <c r="L38" s="1168">
        <f>AH38/$Z$64</f>
        <v>454.38463986939627</v>
      </c>
      <c r="M38" s="1226"/>
      <c r="N38" s="1227"/>
      <c r="O38" s="1168">
        <f>AK38/$Z$64</f>
        <v>1027.4394200024622</v>
      </c>
      <c r="P38" s="1229"/>
      <c r="Q38" s="954"/>
      <c r="R38" s="954"/>
      <c r="S38" s="954"/>
      <c r="T38" s="954"/>
      <c r="U38" s="954"/>
      <c r="V38" s="954"/>
      <c r="W38" s="1148" t="s">
        <v>233</v>
      </c>
      <c r="X38" s="1200"/>
      <c r="Y38" s="1168"/>
      <c r="Z38" s="13"/>
      <c r="AA38" s="1200"/>
      <c r="AB38" s="1168">
        <v>590</v>
      </c>
      <c r="AC38" s="13"/>
      <c r="AD38" s="1200"/>
      <c r="AE38" s="1168">
        <v>1.9</v>
      </c>
      <c r="AF38" s="13"/>
      <c r="AG38" s="1200"/>
      <c r="AH38" s="1168">
        <v>409.7</v>
      </c>
      <c r="AI38" s="13"/>
      <c r="AJ38" s="1200"/>
      <c r="AK38" s="1168">
        <v>926.4</v>
      </c>
      <c r="AL38" s="14"/>
    </row>
    <row r="39" spans="1:38" ht="14.25" customHeight="1" x14ac:dyDescent="0.2">
      <c r="A39" s="955" t="s">
        <v>234</v>
      </c>
      <c r="B39" s="1208"/>
      <c r="C39" s="1168">
        <f t="shared" ref="C39:C47" si="15">Y39/$Z$64</f>
        <v>68.09669731018046</v>
      </c>
      <c r="D39" s="1226"/>
      <c r="E39" s="1227"/>
      <c r="F39" s="1168"/>
      <c r="G39" s="1226"/>
      <c r="H39" s="1227"/>
      <c r="I39" s="1168">
        <f t="shared" si="14"/>
        <v>0</v>
      </c>
      <c r="J39" s="1226"/>
      <c r="K39" s="1227"/>
      <c r="L39" s="1168">
        <f>AH39/$Z$64</f>
        <v>8.6507205052020772</v>
      </c>
      <c r="M39" s="1226"/>
      <c r="N39" s="1227"/>
      <c r="O39" s="1168">
        <f>AK39/$Z$64</f>
        <v>444.4030392864708</v>
      </c>
      <c r="P39" s="1154"/>
      <c r="Q39" s="954"/>
      <c r="R39" s="954"/>
      <c r="S39" s="954"/>
      <c r="T39" s="954"/>
      <c r="U39" s="954"/>
      <c r="V39" s="954"/>
      <c r="W39" s="1148" t="s">
        <v>234</v>
      </c>
      <c r="X39" s="1200"/>
      <c r="Y39" s="1168">
        <v>61.4</v>
      </c>
      <c r="Z39" s="13"/>
      <c r="AA39" s="1200"/>
      <c r="AB39" s="1168"/>
      <c r="AC39" s="13"/>
      <c r="AD39" s="1200"/>
      <c r="AE39" s="1168">
        <v>0</v>
      </c>
      <c r="AF39" s="13"/>
      <c r="AG39" s="1200"/>
      <c r="AH39" s="1168">
        <v>7.8</v>
      </c>
      <c r="AI39" s="13"/>
      <c r="AJ39" s="1200"/>
      <c r="AK39" s="1168">
        <v>400.7</v>
      </c>
      <c r="AL39" s="14"/>
    </row>
    <row r="40" spans="1:38" ht="14.25" customHeight="1" x14ac:dyDescent="0.2">
      <c r="A40" s="955" t="s">
        <v>235</v>
      </c>
      <c r="B40" s="1208"/>
      <c r="C40" s="1168">
        <f t="shared" si="15"/>
        <v>1391.5460279329548</v>
      </c>
      <c r="D40" s="1226"/>
      <c r="E40" s="1227"/>
      <c r="F40" s="1168">
        <f t="shared" ref="F40:F47" si="16">AB40/$Z$64</f>
        <v>619.85739619967194</v>
      </c>
      <c r="G40" s="1226"/>
      <c r="H40" s="1227"/>
      <c r="I40" s="1168">
        <f t="shared" si="14"/>
        <v>3.6599202137393405</v>
      </c>
      <c r="J40" s="1226"/>
      <c r="K40" s="1227"/>
      <c r="L40" s="1168"/>
      <c r="M40" s="1226"/>
      <c r="N40" s="1227"/>
      <c r="O40" s="1168">
        <f>AK40/$Z$64</f>
        <v>226.24961321297741</v>
      </c>
      <c r="P40" s="1229"/>
      <c r="Q40" s="954"/>
      <c r="R40" s="954"/>
      <c r="S40" s="954"/>
      <c r="T40" s="954"/>
      <c r="U40" s="954"/>
      <c r="V40" s="954"/>
      <c r="W40" s="1148" t="s">
        <v>235</v>
      </c>
      <c r="X40" s="1200"/>
      <c r="Y40" s="1168">
        <v>1254.7</v>
      </c>
      <c r="Z40" s="13"/>
      <c r="AA40" s="1200"/>
      <c r="AB40" s="1168">
        <v>558.9</v>
      </c>
      <c r="AC40" s="13"/>
      <c r="AD40" s="1200"/>
      <c r="AE40" s="1168">
        <v>3.3</v>
      </c>
      <c r="AF40" s="13"/>
      <c r="AG40" s="1200"/>
      <c r="AH40" s="1168"/>
      <c r="AI40" s="13"/>
      <c r="AJ40" s="1200"/>
      <c r="AK40" s="1168">
        <v>204</v>
      </c>
      <c r="AL40" s="14"/>
    </row>
    <row r="41" spans="1:38" ht="14.25" customHeight="1" x14ac:dyDescent="0.2">
      <c r="A41" s="955" t="s">
        <v>236</v>
      </c>
      <c r="B41" s="1208"/>
      <c r="C41" s="1168">
        <f t="shared" si="15"/>
        <v>1815.5422393610002</v>
      </c>
      <c r="D41" s="1226"/>
      <c r="E41" s="1227"/>
      <c r="F41" s="1168">
        <f t="shared" si="16"/>
        <v>1293.9481555665723</v>
      </c>
      <c r="G41" s="1226"/>
      <c r="H41" s="1227"/>
      <c r="I41" s="1168">
        <f t="shared" si="14"/>
        <v>17.190534337260537</v>
      </c>
      <c r="J41" s="1226"/>
      <c r="K41" s="1227"/>
      <c r="L41" s="1168">
        <f t="shared" ref="L41:L47" si="17">AH41/$Z$64</f>
        <v>241.88745412622731</v>
      </c>
      <c r="M41" s="1226"/>
      <c r="N41" s="1228"/>
      <c r="O41" s="1168"/>
      <c r="P41" s="1229"/>
      <c r="Q41" s="954"/>
      <c r="R41" s="954"/>
      <c r="S41" s="954"/>
      <c r="T41" s="954"/>
      <c r="U41" s="954"/>
      <c r="V41" s="954"/>
      <c r="W41" s="1148" t="s">
        <v>236</v>
      </c>
      <c r="X41" s="1200"/>
      <c r="Y41" s="1168">
        <v>1637</v>
      </c>
      <c r="Z41" s="13"/>
      <c r="AA41" s="1200"/>
      <c r="AB41" s="1168">
        <v>1166.7</v>
      </c>
      <c r="AC41" s="13"/>
      <c r="AD41" s="1200"/>
      <c r="AE41" s="1168">
        <v>15.5</v>
      </c>
      <c r="AF41" s="13"/>
      <c r="AG41" s="1200"/>
      <c r="AH41" s="1168">
        <v>218.1</v>
      </c>
      <c r="AI41" s="13"/>
      <c r="AJ41" s="1200"/>
      <c r="AK41" s="1168"/>
      <c r="AL41" s="14"/>
    </row>
    <row r="42" spans="1:38" ht="14.25" customHeight="1" x14ac:dyDescent="0.2">
      <c r="A42" s="955" t="s">
        <v>237</v>
      </c>
      <c r="B42" s="1208"/>
      <c r="C42" s="1168">
        <f t="shared" si="15"/>
        <v>4099.1106393880618</v>
      </c>
      <c r="D42" s="1230"/>
      <c r="E42" s="1227"/>
      <c r="F42" s="1168">
        <f t="shared" si="16"/>
        <v>878.7135713168725</v>
      </c>
      <c r="G42" s="1230"/>
      <c r="H42" s="1227"/>
      <c r="I42" s="1168">
        <f t="shared" si="14"/>
        <v>20.628641204712647</v>
      </c>
      <c r="J42" s="1230"/>
      <c r="K42" s="1227"/>
      <c r="L42" s="1168">
        <f t="shared" si="17"/>
        <v>325.73289902280129</v>
      </c>
      <c r="M42" s="1230"/>
      <c r="N42" s="1227"/>
      <c r="O42" s="1168">
        <f t="shared" ref="O42:O47" si="18">AK42/$Z$64</f>
        <v>5836.7963942022434</v>
      </c>
      <c r="P42" s="1154"/>
      <c r="Q42" s="954"/>
      <c r="R42" s="954"/>
      <c r="S42" s="954"/>
      <c r="T42" s="954"/>
      <c r="U42" s="954"/>
      <c r="V42" s="954"/>
      <c r="W42" s="1148" t="s">
        <v>237</v>
      </c>
      <c r="X42" s="1200"/>
      <c r="Y42" s="1168">
        <v>3696</v>
      </c>
      <c r="Z42" s="13"/>
      <c r="AA42" s="1200"/>
      <c r="AB42" s="1168">
        <v>792.3</v>
      </c>
      <c r="AC42" s="13"/>
      <c r="AD42" s="1200"/>
      <c r="AE42" s="1168">
        <v>18.600000000000001</v>
      </c>
      <c r="AF42" s="13"/>
      <c r="AG42" s="1200"/>
      <c r="AH42" s="1168">
        <v>293.7</v>
      </c>
      <c r="AI42" s="13"/>
      <c r="AJ42" s="1200"/>
      <c r="AK42" s="1168">
        <v>5262.8</v>
      </c>
      <c r="AL42" s="14"/>
    </row>
    <row r="43" spans="1:38" x14ac:dyDescent="0.2">
      <c r="A43" s="955" t="s">
        <v>238</v>
      </c>
      <c r="B43" s="1208"/>
      <c r="C43" s="1153">
        <f t="shared" si="15"/>
        <v>3455.4083084625117</v>
      </c>
      <c r="D43" s="1230"/>
      <c r="E43" s="1227"/>
      <c r="F43" s="1153">
        <f t="shared" si="16"/>
        <v>276.04670945446117</v>
      </c>
      <c r="G43" s="1230"/>
      <c r="H43" s="1227"/>
      <c r="I43" s="1153">
        <f t="shared" si="14"/>
        <v>14.750587528100979</v>
      </c>
      <c r="J43" s="1230"/>
      <c r="K43" s="1227"/>
      <c r="L43" s="1153">
        <f t="shared" si="17"/>
        <v>404.58754362791257</v>
      </c>
      <c r="M43" s="1230"/>
      <c r="N43" s="1227"/>
      <c r="O43" s="1153">
        <f t="shared" si="18"/>
        <v>5412.3565560816232</v>
      </c>
      <c r="P43" s="1154"/>
      <c r="Q43" s="954"/>
      <c r="R43" s="954"/>
      <c r="S43" s="954"/>
      <c r="T43" s="954"/>
      <c r="U43" s="954"/>
      <c r="V43" s="954"/>
      <c r="W43" s="1148" t="s">
        <v>238</v>
      </c>
      <c r="X43" s="1198"/>
      <c r="Y43" s="1153">
        <v>3115.6</v>
      </c>
      <c r="Z43" s="1153"/>
      <c r="AA43" s="1198"/>
      <c r="AB43" s="1153">
        <v>248.9</v>
      </c>
      <c r="AC43" s="1153"/>
      <c r="AD43" s="1198"/>
      <c r="AE43" s="1153">
        <v>13.3</v>
      </c>
      <c r="AF43" s="1153"/>
      <c r="AG43" s="1198"/>
      <c r="AH43" s="1153">
        <v>364.8</v>
      </c>
      <c r="AI43" s="1153"/>
      <c r="AJ43" s="1198"/>
      <c r="AK43" s="1153">
        <v>4880.1000000000004</v>
      </c>
      <c r="AL43" s="1186"/>
    </row>
    <row r="44" spans="1:38" x14ac:dyDescent="0.2">
      <c r="A44" s="955" t="s">
        <v>239</v>
      </c>
      <c r="B44" s="1208"/>
      <c r="C44" s="1153">
        <f t="shared" si="15"/>
        <v>1141.7842000135306</v>
      </c>
      <c r="D44" s="1230"/>
      <c r="E44" s="1227"/>
      <c r="F44" s="1153">
        <f t="shared" si="16"/>
        <v>262.18337531150911</v>
      </c>
      <c r="G44" s="1230"/>
      <c r="H44" s="1227"/>
      <c r="I44" s="1153"/>
      <c r="J44" s="1230"/>
      <c r="K44" s="1227"/>
      <c r="L44" s="1153">
        <f t="shared" si="17"/>
        <v>102.921392677276</v>
      </c>
      <c r="M44" s="1230"/>
      <c r="N44" s="1227"/>
      <c r="O44" s="1153">
        <f t="shared" si="18"/>
        <v>1033.6501936985046</v>
      </c>
      <c r="P44" s="1154"/>
      <c r="Q44" s="954"/>
      <c r="R44" s="954"/>
      <c r="S44" s="954"/>
      <c r="T44" s="954"/>
      <c r="U44" s="954"/>
      <c r="V44" s="954"/>
      <c r="W44" s="1148" t="s">
        <v>239</v>
      </c>
      <c r="X44" s="1198"/>
      <c r="Y44" s="1153">
        <v>1029.5</v>
      </c>
      <c r="Z44" s="1153"/>
      <c r="AA44" s="1198"/>
      <c r="AB44" s="1153">
        <v>236.4</v>
      </c>
      <c r="AC44" s="1153"/>
      <c r="AD44" s="1198"/>
      <c r="AE44" s="1153"/>
      <c r="AF44" s="1153"/>
      <c r="AG44" s="1198"/>
      <c r="AH44" s="1153">
        <v>92.8</v>
      </c>
      <c r="AI44" s="1153"/>
      <c r="AJ44" s="1198"/>
      <c r="AK44" s="1153">
        <v>932</v>
      </c>
      <c r="AL44" s="1186"/>
    </row>
    <row r="45" spans="1:38" x14ac:dyDescent="0.2">
      <c r="A45" s="955" t="s">
        <v>240</v>
      </c>
      <c r="B45" s="1208"/>
      <c r="C45" s="1153">
        <f t="shared" si="15"/>
        <v>1525.0776623978688</v>
      </c>
      <c r="D45" s="1230"/>
      <c r="E45" s="1227"/>
      <c r="F45" s="1153">
        <f t="shared" si="16"/>
        <v>2222.1261031054978</v>
      </c>
      <c r="G45" s="1230"/>
      <c r="H45" s="1227"/>
      <c r="I45" s="1153">
        <f>AE45/$Z$64</f>
        <v>155.93478243992462</v>
      </c>
      <c r="J45" s="1230"/>
      <c r="K45" s="1227"/>
      <c r="L45" s="1153">
        <f t="shared" si="17"/>
        <v>1329.7710109919603</v>
      </c>
      <c r="M45" s="1230"/>
      <c r="N45" s="1227"/>
      <c r="O45" s="1153">
        <f t="shared" si="18"/>
        <v>7237.2149559866866</v>
      </c>
      <c r="P45" s="1154"/>
      <c r="Q45" s="954"/>
      <c r="R45" s="954"/>
      <c r="S45" s="954"/>
      <c r="T45" s="954"/>
      <c r="U45" s="954"/>
      <c r="V45" s="954"/>
      <c r="W45" s="1148" t="s">
        <v>240</v>
      </c>
      <c r="X45" s="1198"/>
      <c r="Y45" s="1153">
        <v>1375.1</v>
      </c>
      <c r="Z45" s="1153"/>
      <c r="AA45" s="1198"/>
      <c r="AB45" s="1153">
        <v>2003.6</v>
      </c>
      <c r="AC45" s="1153"/>
      <c r="AD45" s="1198"/>
      <c r="AE45" s="1153">
        <v>140.6</v>
      </c>
      <c r="AF45" s="1153"/>
      <c r="AG45" s="1198"/>
      <c r="AH45" s="1153">
        <v>1199</v>
      </c>
      <c r="AI45" s="1153"/>
      <c r="AJ45" s="1198"/>
      <c r="AK45" s="1153">
        <v>6525.5</v>
      </c>
      <c r="AL45" s="1186"/>
    </row>
    <row r="46" spans="1:38" x14ac:dyDescent="0.2">
      <c r="A46" s="1231" t="s">
        <v>241</v>
      </c>
      <c r="B46" s="1208"/>
      <c r="C46" s="1153">
        <f t="shared" si="15"/>
        <v>790.76457951398277</v>
      </c>
      <c r="D46" s="1230"/>
      <c r="E46" s="1227"/>
      <c r="F46" s="1153">
        <f t="shared" si="16"/>
        <v>3205.6464805430874</v>
      </c>
      <c r="G46" s="1230"/>
      <c r="H46" s="1227"/>
      <c r="I46" s="1153">
        <f>AE46/$Z$64</f>
        <v>93.161605440637757</v>
      </c>
      <c r="J46" s="1230"/>
      <c r="K46" s="1227"/>
      <c r="L46" s="1153">
        <f t="shared" si="17"/>
        <v>380.07716886317365</v>
      </c>
      <c r="M46" s="1230"/>
      <c r="N46" s="1227"/>
      <c r="O46" s="1153">
        <f t="shared" si="18"/>
        <v>1806.3369854900807</v>
      </c>
      <c r="P46" s="1154"/>
      <c r="Q46" s="954"/>
      <c r="R46" s="954"/>
      <c r="S46" s="954"/>
      <c r="T46" s="954"/>
      <c r="U46" s="954"/>
      <c r="V46" s="954"/>
      <c r="W46" s="1074" t="s">
        <v>241</v>
      </c>
      <c r="X46" s="1198"/>
      <c r="Y46" s="1153">
        <f>Y37-SUM(Y38:Y45)</f>
        <v>712.99999999999818</v>
      </c>
      <c r="Z46" s="1153"/>
      <c r="AA46" s="1198"/>
      <c r="AB46" s="1153">
        <f>AB37-SUM(AB38:AB45)</f>
        <v>2890.3999999999996</v>
      </c>
      <c r="AC46" s="1153"/>
      <c r="AD46" s="1198"/>
      <c r="AE46" s="1153">
        <f>AE37-SUM(AE38:AE45)</f>
        <v>84</v>
      </c>
      <c r="AF46" s="1153"/>
      <c r="AG46" s="1198"/>
      <c r="AH46" s="1153">
        <f>AH37-SUM(AH38:AH45)</f>
        <v>342.70000000000027</v>
      </c>
      <c r="AI46" s="1153"/>
      <c r="AJ46" s="1198"/>
      <c r="AK46" s="1153">
        <f>AK37-SUM(AK38:AK45)</f>
        <v>1628.7000000000007</v>
      </c>
      <c r="AL46" s="1186"/>
    </row>
    <row r="47" spans="1:38" ht="17" thickBot="1" x14ac:dyDescent="0.25">
      <c r="A47" s="1654" t="s">
        <v>242</v>
      </c>
      <c r="B47" s="1781">
        <f>C47-D47</f>
        <v>-46.628556915640729</v>
      </c>
      <c r="C47" s="1782">
        <f t="shared" si="15"/>
        <v>7815.3714430843593</v>
      </c>
      <c r="D47" s="1783">
        <f>TableA10!$D$14+TableA10!$E$14+TableA10!$G$14</f>
        <v>7862</v>
      </c>
      <c r="E47" s="1784">
        <f>F47-G47</f>
        <v>12599.806261568956</v>
      </c>
      <c r="F47" s="1782">
        <f t="shared" si="16"/>
        <v>88953.806261568956</v>
      </c>
      <c r="G47" s="1783">
        <f>TableA10!$D$23+TableA10!$E$23+TableA10!$G$23</f>
        <v>76354</v>
      </c>
      <c r="H47" s="1784"/>
      <c r="I47" s="1782">
        <f>AE47/$Z$64</f>
        <v>24.732188111026453</v>
      </c>
      <c r="J47" s="1783"/>
      <c r="K47" s="1784">
        <f>L47-M47</f>
        <v>-3224.4416192817907</v>
      </c>
      <c r="L47" s="1782">
        <f t="shared" si="17"/>
        <v>2409.5583807182093</v>
      </c>
      <c r="M47" s="1783">
        <f>TableA10!$D$25+TableA10!$E$25+TableA10!$G$25</f>
        <v>5634</v>
      </c>
      <c r="N47" s="1784">
        <f>O47-P47</f>
        <v>-9216.694526422958</v>
      </c>
      <c r="O47" s="1782">
        <f t="shared" si="18"/>
        <v>17013.305473577042</v>
      </c>
      <c r="P47" s="1785">
        <f>TableA10!$D$26+TableA10!$E$26+TableA10!$G$26</f>
        <v>26230</v>
      </c>
      <c r="Q47" s="954"/>
      <c r="R47" s="954"/>
      <c r="S47" s="954"/>
      <c r="T47" s="954"/>
      <c r="U47" s="954"/>
      <c r="V47" s="954"/>
      <c r="W47" s="1148" t="s">
        <v>242</v>
      </c>
      <c r="X47" s="1232"/>
      <c r="Y47" s="1233">
        <v>7046.8</v>
      </c>
      <c r="Z47" s="1233"/>
      <c r="AA47" s="1232"/>
      <c r="AB47" s="1233">
        <v>80206</v>
      </c>
      <c r="AC47" s="1233"/>
      <c r="AD47" s="1232"/>
      <c r="AE47" s="1233">
        <v>22.3</v>
      </c>
      <c r="AF47" s="1233"/>
      <c r="AG47" s="1232"/>
      <c r="AH47" s="1233">
        <v>2172.6</v>
      </c>
      <c r="AI47" s="1233"/>
      <c r="AJ47" s="1232"/>
      <c r="AK47" s="1233">
        <v>15340.2</v>
      </c>
      <c r="AL47" s="1234"/>
    </row>
    <row r="48" spans="1:38" ht="33" customHeight="1" x14ac:dyDescent="0.2">
      <c r="A48" s="955"/>
      <c r="B48" s="2103" t="s">
        <v>246</v>
      </c>
      <c r="C48" s="2104"/>
      <c r="D48" s="2104"/>
      <c r="E48" s="2104"/>
      <c r="F48" s="2104"/>
      <c r="G48" s="2104"/>
      <c r="H48" s="2104"/>
      <c r="I48" s="2104"/>
      <c r="J48" s="2104"/>
      <c r="K48" s="2104"/>
      <c r="L48" s="2104"/>
      <c r="M48" s="2104"/>
      <c r="N48" s="2104"/>
      <c r="O48" s="2104"/>
      <c r="P48" s="2106"/>
      <c r="Q48" s="954"/>
      <c r="R48" s="954"/>
      <c r="S48" s="954"/>
      <c r="T48" s="954"/>
      <c r="U48" s="954"/>
      <c r="V48" s="954"/>
      <c r="W48" s="1148"/>
      <c r="X48" s="2024" t="s">
        <v>125</v>
      </c>
      <c r="Y48" s="2087"/>
      <c r="Z48" s="2087"/>
      <c r="AA48" s="2087"/>
      <c r="AB48" s="2087"/>
      <c r="AC48" s="2087"/>
      <c r="AD48" s="2087"/>
      <c r="AE48" s="2087"/>
      <c r="AF48" s="2087"/>
      <c r="AG48" s="2087"/>
      <c r="AH48" s="2087"/>
      <c r="AI48" s="2087"/>
      <c r="AJ48" s="2087"/>
      <c r="AK48" s="2087"/>
      <c r="AL48" s="2088"/>
    </row>
    <row r="49" spans="1:38" x14ac:dyDescent="0.2">
      <c r="A49" s="955" t="s">
        <v>231</v>
      </c>
      <c r="B49" s="1221"/>
      <c r="C49" s="1222">
        <f>Y49/$Z$64</f>
        <v>35305.253981826834</v>
      </c>
      <c r="D49" s="1223"/>
      <c r="E49" s="1224"/>
      <c r="F49" s="1222">
        <f>AB49/$Z$64</f>
        <v>13736.900535568324</v>
      </c>
      <c r="G49" s="1223"/>
      <c r="H49" s="1224"/>
      <c r="I49" s="1222">
        <f>AE49/$Z$64</f>
        <v>547.43533863689049</v>
      </c>
      <c r="J49" s="1223"/>
      <c r="K49" s="1224"/>
      <c r="L49" s="1222">
        <f>AH49/$Z$64</f>
        <v>5846.8889014583119</v>
      </c>
      <c r="M49" s="1223"/>
      <c r="N49" s="257"/>
      <c r="O49" s="1222">
        <f>AK49/$Z$64</f>
        <v>56091.160849057123</v>
      </c>
      <c r="P49" s="1225"/>
      <c r="Q49" s="954"/>
      <c r="R49" s="954"/>
      <c r="S49" s="954"/>
      <c r="T49" s="954"/>
      <c r="U49" s="954"/>
      <c r="V49" s="954"/>
      <c r="W49" s="1148" t="s">
        <v>231</v>
      </c>
      <c r="X49" s="1198"/>
      <c r="Y49" s="1168">
        <v>31833.3</v>
      </c>
      <c r="Z49" s="13"/>
      <c r="AA49" s="1200"/>
      <c r="AB49" s="1168">
        <v>12386</v>
      </c>
      <c r="AC49" s="13"/>
      <c r="AD49" s="1200"/>
      <c r="AE49" s="1168">
        <v>493.6</v>
      </c>
      <c r="AF49" s="13"/>
      <c r="AG49" s="1200"/>
      <c r="AH49" s="1168">
        <v>5271.9</v>
      </c>
      <c r="AI49" s="13"/>
      <c r="AJ49" s="1200"/>
      <c r="AK49" s="1168">
        <v>50575.1</v>
      </c>
      <c r="AL49" s="1186"/>
    </row>
    <row r="50" spans="1:38" x14ac:dyDescent="0.2">
      <c r="A50" s="955" t="s">
        <v>232</v>
      </c>
      <c r="B50" s="1208"/>
      <c r="C50" s="1168">
        <f t="shared" ref="C50:C60" si="19">Y50/$Z$64</f>
        <v>21129.717553975504</v>
      </c>
      <c r="D50" s="1226"/>
      <c r="E50" s="1227"/>
      <c r="F50" s="1168">
        <f t="shared" ref="F50:F60" si="20">AB50/$Z$64</f>
        <v>6486.4876854775484</v>
      </c>
      <c r="G50" s="1226"/>
      <c r="H50" s="1227"/>
      <c r="I50" s="1168">
        <f t="shared" ref="I50:I60" si="21">AE50/$Z$64</f>
        <v>292.4608970797164</v>
      </c>
      <c r="J50" s="1226"/>
      <c r="K50" s="1227"/>
      <c r="L50" s="1168">
        <f t="shared" ref="L50:L60" si="22">AH50/$Z$64</f>
        <v>3669.4581876296916</v>
      </c>
      <c r="M50" s="1226"/>
      <c r="N50" s="1228"/>
      <c r="O50" s="1168">
        <f t="shared" ref="O50:O60" si="23">AK50/$Z$64</f>
        <v>29862.065370611286</v>
      </c>
      <c r="P50" s="1154"/>
      <c r="Q50" s="954"/>
      <c r="R50" s="954"/>
      <c r="S50" s="954"/>
      <c r="T50" s="954"/>
      <c r="U50" s="954"/>
      <c r="V50" s="954"/>
      <c r="W50" s="1148" t="s">
        <v>232</v>
      </c>
      <c r="X50" s="1198"/>
      <c r="Y50" s="1168">
        <v>19051.8</v>
      </c>
      <c r="Z50" s="13"/>
      <c r="AA50" s="1200"/>
      <c r="AB50" s="1168">
        <v>5848.6</v>
      </c>
      <c r="AC50" s="13"/>
      <c r="AD50" s="1200"/>
      <c r="AE50" s="1168">
        <v>263.7</v>
      </c>
      <c r="AF50" s="13"/>
      <c r="AG50" s="1200"/>
      <c r="AH50" s="1168">
        <v>3308.6</v>
      </c>
      <c r="AI50" s="13"/>
      <c r="AJ50" s="1200"/>
      <c r="AK50" s="1168">
        <v>26925.4</v>
      </c>
      <c r="AL50" s="1186"/>
    </row>
    <row r="51" spans="1:38" x14ac:dyDescent="0.2">
      <c r="A51" s="955" t="s">
        <v>233</v>
      </c>
      <c r="B51" s="1208"/>
      <c r="C51" s="1168"/>
      <c r="D51" s="1226"/>
      <c r="E51" s="1227"/>
      <c r="F51" s="1168">
        <f t="shared" si="20"/>
        <v>62.994990345574102</v>
      </c>
      <c r="G51" s="1226"/>
      <c r="H51" s="1227"/>
      <c r="I51" s="1168">
        <f t="shared" si="21"/>
        <v>13.974240816095664</v>
      </c>
      <c r="J51" s="1226"/>
      <c r="K51" s="1227"/>
      <c r="L51" s="1168">
        <f t="shared" si="22"/>
        <v>843.66706260348985</v>
      </c>
      <c r="M51" s="1226"/>
      <c r="N51" s="1227"/>
      <c r="O51" s="1168">
        <f t="shared" si="23"/>
        <v>1782.1593307447718</v>
      </c>
      <c r="P51" s="1229"/>
      <c r="Q51" s="954"/>
      <c r="R51" s="954"/>
      <c r="S51" s="954"/>
      <c r="T51" s="954"/>
      <c r="U51" s="954"/>
      <c r="V51" s="954"/>
      <c r="W51" s="1148" t="s">
        <v>233</v>
      </c>
      <c r="X51" s="1198"/>
      <c r="Y51" s="1168"/>
      <c r="Z51" s="13"/>
      <c r="AA51" s="1200"/>
      <c r="AB51" s="1168">
        <v>56.8</v>
      </c>
      <c r="AC51" s="13"/>
      <c r="AD51" s="1200"/>
      <c r="AE51" s="1168">
        <v>12.6</v>
      </c>
      <c r="AF51" s="13"/>
      <c r="AG51" s="1200"/>
      <c r="AH51" s="1168">
        <v>760.7</v>
      </c>
      <c r="AI51" s="13"/>
      <c r="AJ51" s="1200"/>
      <c r="AK51" s="1168">
        <v>1606.9</v>
      </c>
      <c r="AL51" s="1186"/>
    </row>
    <row r="52" spans="1:38" x14ac:dyDescent="0.2">
      <c r="A52" s="955" t="s">
        <v>234</v>
      </c>
      <c r="B52" s="1208"/>
      <c r="C52" s="1168">
        <f t="shared" si="19"/>
        <v>295.89900394716852</v>
      </c>
      <c r="D52" s="1226"/>
      <c r="E52" s="1227"/>
      <c r="F52" s="1168"/>
      <c r="G52" s="1226"/>
      <c r="H52" s="1227"/>
      <c r="I52" s="1168">
        <f t="shared" si="21"/>
        <v>0</v>
      </c>
      <c r="J52" s="1226"/>
      <c r="K52" s="1227"/>
      <c r="L52" s="1168">
        <f t="shared" si="22"/>
        <v>13.641520796664816</v>
      </c>
      <c r="M52" s="1226"/>
      <c r="N52" s="1227"/>
      <c r="O52" s="1168">
        <f t="shared" si="23"/>
        <v>871.94826425511201</v>
      </c>
      <c r="P52" s="1154"/>
      <c r="Q52" s="954"/>
      <c r="R52" s="954"/>
      <c r="S52" s="954"/>
      <c r="T52" s="954"/>
      <c r="U52" s="954"/>
      <c r="V52" s="954"/>
      <c r="W52" s="1148" t="s">
        <v>234</v>
      </c>
      <c r="X52" s="1198"/>
      <c r="Y52" s="1168">
        <v>266.8</v>
      </c>
      <c r="Z52" s="13"/>
      <c r="AA52" s="1200"/>
      <c r="AB52" s="1168"/>
      <c r="AC52" s="13"/>
      <c r="AD52" s="1200"/>
      <c r="AE52" s="1168">
        <v>0</v>
      </c>
      <c r="AF52" s="13"/>
      <c r="AG52" s="1200"/>
      <c r="AH52" s="1168">
        <v>12.3</v>
      </c>
      <c r="AI52" s="13"/>
      <c r="AJ52" s="1200"/>
      <c r="AK52" s="1168">
        <v>786.2</v>
      </c>
      <c r="AL52" s="1186"/>
    </row>
    <row r="53" spans="1:38" x14ac:dyDescent="0.2">
      <c r="A53" s="955" t="s">
        <v>235</v>
      </c>
      <c r="B53" s="1208"/>
      <c r="C53" s="1168">
        <f t="shared" si="19"/>
        <v>2071.9584676690411</v>
      </c>
      <c r="D53" s="1226"/>
      <c r="E53" s="1227"/>
      <c r="F53" s="1168">
        <f t="shared" si="20"/>
        <v>369.20831489509891</v>
      </c>
      <c r="G53" s="1226"/>
      <c r="H53" s="1227"/>
      <c r="I53" s="1168">
        <f t="shared" si="21"/>
        <v>5.3235203108935858</v>
      </c>
      <c r="J53" s="1226"/>
      <c r="K53" s="1227"/>
      <c r="L53" s="1168"/>
      <c r="M53" s="1226"/>
      <c r="N53" s="1227"/>
      <c r="O53" s="1168">
        <f t="shared" si="23"/>
        <v>69.53848406104747</v>
      </c>
      <c r="P53" s="1229"/>
      <c r="Q53" s="954"/>
      <c r="R53" s="954"/>
      <c r="S53" s="954"/>
      <c r="T53" s="954"/>
      <c r="U53" s="954"/>
      <c r="V53" s="954"/>
      <c r="W53" s="1148" t="s">
        <v>235</v>
      </c>
      <c r="X53" s="1198"/>
      <c r="Y53" s="1168">
        <v>1868.2</v>
      </c>
      <c r="Z53" s="13"/>
      <c r="AA53" s="1200"/>
      <c r="AB53" s="1168">
        <v>332.9</v>
      </c>
      <c r="AC53" s="13"/>
      <c r="AD53" s="1200"/>
      <c r="AE53" s="1168">
        <v>4.8</v>
      </c>
      <c r="AF53" s="13"/>
      <c r="AG53" s="1200"/>
      <c r="AH53" s="1168"/>
      <c r="AI53" s="13"/>
      <c r="AJ53" s="1200"/>
      <c r="AK53" s="1168">
        <v>62.7</v>
      </c>
      <c r="AL53" s="1186"/>
    </row>
    <row r="54" spans="1:38" x14ac:dyDescent="0.2">
      <c r="A54" s="955" t="s">
        <v>236</v>
      </c>
      <c r="B54" s="1208"/>
      <c r="C54" s="1168">
        <f t="shared" si="19"/>
        <v>4586.9890945468296</v>
      </c>
      <c r="D54" s="1226"/>
      <c r="E54" s="1227"/>
      <c r="F54" s="1168">
        <f t="shared" si="20"/>
        <v>671.87262590402793</v>
      </c>
      <c r="G54" s="1226"/>
      <c r="H54" s="1227"/>
      <c r="I54" s="1168">
        <f t="shared" si="21"/>
        <v>23.068588013872208</v>
      </c>
      <c r="J54" s="1226"/>
      <c r="K54" s="1227"/>
      <c r="L54" s="1168">
        <f t="shared" si="22"/>
        <v>160.92558273138735</v>
      </c>
      <c r="M54" s="1226"/>
      <c r="N54" s="1228"/>
      <c r="O54" s="1168"/>
      <c r="P54" s="1229"/>
      <c r="Q54" s="954"/>
      <c r="R54" s="954"/>
      <c r="S54" s="954"/>
      <c r="T54" s="954"/>
      <c r="U54" s="954"/>
      <c r="V54" s="954"/>
      <c r="W54" s="1148" t="s">
        <v>236</v>
      </c>
      <c r="X54" s="1198"/>
      <c r="Y54" s="1168">
        <v>4135.8999999999996</v>
      </c>
      <c r="Z54" s="13"/>
      <c r="AA54" s="1200"/>
      <c r="AB54" s="1168">
        <v>605.79999999999995</v>
      </c>
      <c r="AC54" s="13"/>
      <c r="AD54" s="1200"/>
      <c r="AE54" s="1168">
        <v>20.8</v>
      </c>
      <c r="AF54" s="13"/>
      <c r="AG54" s="1200"/>
      <c r="AH54" s="1168">
        <v>145.1</v>
      </c>
      <c r="AI54" s="13"/>
      <c r="AJ54" s="1200"/>
      <c r="AK54" s="1168"/>
      <c r="AL54" s="1186"/>
    </row>
    <row r="55" spans="1:38" x14ac:dyDescent="0.2">
      <c r="A55" s="955" t="s">
        <v>237</v>
      </c>
      <c r="B55" s="1208">
        <f>C55-D55</f>
        <v>-3621.8792248510799</v>
      </c>
      <c r="C55" s="1168">
        <f t="shared" si="19"/>
        <v>5554.538911051739</v>
      </c>
      <c r="D55" s="1230">
        <f>Z55/$Z$64</f>
        <v>9176.4181359028189</v>
      </c>
      <c r="E55" s="1227">
        <f>F55-G55</f>
        <v>-56.118776610669897</v>
      </c>
      <c r="F55" s="1168">
        <f t="shared" si="20"/>
        <v>618.19379610251769</v>
      </c>
      <c r="G55" s="1230">
        <f>AC55/$Z$64</f>
        <v>674.31257271318759</v>
      </c>
      <c r="H55" s="1227">
        <f>I55-J55</f>
        <v>-15.194214220675448</v>
      </c>
      <c r="I55" s="1168">
        <f t="shared" si="21"/>
        <v>35.822855425388084</v>
      </c>
      <c r="J55" s="1230">
        <f>AF55/$Z$64</f>
        <v>51.017069646063533</v>
      </c>
      <c r="K55" s="1227">
        <f>L55-M55</f>
        <v>196.859344829919</v>
      </c>
      <c r="L55" s="1168">
        <f t="shared" si="22"/>
        <v>895.57138563470221</v>
      </c>
      <c r="M55" s="1230">
        <f>AI55/$Z$64</f>
        <v>698.71204080478321</v>
      </c>
      <c r="N55" s="1227">
        <f>O55-P55</f>
        <v>-659.00745181936691</v>
      </c>
      <c r="O55" s="1168">
        <f t="shared" si="23"/>
        <v>8766.9506986565884</v>
      </c>
      <c r="P55" s="1154">
        <f>AL55/$Z$64</f>
        <v>9425.9581504759553</v>
      </c>
      <c r="Q55" s="954"/>
      <c r="R55" s="954"/>
      <c r="S55" s="954"/>
      <c r="T55" s="954"/>
      <c r="U55" s="954"/>
      <c r="V55" s="954"/>
      <c r="W55" s="1148" t="s">
        <v>237</v>
      </c>
      <c r="X55" s="1198">
        <f>Z55-Y55</f>
        <v>3265.7</v>
      </c>
      <c r="Y55" s="1168">
        <v>5008.3</v>
      </c>
      <c r="Z55" s="1168">
        <v>8274</v>
      </c>
      <c r="AA55" s="1198">
        <f>AC55-AB55</f>
        <v>50.600000000000023</v>
      </c>
      <c r="AB55" s="1168">
        <v>557.4</v>
      </c>
      <c r="AC55" s="1168">
        <v>608</v>
      </c>
      <c r="AD55" s="1198">
        <f>AF55-AE55</f>
        <v>13.700000000000003</v>
      </c>
      <c r="AE55" s="1168">
        <v>32.299999999999997</v>
      </c>
      <c r="AF55" s="1168">
        <v>46</v>
      </c>
      <c r="AG55" s="1198">
        <f>AI55-AH55</f>
        <v>-177.5</v>
      </c>
      <c r="AH55" s="1168">
        <v>807.5</v>
      </c>
      <c r="AI55" s="1168">
        <v>630</v>
      </c>
      <c r="AJ55" s="1198">
        <f>AL55-AK55</f>
        <v>594.19999999999982</v>
      </c>
      <c r="AK55" s="1168">
        <v>7904.8</v>
      </c>
      <c r="AL55" s="1186">
        <v>8499</v>
      </c>
    </row>
    <row r="56" spans="1:38" x14ac:dyDescent="0.2">
      <c r="A56" s="955" t="s">
        <v>238</v>
      </c>
      <c r="B56" s="1208"/>
      <c r="C56" s="1153">
        <f t="shared" si="19"/>
        <v>3513.4124985166236</v>
      </c>
      <c r="D56" s="1230"/>
      <c r="E56" s="1227"/>
      <c r="F56" s="1153">
        <f t="shared" si="20"/>
        <v>484.77306831074725</v>
      </c>
      <c r="G56" s="1230"/>
      <c r="H56" s="1227"/>
      <c r="I56" s="1153">
        <f t="shared" si="21"/>
        <v>72.311150889637887</v>
      </c>
      <c r="J56" s="1230"/>
      <c r="K56" s="1227"/>
      <c r="L56" s="1153">
        <f t="shared" si="22"/>
        <v>910.43287983594689</v>
      </c>
      <c r="M56" s="1230"/>
      <c r="N56" s="1227"/>
      <c r="O56" s="1153">
        <f t="shared" si="23"/>
        <v>7741.9512254632855</v>
      </c>
      <c r="P56" s="1154"/>
      <c r="Q56" s="954"/>
      <c r="R56" s="954"/>
      <c r="S56" s="954"/>
      <c r="T56" s="954"/>
      <c r="U56" s="954"/>
      <c r="V56" s="954"/>
      <c r="W56" s="1148" t="s">
        <v>238</v>
      </c>
      <c r="X56" s="1198"/>
      <c r="Y56" s="1153">
        <v>3167.9</v>
      </c>
      <c r="Z56" s="1153"/>
      <c r="AA56" s="1198"/>
      <c r="AB56" s="1153">
        <v>437.1</v>
      </c>
      <c r="AC56" s="1153"/>
      <c r="AD56" s="1198"/>
      <c r="AE56" s="1153">
        <v>65.2</v>
      </c>
      <c r="AF56" s="1153"/>
      <c r="AG56" s="1198"/>
      <c r="AH56" s="1153">
        <v>820.9</v>
      </c>
      <c r="AI56" s="1153"/>
      <c r="AJ56" s="1198"/>
      <c r="AK56" s="1153">
        <v>6980.6</v>
      </c>
      <c r="AL56" s="1186"/>
    </row>
    <row r="57" spans="1:38" x14ac:dyDescent="0.2">
      <c r="A57" s="955" t="s">
        <v>239</v>
      </c>
      <c r="B57" s="1208"/>
      <c r="C57" s="1153">
        <f t="shared" si="19"/>
        <v>1253.3563131960086</v>
      </c>
      <c r="D57" s="1230"/>
      <c r="E57" s="1227"/>
      <c r="F57" s="1153">
        <f t="shared" si="20"/>
        <v>214.04987916717963</v>
      </c>
      <c r="G57" s="1230"/>
      <c r="H57" s="1227"/>
      <c r="I57" s="1153"/>
      <c r="J57" s="1230"/>
      <c r="K57" s="1227"/>
      <c r="L57" s="1153">
        <f t="shared" si="22"/>
        <v>81.072778067983563</v>
      </c>
      <c r="M57" s="1230"/>
      <c r="N57" s="1227"/>
      <c r="O57" s="1153">
        <f t="shared" si="23"/>
        <v>1976.0241953998132</v>
      </c>
      <c r="P57" s="1154"/>
      <c r="Q57" s="954"/>
      <c r="R57" s="954"/>
      <c r="S57" s="954"/>
      <c r="T57" s="954"/>
      <c r="U57" s="954"/>
      <c r="V57" s="954"/>
      <c r="W57" s="1148" t="s">
        <v>239</v>
      </c>
      <c r="X57" s="1198"/>
      <c r="Y57" s="1153">
        <v>1130.0999999999999</v>
      </c>
      <c r="Z57" s="1153"/>
      <c r="AA57" s="1198"/>
      <c r="AB57" s="1153">
        <v>193</v>
      </c>
      <c r="AC57" s="1153"/>
      <c r="AD57" s="1198"/>
      <c r="AE57" s="1153"/>
      <c r="AF57" s="1153"/>
      <c r="AG57" s="1198"/>
      <c r="AH57" s="1153">
        <v>73.099999999999994</v>
      </c>
      <c r="AI57" s="1153"/>
      <c r="AJ57" s="1198"/>
      <c r="AK57" s="1153">
        <v>1781.7</v>
      </c>
      <c r="AL57" s="1186"/>
    </row>
    <row r="58" spans="1:38" x14ac:dyDescent="0.2">
      <c r="A58" s="955" t="s">
        <v>240</v>
      </c>
      <c r="B58" s="1208"/>
      <c r="C58" s="1153">
        <f t="shared" si="19"/>
        <v>2461.684517095709</v>
      </c>
      <c r="D58" s="1230"/>
      <c r="E58" s="1227"/>
      <c r="F58" s="1153">
        <f t="shared" si="20"/>
        <v>3599.6978902223568</v>
      </c>
      <c r="G58" s="1230"/>
      <c r="H58" s="1227"/>
      <c r="I58" s="1153">
        <f t="shared" si="21"/>
        <v>48.577122836903975</v>
      </c>
      <c r="J58" s="1230"/>
      <c r="K58" s="1227"/>
      <c r="L58" s="1153">
        <f t="shared" si="22"/>
        <v>407.58202380279022</v>
      </c>
      <c r="M58" s="1230"/>
      <c r="N58" s="1227"/>
      <c r="O58" s="1153">
        <f t="shared" si="23"/>
        <v>5354.0196460080806</v>
      </c>
      <c r="P58" s="1154"/>
      <c r="Q58" s="954"/>
      <c r="R58" s="954"/>
      <c r="S58" s="954"/>
      <c r="T58" s="954"/>
      <c r="U58" s="954"/>
      <c r="V58" s="954"/>
      <c r="W58" s="1148" t="s">
        <v>240</v>
      </c>
      <c r="X58" s="1198"/>
      <c r="Y58" s="1153">
        <v>2219.6</v>
      </c>
      <c r="Z58" s="1153"/>
      <c r="AA58" s="1198"/>
      <c r="AB58" s="1153">
        <v>3245.7</v>
      </c>
      <c r="AC58" s="1153"/>
      <c r="AD58" s="1198"/>
      <c r="AE58" s="1153">
        <v>43.8</v>
      </c>
      <c r="AF58" s="1153"/>
      <c r="AG58" s="1198"/>
      <c r="AH58" s="1153">
        <v>367.5</v>
      </c>
      <c r="AI58" s="1153"/>
      <c r="AJ58" s="1198"/>
      <c r="AK58" s="1153">
        <v>4827.5</v>
      </c>
      <c r="AL58" s="1186"/>
    </row>
    <row r="59" spans="1:38" x14ac:dyDescent="0.2">
      <c r="A59" s="1231" t="s">
        <v>241</v>
      </c>
      <c r="B59" s="1208"/>
      <c r="C59" s="1153">
        <f t="shared" si="19"/>
        <v>1391.8787479523855</v>
      </c>
      <c r="D59" s="1230"/>
      <c r="E59" s="1227"/>
      <c r="F59" s="1153">
        <f t="shared" si="20"/>
        <v>465.69712053004577</v>
      </c>
      <c r="G59" s="1230"/>
      <c r="H59" s="1227"/>
      <c r="I59" s="1153">
        <f t="shared" si="21"/>
        <v>93.383418786924977</v>
      </c>
      <c r="J59" s="1230"/>
      <c r="K59" s="1227"/>
      <c r="L59" s="1153">
        <f t="shared" si="22"/>
        <v>356.56495415672669</v>
      </c>
      <c r="M59" s="1230"/>
      <c r="N59" s="1227"/>
      <c r="O59" s="1153">
        <f t="shared" si="23"/>
        <v>3299.4735260225875</v>
      </c>
      <c r="P59" s="1154"/>
      <c r="Q59" s="954"/>
      <c r="R59" s="954"/>
      <c r="S59" s="954"/>
      <c r="T59" s="954"/>
      <c r="U59" s="954"/>
      <c r="V59" s="954"/>
      <c r="W59" s="1074" t="s">
        <v>241</v>
      </c>
      <c r="X59" s="1198"/>
      <c r="Y59" s="1153">
        <f>Y50-SUM(Y51:Y58)</f>
        <v>1255</v>
      </c>
      <c r="Z59" s="1153"/>
      <c r="AA59" s="1198"/>
      <c r="AB59" s="1153">
        <f>AB50-SUM(AB51:AB58)</f>
        <v>419.90000000000055</v>
      </c>
      <c r="AC59" s="1153"/>
      <c r="AD59" s="1198"/>
      <c r="AE59" s="1153">
        <f>AE50-SUM(AE51:AE58)</f>
        <v>84.199999999999989</v>
      </c>
      <c r="AF59" s="1153"/>
      <c r="AG59" s="1198"/>
      <c r="AH59" s="1153">
        <f>AH50-SUM(AH51:AH58)</f>
        <v>321.5</v>
      </c>
      <c r="AI59" s="1153"/>
      <c r="AJ59" s="1198"/>
      <c r="AK59" s="1153">
        <f>AK50-SUM(AK51:AK58)</f>
        <v>2975</v>
      </c>
      <c r="AL59" s="1186"/>
    </row>
    <row r="60" spans="1:38" ht="17" thickBot="1" x14ac:dyDescent="0.25">
      <c r="A60" s="989" t="s">
        <v>242</v>
      </c>
      <c r="B60" s="1235">
        <f>C60-D60</f>
        <v>-2124.033561468359</v>
      </c>
      <c r="C60" s="1233">
        <f t="shared" si="19"/>
        <v>8878.966438531641</v>
      </c>
      <c r="D60" s="1236">
        <f>TableA10!$C$14</f>
        <v>11003</v>
      </c>
      <c r="E60" s="1237">
        <f>F60-G60</f>
        <v>-4064.5469473492749</v>
      </c>
      <c r="F60" s="1233">
        <f t="shared" si="20"/>
        <v>5239.4530526507251</v>
      </c>
      <c r="G60" s="1236">
        <f>TableA10!$C$23</f>
        <v>9304</v>
      </c>
      <c r="H60" s="1237"/>
      <c r="I60" s="1233">
        <f t="shared" si="21"/>
        <v>45.693549335169955</v>
      </c>
      <c r="J60" s="1236"/>
      <c r="K60" s="1237">
        <f>L60-M60</f>
        <v>-572.84076130776702</v>
      </c>
      <c r="L60" s="1233">
        <f t="shared" si="22"/>
        <v>1119.159238692233</v>
      </c>
      <c r="M60" s="1236">
        <f>TableA10!$C$25</f>
        <v>1692</v>
      </c>
      <c r="N60" s="1237">
        <f>O60-P60</f>
        <v>-2689.6768212816587</v>
      </c>
      <c r="O60" s="1233">
        <f t="shared" si="23"/>
        <v>15617.323178718341</v>
      </c>
      <c r="P60" s="1238">
        <f>TableA10!$C$26</f>
        <v>18307</v>
      </c>
      <c r="Q60" s="954"/>
      <c r="R60" s="954"/>
      <c r="S60" s="954"/>
      <c r="T60" s="954"/>
      <c r="U60" s="954"/>
      <c r="V60" s="954"/>
      <c r="W60" s="1239" t="s">
        <v>242</v>
      </c>
      <c r="X60" s="1240"/>
      <c r="Y60" s="1241">
        <v>8005.8</v>
      </c>
      <c r="Z60" s="1241"/>
      <c r="AA60" s="1240"/>
      <c r="AB60" s="1241">
        <v>4724.2</v>
      </c>
      <c r="AC60" s="1241"/>
      <c r="AD60" s="1240"/>
      <c r="AE60" s="1241">
        <v>41.2</v>
      </c>
      <c r="AF60" s="1241"/>
      <c r="AG60" s="1240"/>
      <c r="AH60" s="1241">
        <v>1009.1</v>
      </c>
      <c r="AI60" s="1241"/>
      <c r="AJ60" s="1240"/>
      <c r="AK60" s="1241">
        <v>14081.5</v>
      </c>
      <c r="AL60" s="1242"/>
    </row>
    <row r="61" spans="1:38" x14ac:dyDescent="0.2">
      <c r="A61" s="954"/>
      <c r="B61" s="954"/>
      <c r="C61" s="954"/>
      <c r="D61" s="954"/>
      <c r="E61" s="954"/>
      <c r="F61" s="954"/>
      <c r="G61" s="954"/>
      <c r="H61" s="954"/>
      <c r="I61" s="954"/>
      <c r="J61" s="954"/>
      <c r="K61" s="954"/>
      <c r="L61" s="954"/>
      <c r="M61" s="954"/>
      <c r="N61" s="954"/>
      <c r="O61" s="1003"/>
      <c r="P61" s="1003"/>
      <c r="Q61" s="954"/>
      <c r="R61" s="954"/>
      <c r="S61" s="954"/>
      <c r="T61" s="954"/>
      <c r="U61" s="954"/>
      <c r="V61" s="954"/>
      <c r="W61" s="954"/>
      <c r="X61" s="954"/>
      <c r="Y61" s="954"/>
      <c r="Z61" s="954"/>
      <c r="AA61" s="954"/>
      <c r="AB61" s="954"/>
      <c r="AC61" s="954"/>
      <c r="AD61" s="954"/>
      <c r="AE61" s="954"/>
      <c r="AF61" s="954"/>
      <c r="AG61" s="954"/>
      <c r="AH61" s="954"/>
      <c r="AI61" s="954"/>
      <c r="AJ61" s="954"/>
      <c r="AK61" s="1003"/>
      <c r="AL61" s="1003"/>
    </row>
    <row r="62" spans="1:38" s="2" customFormat="1" x14ac:dyDescent="0.2">
      <c r="B62" s="954"/>
      <c r="C62" s="954"/>
      <c r="D62" s="954"/>
      <c r="E62" s="954"/>
      <c r="F62" s="954"/>
      <c r="G62" s="954"/>
      <c r="H62" s="954"/>
      <c r="I62" s="954"/>
      <c r="J62" s="954"/>
      <c r="K62" s="954"/>
      <c r="L62" s="954"/>
      <c r="M62" s="954"/>
      <c r="N62" s="954"/>
      <c r="O62" s="954"/>
      <c r="P62" s="954"/>
      <c r="X62" s="954"/>
      <c r="Y62" s="954"/>
      <c r="Z62" s="954"/>
      <c r="AA62" s="954"/>
      <c r="AB62" s="954"/>
      <c r="AC62" s="954"/>
      <c r="AD62" s="954"/>
      <c r="AE62" s="954"/>
      <c r="AF62" s="954"/>
      <c r="AG62" s="954"/>
      <c r="AH62" s="954"/>
      <c r="AI62" s="954"/>
      <c r="AJ62" s="954"/>
      <c r="AK62" s="954"/>
      <c r="AL62" s="954"/>
    </row>
    <row r="63" spans="1:38" s="2" customFormat="1" x14ac:dyDescent="0.2">
      <c r="W63" s="954"/>
      <c r="X63" s="954"/>
      <c r="Y63" s="954"/>
      <c r="Z63" s="954"/>
      <c r="AA63" s="954"/>
      <c r="AB63" s="954"/>
      <c r="AC63" s="954"/>
      <c r="AD63" s="954"/>
      <c r="AE63" s="954"/>
      <c r="AF63" s="954"/>
      <c r="AG63" s="954"/>
      <c r="AH63" s="954"/>
      <c r="AI63" s="954"/>
      <c r="AJ63" s="954"/>
      <c r="AK63" s="954"/>
      <c r="AL63" s="954"/>
    </row>
    <row r="64" spans="1:38" s="2" customFormat="1" x14ac:dyDescent="0.2">
      <c r="W64" s="954"/>
      <c r="X64" s="954" t="s">
        <v>247</v>
      </c>
      <c r="Y64" s="954"/>
      <c r="Z64" s="954">
        <v>0.90165899999999999</v>
      </c>
      <c r="AA64" s="954"/>
      <c r="AB64" s="954"/>
      <c r="AC64" s="954"/>
      <c r="AD64" s="954"/>
      <c r="AE64" s="954"/>
      <c r="AF64" s="954"/>
      <c r="AG64" s="954"/>
      <c r="AH64" s="954"/>
      <c r="AI64" s="954"/>
      <c r="AJ64" s="954"/>
      <c r="AK64" s="954"/>
      <c r="AL64" s="954"/>
    </row>
    <row r="65" spans="23:38" s="2" customFormat="1" x14ac:dyDescent="0.2">
      <c r="W65" s="954"/>
      <c r="X65" s="954"/>
      <c r="Y65" s="954"/>
      <c r="Z65" s="954"/>
      <c r="AA65" s="954"/>
      <c r="AB65" s="954"/>
      <c r="AC65" s="954"/>
      <c r="AD65" s="954"/>
      <c r="AE65" s="954"/>
      <c r="AF65" s="954"/>
      <c r="AG65" s="954"/>
      <c r="AH65" s="954"/>
      <c r="AI65" s="954"/>
      <c r="AJ65" s="954"/>
      <c r="AK65" s="954"/>
      <c r="AL65" s="954"/>
    </row>
    <row r="66" spans="23:38" s="2" customFormat="1" x14ac:dyDescent="0.2">
      <c r="W66" s="954" t="s">
        <v>248</v>
      </c>
      <c r="X66" s="954"/>
      <c r="Y66" s="954">
        <f>(Y60+Y50)/Y49</f>
        <v>0.84997785337995113</v>
      </c>
      <c r="Z66" s="954"/>
      <c r="AA66" s="954"/>
      <c r="AB66" s="954">
        <f>(AB60+AB50)/AB49</f>
        <v>0.85360891328919741</v>
      </c>
      <c r="AC66" s="954"/>
      <c r="AD66" s="954"/>
      <c r="AE66" s="954">
        <f>(AE60+AE50)/AE49</f>
        <v>0.61770664505672601</v>
      </c>
      <c r="AF66" s="954"/>
      <c r="AG66" s="954"/>
      <c r="AH66" s="954">
        <f>(AH60+AH50)/AH49</f>
        <v>0.81900263662057327</v>
      </c>
      <c r="AI66" s="954"/>
      <c r="AJ66" s="954"/>
      <c r="AK66" s="954">
        <f>(AK60+AK50)/AK49</f>
        <v>0.81081203991687611</v>
      </c>
      <c r="AL66" s="954"/>
    </row>
    <row r="68" spans="23:38" s="2" customFormat="1" x14ac:dyDescent="0.2">
      <c r="W68" s="954"/>
      <c r="X68" s="954"/>
      <c r="Y68" s="954"/>
      <c r="Z68" s="954"/>
      <c r="AA68" s="954"/>
      <c r="AB68" s="954"/>
      <c r="AC68" s="954"/>
      <c r="AD68" s="954"/>
      <c r="AE68" s="954"/>
      <c r="AF68" s="954"/>
      <c r="AG68" s="954"/>
      <c r="AH68" s="954"/>
      <c r="AI68" s="954"/>
      <c r="AJ68" s="954"/>
      <c r="AK68" s="954"/>
      <c r="AL68" s="954"/>
    </row>
  </sheetData>
  <mergeCells count="52">
    <mergeCell ref="B9:P9"/>
    <mergeCell ref="B22:P22"/>
    <mergeCell ref="B35:P35"/>
    <mergeCell ref="B48:P48"/>
    <mergeCell ref="L7:L8"/>
    <mergeCell ref="F7:F8"/>
    <mergeCell ref="G7:G8"/>
    <mergeCell ref="H7:H8"/>
    <mergeCell ref="I7:I8"/>
    <mergeCell ref="J7:J8"/>
    <mergeCell ref="K7:K8"/>
    <mergeCell ref="M7:M8"/>
    <mergeCell ref="N7:N8"/>
    <mergeCell ref="O7:O8"/>
    <mergeCell ref="P7:P8"/>
    <mergeCell ref="A7:A8"/>
    <mergeCell ref="B7:B8"/>
    <mergeCell ref="C7:C8"/>
    <mergeCell ref="D7:D8"/>
    <mergeCell ref="E7:E8"/>
    <mergeCell ref="A3:P3"/>
    <mergeCell ref="B6:D6"/>
    <mergeCell ref="E6:G6"/>
    <mergeCell ref="H6:J6"/>
    <mergeCell ref="K6:M6"/>
    <mergeCell ref="N6:P6"/>
    <mergeCell ref="W7:W8"/>
    <mergeCell ref="AA7:AA8"/>
    <mergeCell ref="AB7:AB8"/>
    <mergeCell ref="AD7:AD8"/>
    <mergeCell ref="AE7:AE8"/>
    <mergeCell ref="X35:AL35"/>
    <mergeCell ref="X48:AL48"/>
    <mergeCell ref="X9:AL9"/>
    <mergeCell ref="X22:AL22"/>
    <mergeCell ref="AJ7:AJ8"/>
    <mergeCell ref="W3:AL3"/>
    <mergeCell ref="X7:X8"/>
    <mergeCell ref="Y7:Y8"/>
    <mergeCell ref="Z7:Z8"/>
    <mergeCell ref="AC7:AC8"/>
    <mergeCell ref="AG6:AI6"/>
    <mergeCell ref="AG7:AG8"/>
    <mergeCell ref="AH7:AH8"/>
    <mergeCell ref="AI7:AI8"/>
    <mergeCell ref="AJ6:AL6"/>
    <mergeCell ref="AK7:AK8"/>
    <mergeCell ref="AL7:AL8"/>
    <mergeCell ref="X6:Z6"/>
    <mergeCell ref="AA6:AC6"/>
    <mergeCell ref="AD6:AF6"/>
    <mergeCell ref="AF7:AF8"/>
  </mergeCells>
  <phoneticPr fontId="37" type="noConversion"/>
  <pageMargins left="0.75" right="0.75" top="1" bottom="1" header="0.5" footer="0.5"/>
  <pageSetup scale="20" fitToHeight="0" orientation="portrait" horizontalDpi="4294967292" verticalDpi="4294967292"/>
  <ignoredErrors>
    <ignoredError sqref="E16:E19 K12:K21 H16:H17 H19 E29:E32 H29:H30 H32 K29:K32 N26:N32 E55 H55 N55 K55" formula="1"/>
    <ignoredError sqref="N14:N15 N20" emptyCellReference="1"/>
    <ignoredError sqref="N16:N19 N12:N13" formula="1" emptyCellReference="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100"/>
  <sheetViews>
    <sheetView zoomScale="125" zoomScaleNormal="125" zoomScalePageLayoutView="125" workbookViewId="0">
      <pane xSplit="1" ySplit="8" topLeftCell="B9" activePane="bottomRight" state="frozen"/>
      <selection pane="topRight" activeCell="AR8" sqref="AR8"/>
      <selection pane="bottomLeft" activeCell="AR8" sqref="AR8"/>
      <selection pane="bottomRight" activeCell="O20" sqref="O20"/>
    </sheetView>
  </sheetViews>
  <sheetFormatPr baseColWidth="10" defaultColWidth="10.83203125" defaultRowHeight="16" x14ac:dyDescent="0.2"/>
  <cols>
    <col min="1" max="1" width="19" style="1" customWidth="1"/>
    <col min="2" max="6" width="10.83203125" style="1" customWidth="1"/>
    <col min="7" max="18" width="11.33203125" style="1" customWidth="1"/>
    <col min="19" max="19" width="10.83203125" style="1"/>
    <col min="20" max="20" width="11.6640625" style="1" bestFit="1" customWidth="1"/>
    <col min="21" max="16384" width="10.83203125" style="1"/>
  </cols>
  <sheetData>
    <row r="1" spans="1:20" ht="17" thickBot="1" x14ac:dyDescent="0.25">
      <c r="A1" s="954"/>
      <c r="B1" s="954"/>
      <c r="C1" s="954"/>
      <c r="D1" s="954"/>
      <c r="E1" s="954"/>
      <c r="F1" s="954"/>
      <c r="G1" s="954"/>
      <c r="H1" s="954"/>
      <c r="I1" s="954"/>
      <c r="J1" s="954"/>
      <c r="K1" s="954"/>
      <c r="L1" s="954"/>
      <c r="M1" s="954"/>
      <c r="N1" s="954"/>
      <c r="O1" s="954"/>
      <c r="P1" s="954"/>
      <c r="Q1" s="954"/>
      <c r="R1" s="954"/>
      <c r="S1" s="954"/>
      <c r="T1" s="954"/>
    </row>
    <row r="2" spans="1:20" ht="32.25" customHeight="1" thickTop="1" x14ac:dyDescent="0.2">
      <c r="A2" s="1951" t="s">
        <v>249</v>
      </c>
      <c r="B2" s="1952"/>
      <c r="C2" s="1952"/>
      <c r="D2" s="1952"/>
      <c r="E2" s="1952"/>
      <c r="F2" s="1952"/>
      <c r="G2" s="1952"/>
      <c r="H2" s="1952"/>
      <c r="I2" s="1952"/>
      <c r="J2" s="1952"/>
      <c r="K2" s="1952"/>
      <c r="L2" s="1952"/>
      <c r="M2" s="1952"/>
      <c r="N2" s="1952"/>
      <c r="O2" s="1953"/>
      <c r="P2" s="620"/>
      <c r="Q2" s="620"/>
      <c r="R2" s="620"/>
      <c r="S2" s="954"/>
      <c r="T2" s="954"/>
    </row>
    <row r="3" spans="1:20" ht="12" customHeight="1" x14ac:dyDescent="0.2">
      <c r="A3" s="4"/>
      <c r="B3" s="620"/>
      <c r="C3" s="620"/>
      <c r="D3" s="620"/>
      <c r="E3" s="620"/>
      <c r="F3" s="620"/>
      <c r="G3" s="620"/>
      <c r="H3" s="620"/>
      <c r="I3" s="620"/>
      <c r="J3" s="620"/>
      <c r="K3" s="620"/>
      <c r="L3" s="620"/>
      <c r="M3" s="620"/>
      <c r="N3" s="620"/>
      <c r="O3" s="5"/>
      <c r="P3" s="620"/>
      <c r="Q3" s="620"/>
      <c r="R3" s="620"/>
      <c r="S3" s="954"/>
      <c r="T3" s="954"/>
    </row>
    <row r="4" spans="1:20" x14ac:dyDescent="0.2">
      <c r="A4" s="1148"/>
      <c r="B4" s="3" t="s">
        <v>1</v>
      </c>
      <c r="C4" s="3" t="s">
        <v>2</v>
      </c>
      <c r="D4" s="3" t="s">
        <v>3</v>
      </c>
      <c r="E4" s="3" t="s">
        <v>4</v>
      </c>
      <c r="F4" s="3" t="s">
        <v>5</v>
      </c>
      <c r="G4" s="3" t="s">
        <v>6</v>
      </c>
      <c r="H4" s="3" t="s">
        <v>7</v>
      </c>
      <c r="I4" s="3" t="s">
        <v>8</v>
      </c>
      <c r="J4" s="3" t="s">
        <v>9</v>
      </c>
      <c r="K4" s="3" t="s">
        <v>10</v>
      </c>
      <c r="L4" s="3" t="s">
        <v>11</v>
      </c>
      <c r="M4" s="3" t="s">
        <v>12</v>
      </c>
      <c r="N4" s="3" t="s">
        <v>13</v>
      </c>
      <c r="O4" s="6" t="s">
        <v>177</v>
      </c>
      <c r="P4" s="3"/>
      <c r="Q4" s="3"/>
      <c r="R4" s="3"/>
      <c r="S4" s="954"/>
      <c r="T4" s="954"/>
    </row>
    <row r="5" spans="1:20" ht="21" customHeight="1" x14ac:dyDescent="0.2">
      <c r="A5" s="1148"/>
      <c r="B5" s="2079" t="s">
        <v>14</v>
      </c>
      <c r="C5" s="2080"/>
      <c r="D5" s="2080"/>
      <c r="E5" s="2080"/>
      <c r="F5" s="2080"/>
      <c r="G5" s="2080"/>
      <c r="H5" s="2080"/>
      <c r="I5" s="2080"/>
      <c r="J5" s="2080"/>
      <c r="K5" s="2080"/>
      <c r="L5" s="2080"/>
      <c r="M5" s="2080"/>
      <c r="N5" s="2080"/>
      <c r="O5" s="2112" t="s">
        <v>250</v>
      </c>
      <c r="P5" s="1037"/>
      <c r="Q5" s="1037"/>
      <c r="R5" s="1037"/>
      <c r="S5" s="954"/>
      <c r="T5" s="954"/>
    </row>
    <row r="6" spans="1:20" ht="21" customHeight="1" x14ac:dyDescent="0.2">
      <c r="A6" s="1148"/>
      <c r="B6" s="2115" t="s">
        <v>251</v>
      </c>
      <c r="C6" s="2116"/>
      <c r="D6" s="2116"/>
      <c r="E6" s="2116"/>
      <c r="F6" s="2116"/>
      <c r="G6" s="2116"/>
      <c r="H6" s="2116"/>
      <c r="I6" s="2116"/>
      <c r="J6" s="2116"/>
      <c r="K6" s="2116"/>
      <c r="L6" s="2115" t="s">
        <v>252</v>
      </c>
      <c r="M6" s="2116"/>
      <c r="N6" s="2117"/>
      <c r="O6" s="2113"/>
      <c r="P6" s="1037"/>
      <c r="Q6" s="1037"/>
      <c r="R6" s="1037"/>
      <c r="S6" s="954"/>
      <c r="T6" s="954"/>
    </row>
    <row r="7" spans="1:20" ht="85" customHeight="1" x14ac:dyDescent="0.2">
      <c r="A7" s="1148"/>
      <c r="B7" s="2084" t="s">
        <v>253</v>
      </c>
      <c r="C7" s="1820" t="s">
        <v>254</v>
      </c>
      <c r="D7" s="1820" t="s">
        <v>255</v>
      </c>
      <c r="E7" s="2052" t="s">
        <v>256</v>
      </c>
      <c r="F7" s="1820" t="s">
        <v>257</v>
      </c>
      <c r="G7" s="2068" t="s">
        <v>258</v>
      </c>
      <c r="H7" s="1818" t="s">
        <v>254</v>
      </c>
      <c r="I7" s="1835" t="s">
        <v>255</v>
      </c>
      <c r="J7" s="2058" t="s">
        <v>259</v>
      </c>
      <c r="K7" s="1820" t="s">
        <v>257</v>
      </c>
      <c r="L7" s="2072" t="s">
        <v>260</v>
      </c>
      <c r="M7" s="1819" t="s">
        <v>125</v>
      </c>
      <c r="N7" s="1243" t="s">
        <v>161</v>
      </c>
      <c r="O7" s="2113"/>
      <c r="P7" s="1820"/>
      <c r="Q7" s="1820"/>
      <c r="R7" s="1820"/>
      <c r="S7" s="954"/>
      <c r="T7" s="954"/>
    </row>
    <row r="8" spans="1:20" ht="33" customHeight="1" x14ac:dyDescent="0.2">
      <c r="A8" s="1148"/>
      <c r="B8" s="2066"/>
      <c r="C8" s="1832"/>
      <c r="D8" s="1832"/>
      <c r="E8" s="2118"/>
      <c r="F8" s="1820"/>
      <c r="G8" s="2068"/>
      <c r="H8" s="1807"/>
      <c r="I8" s="322"/>
      <c r="J8" s="2030"/>
      <c r="K8" s="1820"/>
      <c r="L8" s="2028"/>
      <c r="M8" s="1814"/>
      <c r="N8" s="1851"/>
      <c r="O8" s="2114"/>
      <c r="P8" s="1820"/>
      <c r="Q8" s="1820"/>
      <c r="R8" s="1820"/>
      <c r="S8" s="954"/>
      <c r="T8" s="954"/>
    </row>
    <row r="9" spans="1:20" ht="40" customHeight="1" x14ac:dyDescent="0.2">
      <c r="A9" s="8" t="s">
        <v>28</v>
      </c>
      <c r="B9" s="107"/>
      <c r="C9" s="63"/>
      <c r="D9" s="63"/>
      <c r="E9" s="63"/>
      <c r="F9" s="63"/>
      <c r="G9" s="1826"/>
      <c r="H9" s="1855"/>
      <c r="I9" s="1858"/>
      <c r="J9" s="1844"/>
      <c r="K9" s="1844"/>
      <c r="L9" s="1810"/>
      <c r="M9" s="1832"/>
      <c r="N9" s="1832"/>
      <c r="O9" s="323"/>
      <c r="P9" s="1832"/>
      <c r="Q9" s="1832"/>
      <c r="R9" s="1832"/>
      <c r="S9" s="954"/>
      <c r="T9" s="954"/>
    </row>
    <row r="10" spans="1:20" x14ac:dyDescent="0.2">
      <c r="A10" s="1149" t="s">
        <v>29</v>
      </c>
      <c r="B10" s="324">
        <f>TableA2!C10</f>
        <v>496.98457655004552</v>
      </c>
      <c r="C10" s="1194">
        <f>TableA2b!C10</f>
        <v>468.67008658723302</v>
      </c>
      <c r="D10" s="1194">
        <f>B10-C10</f>
        <v>28.314489962812502</v>
      </c>
      <c r="E10" s="1194"/>
      <c r="F10" s="1194"/>
      <c r="G10" s="299">
        <f>TableA2!D10+TableA2!G10</f>
        <v>277.073676460645</v>
      </c>
      <c r="H10" s="1227">
        <v>203.394210759603</v>
      </c>
      <c r="I10" s="1230"/>
      <c r="J10" s="1153"/>
      <c r="K10" s="1168"/>
      <c r="L10" s="1244"/>
      <c r="M10" s="1168"/>
      <c r="N10" s="1168"/>
      <c r="O10" s="1245"/>
      <c r="P10" s="1155"/>
      <c r="Q10" s="1155"/>
      <c r="R10" s="1168"/>
      <c r="S10" s="954"/>
      <c r="T10" s="954"/>
    </row>
    <row r="11" spans="1:20" x14ac:dyDescent="0.2">
      <c r="A11" s="1149" t="s">
        <v>30</v>
      </c>
      <c r="B11" s="324">
        <f>TableA2!C11</f>
        <v>124.3274896607254</v>
      </c>
      <c r="C11" s="1194">
        <f>TableA2b!C11</f>
        <v>114.85727974766515</v>
      </c>
      <c r="D11" s="1194">
        <f t="shared" ref="D11:D44" si="0">B11-C11</f>
        <v>9.4702099130602591</v>
      </c>
      <c r="E11" s="1194">
        <v>122.41080053545743</v>
      </c>
      <c r="F11" s="1194">
        <f>B11-E11</f>
        <v>1.916689125267979</v>
      </c>
      <c r="G11" s="299">
        <f>TableA2!D11+TableA2!G11</f>
        <v>92.509474202553292</v>
      </c>
      <c r="H11" s="1227">
        <v>88.571289145896628</v>
      </c>
      <c r="I11" s="1230">
        <v>3.9381850566566743</v>
      </c>
      <c r="J11" s="1153">
        <v>73.15049259198878</v>
      </c>
      <c r="K11" s="1168">
        <f t="shared" ref="K11:K44" si="1">G11-J11</f>
        <v>19.358981610564513</v>
      </c>
      <c r="L11" s="1244">
        <f t="shared" ref="L11:L44" si="2">M11+N11</f>
        <v>52.65571574176046</v>
      </c>
      <c r="M11" s="1168">
        <v>33.63954665788286</v>
      </c>
      <c r="N11" s="1168">
        <v>19.016169083877603</v>
      </c>
      <c r="O11" s="1245">
        <f t="shared" ref="O11:O44" si="3">(E11+J11)/(C11+H11)</f>
        <v>0.96132659336441639</v>
      </c>
      <c r="P11" s="1155"/>
      <c r="Q11" s="1155"/>
      <c r="R11" s="1168"/>
      <c r="S11" s="954"/>
      <c r="T11" s="954"/>
    </row>
    <row r="12" spans="1:20" x14ac:dyDescent="0.2">
      <c r="A12" s="1149" t="s">
        <v>31</v>
      </c>
      <c r="B12" s="324">
        <f>TableA2!C12</f>
        <v>166.52659153848629</v>
      </c>
      <c r="C12" s="1194">
        <f>TableA2b!C12</f>
        <v>154.93041160793604</v>
      </c>
      <c r="D12" s="1194">
        <f t="shared" si="0"/>
        <v>11.59617993055025</v>
      </c>
      <c r="E12" s="1194">
        <v>124.09602743387467</v>
      </c>
      <c r="F12" s="1194">
        <f t="shared" ref="F12:F44" si="4">B12-E12</f>
        <v>42.430564104611619</v>
      </c>
      <c r="G12" s="299">
        <f>TableA2!D12+TableA2!G12</f>
        <v>116.85759250448341</v>
      </c>
      <c r="H12" s="1227">
        <v>106.08201104852277</v>
      </c>
      <c r="I12" s="1230">
        <v>10.775581455960625</v>
      </c>
      <c r="J12" s="1153">
        <v>99.510236131397789</v>
      </c>
      <c r="K12" s="1168">
        <f t="shared" si="1"/>
        <v>17.347356373085617</v>
      </c>
      <c r="L12" s="1244">
        <f t="shared" si="2"/>
        <v>60.600737085749714</v>
      </c>
      <c r="M12" s="1168">
        <v>35.305253981826837</v>
      </c>
      <c r="N12" s="1168">
        <v>25.29548310392288</v>
      </c>
      <c r="O12" s="1245">
        <f t="shared" si="3"/>
        <v>0.85668820391579659</v>
      </c>
      <c r="P12" s="1155"/>
      <c r="Q12" s="1155"/>
      <c r="R12" s="1168"/>
      <c r="S12" s="954"/>
      <c r="T12" s="954"/>
    </row>
    <row r="13" spans="1:20" x14ac:dyDescent="0.2">
      <c r="A13" s="1149" t="s">
        <v>32</v>
      </c>
      <c r="B13" s="324">
        <f>TableA2!C13</f>
        <v>613.39428253347273</v>
      </c>
      <c r="C13" s="1194">
        <f>TableA2b!C13</f>
        <v>547.53896668271921</v>
      </c>
      <c r="D13" s="1194">
        <f t="shared" si="0"/>
        <v>65.855315850753527</v>
      </c>
      <c r="E13" s="1194"/>
      <c r="F13" s="1194"/>
      <c r="G13" s="299">
        <f>TableA2!D13+TableA2!G13</f>
        <v>350.35939388537861</v>
      </c>
      <c r="H13" s="1227">
        <v>313.8625812877512</v>
      </c>
      <c r="I13" s="1230">
        <v>36.49681259762739</v>
      </c>
      <c r="J13" s="1153"/>
      <c r="K13" s="1168"/>
      <c r="L13" s="1244"/>
      <c r="M13" s="1168"/>
      <c r="N13" s="1168"/>
      <c r="O13" s="1245"/>
      <c r="P13" s="1155"/>
      <c r="Q13" s="1155"/>
      <c r="R13" s="1168"/>
      <c r="S13" s="954"/>
      <c r="T13" s="954"/>
    </row>
    <row r="14" spans="1:20" x14ac:dyDescent="0.2">
      <c r="A14" s="1149" t="s">
        <v>33</v>
      </c>
      <c r="B14" s="324">
        <f>TableA2!C14</f>
        <v>67.029473521292758</v>
      </c>
      <c r="C14" s="1194">
        <f>TableA2b!C14</f>
        <v>62.198900940934621</v>
      </c>
      <c r="D14" s="1194">
        <f t="shared" si="0"/>
        <v>4.8305725803581367</v>
      </c>
      <c r="E14" s="1194"/>
      <c r="F14" s="1194"/>
      <c r="G14" s="299">
        <f>TableA2!D14+TableA2!G14</f>
        <v>87.146207980907846</v>
      </c>
      <c r="H14" s="1227">
        <v>81.181158452384139</v>
      </c>
      <c r="I14" s="1230">
        <v>5.9650495285237009</v>
      </c>
      <c r="J14" s="1153"/>
      <c r="K14" s="1168"/>
      <c r="L14" s="1244"/>
      <c r="M14" s="1168"/>
      <c r="N14" s="1168"/>
      <c r="O14" s="1245"/>
      <c r="P14" s="1155"/>
      <c r="Q14" s="1155"/>
      <c r="R14" s="1168"/>
      <c r="S14" s="954"/>
      <c r="T14" s="954"/>
    </row>
    <row r="15" spans="1:20" x14ac:dyDescent="0.2">
      <c r="A15" s="1149" t="s">
        <v>34</v>
      </c>
      <c r="B15" s="324">
        <f>TableA2!C15</f>
        <v>54.009329742364955</v>
      </c>
      <c r="C15" s="1194">
        <f>TableA2b!C15</f>
        <v>51.58871893897048</v>
      </c>
      <c r="D15" s="1194">
        <f t="shared" si="0"/>
        <v>2.4206108033944744</v>
      </c>
      <c r="E15" s="1194">
        <v>48.70122740415168</v>
      </c>
      <c r="F15" s="1194">
        <f t="shared" si="4"/>
        <v>5.3081023382132742</v>
      </c>
      <c r="G15" s="299">
        <f>TableA2!D15+TableA2!G15</f>
        <v>58.144214645053104</v>
      </c>
      <c r="H15" s="1227">
        <v>53.875705066314346</v>
      </c>
      <c r="I15" s="1230">
        <v>4.2685095787387572</v>
      </c>
      <c r="J15" s="1153">
        <v>51.816928572775296</v>
      </c>
      <c r="K15" s="1168">
        <f t="shared" si="1"/>
        <v>6.3272860722778077</v>
      </c>
      <c r="L15" s="1244">
        <f t="shared" si="2"/>
        <v>41.999137146082944</v>
      </c>
      <c r="M15" s="1168">
        <v>20.631968404906953</v>
      </c>
      <c r="N15" s="1168">
        <v>21.367168741175988</v>
      </c>
      <c r="O15" s="1245">
        <f t="shared" si="3"/>
        <v>0.95310012760217611</v>
      </c>
      <c r="P15" s="1155"/>
      <c r="Q15" s="1155"/>
      <c r="R15" s="1168"/>
      <c r="S15" s="954"/>
      <c r="T15" s="954"/>
    </row>
    <row r="16" spans="1:20" x14ac:dyDescent="0.2">
      <c r="A16" s="1149" t="s">
        <v>35</v>
      </c>
      <c r="B16" s="324">
        <f>TableA2!C16</f>
        <v>98.579989289388223</v>
      </c>
      <c r="C16" s="1194">
        <f>TableA2b!C16</f>
        <v>90.782021808565418</v>
      </c>
      <c r="D16" s="1194">
        <f t="shared" si="0"/>
        <v>7.7979674808228054</v>
      </c>
      <c r="E16" s="1194">
        <v>87.038750400464536</v>
      </c>
      <c r="F16" s="1194">
        <f t="shared" si="4"/>
        <v>11.541238888923687</v>
      </c>
      <c r="G16" s="299">
        <f>TableA2!D16+TableA2!G16</f>
        <v>72.736439430568822</v>
      </c>
      <c r="H16" s="1227">
        <v>65.656377235892222</v>
      </c>
      <c r="I16" s="1230">
        <v>7.0800621946765911</v>
      </c>
      <c r="J16" s="1153">
        <v>60.705368115959551</v>
      </c>
      <c r="K16" s="1168">
        <f t="shared" si="1"/>
        <v>12.031071314609271</v>
      </c>
      <c r="L16" s="1244">
        <f t="shared" si="2"/>
        <v>31.646884476380013</v>
      </c>
      <c r="M16" s="1168">
        <v>20.096658906143848</v>
      </c>
      <c r="N16" s="1168">
        <v>11.550225570236165</v>
      </c>
      <c r="O16" s="1245">
        <f t="shared" si="3"/>
        <v>0.94442361606140734</v>
      </c>
      <c r="P16" s="1155"/>
      <c r="Q16" s="1155"/>
      <c r="R16" s="1168"/>
      <c r="S16" s="954"/>
      <c r="T16" s="954"/>
    </row>
    <row r="17" spans="1:18" x14ac:dyDescent="0.2">
      <c r="A17" s="1149" t="s">
        <v>36</v>
      </c>
      <c r="B17" s="324">
        <f>TableA2!C17</f>
        <v>7.9577756114007627</v>
      </c>
      <c r="C17" s="1194">
        <f>TableA2b!C17</f>
        <v>7.653004073602105</v>
      </c>
      <c r="D17" s="1194">
        <f t="shared" si="0"/>
        <v>0.30477153779865773</v>
      </c>
      <c r="E17" s="1194">
        <v>4.7311677696335313</v>
      </c>
      <c r="F17" s="1194">
        <f t="shared" si="4"/>
        <v>3.2266078417672315</v>
      </c>
      <c r="G17" s="299">
        <f>TableA2!D17+TableA2!G17</f>
        <v>6.3420871970445578</v>
      </c>
      <c r="H17" s="1227">
        <v>5.9021204246838321</v>
      </c>
      <c r="I17" s="1230">
        <v>0.43996677236072618</v>
      </c>
      <c r="J17" s="1153">
        <v>2.8590631269692866</v>
      </c>
      <c r="K17" s="1168">
        <f t="shared" si="1"/>
        <v>3.4830240700752713</v>
      </c>
      <c r="L17" s="1244">
        <f t="shared" si="2"/>
        <v>3.1100449282932905</v>
      </c>
      <c r="M17" s="1168">
        <v>1.9142491784588187</v>
      </c>
      <c r="N17" s="1168">
        <v>1.195795749834472</v>
      </c>
      <c r="O17" s="1245">
        <f t="shared" si="3"/>
        <v>0.55995287225599522</v>
      </c>
      <c r="P17" s="1155"/>
      <c r="Q17" s="1155"/>
      <c r="R17" s="1168"/>
    </row>
    <row r="18" spans="1:18" x14ac:dyDescent="0.2">
      <c r="A18" s="1149" t="s">
        <v>37</v>
      </c>
      <c r="B18" s="324">
        <f>TableA2!C18</f>
        <v>75.447591606139355</v>
      </c>
      <c r="C18" s="1194">
        <f>TableA2b!C18</f>
        <v>72.22020741766012</v>
      </c>
      <c r="D18" s="1194">
        <f t="shared" si="0"/>
        <v>3.2273841884792347</v>
      </c>
      <c r="E18" s="1194">
        <v>66.092382331366224</v>
      </c>
      <c r="F18" s="1194">
        <f t="shared" si="4"/>
        <v>9.3552092747731308</v>
      </c>
      <c r="G18" s="299">
        <f>TableA2!D18+TableA2!G18</f>
        <v>52.323550255695338</v>
      </c>
      <c r="H18" s="1227">
        <v>49.727225037403272</v>
      </c>
      <c r="I18" s="1230">
        <v>2.5963252182920598</v>
      </c>
      <c r="J18" s="1153">
        <v>33.969295663812915</v>
      </c>
      <c r="K18" s="1168">
        <f t="shared" si="1"/>
        <v>18.354254591882423</v>
      </c>
      <c r="L18" s="1244">
        <f t="shared" si="2"/>
        <v>21.966915552260232</v>
      </c>
      <c r="M18" s="1168">
        <v>14.313182525833236</v>
      </c>
      <c r="N18" s="1168">
        <v>7.6537330264269974</v>
      </c>
      <c r="O18" s="1245">
        <f t="shared" si="3"/>
        <v>0.82053124022968693</v>
      </c>
      <c r="P18" s="1155"/>
      <c r="Q18" s="1155"/>
      <c r="R18" s="1168"/>
    </row>
    <row r="19" spans="1:18" x14ac:dyDescent="0.2">
      <c r="A19" s="1149" t="s">
        <v>38</v>
      </c>
      <c r="B19" s="324">
        <f>TableA2!C19</f>
        <v>871.38042208861668</v>
      </c>
      <c r="C19" s="1194">
        <f>TableA2b!C19</f>
        <v>812.93925974231945</v>
      </c>
      <c r="D19" s="1194">
        <f t="shared" si="0"/>
        <v>58.441162346297233</v>
      </c>
      <c r="E19" s="1194">
        <v>746.8356662552028</v>
      </c>
      <c r="F19" s="1194">
        <f t="shared" si="4"/>
        <v>124.54475583341389</v>
      </c>
      <c r="G19" s="299">
        <f>TableA2!D19+TableA2!G19</f>
        <v>437.08541699245501</v>
      </c>
      <c r="H19" s="1227">
        <v>395.9490228567563</v>
      </c>
      <c r="I19" s="1230">
        <v>41.136394135698751</v>
      </c>
      <c r="J19" s="1153">
        <v>262.36504044211836</v>
      </c>
      <c r="K19" s="1168">
        <f t="shared" si="1"/>
        <v>174.72037655033665</v>
      </c>
      <c r="L19" s="1244">
        <f t="shared" si="2"/>
        <v>166.26795717671538</v>
      </c>
      <c r="M19" s="1168">
        <v>131.45313250352962</v>
      </c>
      <c r="N19" s="1168">
        <v>34.814824673185761</v>
      </c>
      <c r="O19" s="1245">
        <f t="shared" si="3"/>
        <v>0.83481717973770742</v>
      </c>
      <c r="P19" s="1155"/>
      <c r="Q19" s="1155"/>
      <c r="R19" s="1168"/>
    </row>
    <row r="20" spans="1:18" x14ac:dyDescent="0.2">
      <c r="A20" s="1149" t="s">
        <v>39</v>
      </c>
      <c r="B20" s="324">
        <f>TableA2!C20</f>
        <v>1223.0067020902579</v>
      </c>
      <c r="C20" s="1194">
        <f>TableA2b!C20</f>
        <v>1145.721386910129</v>
      </c>
      <c r="D20" s="1194">
        <f t="shared" si="0"/>
        <v>77.285315180128919</v>
      </c>
      <c r="E20" s="1194">
        <v>1113.3729048343109</v>
      </c>
      <c r="F20" s="1194">
        <f t="shared" si="4"/>
        <v>109.633797255947</v>
      </c>
      <c r="G20" s="299">
        <f>TableA2!D20+TableA2!G20</f>
        <v>849.96656163804721</v>
      </c>
      <c r="H20" s="1227">
        <v>809.32037499764328</v>
      </c>
      <c r="I20" s="1230">
        <v>40.646186640403968</v>
      </c>
      <c r="J20" s="1153">
        <v>623.45875768999133</v>
      </c>
      <c r="K20" s="1168">
        <f t="shared" si="1"/>
        <v>226.50780394805588</v>
      </c>
      <c r="L20" s="1244">
        <f t="shared" si="2"/>
        <v>348.2426283107028</v>
      </c>
      <c r="M20" s="1168">
        <v>213.03608126797383</v>
      </c>
      <c r="N20" s="1168">
        <v>135.206547042729</v>
      </c>
      <c r="O20" s="1245">
        <f t="shared" si="3"/>
        <v>0.88838596513123291</v>
      </c>
      <c r="P20" s="1155"/>
      <c r="Q20" s="1155"/>
      <c r="R20" s="1168"/>
    </row>
    <row r="21" spans="1:18" x14ac:dyDescent="0.2">
      <c r="A21" s="1149" t="s">
        <v>40</v>
      </c>
      <c r="B21" s="324">
        <f>TableA2!C21</f>
        <v>27.693378982519995</v>
      </c>
      <c r="C21" s="1194">
        <f>TableA2b!C21</f>
        <v>24.420737995184432</v>
      </c>
      <c r="D21" s="1194">
        <f t="shared" si="0"/>
        <v>3.2726409873355635</v>
      </c>
      <c r="E21" s="1194">
        <v>29.515038390344909</v>
      </c>
      <c r="F21" s="1194">
        <f t="shared" si="4"/>
        <v>-1.8216594078249138</v>
      </c>
      <c r="G21" s="299">
        <f>TableA2!D21+TableA2!G21</f>
        <v>37.681387309393024</v>
      </c>
      <c r="H21" s="1227">
        <v>33.038640106736587</v>
      </c>
      <c r="I21" s="1230">
        <v>4.6427472026564365</v>
      </c>
      <c r="J21" s="1153">
        <v>22.726108207204721</v>
      </c>
      <c r="K21" s="1168">
        <f t="shared" si="1"/>
        <v>14.955279102188303</v>
      </c>
      <c r="L21" s="1244">
        <f t="shared" si="2"/>
        <v>7.1623529516147464</v>
      </c>
      <c r="M21" s="1168">
        <v>4.4707589010923199</v>
      </c>
      <c r="N21" s="1168">
        <v>2.6915940505224261</v>
      </c>
      <c r="O21" s="1245">
        <f t="shared" si="3"/>
        <v>0.90918398916334719</v>
      </c>
      <c r="P21" s="1155"/>
      <c r="Q21" s="1155"/>
      <c r="R21" s="1168"/>
    </row>
    <row r="22" spans="1:18" x14ac:dyDescent="0.2">
      <c r="A22" s="1149" t="s">
        <v>41</v>
      </c>
      <c r="B22" s="324">
        <f>TableA2!C22</f>
        <v>34.2062595652135</v>
      </c>
      <c r="C22" s="1194">
        <f>TableA2b!C22</f>
        <v>32.21090993708215</v>
      </c>
      <c r="D22" s="1194">
        <f t="shared" si="0"/>
        <v>1.9953496281313505</v>
      </c>
      <c r="E22" s="1194">
        <v>30.443438151230119</v>
      </c>
      <c r="F22" s="1194">
        <f t="shared" si="4"/>
        <v>3.7628214139833815</v>
      </c>
      <c r="G22" s="299">
        <f>TableA2!D22+TableA2!G22</f>
        <v>32.394139600655137</v>
      </c>
      <c r="H22" s="1227">
        <v>31.167171739772495</v>
      </c>
      <c r="I22" s="1230">
        <v>1.22696786088264</v>
      </c>
      <c r="J22" s="1153">
        <v>31.251171451735082</v>
      </c>
      <c r="K22" s="1168">
        <f t="shared" si="1"/>
        <v>1.1429681489200547</v>
      </c>
      <c r="L22" s="1244">
        <f t="shared" si="2"/>
        <v>32.364452636750698</v>
      </c>
      <c r="M22" s="1168">
        <v>14.087032902682722</v>
      </c>
      <c r="N22" s="1168">
        <v>18.27741973406798</v>
      </c>
      <c r="O22" s="1245">
        <f t="shared" si="3"/>
        <v>0.97343762970812286</v>
      </c>
      <c r="P22" s="1155"/>
      <c r="Q22" s="1155"/>
      <c r="R22" s="1168"/>
    </row>
    <row r="23" spans="1:18" x14ac:dyDescent="0.2">
      <c r="A23" s="1149" t="s">
        <v>42</v>
      </c>
      <c r="B23" s="324">
        <f>TableA2!C23</f>
        <v>5.1275502981429524</v>
      </c>
      <c r="C23" s="1194">
        <f>TableA2b!C23</f>
        <v>4.6522290068914876</v>
      </c>
      <c r="D23" s="1194">
        <f t="shared" si="0"/>
        <v>0.47532129125146483</v>
      </c>
      <c r="E23" s="1194"/>
      <c r="F23" s="1194"/>
      <c r="G23" s="299">
        <f>TableA2!D23+TableA2!G23</f>
        <v>3.6692894561749219</v>
      </c>
      <c r="H23" s="1227"/>
      <c r="I23" s="1230"/>
      <c r="J23" s="1153"/>
      <c r="K23" s="1168"/>
      <c r="L23" s="1244"/>
      <c r="M23" s="1168"/>
      <c r="N23" s="1168"/>
      <c r="O23" s="1245"/>
      <c r="P23" s="1155"/>
      <c r="Q23" s="1155"/>
      <c r="R23" s="1168"/>
    </row>
    <row r="24" spans="1:18" x14ac:dyDescent="0.2">
      <c r="A24" s="1149" t="s">
        <v>43</v>
      </c>
      <c r="B24" s="324">
        <f>TableA2!C24</f>
        <v>61.361034049457722</v>
      </c>
      <c r="C24" s="1194">
        <f>TableA2b!C24</f>
        <v>54.273519257280192</v>
      </c>
      <c r="D24" s="1194">
        <f t="shared" si="0"/>
        <v>7.0875147921775294</v>
      </c>
      <c r="E24" s="1194">
        <v>57.992655760104427</v>
      </c>
      <c r="F24" s="1194">
        <f t="shared" si="4"/>
        <v>3.368378289353295</v>
      </c>
      <c r="G24" s="299">
        <f>TableA2!D24+TableA2!G24</f>
        <v>154.99893274508435</v>
      </c>
      <c r="H24" s="1227">
        <v>143.96465725956267</v>
      </c>
      <c r="I24" s="1230">
        <v>11.034275485521688</v>
      </c>
      <c r="J24" s="1153">
        <v>138.14269030753314</v>
      </c>
      <c r="K24" s="1168">
        <f t="shared" si="1"/>
        <v>16.856242437551202</v>
      </c>
      <c r="L24" s="1244">
        <f t="shared" si="2"/>
        <v>116.14546075622825</v>
      </c>
      <c r="M24" s="1168">
        <v>13.736900535568324</v>
      </c>
      <c r="N24" s="1168">
        <v>102.40856022065992</v>
      </c>
      <c r="O24" s="1245">
        <f t="shared" si="3"/>
        <v>0.9893924041970461</v>
      </c>
      <c r="P24" s="1155"/>
      <c r="Q24" s="1155"/>
      <c r="R24" s="1168"/>
    </row>
    <row r="25" spans="1:18" x14ac:dyDescent="0.2">
      <c r="A25" s="1149" t="s">
        <v>44</v>
      </c>
      <c r="B25" s="324">
        <f>TableA2!C25</f>
        <v>91.954332974943853</v>
      </c>
      <c r="C25" s="1194">
        <f>TableA2b!C25</f>
        <v>88.265835810285637</v>
      </c>
      <c r="D25" s="1194">
        <f t="shared" si="0"/>
        <v>3.6884971646582159</v>
      </c>
      <c r="E25" s="1194"/>
      <c r="F25" s="1194"/>
      <c r="G25" s="299">
        <f>TableA2!D25+TableA2!G25</f>
        <v>76.65661864042012</v>
      </c>
      <c r="H25" s="1227">
        <v>68.600090922352464</v>
      </c>
      <c r="I25" s="1230">
        <v>8.05652771806764</v>
      </c>
      <c r="J25" s="1153"/>
      <c r="K25" s="1168"/>
      <c r="L25" s="1244"/>
      <c r="M25" s="1168"/>
      <c r="N25" s="1168"/>
      <c r="O25" s="1245"/>
      <c r="P25" s="1155"/>
      <c r="Q25" s="1155"/>
      <c r="R25" s="1168"/>
    </row>
    <row r="26" spans="1:18" x14ac:dyDescent="0.2">
      <c r="A26" s="1149" t="s">
        <v>45</v>
      </c>
      <c r="B26" s="324">
        <f>TableA2!C26</f>
        <v>491.69619556839115</v>
      </c>
      <c r="C26" s="1194">
        <f>TableA2b!C26</f>
        <v>455.78683293795103</v>
      </c>
      <c r="D26" s="1194">
        <f t="shared" si="0"/>
        <v>35.909362630440114</v>
      </c>
      <c r="E26" s="1194">
        <v>409.34466355906164</v>
      </c>
      <c r="F26" s="1194">
        <f t="shared" si="4"/>
        <v>82.351532009329503</v>
      </c>
      <c r="G26" s="299">
        <f>TableA2!D26+TableA2!G26</f>
        <v>381.0549220936075</v>
      </c>
      <c r="H26" s="1227">
        <v>339.58946785869165</v>
      </c>
      <c r="I26" s="1230">
        <v>41.46545423491586</v>
      </c>
      <c r="J26" s="1153">
        <v>332.97965195267835</v>
      </c>
      <c r="K26" s="1168">
        <f t="shared" si="1"/>
        <v>48.075270140929149</v>
      </c>
      <c r="L26" s="1244">
        <f t="shared" si="2"/>
        <v>113.01744894688569</v>
      </c>
      <c r="M26" s="1168">
        <v>67.683348139374203</v>
      </c>
      <c r="N26" s="1168">
        <v>45.33410080751149</v>
      </c>
      <c r="O26" s="1245">
        <f t="shared" si="3"/>
        <v>0.93329951466775385</v>
      </c>
      <c r="P26" s="1155"/>
      <c r="Q26" s="1155"/>
      <c r="R26" s="1168"/>
    </row>
    <row r="27" spans="1:18" x14ac:dyDescent="0.2">
      <c r="A27" s="1149" t="s">
        <v>46</v>
      </c>
      <c r="B27" s="324">
        <f>TableA2!C27</f>
        <v>1514.0182782989034</v>
      </c>
      <c r="C27" s="1194">
        <f>TableA2b!C27</f>
        <v>1332.0768877366427</v>
      </c>
      <c r="D27" s="1194">
        <f t="shared" si="0"/>
        <v>181.94139056226072</v>
      </c>
      <c r="E27" s="1194"/>
      <c r="F27" s="1194"/>
      <c r="G27" s="299">
        <f>TableA2!D27+TableA2!G27</f>
        <v>1219.7388008313999</v>
      </c>
      <c r="H27" s="1227">
        <v>1111.3509687342696</v>
      </c>
      <c r="I27" s="1230">
        <v>108.38783209713027</v>
      </c>
      <c r="J27" s="1153"/>
      <c r="K27" s="1168"/>
      <c r="L27" s="1244"/>
      <c r="M27" s="1168"/>
      <c r="N27" s="1168"/>
      <c r="O27" s="1245"/>
      <c r="P27" s="1155"/>
      <c r="Q27" s="1155"/>
      <c r="R27" s="1168"/>
    </row>
    <row r="28" spans="1:18" x14ac:dyDescent="0.2">
      <c r="A28" s="1149" t="s">
        <v>47</v>
      </c>
      <c r="B28" s="324">
        <f>TableA2!C28</f>
        <v>414.68018379403401</v>
      </c>
      <c r="C28" s="1194">
        <f>TableA2b!C28</f>
        <v>385.60359631616285</v>
      </c>
      <c r="D28" s="1194">
        <f t="shared" si="0"/>
        <v>29.076587477871158</v>
      </c>
      <c r="E28" s="1194"/>
      <c r="F28" s="1194"/>
      <c r="G28" s="299">
        <f>TableA2!D28+TableA2!G28</f>
        <v>428.78246398048014</v>
      </c>
      <c r="H28" s="1227">
        <v>391.36892961413417</v>
      </c>
      <c r="I28" s="1230">
        <v>37.413534366345978</v>
      </c>
      <c r="J28" s="1153"/>
      <c r="K28" s="1168"/>
      <c r="L28" s="1244"/>
      <c r="M28" s="1168"/>
      <c r="N28" s="1168"/>
      <c r="O28" s="1245"/>
      <c r="P28" s="1155"/>
      <c r="Q28" s="1155"/>
      <c r="R28" s="1168"/>
    </row>
    <row r="29" spans="1:18" x14ac:dyDescent="0.2">
      <c r="A29" s="1148" t="s">
        <v>48</v>
      </c>
      <c r="B29" s="324">
        <f>TableA2!C29</f>
        <v>9.2021529203390635</v>
      </c>
      <c r="C29" s="1194">
        <f>TableA2b!C29</f>
        <v>8.7351116109305185</v>
      </c>
      <c r="D29" s="1194">
        <f t="shared" si="0"/>
        <v>0.46704130940854505</v>
      </c>
      <c r="E29" s="1194">
        <v>6.2455983914096125</v>
      </c>
      <c r="F29" s="1194">
        <f t="shared" si="4"/>
        <v>2.956554528929451</v>
      </c>
      <c r="G29" s="299">
        <f>TableA2!D29+TableA2!G29</f>
        <v>7.6634270827441426</v>
      </c>
      <c r="H29" s="1227">
        <v>7.0545572106528081</v>
      </c>
      <c r="I29" s="1230">
        <v>0.60886987209133392</v>
      </c>
      <c r="J29" s="1153">
        <v>5.4876621871461388</v>
      </c>
      <c r="K29" s="1168">
        <f t="shared" si="1"/>
        <v>2.1757648955980038</v>
      </c>
      <c r="L29" s="1244">
        <f t="shared" si="2"/>
        <v>3.9316415629412007</v>
      </c>
      <c r="M29" s="1168">
        <v>1.9834549425004355</v>
      </c>
      <c r="N29" s="1168">
        <v>1.9481866204407652</v>
      </c>
      <c r="O29" s="1245">
        <f t="shared" si="3"/>
        <v>0.74309731959148118</v>
      </c>
      <c r="P29" s="1155"/>
      <c r="Q29" s="1155"/>
      <c r="R29" s="1168"/>
    </row>
    <row r="30" spans="1:18" x14ac:dyDescent="0.2">
      <c r="A30" s="1148" t="s">
        <v>49</v>
      </c>
      <c r="B30" s="324">
        <f>TableA2!C30</f>
        <v>21.552271978652684</v>
      </c>
      <c r="C30" s="1194">
        <f>TableA2b!C30</f>
        <v>16.264463616511343</v>
      </c>
      <c r="D30" s="1194">
        <f t="shared" si="0"/>
        <v>5.287808362141341</v>
      </c>
      <c r="E30" s="1194">
        <v>14.39701705411913</v>
      </c>
      <c r="F30" s="1194">
        <f t="shared" si="4"/>
        <v>7.1552549245335531</v>
      </c>
      <c r="G30" s="299">
        <f>TableA2!D30+TableA2!G30</f>
        <v>17.678856419111881</v>
      </c>
      <c r="H30" s="1227">
        <v>9.5486209309727972</v>
      </c>
      <c r="I30" s="1230">
        <v>8.1302354881390855</v>
      </c>
      <c r="J30" s="1153">
        <v>10.846894446791969</v>
      </c>
      <c r="K30" s="1168">
        <f t="shared" si="1"/>
        <v>6.8319619723199114</v>
      </c>
      <c r="L30" s="1244">
        <f t="shared" si="2"/>
        <v>12.011747234819373</v>
      </c>
      <c r="M30" s="1168">
        <v>5.8468889014583123</v>
      </c>
      <c r="N30" s="1168">
        <v>6.1648583333610603</v>
      </c>
      <c r="O30" s="1245">
        <f t="shared" si="3"/>
        <v>0.97795021181889275</v>
      </c>
      <c r="P30" s="1155"/>
      <c r="Q30" s="1155"/>
      <c r="R30" s="1168"/>
    </row>
    <row r="31" spans="1:18" x14ac:dyDescent="0.2">
      <c r="A31" s="1148" t="s">
        <v>50</v>
      </c>
      <c r="B31" s="324">
        <f>TableA2!C31</f>
        <v>140.22820286912128</v>
      </c>
      <c r="C31" s="1194">
        <f>TableA2b!C31</f>
        <v>129.55605808508906</v>
      </c>
      <c r="D31" s="1194">
        <f t="shared" si="0"/>
        <v>10.672144784032213</v>
      </c>
      <c r="E31" s="1194"/>
      <c r="F31" s="1194"/>
      <c r="G31" s="299">
        <f>TableA2!D31+TableA2!G31</f>
        <v>440.29072705551971</v>
      </c>
      <c r="H31" s="1227">
        <v>410.07903261599517</v>
      </c>
      <c r="I31" s="1230">
        <v>30.211694439524521</v>
      </c>
      <c r="J31" s="1153"/>
      <c r="K31" s="1168"/>
      <c r="L31" s="1244"/>
      <c r="M31" s="1168"/>
      <c r="N31" s="1168"/>
      <c r="O31" s="1245"/>
      <c r="P31" s="1155"/>
      <c r="Q31" s="1155"/>
      <c r="R31" s="1168"/>
    </row>
    <row r="32" spans="1:18" x14ac:dyDescent="0.2">
      <c r="A32" s="1148" t="s">
        <v>51</v>
      </c>
      <c r="B32" s="324">
        <f>TableA2!C32</f>
        <v>282.03899700441076</v>
      </c>
      <c r="C32" s="1194">
        <f>TableA2b!C32</f>
        <v>260.66839015636731</v>
      </c>
      <c r="D32" s="1194">
        <f t="shared" si="0"/>
        <v>21.370606848043451</v>
      </c>
      <c r="E32" s="1194">
        <v>203.57418935539931</v>
      </c>
      <c r="F32" s="1194">
        <f t="shared" si="4"/>
        <v>78.464807649011448</v>
      </c>
      <c r="G32" s="299">
        <f>TableA2!D32+TableA2!G32</f>
        <v>219.09945999540849</v>
      </c>
      <c r="H32" s="1227">
        <v>190.03969349831812</v>
      </c>
      <c r="I32" s="1230">
        <v>29.059766497090365</v>
      </c>
      <c r="J32" s="1153">
        <v>164.3889763203162</v>
      </c>
      <c r="K32" s="1168">
        <f t="shared" si="1"/>
        <v>54.710483675092291</v>
      </c>
      <c r="L32" s="1244">
        <f t="shared" si="2"/>
        <v>103.32553659421134</v>
      </c>
      <c r="M32" s="1168">
        <v>56.091160849057125</v>
      </c>
      <c r="N32" s="1168">
        <v>47.23437574515421</v>
      </c>
      <c r="O32" s="1245">
        <f t="shared" si="3"/>
        <v>0.81641128486533698</v>
      </c>
      <c r="P32" s="1155"/>
      <c r="Q32" s="1155"/>
      <c r="R32" s="1168"/>
    </row>
    <row r="33" spans="1:18" x14ac:dyDescent="0.2">
      <c r="A33" s="1148" t="s">
        <v>52</v>
      </c>
      <c r="B33" s="324">
        <f>TableA2!C33</f>
        <v>57.141860911103748</v>
      </c>
      <c r="C33" s="1194">
        <f>TableA2b!C33</f>
        <v>54.636935790372917</v>
      </c>
      <c r="D33" s="1194">
        <f t="shared" si="0"/>
        <v>2.5049251207308316</v>
      </c>
      <c r="E33" s="1194"/>
      <c r="F33" s="1194"/>
      <c r="G33" s="299">
        <f>TableA2!D33+TableA2!G33</f>
        <v>60.582646140971775</v>
      </c>
      <c r="H33" s="1227">
        <v>56.275737024704057</v>
      </c>
      <c r="I33" s="1230">
        <v>4.3069091162677173</v>
      </c>
      <c r="J33" s="1153"/>
      <c r="K33" s="1168"/>
      <c r="L33" s="1244"/>
      <c r="M33" s="1168"/>
      <c r="N33" s="1168"/>
      <c r="O33" s="1245"/>
      <c r="P33" s="1155"/>
      <c r="Q33" s="1155"/>
      <c r="R33" s="1168"/>
    </row>
    <row r="34" spans="1:18" x14ac:dyDescent="0.2">
      <c r="A34" s="1148" t="s">
        <v>53</v>
      </c>
      <c r="B34" s="324">
        <f>TableA2!C34</f>
        <v>120.45063054869772</v>
      </c>
      <c r="C34" s="1194">
        <f>TableA2b!C34</f>
        <v>114.60526549115365</v>
      </c>
      <c r="D34" s="1194">
        <f t="shared" si="0"/>
        <v>5.8453650575440719</v>
      </c>
      <c r="E34" s="1194">
        <v>105.29035921562364</v>
      </c>
      <c r="F34" s="1194">
        <f t="shared" si="4"/>
        <v>15.160271333074078</v>
      </c>
      <c r="G34" s="299">
        <f>TableA2!D34+TableA2!G34</f>
        <v>123.6011109392948</v>
      </c>
      <c r="H34" s="1227">
        <v>112.65788518516544</v>
      </c>
      <c r="I34" s="1230">
        <v>10.943225754129349</v>
      </c>
      <c r="J34" s="1153">
        <v>107.67740354169371</v>
      </c>
      <c r="K34" s="1168">
        <f t="shared" si="1"/>
        <v>15.923707397601092</v>
      </c>
      <c r="L34" s="1244">
        <f t="shared" si="2"/>
        <v>53.224445161640929</v>
      </c>
      <c r="M34" s="1168">
        <v>29.017511054622645</v>
      </c>
      <c r="N34" s="1168">
        <v>24.206934107018284</v>
      </c>
      <c r="O34" s="1245">
        <f t="shared" si="3"/>
        <v>0.93709764263823836</v>
      </c>
      <c r="P34" s="1155"/>
      <c r="Q34" s="1155"/>
      <c r="R34" s="1168"/>
    </row>
    <row r="35" spans="1:18" x14ac:dyDescent="0.2">
      <c r="A35" s="1148" t="s">
        <v>54</v>
      </c>
      <c r="B35" s="324">
        <f>TableA2!C35</f>
        <v>110.83432816023345</v>
      </c>
      <c r="C35" s="1194">
        <f>TableA2b!C35</f>
        <v>104.39766547287439</v>
      </c>
      <c r="D35" s="1194">
        <f t="shared" si="0"/>
        <v>6.4366626873590604</v>
      </c>
      <c r="E35" s="1194">
        <v>86.06868006641092</v>
      </c>
      <c r="F35" s="1194">
        <f t="shared" si="4"/>
        <v>24.765648093822534</v>
      </c>
      <c r="G35" s="299">
        <f>TableA2!D35+TableA2!G35</f>
        <v>124.06499535747446</v>
      </c>
      <c r="H35" s="1227">
        <v>114.72768271654066</v>
      </c>
      <c r="I35" s="1230">
        <v>9.3373126409338116</v>
      </c>
      <c r="J35" s="1153">
        <v>89.464864211414735</v>
      </c>
      <c r="K35" s="1168">
        <f t="shared" si="1"/>
        <v>34.600131146059724</v>
      </c>
      <c r="L35" s="1244">
        <f t="shared" si="2"/>
        <v>62.268662543156566</v>
      </c>
      <c r="M35" s="1168">
        <v>30.435452870763783</v>
      </c>
      <c r="N35" s="1168">
        <v>31.83320967239278</v>
      </c>
      <c r="O35" s="1245">
        <f t="shared" si="3"/>
        <v>0.80106453100118746</v>
      </c>
      <c r="P35" s="1155"/>
      <c r="Q35" s="1155"/>
      <c r="R35" s="1168"/>
    </row>
    <row r="36" spans="1:18" x14ac:dyDescent="0.2">
      <c r="A36" s="1148" t="s">
        <v>55</v>
      </c>
      <c r="B36" s="324">
        <f>TableA2!C36</f>
        <v>57.993657247362911</v>
      </c>
      <c r="C36" s="1194">
        <f>TableA2b!C36</f>
        <v>53.761702594883424</v>
      </c>
      <c r="D36" s="1194">
        <f t="shared" si="0"/>
        <v>4.2319546524794873</v>
      </c>
      <c r="E36" s="1194">
        <v>47.456743624807167</v>
      </c>
      <c r="F36" s="1194">
        <f t="shared" si="4"/>
        <v>10.536913622555744</v>
      </c>
      <c r="G36" s="299">
        <f>TableA2!D36+TableA2!G36</f>
        <v>43.76024528119833</v>
      </c>
      <c r="H36" s="1227">
        <v>39.497275577574229</v>
      </c>
      <c r="I36" s="1230">
        <v>4.2629697036240977</v>
      </c>
      <c r="J36" s="1153">
        <v>33.490598995850981</v>
      </c>
      <c r="K36" s="1168">
        <f t="shared" si="1"/>
        <v>10.269646285347349</v>
      </c>
      <c r="L36" s="1244">
        <f t="shared" si="2"/>
        <v>19.409444146844869</v>
      </c>
      <c r="M36" s="1168">
        <v>10.732660573454044</v>
      </c>
      <c r="N36" s="1168">
        <v>8.6767835733908267</v>
      </c>
      <c r="O36" s="1245">
        <f t="shared" si="3"/>
        <v>0.8679844472557654</v>
      </c>
      <c r="P36" s="1155"/>
      <c r="Q36" s="1155"/>
      <c r="R36" s="1168"/>
    </row>
    <row r="37" spans="1:18" x14ac:dyDescent="0.2">
      <c r="A37" s="1148" t="s">
        <v>56</v>
      </c>
      <c r="B37" s="324">
        <f>TableA2!C37</f>
        <v>21.242901141118761</v>
      </c>
      <c r="C37" s="1194">
        <f>TableA2b!C37</f>
        <v>20.182797487742043</v>
      </c>
      <c r="D37" s="1194">
        <f t="shared" si="0"/>
        <v>1.0601036533767179</v>
      </c>
      <c r="E37" s="1194">
        <v>19.283010539461149</v>
      </c>
      <c r="F37" s="1194">
        <f t="shared" si="4"/>
        <v>1.9598906016576123</v>
      </c>
      <c r="G37" s="299">
        <f>TableA2!D37+TableA2!G37</f>
        <v>22.114000969324319</v>
      </c>
      <c r="H37" s="1227">
        <v>20.498494441912072</v>
      </c>
      <c r="I37" s="1230">
        <v>1.6155065274122478</v>
      </c>
      <c r="J37" s="1153">
        <v>18.33509120410266</v>
      </c>
      <c r="K37" s="1168">
        <f t="shared" si="1"/>
        <v>3.778909765221659</v>
      </c>
      <c r="L37" s="1244">
        <f t="shared" si="2"/>
        <v>17.239776900136306</v>
      </c>
      <c r="M37" s="1168">
        <v>8.7149354689522323</v>
      </c>
      <c r="N37" s="1168">
        <v>8.5248414311840737</v>
      </c>
      <c r="O37" s="1245">
        <f t="shared" si="3"/>
        <v>0.9247027308919501</v>
      </c>
      <c r="P37" s="1155"/>
      <c r="Q37" s="1155"/>
      <c r="R37" s="1168"/>
    </row>
    <row r="38" spans="1:18" x14ac:dyDescent="0.2">
      <c r="A38" s="1148" t="s">
        <v>57</v>
      </c>
      <c r="B38" s="324">
        <f>TableA2!C38</f>
        <v>14.942894708531718</v>
      </c>
      <c r="C38" s="1194">
        <f>TableA2b!C38</f>
        <v>14.141094249599904</v>
      </c>
      <c r="D38" s="1194">
        <f t="shared" si="0"/>
        <v>0.80180045893181351</v>
      </c>
      <c r="E38" s="1194">
        <v>12.620181243685252</v>
      </c>
      <c r="F38" s="1194">
        <f t="shared" si="4"/>
        <v>2.3227134648464656</v>
      </c>
      <c r="G38" s="299">
        <f>TableA2!D38+TableA2!G38</f>
        <v>8.5328335878641486</v>
      </c>
      <c r="H38" s="1227">
        <v>7.8726721521107201</v>
      </c>
      <c r="I38" s="1230">
        <v>0.66016143575342789</v>
      </c>
      <c r="J38" s="1153">
        <v>8.8216276885163918</v>
      </c>
      <c r="K38" s="1168">
        <f t="shared" si="1"/>
        <v>-0.2887941006522432</v>
      </c>
      <c r="L38" s="1244">
        <f t="shared" si="2"/>
        <v>5.6422660895083396</v>
      </c>
      <c r="M38" s="1168">
        <v>3.3685683833910609</v>
      </c>
      <c r="N38" s="1168">
        <v>2.2736977061172792</v>
      </c>
      <c r="O38" s="1245">
        <f t="shared" si="3"/>
        <v>0.97401819120491184</v>
      </c>
      <c r="P38" s="1155"/>
      <c r="Q38" s="1155"/>
      <c r="R38" s="1168"/>
    </row>
    <row r="39" spans="1:18" x14ac:dyDescent="0.2">
      <c r="A39" s="1148" t="s">
        <v>58</v>
      </c>
      <c r="B39" s="324">
        <f>TableA2!C39</f>
        <v>393.17191976124013</v>
      </c>
      <c r="C39" s="1194">
        <f>TableA2b!C39</f>
        <v>371.05269286947726</v>
      </c>
      <c r="D39" s="1194">
        <f t="shared" si="0"/>
        <v>22.119226891762878</v>
      </c>
      <c r="E39" s="1194">
        <v>310.87284660830755</v>
      </c>
      <c r="F39" s="1194">
        <f t="shared" si="4"/>
        <v>82.299073152932579</v>
      </c>
      <c r="G39" s="299">
        <f>TableA2!D39+TableA2!G39</f>
        <v>285.80316949090513</v>
      </c>
      <c r="H39" s="1227">
        <v>270.13982004283218</v>
      </c>
      <c r="I39" s="1230">
        <v>15.663349448072941</v>
      </c>
      <c r="J39" s="1153">
        <v>197.66153279676683</v>
      </c>
      <c r="K39" s="1168">
        <f t="shared" si="1"/>
        <v>88.141636694138299</v>
      </c>
      <c r="L39" s="1244">
        <f t="shared" si="2"/>
        <v>111.50002384493473</v>
      </c>
      <c r="M39" s="1168">
        <v>66.877167532293257</v>
      </c>
      <c r="N39" s="1168">
        <v>44.622856312641474</v>
      </c>
      <c r="O39" s="1245">
        <f t="shared" si="3"/>
        <v>0.79310717009982057</v>
      </c>
      <c r="P39" s="1155"/>
      <c r="Q39" s="1155"/>
      <c r="R39" s="1168"/>
    </row>
    <row r="40" spans="1:18" x14ac:dyDescent="0.2">
      <c r="A40" s="1148" t="s">
        <v>59</v>
      </c>
      <c r="B40" s="324">
        <f>TableA2!C40</f>
        <v>164.05430760342725</v>
      </c>
      <c r="C40" s="1194">
        <f>TableA2b!C40</f>
        <v>156.5661996473911</v>
      </c>
      <c r="D40" s="1194">
        <f t="shared" si="0"/>
        <v>7.4881079560361457</v>
      </c>
      <c r="E40" s="1194">
        <v>163.65918981732875</v>
      </c>
      <c r="F40" s="1194">
        <f t="shared" si="4"/>
        <v>0.39511778609849557</v>
      </c>
      <c r="G40" s="299">
        <f>TableA2!D40+TableA2!G40</f>
        <v>123.77103492525822</v>
      </c>
      <c r="H40" s="1227">
        <v>112.87171862516436</v>
      </c>
      <c r="I40" s="1230">
        <v>10.89931630009386</v>
      </c>
      <c r="J40" s="1153">
        <v>87.159827140574592</v>
      </c>
      <c r="K40" s="1168">
        <f t="shared" si="1"/>
        <v>36.611207784683629</v>
      </c>
      <c r="L40" s="1244">
        <f t="shared" si="2"/>
        <v>68.35123005999742</v>
      </c>
      <c r="M40" s="1168">
        <v>45.255054202105526</v>
      </c>
      <c r="N40" s="1168">
        <v>23.096175857891893</v>
      </c>
      <c r="O40" s="1245">
        <f t="shared" si="3"/>
        <v>0.93089724922897521</v>
      </c>
      <c r="P40" s="1155"/>
      <c r="Q40" s="1155"/>
      <c r="R40" s="1168"/>
    </row>
    <row r="41" spans="1:18" x14ac:dyDescent="0.2">
      <c r="A41" s="1148" t="s">
        <v>60</v>
      </c>
      <c r="B41" s="324">
        <f>TableA2!C41</f>
        <v>321.15382930461016</v>
      </c>
      <c r="C41" s="1194">
        <f>TableA2b!C41</f>
        <v>285.58877294959063</v>
      </c>
      <c r="D41" s="1194">
        <f t="shared" si="0"/>
        <v>35.565056355019522</v>
      </c>
      <c r="E41" s="1194"/>
      <c r="F41" s="1194"/>
      <c r="G41" s="299">
        <f>TableA2!D41+TableA2!G41</f>
        <v>162.36674206992865</v>
      </c>
      <c r="H41" s="1227">
        <v>133.37341188157288</v>
      </c>
      <c r="I41" s="1230">
        <v>28.993330188355749</v>
      </c>
      <c r="J41" s="1153"/>
      <c r="K41" s="1168"/>
      <c r="L41" s="1244"/>
      <c r="M41" s="1168"/>
      <c r="N41" s="1168"/>
      <c r="O41" s="1245"/>
      <c r="P41" s="1155"/>
      <c r="Q41" s="1155"/>
      <c r="R41" s="1168"/>
    </row>
    <row r="42" spans="1:18" x14ac:dyDescent="0.2">
      <c r="A42" s="1148" t="s">
        <v>61</v>
      </c>
      <c r="B42" s="324">
        <f>TableA2!C42</f>
        <v>180.37437743772173</v>
      </c>
      <c r="C42" s="1194">
        <f>TableA2b!C42</f>
        <v>169.57876977612943</v>
      </c>
      <c r="D42" s="1194">
        <f t="shared" si="0"/>
        <v>10.7956076615923</v>
      </c>
      <c r="E42" s="1194"/>
      <c r="F42" s="1194"/>
      <c r="G42" s="299">
        <f>TableA2!D42+TableA2!G42</f>
        <v>281.38281160099098</v>
      </c>
      <c r="H42" s="1227">
        <v>266.96332990074666</v>
      </c>
      <c r="I42" s="1230">
        <v>14.419481700244374</v>
      </c>
      <c r="J42" s="1153"/>
      <c r="K42" s="1168"/>
      <c r="L42" s="1244"/>
      <c r="M42" s="1168"/>
      <c r="N42" s="1168"/>
      <c r="O42" s="1245"/>
      <c r="P42" s="1155"/>
      <c r="Q42" s="1155"/>
      <c r="R42" s="1168"/>
    </row>
    <row r="43" spans="1:18" x14ac:dyDescent="0.2">
      <c r="A43" s="1148" t="s">
        <v>62</v>
      </c>
      <c r="B43" s="324">
        <f>TableA2!C43</f>
        <v>1012.5690365062753</v>
      </c>
      <c r="C43" s="1194">
        <f>TableA2b!C43</f>
        <v>914.7102185487629</v>
      </c>
      <c r="D43" s="1194">
        <f t="shared" si="0"/>
        <v>97.858817957512429</v>
      </c>
      <c r="E43" s="1194">
        <v>687.21965445624505</v>
      </c>
      <c r="F43" s="1194">
        <f t="shared" si="4"/>
        <v>325.34938205003027</v>
      </c>
      <c r="G43" s="299">
        <f>TableA2!D43+TableA2!G43</f>
        <v>606.97278261998781</v>
      </c>
      <c r="H43" s="1227">
        <v>525.31758702610216</v>
      </c>
      <c r="I43" s="1230">
        <v>81.655195593885836</v>
      </c>
      <c r="J43" s="1153">
        <v>722.56114010309068</v>
      </c>
      <c r="K43" s="1168">
        <f t="shared" si="1"/>
        <v>-115.58835748310287</v>
      </c>
      <c r="L43" s="1244">
        <f t="shared" si="2"/>
        <v>429.05135767551087</v>
      </c>
      <c r="M43" s="1168">
        <v>190.48008470713972</v>
      </c>
      <c r="N43" s="1168">
        <v>238.57127296837115</v>
      </c>
      <c r="O43" s="1245">
        <f t="shared" si="3"/>
        <v>0.97899553682336404</v>
      </c>
      <c r="P43" s="1155"/>
      <c r="Q43" s="1155"/>
      <c r="R43" s="1168"/>
    </row>
    <row r="44" spans="1:18" ht="17" thickBot="1" x14ac:dyDescent="0.25">
      <c r="A44" s="1239" t="s">
        <v>63</v>
      </c>
      <c r="B44" s="325">
        <f>TableA2!C44</f>
        <v>6036.1069000000007</v>
      </c>
      <c r="C44" s="1246">
        <f>TableA2b!C44</f>
        <v>5360.1337000000003</v>
      </c>
      <c r="D44" s="1246">
        <f t="shared" si="0"/>
        <v>675.97320000000036</v>
      </c>
      <c r="E44" s="1246">
        <f>B44</f>
        <v>6036.1069000000007</v>
      </c>
      <c r="F44" s="1246">
        <f t="shared" si="4"/>
        <v>0</v>
      </c>
      <c r="G44" s="326">
        <f>TableA2!D44+TableA2!G44</f>
        <v>3713.6565000000001</v>
      </c>
      <c r="H44" s="1247">
        <v>3061.2428999999997</v>
      </c>
      <c r="I44" s="1248">
        <v>652.41359999999997</v>
      </c>
      <c r="J44" s="1241">
        <f>G44</f>
        <v>3713.6565000000001</v>
      </c>
      <c r="K44" s="1249">
        <f t="shared" si="1"/>
        <v>0</v>
      </c>
      <c r="L44" s="1250">
        <f t="shared" si="2"/>
        <v>834.53200000000004</v>
      </c>
      <c r="M44" s="1249">
        <v>539.10500000000002</v>
      </c>
      <c r="N44" s="1249">
        <v>295.42700000000002</v>
      </c>
      <c r="O44" s="1251">
        <f t="shared" si="3"/>
        <v>1.1577398640502552</v>
      </c>
      <c r="P44" s="1155"/>
      <c r="Q44" s="1155"/>
      <c r="R44" s="1168"/>
    </row>
    <row r="45" spans="1:18" ht="35" hidden="1" thickTop="1" x14ac:dyDescent="0.2">
      <c r="A45" s="7" t="s">
        <v>64</v>
      </c>
      <c r="B45" s="1810"/>
      <c r="C45" s="1832"/>
      <c r="D45" s="1832"/>
      <c r="E45" s="1832"/>
      <c r="F45" s="1832"/>
      <c r="G45" s="321"/>
      <c r="H45" s="1252"/>
      <c r="I45" s="1253"/>
      <c r="J45" s="1860"/>
      <c r="K45" s="1860"/>
      <c r="L45" s="1834"/>
      <c r="M45" s="1860"/>
      <c r="N45" s="1860"/>
      <c r="O45" s="1254"/>
      <c r="P45" s="1860"/>
      <c r="Q45" s="1860"/>
      <c r="R45" s="1860"/>
    </row>
    <row r="46" spans="1:18" hidden="1" x14ac:dyDescent="0.2">
      <c r="A46" s="1149" t="s">
        <v>65</v>
      </c>
      <c r="B46" s="324">
        <f>TableA2!C46</f>
        <v>683.84777930021517</v>
      </c>
      <c r="C46" s="1832"/>
      <c r="D46" s="1832"/>
      <c r="E46" s="1832"/>
      <c r="F46" s="1832"/>
      <c r="G46" s="299">
        <f>TableA2!D46+TableA2!G46</f>
        <v>421.2199</v>
      </c>
      <c r="H46" s="1252"/>
      <c r="I46" s="1253"/>
      <c r="J46" s="1860"/>
      <c r="K46" s="1860"/>
      <c r="L46" s="1834"/>
      <c r="M46" s="1860"/>
      <c r="N46" s="1860"/>
      <c r="O46" s="1254"/>
      <c r="P46" s="1860"/>
      <c r="Q46" s="1860"/>
      <c r="R46" s="1860"/>
    </row>
    <row r="47" spans="1:18" hidden="1" x14ac:dyDescent="0.2">
      <c r="A47" s="1148" t="s">
        <v>66</v>
      </c>
      <c r="B47" s="324">
        <f>TableA2!C47</f>
        <v>3000.3468631285727</v>
      </c>
      <c r="C47" s="1832"/>
      <c r="D47" s="1832"/>
      <c r="E47" s="1832"/>
      <c r="F47" s="1832"/>
      <c r="G47" s="299">
        <f>TableA2!D47+TableA2!G47</f>
        <v>3211.4979222099973</v>
      </c>
      <c r="H47" s="1252"/>
      <c r="I47" s="1253"/>
      <c r="J47" s="1860"/>
      <c r="K47" s="1860"/>
      <c r="L47" s="1834"/>
      <c r="M47" s="1860"/>
      <c r="N47" s="1860"/>
      <c r="O47" s="1254"/>
      <c r="P47" s="1860"/>
      <c r="Q47" s="1860"/>
      <c r="R47" s="1860"/>
    </row>
    <row r="48" spans="1:18" hidden="1" x14ac:dyDescent="0.2">
      <c r="A48" s="1148" t="s">
        <v>67</v>
      </c>
      <c r="B48" s="324">
        <f>TableA2!C48</f>
        <v>54.170478374899503</v>
      </c>
      <c r="C48" s="1832"/>
      <c r="D48" s="1832"/>
      <c r="E48" s="1832"/>
      <c r="F48" s="1832"/>
      <c r="G48" s="299">
        <f>TableA2!D48+TableA2!G48</f>
        <v>80.853621322501638</v>
      </c>
      <c r="H48" s="1252"/>
      <c r="I48" s="1253"/>
      <c r="J48" s="1860"/>
      <c r="K48" s="1860"/>
      <c r="L48" s="1834"/>
      <c r="M48" s="1860"/>
      <c r="N48" s="1860"/>
      <c r="O48" s="1254"/>
      <c r="P48" s="1860"/>
      <c r="Q48" s="1860"/>
      <c r="R48" s="1860"/>
    </row>
    <row r="49" spans="1:18" hidden="1" x14ac:dyDescent="0.2">
      <c r="A49" s="1148" t="s">
        <v>68</v>
      </c>
      <c r="B49" s="324">
        <f>TableA2!C49</f>
        <v>15.631819704056245</v>
      </c>
      <c r="C49" s="1832"/>
      <c r="D49" s="1832"/>
      <c r="E49" s="1832"/>
      <c r="F49" s="1832"/>
      <c r="G49" s="299">
        <f>TableA2!D49+TableA2!G49</f>
        <v>14.355682190986528</v>
      </c>
      <c r="H49" s="1252"/>
      <c r="I49" s="1253"/>
      <c r="J49" s="1860"/>
      <c r="K49" s="1860"/>
      <c r="L49" s="1834"/>
      <c r="M49" s="1860"/>
      <c r="N49" s="1860"/>
      <c r="O49" s="1254"/>
      <c r="P49" s="1860"/>
      <c r="Q49" s="1860"/>
      <c r="R49" s="1860"/>
    </row>
    <row r="50" spans="1:18" ht="14.25" hidden="1" customHeight="1" x14ac:dyDescent="0.2">
      <c r="A50" s="1148" t="s">
        <v>69</v>
      </c>
      <c r="B50" s="324">
        <f>TableA2!C50</f>
        <v>318.62573018831665</v>
      </c>
      <c r="C50" s="1832"/>
      <c r="D50" s="1832"/>
      <c r="E50" s="1832"/>
      <c r="F50" s="1832"/>
      <c r="G50" s="299">
        <f>TableA2!D50+TableA2!G50</f>
        <v>600.39006768056788</v>
      </c>
      <c r="H50" s="1252"/>
      <c r="I50" s="1253"/>
      <c r="J50" s="1860"/>
      <c r="K50" s="1860"/>
      <c r="L50" s="1834"/>
      <c r="M50" s="1860"/>
      <c r="N50" s="1860"/>
      <c r="O50" s="1254"/>
      <c r="P50" s="1860"/>
      <c r="Q50" s="1860"/>
      <c r="R50" s="1860"/>
    </row>
    <row r="51" spans="1:18" ht="14.25" hidden="1" customHeight="1" x14ac:dyDescent="0.2">
      <c r="A51" s="1148" t="s">
        <v>70</v>
      </c>
      <c r="B51" s="324">
        <f>TableA2!C51</f>
        <v>465.66449313355542</v>
      </c>
      <c r="C51" s="1832"/>
      <c r="D51" s="1832"/>
      <c r="E51" s="1832"/>
      <c r="F51" s="1832"/>
      <c r="G51" s="299">
        <f>TableA2!D51+TableA2!G51</f>
        <v>390.67700792531377</v>
      </c>
      <c r="H51" s="1252"/>
      <c r="I51" s="1253"/>
      <c r="J51" s="1860"/>
      <c r="K51" s="1860"/>
      <c r="L51" s="1834"/>
      <c r="M51" s="1860"/>
      <c r="N51" s="1860"/>
      <c r="O51" s="1254"/>
      <c r="P51" s="1860"/>
      <c r="Q51" s="1860"/>
      <c r="R51" s="1860"/>
    </row>
    <row r="52" spans="1:18" ht="14.25" hidden="1" customHeight="1" x14ac:dyDescent="0.2">
      <c r="A52" s="1148" t="s">
        <v>71</v>
      </c>
      <c r="B52" s="324">
        <f>TableA2!C52</f>
        <v>97.137143202548756</v>
      </c>
      <c r="C52" s="1832"/>
      <c r="D52" s="1832"/>
      <c r="E52" s="1832"/>
      <c r="F52" s="1832"/>
      <c r="G52" s="299">
        <f>TableA2!D52+TableA2!G52</f>
        <v>95.182230045806293</v>
      </c>
      <c r="H52" s="1252"/>
      <c r="I52" s="1253"/>
      <c r="J52" s="1860"/>
      <c r="K52" s="1860"/>
      <c r="L52" s="1834"/>
      <c r="M52" s="1860"/>
      <c r="N52" s="1860"/>
      <c r="O52" s="1254"/>
      <c r="P52" s="1860"/>
      <c r="Q52" s="1860"/>
      <c r="R52" s="1860"/>
    </row>
    <row r="53" spans="1:18" ht="34" hidden="1" x14ac:dyDescent="0.2">
      <c r="A53" s="7" t="s">
        <v>72</v>
      </c>
      <c r="B53" s="1810"/>
      <c r="C53" s="1832"/>
      <c r="D53" s="1832"/>
      <c r="E53" s="1832"/>
      <c r="F53" s="1832"/>
      <c r="G53" s="321"/>
      <c r="H53" s="1252"/>
      <c r="I53" s="1253"/>
      <c r="J53" s="1860"/>
      <c r="K53" s="1860"/>
      <c r="L53" s="1834"/>
      <c r="M53" s="1860"/>
      <c r="N53" s="1860"/>
      <c r="O53" s="1254"/>
      <c r="P53" s="1860"/>
      <c r="Q53" s="1860"/>
      <c r="R53" s="1860"/>
    </row>
    <row r="54" spans="1:18" ht="14.25" hidden="1" customHeight="1" x14ac:dyDescent="0.2">
      <c r="A54" s="1148" t="s">
        <v>73</v>
      </c>
      <c r="B54" s="299">
        <f>+TableA2!C54</f>
        <v>0.50910500000000003</v>
      </c>
      <c r="C54" s="1832"/>
      <c r="D54" s="1832"/>
      <c r="E54" s="1832"/>
      <c r="F54" s="1832"/>
      <c r="G54" s="299">
        <f>TableA2!D54+TableA2!G54</f>
        <v>1.3810950000000002</v>
      </c>
      <c r="H54" s="1252"/>
      <c r="I54" s="1253"/>
      <c r="J54" s="1860"/>
      <c r="K54" s="1860"/>
      <c r="L54" s="1834"/>
      <c r="M54" s="1860"/>
      <c r="N54" s="1860"/>
      <c r="O54" s="1254"/>
      <c r="P54" s="1860"/>
      <c r="Q54" s="1860"/>
      <c r="R54" s="1860"/>
    </row>
    <row r="55" spans="1:18" ht="14.25" hidden="1" customHeight="1" x14ac:dyDescent="0.2">
      <c r="A55" s="1148" t="s">
        <v>74</v>
      </c>
      <c r="B55" s="299">
        <f>+TableA2!C55</f>
        <v>4.8179904000000003E-2</v>
      </c>
      <c r="C55" s="1832"/>
      <c r="D55" s="1832"/>
      <c r="E55" s="1832"/>
      <c r="F55" s="1832"/>
      <c r="G55" s="299">
        <f>TableA2!D55+TableA2!G55</f>
        <v>0.13070209600000002</v>
      </c>
      <c r="H55" s="1252"/>
      <c r="I55" s="1253"/>
      <c r="J55" s="1860"/>
      <c r="K55" s="1860"/>
      <c r="L55" s="1834"/>
      <c r="M55" s="1860"/>
      <c r="N55" s="1860"/>
      <c r="O55" s="1254"/>
      <c r="P55" s="1860"/>
      <c r="Q55" s="1860"/>
      <c r="R55" s="1860"/>
    </row>
    <row r="56" spans="1:18" ht="14.25" hidden="1" customHeight="1" x14ac:dyDescent="0.2">
      <c r="A56" s="1148" t="str">
        <f>+TableA1!A56</f>
        <v>Antigua and Barbuda</v>
      </c>
      <c r="B56" s="299">
        <f>+TableA2!C56</f>
        <v>9.4220399999999996E-2</v>
      </c>
      <c r="C56" s="1832"/>
      <c r="D56" s="1832"/>
      <c r="E56" s="1832"/>
      <c r="F56" s="1832"/>
      <c r="G56" s="156">
        <f>TableA2!D56+TableA2!G56</f>
        <v>0.82339459999999998</v>
      </c>
      <c r="H56" s="1252"/>
      <c r="I56" s="1253"/>
      <c r="J56" s="1860"/>
      <c r="K56" s="1860"/>
      <c r="L56" s="1834"/>
      <c r="M56" s="1860"/>
      <c r="N56" s="1860"/>
      <c r="O56" s="1254"/>
      <c r="P56" s="1860"/>
      <c r="Q56" s="1860"/>
      <c r="R56" s="1860"/>
    </row>
    <row r="57" spans="1:18" ht="14.25" hidden="1" customHeight="1" x14ac:dyDescent="0.2">
      <c r="A57" s="1148" t="s">
        <v>76</v>
      </c>
      <c r="B57" s="299">
        <f>+TableA2!C57</f>
        <v>0.45270100000000002</v>
      </c>
      <c r="C57" s="1832"/>
      <c r="D57" s="1832"/>
      <c r="E57" s="1832"/>
      <c r="F57" s="1832"/>
      <c r="G57" s="299">
        <f>TableA2!D57+TableA2!G57</f>
        <v>1.2280789999999999</v>
      </c>
      <c r="H57" s="1252"/>
      <c r="I57" s="1253"/>
      <c r="J57" s="1860"/>
      <c r="K57" s="1860"/>
      <c r="L57" s="1834"/>
      <c r="M57" s="1860"/>
      <c r="N57" s="1860"/>
      <c r="O57" s="1254"/>
      <c r="P57" s="1860"/>
      <c r="Q57" s="1860"/>
      <c r="R57" s="1860"/>
    </row>
    <row r="58" spans="1:18" ht="14.25" hidden="1" customHeight="1" x14ac:dyDescent="0.2">
      <c r="A58" s="1148" t="s">
        <v>152</v>
      </c>
      <c r="B58" s="299">
        <f>+TableA2!C58</f>
        <v>0.49227100000000001</v>
      </c>
      <c r="C58" s="1832"/>
      <c r="D58" s="1832"/>
      <c r="E58" s="1832"/>
      <c r="F58" s="1832"/>
      <c r="G58" s="299">
        <f>TableA2!D58+TableA2!G58</f>
        <v>7.0645190000000007</v>
      </c>
      <c r="H58" s="1252"/>
      <c r="I58" s="1253"/>
      <c r="J58" s="1860"/>
      <c r="K58" s="1860"/>
      <c r="L58" s="1834"/>
      <c r="M58" s="1860"/>
      <c r="N58" s="1860"/>
      <c r="O58" s="1254"/>
      <c r="P58" s="1860"/>
      <c r="Q58" s="1860"/>
      <c r="R58" s="1860"/>
    </row>
    <row r="59" spans="1:18" ht="14.25" hidden="1" customHeight="1" x14ac:dyDescent="0.2">
      <c r="A59" s="1148" t="s">
        <v>78</v>
      </c>
      <c r="B59" s="299">
        <f>+TableA2!C59</f>
        <v>10.122538414747584</v>
      </c>
      <c r="C59" s="1832"/>
      <c r="D59" s="1832"/>
      <c r="E59" s="1832"/>
      <c r="F59" s="1832"/>
      <c r="G59" s="299">
        <f>TableA2!D59+TableA2!G59</f>
        <v>11.994661585252416</v>
      </c>
      <c r="H59" s="1252"/>
      <c r="I59" s="1253"/>
      <c r="J59" s="1860"/>
      <c r="K59" s="1860"/>
      <c r="L59" s="1834"/>
      <c r="M59" s="1860"/>
      <c r="N59" s="1860"/>
      <c r="O59" s="1254"/>
      <c r="P59" s="1860"/>
      <c r="Q59" s="1860"/>
      <c r="R59" s="1860"/>
    </row>
    <row r="60" spans="1:18" ht="14.25" hidden="1" customHeight="1" x14ac:dyDescent="0.2">
      <c r="A60" s="1148" t="str">
        <f>+TableA1!A60</f>
        <v>Barbados</v>
      </c>
      <c r="B60" s="299">
        <f>+TableA2!C60</f>
        <v>0.34493299999999999</v>
      </c>
      <c r="C60" s="1832"/>
      <c r="D60" s="1832"/>
      <c r="E60" s="1832"/>
      <c r="F60" s="1832"/>
      <c r="G60" s="156">
        <f>TableA2!D60+TableA2!G60</f>
        <v>2.737047</v>
      </c>
      <c r="H60" s="1252"/>
      <c r="I60" s="1253"/>
      <c r="J60" s="1860"/>
      <c r="K60" s="1860"/>
      <c r="L60" s="1834"/>
      <c r="M60" s="1860"/>
      <c r="N60" s="1860"/>
      <c r="O60" s="1254"/>
      <c r="P60" s="1860"/>
      <c r="Q60" s="1860"/>
      <c r="R60" s="1860"/>
    </row>
    <row r="61" spans="1:18" ht="14.25" hidden="1" customHeight="1" x14ac:dyDescent="0.2">
      <c r="A61" s="1148" t="s">
        <v>80</v>
      </c>
      <c r="B61" s="299">
        <f>+TableA2!C61</f>
        <v>0.13389599999999999</v>
      </c>
      <c r="C61" s="1832"/>
      <c r="D61" s="1832"/>
      <c r="E61" s="1832"/>
      <c r="F61" s="1832"/>
      <c r="G61" s="299">
        <f>TableA2!D61+TableA2!G61</f>
        <v>1.037644</v>
      </c>
      <c r="H61" s="1252"/>
      <c r="I61" s="1253"/>
      <c r="J61" s="1860"/>
      <c r="K61" s="1860"/>
      <c r="L61" s="1834"/>
      <c r="M61" s="1860"/>
      <c r="N61" s="1860"/>
      <c r="O61" s="1254"/>
      <c r="P61" s="1860"/>
      <c r="Q61" s="1860"/>
      <c r="R61" s="1860"/>
    </row>
    <row r="62" spans="1:18" ht="14.25" hidden="1" customHeight="1" x14ac:dyDescent="0.2">
      <c r="A62" s="1148" t="s">
        <v>81</v>
      </c>
      <c r="B62" s="299">
        <f>+TableA2!C62</f>
        <v>3.0988699999999998</v>
      </c>
      <c r="C62" s="1832"/>
      <c r="D62" s="1832"/>
      <c r="E62" s="1832"/>
      <c r="F62" s="1832"/>
      <c r="G62" s="299">
        <f>TableA2!D62+TableA2!G62</f>
        <v>1.7479000000000005</v>
      </c>
      <c r="H62" s="1252"/>
      <c r="I62" s="1253"/>
      <c r="J62" s="1860"/>
      <c r="K62" s="1860"/>
      <c r="L62" s="1834"/>
      <c r="M62" s="1860"/>
      <c r="N62" s="1860"/>
      <c r="O62" s="1254"/>
      <c r="P62" s="1860"/>
      <c r="Q62" s="1860"/>
      <c r="R62" s="1860"/>
    </row>
    <row r="63" spans="1:18" ht="14.25" hidden="1" customHeight="1" x14ac:dyDescent="0.2">
      <c r="A63" s="1148" t="s">
        <v>82</v>
      </c>
      <c r="B63" s="299">
        <f>+TableA2!C63</f>
        <v>7.2464799999999996E-2</v>
      </c>
      <c r="C63" s="1832"/>
      <c r="D63" s="1832"/>
      <c r="E63" s="1832"/>
      <c r="F63" s="1832"/>
      <c r="G63" s="299">
        <f>TableA2!D63+TableA2!G63</f>
        <v>0.19658120000000001</v>
      </c>
      <c r="H63" s="1252"/>
      <c r="I63" s="1253"/>
      <c r="J63" s="1860"/>
      <c r="K63" s="1860"/>
      <c r="L63" s="1834"/>
      <c r="M63" s="1860"/>
      <c r="N63" s="1860"/>
      <c r="O63" s="1254"/>
      <c r="P63" s="1860"/>
      <c r="Q63" s="1860"/>
      <c r="R63" s="1860"/>
    </row>
    <row r="64" spans="1:18" ht="14.25" hidden="1" customHeight="1" x14ac:dyDescent="0.2">
      <c r="A64" s="1148" t="s">
        <v>153</v>
      </c>
      <c r="B64" s="299">
        <f>+TableA2!C64</f>
        <v>0.16297200000000001</v>
      </c>
      <c r="C64" s="1832"/>
      <c r="D64" s="1832"/>
      <c r="E64" s="1832"/>
      <c r="F64" s="1832"/>
      <c r="G64" s="299">
        <f>TableA2!D64+TableA2!G64</f>
        <v>0.44210899999999997</v>
      </c>
      <c r="H64" s="1252"/>
      <c r="I64" s="1253"/>
      <c r="J64" s="1860"/>
      <c r="K64" s="1860"/>
      <c r="L64" s="1834"/>
      <c r="M64" s="1860"/>
      <c r="N64" s="1860"/>
      <c r="O64" s="1254"/>
      <c r="P64" s="1860"/>
      <c r="Q64" s="1860"/>
      <c r="R64" s="1860"/>
    </row>
    <row r="65" spans="1:18" ht="14.25" hidden="1" customHeight="1" x14ac:dyDescent="0.2">
      <c r="A65" s="113" t="s">
        <v>84</v>
      </c>
      <c r="B65" s="299">
        <f>+TableA2!C65</f>
        <v>1.41639</v>
      </c>
      <c r="C65" s="1832"/>
      <c r="D65" s="1832"/>
      <c r="E65" s="1832"/>
      <c r="F65" s="1832"/>
      <c r="G65" s="299">
        <f>TableA2!D65+TableA2!G65</f>
        <v>0.90257000000000009</v>
      </c>
      <c r="H65" s="1252"/>
      <c r="I65" s="1253"/>
      <c r="J65" s="1860"/>
      <c r="K65" s="1860"/>
      <c r="L65" s="1834"/>
      <c r="M65" s="1860"/>
      <c r="N65" s="1860"/>
      <c r="O65" s="1254"/>
      <c r="P65" s="1860"/>
      <c r="Q65" s="1860"/>
      <c r="R65" s="1860"/>
    </row>
    <row r="66" spans="1:18" ht="14.25" hidden="1" customHeight="1" x14ac:dyDescent="0.2">
      <c r="A66" s="1148" t="s">
        <v>85</v>
      </c>
      <c r="B66" s="299">
        <f>+TableA2!C66</f>
        <v>1.3583099999999999</v>
      </c>
      <c r="C66" s="1832"/>
      <c r="D66" s="1832"/>
      <c r="E66" s="1832"/>
      <c r="F66" s="1832"/>
      <c r="G66" s="299">
        <f>TableA2!D66+TableA2!G66</f>
        <v>0.66642000000000001</v>
      </c>
      <c r="H66" s="1252"/>
      <c r="I66" s="1253"/>
      <c r="J66" s="1860"/>
      <c r="K66" s="1860"/>
      <c r="L66" s="1834"/>
      <c r="M66" s="1860"/>
      <c r="N66" s="1860"/>
      <c r="O66" s="1254"/>
      <c r="P66" s="1860"/>
      <c r="Q66" s="1860"/>
      <c r="R66" s="1860"/>
    </row>
    <row r="67" spans="1:18" ht="14.25" hidden="1" customHeight="1" x14ac:dyDescent="0.2">
      <c r="A67" s="1148" t="str">
        <f>+TableA1!A67</f>
        <v>Cyprus</v>
      </c>
      <c r="B67" s="299">
        <f>+TableA2!C67</f>
        <v>5.5453299999999999</v>
      </c>
      <c r="C67" s="1832"/>
      <c r="D67" s="1832"/>
      <c r="E67" s="1832"/>
      <c r="F67" s="1832"/>
      <c r="G67" s="156">
        <f>TableA2!D67+TableA2!G67</f>
        <v>4.4174199999999999</v>
      </c>
      <c r="H67" s="1252"/>
      <c r="I67" s="1253"/>
      <c r="J67" s="1860"/>
      <c r="K67" s="1860"/>
      <c r="L67" s="1834"/>
      <c r="M67" s="1860"/>
      <c r="N67" s="1860"/>
      <c r="O67" s="1254"/>
      <c r="P67" s="1860"/>
      <c r="Q67" s="1860"/>
      <c r="R67" s="1860"/>
    </row>
    <row r="68" spans="1:18" ht="14.25" hidden="1" customHeight="1" x14ac:dyDescent="0.2">
      <c r="A68" s="1148" t="s">
        <v>87</v>
      </c>
      <c r="B68" s="299">
        <f>+TableA2!C68</f>
        <v>1.2626299999999999</v>
      </c>
      <c r="C68" s="1832"/>
      <c r="D68" s="1832"/>
      <c r="E68" s="1832"/>
      <c r="F68" s="1832"/>
      <c r="G68" s="299">
        <f>TableA2!D68+TableA2!G68</f>
        <v>3.42523</v>
      </c>
      <c r="H68" s="1252"/>
      <c r="I68" s="1253"/>
      <c r="J68" s="1860"/>
      <c r="K68" s="1860"/>
      <c r="L68" s="1834"/>
      <c r="M68" s="1860"/>
      <c r="N68" s="1860"/>
      <c r="O68" s="1254"/>
      <c r="P68" s="1860"/>
      <c r="Q68" s="1860"/>
      <c r="R68" s="1860"/>
    </row>
    <row r="69" spans="1:18" ht="14.25" hidden="1" customHeight="1" x14ac:dyDescent="0.2">
      <c r="A69" s="1148" t="str">
        <f>+TableA1!A69</f>
        <v>Grenada</v>
      </c>
      <c r="B69" s="299">
        <f>+TableA2!C69</f>
        <v>7.3907048000000003E-2</v>
      </c>
      <c r="C69" s="1832"/>
      <c r="D69" s="1832"/>
      <c r="E69" s="1832"/>
      <c r="F69" s="1832"/>
      <c r="G69" s="156">
        <f>TableA2!D69+TableA2!G69</f>
        <v>0.43292695199999998</v>
      </c>
      <c r="H69" s="1252"/>
      <c r="I69" s="1253"/>
      <c r="J69" s="1860"/>
      <c r="K69" s="1860"/>
      <c r="L69" s="1834"/>
      <c r="M69" s="1860"/>
      <c r="N69" s="1860"/>
      <c r="O69" s="1254"/>
      <c r="P69" s="1860"/>
      <c r="Q69" s="1860"/>
      <c r="R69" s="1860"/>
    </row>
    <row r="70" spans="1:18" ht="14.25" hidden="1" customHeight="1" x14ac:dyDescent="0.2">
      <c r="A70" s="1148" t="s">
        <v>89</v>
      </c>
      <c r="B70" s="299">
        <f>+TableA2!C70</f>
        <v>0.84902900000000003</v>
      </c>
      <c r="C70" s="1832"/>
      <c r="D70" s="1832"/>
      <c r="E70" s="1832"/>
      <c r="F70" s="1832"/>
      <c r="G70" s="299">
        <f>TableA2!D70+TableA2!G70</f>
        <v>2.3032310000000003</v>
      </c>
      <c r="H70" s="1252"/>
      <c r="I70" s="1253"/>
      <c r="J70" s="1860"/>
      <c r="K70" s="1860"/>
      <c r="L70" s="1834"/>
      <c r="M70" s="1860"/>
      <c r="N70" s="1860"/>
      <c r="O70" s="1254"/>
      <c r="P70" s="1860"/>
      <c r="Q70" s="1860"/>
      <c r="R70" s="1860"/>
    </row>
    <row r="71" spans="1:18" ht="14.25" hidden="1" customHeight="1" x14ac:dyDescent="0.2">
      <c r="A71" s="1148" t="s">
        <v>154</v>
      </c>
      <c r="B71" s="299">
        <f>+TableA2!C71</f>
        <v>0.45451200000000003</v>
      </c>
      <c r="C71" s="1832"/>
      <c r="D71" s="1832"/>
      <c r="E71" s="1832"/>
      <c r="F71" s="1832"/>
      <c r="G71" s="156">
        <f>TableA2!D71+TableA2!G71</f>
        <v>1.232988</v>
      </c>
      <c r="H71" s="1252"/>
      <c r="I71" s="1253"/>
      <c r="J71" s="1860"/>
      <c r="K71" s="1860"/>
      <c r="L71" s="1834"/>
      <c r="M71" s="1860"/>
      <c r="N71" s="1860"/>
      <c r="O71" s="1254"/>
      <c r="P71" s="1860"/>
      <c r="Q71" s="1860"/>
      <c r="R71" s="1860"/>
    </row>
    <row r="72" spans="1:18" ht="14.25" hidden="1" customHeight="1" x14ac:dyDescent="0.2">
      <c r="A72" s="1148" t="s">
        <v>91</v>
      </c>
      <c r="B72" s="299">
        <f>+TableA2!C72</f>
        <v>117.069</v>
      </c>
      <c r="C72" s="1832"/>
      <c r="D72" s="1832"/>
      <c r="E72" s="1832"/>
      <c r="F72" s="1832"/>
      <c r="G72" s="156">
        <f>TableA2!D72+TableA2!G72</f>
        <v>102.02300000000001</v>
      </c>
      <c r="H72" s="1252"/>
      <c r="I72" s="1253"/>
      <c r="J72" s="1860"/>
      <c r="K72" s="1860"/>
      <c r="L72" s="1834"/>
      <c r="M72" s="1860"/>
      <c r="N72" s="1860"/>
      <c r="O72" s="1254"/>
      <c r="P72" s="1860"/>
      <c r="Q72" s="1860"/>
      <c r="R72" s="1860"/>
    </row>
    <row r="73" spans="1:18" ht="14.25" hidden="1" customHeight="1" x14ac:dyDescent="0.2">
      <c r="A73" s="1148" t="s">
        <v>92</v>
      </c>
      <c r="B73" s="299">
        <f>+TableA2!C73</f>
        <v>1.22997</v>
      </c>
      <c r="C73" s="1832"/>
      <c r="D73" s="1832"/>
      <c r="E73" s="1832"/>
      <c r="F73" s="1832"/>
      <c r="G73" s="156">
        <f>TableA2!D73+TableA2!G73</f>
        <v>3.3366600000000002</v>
      </c>
      <c r="H73" s="1252"/>
      <c r="I73" s="1253"/>
      <c r="J73" s="1860"/>
      <c r="K73" s="1860"/>
      <c r="L73" s="1834"/>
      <c r="M73" s="1860"/>
      <c r="N73" s="1860"/>
      <c r="O73" s="1254"/>
      <c r="P73" s="1860"/>
      <c r="Q73" s="1860"/>
      <c r="R73" s="1860"/>
    </row>
    <row r="74" spans="1:18" ht="14.25" hidden="1" customHeight="1" x14ac:dyDescent="0.2">
      <c r="A74" s="1148" t="s">
        <v>93</v>
      </c>
      <c r="B74" s="299">
        <f>+TableA2!C74</f>
        <v>15.218728393333157</v>
      </c>
      <c r="C74" s="1832"/>
      <c r="D74" s="1832"/>
      <c r="E74" s="1832"/>
      <c r="F74" s="1832"/>
      <c r="G74" s="156">
        <f>TableA2!D74+TableA2!G74</f>
        <v>18.03337160666684</v>
      </c>
      <c r="H74" s="1252"/>
      <c r="I74" s="1253"/>
      <c r="J74" s="1860"/>
      <c r="K74" s="1860"/>
      <c r="L74" s="1834"/>
      <c r="M74" s="1860"/>
      <c r="N74" s="1860"/>
      <c r="O74" s="1254"/>
      <c r="P74" s="1860"/>
      <c r="Q74" s="1860"/>
      <c r="R74" s="1860"/>
    </row>
    <row r="75" spans="1:18" ht="14.25" hidden="1" customHeight="1" x14ac:dyDescent="0.2">
      <c r="A75" s="1148" t="s">
        <v>94</v>
      </c>
      <c r="B75" s="299">
        <f>+TableA2!C75</f>
        <v>2.9184000000000001</v>
      </c>
      <c r="C75" s="1832"/>
      <c r="D75" s="1832"/>
      <c r="E75" s="1832"/>
      <c r="F75" s="1832"/>
      <c r="G75" s="156">
        <f>TableA2!D75+TableA2!G75</f>
        <v>1.8204899999999995</v>
      </c>
      <c r="H75" s="1252"/>
      <c r="I75" s="1253"/>
      <c r="J75" s="1860"/>
      <c r="K75" s="1860"/>
      <c r="L75" s="1834"/>
      <c r="M75" s="1860"/>
      <c r="N75" s="1860"/>
      <c r="O75" s="1254"/>
      <c r="P75" s="1860"/>
      <c r="Q75" s="1860"/>
      <c r="R75" s="1860"/>
    </row>
    <row r="76" spans="1:18" ht="14.25" hidden="1" customHeight="1" x14ac:dyDescent="0.2">
      <c r="A76" s="1148" t="s">
        <v>95</v>
      </c>
      <c r="B76" s="299">
        <f>+TableA2!C76</f>
        <v>10.102600000000001</v>
      </c>
      <c r="C76" s="1832"/>
      <c r="D76" s="1832"/>
      <c r="E76" s="1832"/>
      <c r="F76" s="1832"/>
      <c r="G76" s="156">
        <f>TableA2!D76+TableA2!G76</f>
        <v>15.1149</v>
      </c>
      <c r="H76" s="1252"/>
      <c r="I76" s="1253"/>
      <c r="J76" s="1860"/>
      <c r="K76" s="1860"/>
      <c r="L76" s="1834"/>
      <c r="M76" s="1860"/>
      <c r="N76" s="1860"/>
      <c r="O76" s="1254"/>
      <c r="P76" s="1860"/>
      <c r="Q76" s="1860"/>
      <c r="R76" s="1860"/>
    </row>
    <row r="77" spans="1:18" ht="14.25" hidden="1" customHeight="1" x14ac:dyDescent="0.2">
      <c r="A77" s="1148" t="s">
        <v>96</v>
      </c>
      <c r="B77" s="299">
        <f>+TableA2!C77</f>
        <v>2.7482700000000002</v>
      </c>
      <c r="C77" s="1832"/>
      <c r="D77" s="1832"/>
      <c r="E77" s="1832"/>
      <c r="F77" s="1832"/>
      <c r="G77" s="156">
        <f>TableA2!D77+TableA2!G77</f>
        <v>3.1253499999999996</v>
      </c>
      <c r="H77" s="1252"/>
      <c r="I77" s="1253"/>
      <c r="J77" s="1860"/>
      <c r="K77" s="1860"/>
      <c r="L77" s="1834"/>
      <c r="M77" s="1860"/>
      <c r="N77" s="1860"/>
      <c r="O77" s="1254"/>
      <c r="P77" s="1860"/>
      <c r="Q77" s="1860"/>
      <c r="R77" s="1860"/>
    </row>
    <row r="78" spans="1:18" ht="14.25" hidden="1" customHeight="1" x14ac:dyDescent="0.2">
      <c r="A78" s="1148" t="s">
        <v>97</v>
      </c>
      <c r="B78" s="299">
        <f>+TableA2!C78</f>
        <v>8.3486143999999998E-2</v>
      </c>
      <c r="C78" s="1832"/>
      <c r="D78" s="1832"/>
      <c r="E78" s="1832"/>
      <c r="F78" s="1832"/>
      <c r="G78" s="156">
        <f>TableA2!D78+TableA2!G78</f>
        <v>4.5459856000000007E-2</v>
      </c>
      <c r="H78" s="1252"/>
      <c r="I78" s="1253"/>
      <c r="J78" s="1860"/>
      <c r="K78" s="1860"/>
      <c r="L78" s="1834"/>
      <c r="M78" s="1860"/>
      <c r="N78" s="1860"/>
      <c r="O78" s="1254"/>
      <c r="P78" s="1860"/>
      <c r="Q78" s="1860"/>
      <c r="R78" s="1860"/>
    </row>
    <row r="79" spans="1:18" ht="14.25" hidden="1" customHeight="1" x14ac:dyDescent="0.2">
      <c r="A79" s="1148" t="str">
        <f>+TableA1!A79</f>
        <v>Monaco</v>
      </c>
      <c r="B79" s="299">
        <f>+TableA2!C79</f>
        <v>1.0394000000000001</v>
      </c>
      <c r="C79" s="1832"/>
      <c r="D79" s="1832"/>
      <c r="E79" s="1832"/>
      <c r="F79" s="1832"/>
      <c r="G79" s="156">
        <f>TableA2!D79+TableA2!G79</f>
        <v>2.8196699999999999</v>
      </c>
      <c r="H79" s="1252"/>
      <c r="I79" s="1253"/>
      <c r="J79" s="1860"/>
      <c r="K79" s="1860"/>
      <c r="L79" s="1834"/>
      <c r="M79" s="1860"/>
      <c r="N79" s="1860"/>
      <c r="O79" s="1254"/>
      <c r="P79" s="1860"/>
      <c r="Q79" s="1860"/>
      <c r="R79" s="1860"/>
    </row>
    <row r="80" spans="1:18" ht="14.25" hidden="1" customHeight="1" x14ac:dyDescent="0.2">
      <c r="A80" s="1148" t="s">
        <v>99</v>
      </c>
      <c r="B80" s="299">
        <f>+TableA2!C80</f>
        <v>0.14390500000000001</v>
      </c>
      <c r="C80" s="1832"/>
      <c r="D80" s="1832"/>
      <c r="E80" s="1832"/>
      <c r="F80" s="1832"/>
      <c r="G80" s="156">
        <f>TableA2!D80+TableA2!G80</f>
        <v>0.39038199999999995</v>
      </c>
      <c r="H80" s="1252"/>
      <c r="I80" s="1253"/>
      <c r="J80" s="1860"/>
      <c r="K80" s="1860"/>
      <c r="L80" s="1834"/>
      <c r="M80" s="1860"/>
      <c r="N80" s="1860"/>
      <c r="O80" s="1254"/>
      <c r="P80" s="1860"/>
      <c r="Q80" s="1860"/>
      <c r="R80" s="1860"/>
    </row>
    <row r="81" spans="1:20" ht="14.25" hidden="1" customHeight="1" x14ac:dyDescent="0.2">
      <c r="A81" s="1148" t="s">
        <v>100</v>
      </c>
      <c r="B81" s="299">
        <f>+TableA2!C81</f>
        <v>0.36308000000000001</v>
      </c>
      <c r="C81" s="1027"/>
      <c r="D81" s="1027"/>
      <c r="E81" s="1027"/>
      <c r="F81" s="1027"/>
      <c r="G81" s="156">
        <f>TableA2!D81+TableA2!G81</f>
        <v>7.4977900000000002</v>
      </c>
      <c r="H81" s="1252"/>
      <c r="I81" s="1253"/>
      <c r="J81" s="1860"/>
      <c r="K81" s="1860"/>
      <c r="L81" s="1834"/>
      <c r="M81" s="1860"/>
      <c r="N81" s="1860"/>
      <c r="O81" s="1254"/>
      <c r="P81" s="1860"/>
      <c r="Q81" s="1860"/>
      <c r="R81" s="1860"/>
      <c r="S81" s="954"/>
      <c r="T81" s="954"/>
    </row>
    <row r="82" spans="1:20" ht="14.25" hidden="1" customHeight="1" x14ac:dyDescent="0.2">
      <c r="A82" s="1148" t="str">
        <f>+TableA1!A82</f>
        <v>Seychelles</v>
      </c>
      <c r="B82" s="299">
        <f>+TableA2!C82</f>
        <v>6.9840823999999996E-2</v>
      </c>
      <c r="C82" s="1027"/>
      <c r="D82" s="1027"/>
      <c r="E82" s="1027"/>
      <c r="F82" s="1027"/>
      <c r="G82" s="156">
        <f>TableA2!D82+TableA2!G82</f>
        <v>0.89675817600000007</v>
      </c>
      <c r="H82" s="1252"/>
      <c r="I82" s="1253"/>
      <c r="J82" s="1860"/>
      <c r="K82" s="1860"/>
      <c r="L82" s="1834"/>
      <c r="M82" s="1860"/>
      <c r="N82" s="1860"/>
      <c r="O82" s="1254"/>
      <c r="P82" s="1860"/>
      <c r="Q82" s="1860"/>
      <c r="R82" s="1860"/>
      <c r="S82" s="954"/>
      <c r="T82" s="954"/>
    </row>
    <row r="83" spans="1:20" hidden="1" x14ac:dyDescent="0.2">
      <c r="A83" s="1148" t="s">
        <v>102</v>
      </c>
      <c r="B83" s="299">
        <f>+TableA2!C83</f>
        <v>103.461294</v>
      </c>
      <c r="C83" s="1027"/>
      <c r="D83" s="1027"/>
      <c r="E83" s="1027"/>
      <c r="F83" s="1027"/>
      <c r="G83" s="156">
        <f>TableA2!D83+TableA2!G83</f>
        <v>89.979724314332955</v>
      </c>
      <c r="H83" s="1252"/>
      <c r="I83" s="1253"/>
      <c r="J83" s="1860"/>
      <c r="K83" s="1860"/>
      <c r="L83" s="1834"/>
      <c r="M83" s="1860"/>
      <c r="N83" s="1860"/>
      <c r="O83" s="1254"/>
      <c r="P83" s="1860"/>
      <c r="Q83" s="1860"/>
      <c r="R83" s="1860"/>
      <c r="S83" s="954"/>
      <c r="T83" s="954"/>
    </row>
    <row r="84" spans="1:20" hidden="1" x14ac:dyDescent="0.2">
      <c r="A84" s="1148" t="str">
        <f>+TableA1!A84</f>
        <v>St. Kitts and Nevis</v>
      </c>
      <c r="B84" s="299">
        <f>+TableA2!C84</f>
        <v>7.3737880000000006E-2</v>
      </c>
      <c r="C84" s="1027"/>
      <c r="D84" s="1027"/>
      <c r="E84" s="1027"/>
      <c r="F84" s="1027"/>
      <c r="G84" s="156">
        <f>TableA2!D84+TableA2!G84</f>
        <v>0.51674211999999997</v>
      </c>
      <c r="H84" s="1252"/>
      <c r="I84" s="1253"/>
      <c r="J84" s="1860"/>
      <c r="K84" s="1860"/>
      <c r="L84" s="1834"/>
      <c r="M84" s="1860"/>
      <c r="N84" s="1860"/>
      <c r="O84" s="1254"/>
      <c r="P84" s="1860"/>
      <c r="Q84" s="1860"/>
      <c r="R84" s="1860"/>
      <c r="S84" s="954"/>
      <c r="T84" s="954"/>
    </row>
    <row r="85" spans="1:20" hidden="1" x14ac:dyDescent="0.2">
      <c r="A85" s="1148" t="str">
        <f>+TableA1!A85</f>
        <v>St. Lucia</v>
      </c>
      <c r="B85" s="299">
        <f>+TableA2!C85</f>
        <v>0.115233</v>
      </c>
      <c r="C85" s="1027"/>
      <c r="D85" s="1027"/>
      <c r="E85" s="1027"/>
      <c r="F85" s="1027"/>
      <c r="G85" s="156">
        <f>TableA2!D85+TableA2!G85</f>
        <v>0.99350700000000003</v>
      </c>
      <c r="H85" s="1252"/>
      <c r="I85" s="1253"/>
      <c r="J85" s="1860"/>
      <c r="K85" s="1860"/>
      <c r="L85" s="1834"/>
      <c r="M85" s="1860"/>
      <c r="N85" s="1860"/>
      <c r="O85" s="1254"/>
      <c r="P85" s="1860"/>
      <c r="Q85" s="1860"/>
      <c r="R85" s="1860"/>
      <c r="S85" s="954"/>
      <c r="T85" s="954"/>
    </row>
    <row r="86" spans="1:20" hidden="1" x14ac:dyDescent="0.2">
      <c r="A86" s="1148" t="str">
        <f>+TableA1!A86</f>
        <v>St. Vincent and the Grenadines</v>
      </c>
      <c r="B86" s="299">
        <f>+TableA2!C86</f>
        <v>7.3914943999999996E-2</v>
      </c>
      <c r="C86" s="1027"/>
      <c r="D86" s="1027"/>
      <c r="E86" s="1027"/>
      <c r="F86" s="1027"/>
      <c r="G86" s="156">
        <f>TableA2!D86+TableA2!G86</f>
        <v>0.43381905600000004</v>
      </c>
      <c r="H86" s="1252"/>
      <c r="I86" s="1253"/>
      <c r="J86" s="1860"/>
      <c r="K86" s="1860"/>
      <c r="L86" s="1834"/>
      <c r="M86" s="1860"/>
      <c r="N86" s="1860"/>
      <c r="O86" s="1254"/>
      <c r="P86" s="1860"/>
      <c r="Q86" s="1860"/>
      <c r="R86" s="1860"/>
      <c r="S86" s="954"/>
      <c r="T86" s="954"/>
    </row>
    <row r="87" spans="1:20" hidden="1" x14ac:dyDescent="0.2">
      <c r="A87" s="1148" t="str">
        <f>+TableA1!A87</f>
        <v>Turks and Caicos</v>
      </c>
      <c r="B87" s="299">
        <f>+TableA2!C87</f>
        <v>0.114443</v>
      </c>
      <c r="C87" s="1027"/>
      <c r="D87" s="1027"/>
      <c r="E87" s="1027"/>
      <c r="F87" s="1027"/>
      <c r="G87" s="156">
        <f>TableA2!D87+TableA2!G87</f>
        <v>0.31045899999999998</v>
      </c>
      <c r="H87" s="1252"/>
      <c r="I87" s="1253"/>
      <c r="J87" s="1860"/>
      <c r="K87" s="1860"/>
      <c r="L87" s="1834"/>
      <c r="M87" s="1860"/>
      <c r="N87" s="1860"/>
      <c r="O87" s="1254"/>
      <c r="P87" s="1860"/>
      <c r="Q87" s="1860"/>
      <c r="R87" s="1860"/>
      <c r="S87" s="954"/>
      <c r="T87" s="954"/>
    </row>
    <row r="88" spans="1:20" hidden="1" x14ac:dyDescent="0.2">
      <c r="A88" s="1148" t="str">
        <f>+TableA1!A88</f>
        <v>Panama</v>
      </c>
      <c r="B88" s="299">
        <f>+TableA2!C88</f>
        <v>10.2681</v>
      </c>
      <c r="C88" s="1027"/>
      <c r="D88" s="1027"/>
      <c r="E88" s="1027"/>
      <c r="F88" s="1027"/>
      <c r="G88" s="156">
        <f>TableA2!D88+TableA2!G88</f>
        <v>24.781100000000002</v>
      </c>
      <c r="H88" s="1252"/>
      <c r="I88" s="1253"/>
      <c r="J88" s="1860"/>
      <c r="K88" s="1860"/>
      <c r="L88" s="1834"/>
      <c r="M88" s="1860"/>
      <c r="N88" s="1860"/>
      <c r="O88" s="1254"/>
      <c r="P88" s="1860"/>
      <c r="Q88" s="1860"/>
      <c r="R88" s="1860"/>
      <c r="S88" s="954"/>
      <c r="T88" s="954"/>
    </row>
    <row r="89" spans="1:20" ht="17" hidden="1" thickBot="1" x14ac:dyDescent="0.25">
      <c r="A89" s="1239" t="s">
        <v>108</v>
      </c>
      <c r="B89" s="110">
        <f>+TableA2!C89</f>
        <v>23.088800000000003</v>
      </c>
      <c r="C89" s="1255"/>
      <c r="D89" s="1255"/>
      <c r="E89" s="1255"/>
      <c r="F89" s="1255"/>
      <c r="G89" s="110">
        <f>TableA2!D89+TableA2!G89</f>
        <v>58.588549999999998</v>
      </c>
      <c r="H89" s="1256"/>
      <c r="I89" s="1257"/>
      <c r="J89" s="1258"/>
      <c r="K89" s="1258"/>
      <c r="L89" s="1259"/>
      <c r="M89" s="1258"/>
      <c r="N89" s="1258"/>
      <c r="O89" s="1260"/>
      <c r="P89" s="954"/>
      <c r="Q89" s="954"/>
      <c r="R89" s="954"/>
      <c r="S89" s="954"/>
      <c r="T89" s="954"/>
    </row>
    <row r="90" spans="1:20" s="2" customFormat="1" ht="17" thickTop="1" x14ac:dyDescent="0.2">
      <c r="G90" s="954"/>
      <c r="H90" s="954"/>
      <c r="I90" s="954"/>
      <c r="J90" s="954"/>
      <c r="K90" s="954"/>
      <c r="L90" s="954"/>
      <c r="M90" s="954"/>
      <c r="N90" s="954"/>
      <c r="O90" s="954"/>
      <c r="P90" s="954"/>
      <c r="Q90" s="954"/>
      <c r="R90" s="954"/>
      <c r="T90" s="954"/>
    </row>
    <row r="91" spans="1:20" s="2" customFormat="1" x14ac:dyDescent="0.2">
      <c r="A91" s="954"/>
      <c r="B91" s="954"/>
      <c r="C91" s="954"/>
      <c r="D91" s="954"/>
      <c r="E91" s="954"/>
      <c r="F91" s="954"/>
      <c r="G91" s="954"/>
      <c r="H91" s="954"/>
      <c r="I91" s="954"/>
      <c r="J91" s="954"/>
      <c r="K91" s="954"/>
      <c r="L91" s="954"/>
      <c r="M91" s="954"/>
      <c r="N91" s="954"/>
      <c r="O91" s="954"/>
      <c r="P91" s="954"/>
      <c r="Q91" s="954"/>
      <c r="R91" s="954"/>
      <c r="T91" s="954"/>
    </row>
    <row r="92" spans="1:20" s="2" customFormat="1" x14ac:dyDescent="0.2">
      <c r="A92" s="954" t="s">
        <v>172</v>
      </c>
      <c r="B92" s="954"/>
      <c r="C92" s="954"/>
      <c r="D92" s="954"/>
      <c r="E92" s="954"/>
      <c r="F92" s="954"/>
      <c r="G92" s="954">
        <v>0.90165899999999999</v>
      </c>
      <c r="H92" s="954"/>
      <c r="I92" s="954"/>
      <c r="J92" s="954"/>
      <c r="K92" s="954"/>
      <c r="L92" s="954"/>
      <c r="M92" s="954"/>
      <c r="N92" s="954"/>
      <c r="O92" s="954"/>
      <c r="P92" s="954"/>
      <c r="Q92" s="954"/>
      <c r="R92" s="954"/>
      <c r="T92" s="954"/>
    </row>
    <row r="93" spans="1:20" s="2" customFormat="1" x14ac:dyDescent="0.2">
      <c r="A93" s="954"/>
      <c r="B93" s="954"/>
      <c r="C93" s="954"/>
      <c r="D93" s="954"/>
      <c r="E93" s="954"/>
      <c r="F93" s="954"/>
      <c r="G93" s="954"/>
      <c r="H93" s="954"/>
      <c r="I93" s="954"/>
      <c r="J93" s="954"/>
      <c r="K93" s="954"/>
      <c r="L93" s="954"/>
      <c r="M93" s="954"/>
      <c r="N93" s="954"/>
      <c r="O93" s="954"/>
      <c r="P93" s="954"/>
      <c r="Q93" s="954"/>
      <c r="R93" s="954"/>
    </row>
    <row r="94" spans="1:20" s="2" customFormat="1" x14ac:dyDescent="0.2">
      <c r="A94" s="954"/>
      <c r="B94" s="954"/>
      <c r="C94" s="954"/>
      <c r="D94" s="954"/>
      <c r="E94" s="954"/>
      <c r="F94" s="954"/>
      <c r="G94" s="954"/>
      <c r="H94" s="954"/>
      <c r="I94" s="954"/>
      <c r="J94" s="954"/>
      <c r="K94" s="954"/>
      <c r="L94" s="954"/>
      <c r="M94" s="954"/>
      <c r="N94" s="954"/>
      <c r="O94" s="954"/>
      <c r="P94" s="954"/>
      <c r="Q94" s="954"/>
      <c r="R94" s="954"/>
    </row>
    <row r="95" spans="1:20" x14ac:dyDescent="0.2">
      <c r="A95" s="954"/>
      <c r="B95" s="954"/>
      <c r="C95" s="954"/>
      <c r="D95" s="954"/>
      <c r="E95" s="954"/>
      <c r="F95" s="954"/>
      <c r="G95" s="954"/>
      <c r="H95" s="954"/>
      <c r="I95" s="954"/>
      <c r="J95" s="954"/>
      <c r="K95" s="954"/>
      <c r="L95" s="954"/>
      <c r="M95" s="954"/>
      <c r="N95" s="954"/>
      <c r="O95" s="954"/>
      <c r="P95" s="954"/>
      <c r="Q95" s="954"/>
      <c r="R95" s="954"/>
      <c r="S95" s="954"/>
      <c r="T95" s="2"/>
    </row>
    <row r="96" spans="1:20" s="2" customFormat="1" x14ac:dyDescent="0.2">
      <c r="A96" s="954"/>
      <c r="B96" s="954"/>
      <c r="C96" s="954"/>
      <c r="D96" s="954"/>
      <c r="E96" s="954"/>
      <c r="F96" s="954"/>
      <c r="G96" s="954"/>
      <c r="H96" s="954"/>
      <c r="I96" s="954"/>
      <c r="J96" s="954"/>
      <c r="K96" s="954"/>
      <c r="L96" s="954"/>
      <c r="M96" s="954"/>
      <c r="N96" s="954"/>
      <c r="O96" s="954"/>
      <c r="P96" s="954"/>
      <c r="Q96" s="954"/>
      <c r="R96" s="954"/>
    </row>
    <row r="97" spans="1:20" x14ac:dyDescent="0.2">
      <c r="A97" s="954"/>
      <c r="B97" s="954"/>
      <c r="C97" s="954"/>
      <c r="D97" s="954"/>
      <c r="E97" s="954"/>
      <c r="F97" s="954"/>
      <c r="G97" s="954"/>
      <c r="H97" s="954"/>
      <c r="I97" s="954"/>
      <c r="J97" s="954"/>
      <c r="K97" s="954"/>
      <c r="L97" s="954"/>
      <c r="M97" s="954"/>
      <c r="N97" s="954"/>
      <c r="O97" s="954"/>
      <c r="P97" s="954"/>
      <c r="Q97" s="954"/>
      <c r="R97" s="954"/>
      <c r="S97" s="954"/>
      <c r="T97" s="2"/>
    </row>
    <row r="98" spans="1:20" x14ac:dyDescent="0.2">
      <c r="A98" s="954"/>
      <c r="B98" s="954"/>
      <c r="C98" s="954"/>
      <c r="D98" s="954"/>
      <c r="E98" s="954"/>
      <c r="F98" s="954"/>
      <c r="G98" s="954"/>
      <c r="H98" s="954"/>
      <c r="I98" s="954"/>
      <c r="J98" s="954"/>
      <c r="K98" s="954"/>
      <c r="L98" s="954"/>
      <c r="M98" s="954"/>
      <c r="N98" s="954"/>
      <c r="O98" s="954"/>
      <c r="P98" s="954"/>
      <c r="Q98" s="954"/>
      <c r="R98" s="954"/>
      <c r="S98" s="954"/>
      <c r="T98" s="2"/>
    </row>
    <row r="100" spans="1:20" x14ac:dyDescent="0.2">
      <c r="A100" s="954" t="s">
        <v>172</v>
      </c>
      <c r="B100" s="954">
        <v>0.90165899999999999</v>
      </c>
      <c r="C100" s="954"/>
      <c r="D100" s="954"/>
      <c r="E100" s="954"/>
      <c r="F100" s="954"/>
      <c r="G100" s="954"/>
      <c r="H100" s="954"/>
      <c r="I100" s="954"/>
      <c r="J100" s="954"/>
      <c r="K100" s="954"/>
      <c r="L100" s="954"/>
      <c r="M100" s="954"/>
      <c r="N100" s="954"/>
      <c r="O100" s="954"/>
      <c r="P100" s="954"/>
      <c r="Q100" s="954"/>
      <c r="R100" s="954"/>
      <c r="S100" s="954"/>
      <c r="T100" s="2"/>
    </row>
  </sheetData>
  <mergeCells count="10">
    <mergeCell ref="O5:O8"/>
    <mergeCell ref="A2:O2"/>
    <mergeCell ref="L6:N6"/>
    <mergeCell ref="L7:L8"/>
    <mergeCell ref="B5:N5"/>
    <mergeCell ref="J7:J8"/>
    <mergeCell ref="G7:G8"/>
    <mergeCell ref="B7:B8"/>
    <mergeCell ref="E7:E8"/>
    <mergeCell ref="B6:K6"/>
  </mergeCells>
  <pageMargins left="0.75" right="0.75" top="1" bottom="1" header="0.5" footer="0.5"/>
  <pageSetup scale="51" fitToHeight="0"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I98"/>
  <sheetViews>
    <sheetView workbookViewId="0">
      <pane xSplit="1" ySplit="7" topLeftCell="B8" activePane="bottomRight" state="frozen"/>
      <selection pane="topRight" activeCell="B1" sqref="B1"/>
      <selection pane="bottomLeft" activeCell="A8" sqref="A8"/>
      <selection pane="bottomRight" activeCell="A3" sqref="A3:G3"/>
    </sheetView>
  </sheetViews>
  <sheetFormatPr baseColWidth="10" defaultColWidth="8.83203125" defaultRowHeight="13" x14ac:dyDescent="0.15"/>
  <cols>
    <col min="1" max="1" width="50" style="62" customWidth="1"/>
    <col min="2" max="7" width="14.1640625" style="62" customWidth="1"/>
    <col min="8" max="16384" width="8.83203125" style="62"/>
  </cols>
  <sheetData>
    <row r="2" spans="1:9" ht="14" thickBot="1" x14ac:dyDescent="0.2"/>
    <row r="3" spans="1:9" ht="32.25" customHeight="1" thickTop="1" x14ac:dyDescent="0.15">
      <c r="A3" s="2119" t="s">
        <v>261</v>
      </c>
      <c r="B3" s="2120"/>
      <c r="C3" s="2120"/>
      <c r="D3" s="2120"/>
      <c r="E3" s="2120"/>
      <c r="F3" s="2120"/>
      <c r="G3" s="2121"/>
    </row>
    <row r="4" spans="1:9" ht="12" customHeight="1" x14ac:dyDescent="0.15">
      <c r="A4" s="68"/>
      <c r="B4" s="69"/>
      <c r="C4" s="69"/>
      <c r="D4" s="69"/>
      <c r="E4" s="69"/>
      <c r="F4" s="69"/>
      <c r="G4" s="70"/>
    </row>
    <row r="5" spans="1:9" ht="15" customHeight="1" x14ac:dyDescent="0.15">
      <c r="A5" s="71" t="s">
        <v>262</v>
      </c>
      <c r="B5" s="84" t="s">
        <v>1</v>
      </c>
      <c r="C5" s="84" t="s">
        <v>2</v>
      </c>
      <c r="D5" s="84" t="s">
        <v>3</v>
      </c>
      <c r="E5" s="84" t="s">
        <v>4</v>
      </c>
      <c r="F5" s="84" t="s">
        <v>5</v>
      </c>
      <c r="G5" s="1787" t="s">
        <v>6</v>
      </c>
    </row>
    <row r="6" spans="1:9" ht="16" customHeight="1" x14ac:dyDescent="0.15">
      <c r="A6" s="79"/>
      <c r="B6" s="2125" t="s">
        <v>263</v>
      </c>
      <c r="C6" s="2126"/>
      <c r="D6" s="2126"/>
      <c r="E6" s="2126"/>
      <c r="F6" s="2126"/>
      <c r="G6" s="2127"/>
    </row>
    <row r="7" spans="1:9" ht="71.25" customHeight="1" x14ac:dyDescent="0.15">
      <c r="A7" s="1786" t="s">
        <v>262</v>
      </c>
      <c r="B7" s="1261" t="s">
        <v>264</v>
      </c>
      <c r="C7" s="1262" t="s">
        <v>125</v>
      </c>
      <c r="D7" s="1263" t="s">
        <v>265</v>
      </c>
      <c r="E7" s="1263" t="s">
        <v>266</v>
      </c>
      <c r="F7" s="1263" t="s">
        <v>267</v>
      </c>
      <c r="G7" s="77" t="s">
        <v>268</v>
      </c>
    </row>
    <row r="8" spans="1:9" ht="19.5" customHeight="1" x14ac:dyDescent="0.2">
      <c r="A8" s="1264" t="s">
        <v>269</v>
      </c>
      <c r="B8" s="72">
        <v>1357462</v>
      </c>
      <c r="C8" s="73">
        <v>610542</v>
      </c>
      <c r="D8" s="74">
        <v>481431</v>
      </c>
      <c r="E8" s="74">
        <v>-53776</v>
      </c>
      <c r="F8" s="74">
        <v>176257</v>
      </c>
      <c r="G8" s="78">
        <v>143008</v>
      </c>
    </row>
    <row r="9" spans="1:9" ht="16" x14ac:dyDescent="0.2">
      <c r="A9" s="1265" t="s">
        <v>262</v>
      </c>
      <c r="B9" s="1266" t="s">
        <v>262</v>
      </c>
      <c r="C9" s="799" t="s">
        <v>262</v>
      </c>
      <c r="D9" s="800" t="s">
        <v>262</v>
      </c>
      <c r="E9" s="800" t="s">
        <v>262</v>
      </c>
      <c r="F9" s="800" t="s">
        <v>262</v>
      </c>
      <c r="G9" s="801" t="s">
        <v>262</v>
      </c>
    </row>
    <row r="10" spans="1:9" ht="16" x14ac:dyDescent="0.2">
      <c r="A10" s="1265" t="s">
        <v>270</v>
      </c>
      <c r="B10" s="72">
        <v>131569</v>
      </c>
      <c r="C10" s="73">
        <v>63828</v>
      </c>
      <c r="D10" s="74">
        <v>32722</v>
      </c>
      <c r="E10" s="74">
        <v>480</v>
      </c>
      <c r="F10" s="74">
        <v>20965</v>
      </c>
      <c r="G10" s="78">
        <v>13574</v>
      </c>
    </row>
    <row r="11" spans="1:9" ht="16" x14ac:dyDescent="0.2">
      <c r="A11" s="1265" t="s">
        <v>262</v>
      </c>
      <c r="B11" s="1266" t="s">
        <v>262</v>
      </c>
      <c r="C11" s="799" t="s">
        <v>262</v>
      </c>
      <c r="D11" s="800" t="s">
        <v>262</v>
      </c>
      <c r="E11" s="800" t="s">
        <v>262</v>
      </c>
      <c r="F11" s="800" t="s">
        <v>262</v>
      </c>
      <c r="G11" s="801" t="s">
        <v>262</v>
      </c>
    </row>
    <row r="12" spans="1:9" ht="16" x14ac:dyDescent="0.2">
      <c r="A12" s="1265" t="s">
        <v>271</v>
      </c>
      <c r="B12" s="72">
        <v>685991</v>
      </c>
      <c r="C12" s="73">
        <v>308697</v>
      </c>
      <c r="D12" s="74">
        <v>250726</v>
      </c>
      <c r="E12" s="74">
        <v>-23838</v>
      </c>
      <c r="F12" s="74">
        <v>92464</v>
      </c>
      <c r="G12" s="78">
        <v>57942</v>
      </c>
      <c r="I12" s="117"/>
    </row>
    <row r="13" spans="1:9" ht="16" x14ac:dyDescent="0.2">
      <c r="A13" s="1267" t="s">
        <v>30</v>
      </c>
      <c r="B13" s="1268">
        <v>4874</v>
      </c>
      <c r="C13" s="794">
        <v>3983</v>
      </c>
      <c r="D13" s="795">
        <v>-15</v>
      </c>
      <c r="E13" s="795">
        <v>3</v>
      </c>
      <c r="F13" s="795">
        <v>418</v>
      </c>
      <c r="G13" s="796">
        <v>486</v>
      </c>
      <c r="I13" s="117"/>
    </row>
    <row r="14" spans="1:9" ht="16" x14ac:dyDescent="0.2">
      <c r="A14" s="1267" t="s">
        <v>31</v>
      </c>
      <c r="B14" s="1268">
        <v>21705</v>
      </c>
      <c r="C14" s="794">
        <v>11003</v>
      </c>
      <c r="D14" s="795">
        <v>6614</v>
      </c>
      <c r="E14" s="795">
        <v>-735</v>
      </c>
      <c r="F14" s="795">
        <v>2840</v>
      </c>
      <c r="G14" s="796">
        <v>1983</v>
      </c>
      <c r="I14" s="117"/>
    </row>
    <row r="15" spans="1:9" ht="16" x14ac:dyDescent="0.2">
      <c r="A15" s="1267" t="s">
        <v>34</v>
      </c>
      <c r="B15" s="1268">
        <v>5173</v>
      </c>
      <c r="C15" s="794">
        <v>2218</v>
      </c>
      <c r="D15" s="795">
        <v>1348</v>
      </c>
      <c r="E15" s="795">
        <v>-13</v>
      </c>
      <c r="F15" s="795">
        <v>983</v>
      </c>
      <c r="G15" s="796">
        <v>638</v>
      </c>
      <c r="I15" s="117"/>
    </row>
    <row r="16" spans="1:9" ht="16" x14ac:dyDescent="0.2">
      <c r="A16" s="1267" t="s">
        <v>35</v>
      </c>
      <c r="B16" s="1268">
        <v>5939</v>
      </c>
      <c r="C16" s="794">
        <v>3857</v>
      </c>
      <c r="D16" s="795">
        <v>1008</v>
      </c>
      <c r="E16" s="795">
        <v>29</v>
      </c>
      <c r="F16" s="795">
        <v>310</v>
      </c>
      <c r="G16" s="796">
        <v>735</v>
      </c>
      <c r="I16" s="117"/>
    </row>
    <row r="17" spans="1:9" ht="16" x14ac:dyDescent="0.2">
      <c r="A17" s="1267" t="s">
        <v>37</v>
      </c>
      <c r="B17" s="1268">
        <v>1182</v>
      </c>
      <c r="C17" s="794">
        <v>2040</v>
      </c>
      <c r="D17" s="795">
        <v>-1759</v>
      </c>
      <c r="E17" s="795">
        <v>11</v>
      </c>
      <c r="F17" s="795">
        <v>617</v>
      </c>
      <c r="G17" s="796">
        <v>274</v>
      </c>
      <c r="I17" s="117"/>
    </row>
    <row r="18" spans="1:9" ht="16" x14ac:dyDescent="0.2">
      <c r="A18" s="1267" t="s">
        <v>38</v>
      </c>
      <c r="B18" s="1268">
        <v>49222</v>
      </c>
      <c r="C18" s="794">
        <v>33515</v>
      </c>
      <c r="D18" s="795">
        <v>4826</v>
      </c>
      <c r="E18" s="795">
        <v>589</v>
      </c>
      <c r="F18" s="795">
        <v>6780</v>
      </c>
      <c r="G18" s="796">
        <v>3513</v>
      </c>
      <c r="I18" s="117"/>
    </row>
    <row r="19" spans="1:9" ht="16" x14ac:dyDescent="0.2">
      <c r="A19" s="1265" t="s">
        <v>262</v>
      </c>
      <c r="B19" s="1266" t="s">
        <v>262</v>
      </c>
      <c r="C19" s="799" t="s">
        <v>262</v>
      </c>
      <c r="D19" s="800" t="s">
        <v>262</v>
      </c>
      <c r="E19" s="800" t="s">
        <v>262</v>
      </c>
      <c r="F19" s="800" t="s">
        <v>262</v>
      </c>
      <c r="G19" s="801" t="s">
        <v>262</v>
      </c>
      <c r="I19" s="117"/>
    </row>
    <row r="20" spans="1:9" ht="16" x14ac:dyDescent="0.2">
      <c r="A20" s="1267" t="s">
        <v>39</v>
      </c>
      <c r="B20" s="1268">
        <v>86775</v>
      </c>
      <c r="C20" s="794">
        <v>53184</v>
      </c>
      <c r="D20" s="795">
        <v>13033</v>
      </c>
      <c r="E20" s="795">
        <v>554</v>
      </c>
      <c r="F20" s="795">
        <v>12990</v>
      </c>
      <c r="G20" s="796">
        <v>7015</v>
      </c>
      <c r="I20" s="117"/>
    </row>
    <row r="21" spans="1:9" ht="16" x14ac:dyDescent="0.2">
      <c r="A21" s="1267" t="s">
        <v>40</v>
      </c>
      <c r="B21" s="1268">
        <v>2381</v>
      </c>
      <c r="C21" s="794">
        <v>889</v>
      </c>
      <c r="D21" s="795">
        <v>129</v>
      </c>
      <c r="E21" s="795">
        <f>B21-C21-D21-F21-G21</f>
        <v>899.06753295597173</v>
      </c>
      <c r="F21" s="797">
        <f>F$12*B21/B$12</f>
        <v>320.93246704402827</v>
      </c>
      <c r="G21" s="796">
        <v>143</v>
      </c>
      <c r="I21" s="117"/>
    </row>
    <row r="22" spans="1:9" ht="16" x14ac:dyDescent="0.2">
      <c r="A22" s="1267" t="s">
        <v>41</v>
      </c>
      <c r="B22" s="1268">
        <v>14572</v>
      </c>
      <c r="C22" s="794">
        <v>1618</v>
      </c>
      <c r="D22" s="795">
        <f>B22-C22-E22-F22-G22</f>
        <v>12001</v>
      </c>
      <c r="E22" s="795">
        <v>27</v>
      </c>
      <c r="F22" s="795">
        <v>382</v>
      </c>
      <c r="G22" s="796">
        <f>TableA10b!G22</f>
        <v>544</v>
      </c>
      <c r="I22" s="117"/>
    </row>
    <row r="23" spans="1:9" ht="16" x14ac:dyDescent="0.2">
      <c r="A23" s="1267" t="s">
        <v>43</v>
      </c>
      <c r="B23" s="1268">
        <v>86775</v>
      </c>
      <c r="C23" s="794">
        <v>9304</v>
      </c>
      <c r="D23" s="795">
        <v>72039</v>
      </c>
      <c r="E23" s="795">
        <v>-1619</v>
      </c>
      <c r="F23" s="795">
        <v>1118</v>
      </c>
      <c r="G23" s="796">
        <v>5934</v>
      </c>
      <c r="I23" s="117"/>
    </row>
    <row r="24" spans="1:9" ht="16" x14ac:dyDescent="0.2">
      <c r="A24" s="1267" t="s">
        <v>45</v>
      </c>
      <c r="B24" s="1268">
        <v>30124</v>
      </c>
      <c r="C24" s="794">
        <v>14533</v>
      </c>
      <c r="D24" s="795">
        <v>4248</v>
      </c>
      <c r="E24" s="795">
        <v>216</v>
      </c>
      <c r="F24" s="795">
        <v>8642</v>
      </c>
      <c r="G24" s="796">
        <v>2486</v>
      </c>
      <c r="I24" s="117"/>
    </row>
    <row r="25" spans="1:9" ht="16" x14ac:dyDescent="0.2">
      <c r="A25" s="1267" t="s">
        <v>49</v>
      </c>
      <c r="B25" s="1268">
        <v>8269</v>
      </c>
      <c r="C25" s="794">
        <v>1692</v>
      </c>
      <c r="D25" s="795">
        <v>9433</v>
      </c>
      <c r="E25" s="795">
        <v>-5077</v>
      </c>
      <c r="F25" s="795">
        <v>944</v>
      </c>
      <c r="G25" s="796">
        <v>1278</v>
      </c>
      <c r="I25" s="117"/>
    </row>
    <row r="26" spans="1:9" ht="16" x14ac:dyDescent="0.2">
      <c r="A26" s="1267" t="s">
        <v>51</v>
      </c>
      <c r="B26" s="1268">
        <v>48383</v>
      </c>
      <c r="C26" s="794">
        <v>18307</v>
      </c>
      <c r="D26" s="795">
        <v>32814</v>
      </c>
      <c r="E26" s="795">
        <v>-10504</v>
      </c>
      <c r="F26" s="795">
        <v>3845</v>
      </c>
      <c r="G26" s="796">
        <v>3920</v>
      </c>
      <c r="I26" s="117"/>
    </row>
    <row r="27" spans="1:9" ht="16" x14ac:dyDescent="0.2">
      <c r="A27" s="1265" t="s">
        <v>262</v>
      </c>
      <c r="B27" s="1266" t="s">
        <v>262</v>
      </c>
      <c r="C27" s="799" t="s">
        <v>262</v>
      </c>
      <c r="D27" s="800" t="s">
        <v>262</v>
      </c>
      <c r="E27" s="800" t="s">
        <v>262</v>
      </c>
      <c r="F27" s="800" t="s">
        <v>262</v>
      </c>
      <c r="G27" s="801" t="s">
        <v>262</v>
      </c>
      <c r="I27" s="117"/>
    </row>
    <row r="28" spans="1:9" ht="16" x14ac:dyDescent="0.2">
      <c r="A28" s="1267" t="s">
        <v>53</v>
      </c>
      <c r="B28" s="1268">
        <v>17489</v>
      </c>
      <c r="C28" s="794">
        <v>4992</v>
      </c>
      <c r="D28" s="795">
        <v>6507</v>
      </c>
      <c r="E28" s="795">
        <v>417</v>
      </c>
      <c r="F28" s="795">
        <v>2202</v>
      </c>
      <c r="G28" s="796">
        <v>3372</v>
      </c>
      <c r="I28" s="117"/>
    </row>
    <row r="29" spans="1:9" ht="16" x14ac:dyDescent="0.2">
      <c r="A29" s="1267" t="s">
        <v>54</v>
      </c>
      <c r="B29" s="1268">
        <v>9504</v>
      </c>
      <c r="C29" s="794">
        <v>4419</v>
      </c>
      <c r="D29" s="795">
        <v>1563</v>
      </c>
      <c r="E29" s="795">
        <v>-844</v>
      </c>
      <c r="F29" s="795">
        <v>2941</v>
      </c>
      <c r="G29" s="796">
        <v>1424</v>
      </c>
      <c r="I29" s="117"/>
    </row>
    <row r="30" spans="1:9" ht="16" x14ac:dyDescent="0.2">
      <c r="A30" s="1267" t="s">
        <v>55</v>
      </c>
      <c r="B30" s="1268">
        <v>3329</v>
      </c>
      <c r="C30" s="794">
        <v>1281</v>
      </c>
      <c r="D30" s="795">
        <v>506</v>
      </c>
      <c r="E30" s="795">
        <f>B30-C30-D30-F30-G30</f>
        <v>790.28761747603107</v>
      </c>
      <c r="F30" s="797">
        <f>F$12*B30/B$12</f>
        <v>448.71238252396898</v>
      </c>
      <c r="G30" s="796">
        <v>303</v>
      </c>
      <c r="I30" s="117"/>
    </row>
    <row r="31" spans="1:9" ht="16" x14ac:dyDescent="0.2">
      <c r="A31" s="1267" t="s">
        <v>70</v>
      </c>
      <c r="B31" s="1268">
        <v>9586</v>
      </c>
      <c r="C31" s="794">
        <v>4770</v>
      </c>
      <c r="D31" s="795">
        <v>574</v>
      </c>
      <c r="E31" s="795">
        <v>235</v>
      </c>
      <c r="F31" s="795">
        <v>2851</v>
      </c>
      <c r="G31" s="796">
        <v>1155</v>
      </c>
      <c r="I31" s="117"/>
    </row>
    <row r="32" spans="1:9" ht="16" x14ac:dyDescent="0.2">
      <c r="A32" s="1267" t="s">
        <v>58</v>
      </c>
      <c r="B32" s="1268">
        <v>15052</v>
      </c>
      <c r="C32" s="794">
        <v>10393</v>
      </c>
      <c r="D32" s="795">
        <v>2793</v>
      </c>
      <c r="E32" s="795">
        <v>-997</v>
      </c>
      <c r="F32" s="795">
        <v>915</v>
      </c>
      <c r="G32" s="796">
        <v>1948</v>
      </c>
      <c r="I32" s="117"/>
    </row>
    <row r="33" spans="1:9" ht="16" x14ac:dyDescent="0.2">
      <c r="A33" s="1267" t="s">
        <v>59</v>
      </c>
      <c r="B33" s="1268">
        <v>10038</v>
      </c>
      <c r="C33" s="794">
        <v>5832</v>
      </c>
      <c r="D33" s="795">
        <v>2691</v>
      </c>
      <c r="E33" s="795">
        <v>155</v>
      </c>
      <c r="F33" s="795">
        <v>275</v>
      </c>
      <c r="G33" s="796">
        <v>1084</v>
      </c>
      <c r="I33" s="117"/>
    </row>
    <row r="34" spans="1:9" ht="16" x14ac:dyDescent="0.2">
      <c r="A34" s="1267" t="s">
        <v>60</v>
      </c>
      <c r="B34" s="1268">
        <v>54005</v>
      </c>
      <c r="C34" s="794">
        <v>12912</v>
      </c>
      <c r="D34" s="795">
        <v>39189</v>
      </c>
      <c r="E34" s="795">
        <v>-1637</v>
      </c>
      <c r="F34" s="795">
        <v>1850</v>
      </c>
      <c r="G34" s="796">
        <v>1693</v>
      </c>
      <c r="I34" s="117"/>
    </row>
    <row r="35" spans="1:9" ht="16" x14ac:dyDescent="0.2">
      <c r="A35" s="1267" t="s">
        <v>61</v>
      </c>
      <c r="B35" s="1268">
        <v>8981</v>
      </c>
      <c r="C35" s="794">
        <v>1971</v>
      </c>
      <c r="D35" s="795">
        <v>851</v>
      </c>
      <c r="E35" s="795">
        <f>B35-C35-D35-F35-G35</f>
        <v>-1941.3551504320058</v>
      </c>
      <c r="F35" s="797">
        <f>F12-F13-F14-F15-F16-F17-F18-F20-F21-F22-F23-F24-F25-F26-F28-F29-F30-F31-F32-F33-F34-F36-F37</f>
        <v>7753.3551504320058</v>
      </c>
      <c r="G35" s="798">
        <f>G12-G13-G14-G15-G16-G17-G18-G20-G21-G22-G23-G24-G25-G26-G29-G28-G30-G31-G32-G33-G34-G36-G37</f>
        <v>347</v>
      </c>
      <c r="I35" s="117"/>
    </row>
    <row r="36" spans="1:9" ht="16" x14ac:dyDescent="0.2">
      <c r="A36" s="1267" t="s">
        <v>62</v>
      </c>
      <c r="B36" s="1268">
        <v>172944</v>
      </c>
      <c r="C36" s="794">
        <v>101251</v>
      </c>
      <c r="D36" s="795">
        <v>32949</v>
      </c>
      <c r="E36" s="795">
        <v>-4222</v>
      </c>
      <c r="F36" s="795">
        <v>28293</v>
      </c>
      <c r="G36" s="796">
        <v>14673</v>
      </c>
      <c r="I36" s="117"/>
    </row>
    <row r="37" spans="1:9" ht="16" x14ac:dyDescent="0.2">
      <c r="A37" s="1267" t="s">
        <v>272</v>
      </c>
      <c r="B37" s="1268">
        <v>19685</v>
      </c>
      <c r="C37" s="794">
        <v>4736</v>
      </c>
      <c r="D37" s="795">
        <f>B37-C37-E37-F37-G37</f>
        <v>7383.9999999999964</v>
      </c>
      <c r="E37" s="795">
        <f>E12-E13-E14-E15-E16-E17-E18-E20-E21-E22-E23-E24-E25-E26-E28-E29-E30-E31-E32-E33-E34-E35-E36</f>
        <v>-173.99999999999636</v>
      </c>
      <c r="F37" s="795">
        <v>4745</v>
      </c>
      <c r="G37" s="796">
        <v>2994</v>
      </c>
      <c r="I37" s="117"/>
    </row>
    <row r="38" spans="1:9" ht="16" x14ac:dyDescent="0.2">
      <c r="A38" s="1265" t="s">
        <v>262</v>
      </c>
      <c r="B38" s="1266" t="s">
        <v>262</v>
      </c>
      <c r="C38" s="799" t="s">
        <v>262</v>
      </c>
      <c r="D38" s="800" t="s">
        <v>262</v>
      </c>
      <c r="E38" s="800" t="s">
        <v>262</v>
      </c>
      <c r="F38" s="800" t="s">
        <v>262</v>
      </c>
      <c r="G38" s="801" t="s">
        <v>262</v>
      </c>
    </row>
    <row r="39" spans="1:9" ht="16" x14ac:dyDescent="0.2">
      <c r="A39" s="1265" t="s">
        <v>273</v>
      </c>
      <c r="B39" s="72">
        <v>150363</v>
      </c>
      <c r="C39" s="73">
        <v>68714</v>
      </c>
      <c r="D39" s="74">
        <v>58839</v>
      </c>
      <c r="E39" s="74">
        <v>-18992</v>
      </c>
      <c r="F39" s="74">
        <v>19509</v>
      </c>
      <c r="G39" s="78">
        <v>22293</v>
      </c>
    </row>
    <row r="40" spans="1:9" ht="16" x14ac:dyDescent="0.2">
      <c r="A40" s="1265" t="s">
        <v>262</v>
      </c>
      <c r="B40" s="1266" t="s">
        <v>262</v>
      </c>
      <c r="C40" s="799" t="s">
        <v>262</v>
      </c>
      <c r="D40" s="800" t="s">
        <v>262</v>
      </c>
      <c r="E40" s="800" t="s">
        <v>262</v>
      </c>
      <c r="F40" s="800" t="s">
        <v>262</v>
      </c>
      <c r="G40" s="801" t="s">
        <v>262</v>
      </c>
    </row>
    <row r="41" spans="1:9" ht="16" x14ac:dyDescent="0.2">
      <c r="A41" s="1267" t="s">
        <v>274</v>
      </c>
      <c r="B41" s="1268">
        <v>76034</v>
      </c>
      <c r="C41" s="794">
        <v>39775</v>
      </c>
      <c r="D41" s="795">
        <v>11637</v>
      </c>
      <c r="E41" s="795">
        <v>-1963</v>
      </c>
      <c r="F41" s="795">
        <v>14210</v>
      </c>
      <c r="G41" s="796">
        <v>12375</v>
      </c>
    </row>
    <row r="42" spans="1:9" ht="16" x14ac:dyDescent="0.2">
      <c r="A42" s="1269" t="s">
        <v>275</v>
      </c>
      <c r="B42" s="1268">
        <v>17744</v>
      </c>
      <c r="C42" s="794">
        <v>6066</v>
      </c>
      <c r="D42" s="795">
        <v>4442</v>
      </c>
      <c r="E42" s="795">
        <v>-223</v>
      </c>
      <c r="F42" s="795">
        <v>5380</v>
      </c>
      <c r="G42" s="796">
        <v>2079</v>
      </c>
    </row>
    <row r="43" spans="1:9" ht="16" x14ac:dyDescent="0.2">
      <c r="A43" s="1269" t="s">
        <v>65</v>
      </c>
      <c r="B43" s="1268">
        <v>36428</v>
      </c>
      <c r="C43" s="794">
        <v>23059</v>
      </c>
      <c r="D43" s="795">
        <v>1443</v>
      </c>
      <c r="E43" s="795">
        <v>-843</v>
      </c>
      <c r="F43" s="795">
        <v>6479</v>
      </c>
      <c r="G43" s="796">
        <v>6290</v>
      </c>
    </row>
    <row r="44" spans="1:9" ht="16" x14ac:dyDescent="0.2">
      <c r="A44" s="1269" t="s">
        <v>33</v>
      </c>
      <c r="B44" s="1268">
        <v>8950</v>
      </c>
      <c r="C44" s="794">
        <v>3893</v>
      </c>
      <c r="D44" s="795">
        <v>3857</v>
      </c>
      <c r="E44" s="795">
        <v>-685</v>
      </c>
      <c r="F44" s="795">
        <v>282</v>
      </c>
      <c r="G44" s="796">
        <v>1604</v>
      </c>
    </row>
    <row r="45" spans="1:9" ht="16" x14ac:dyDescent="0.2">
      <c r="A45" s="1269" t="s">
        <v>67</v>
      </c>
      <c r="B45" s="1268">
        <v>5011</v>
      </c>
      <c r="C45" s="794">
        <v>2609</v>
      </c>
      <c r="D45" s="795">
        <v>639</v>
      </c>
      <c r="E45" s="795">
        <v>-37</v>
      </c>
      <c r="F45" s="795">
        <v>1084</v>
      </c>
      <c r="G45" s="796">
        <v>716</v>
      </c>
    </row>
    <row r="46" spans="1:9" ht="16" x14ac:dyDescent="0.2">
      <c r="A46" s="1269" t="s">
        <v>276</v>
      </c>
      <c r="B46" s="1268">
        <v>953</v>
      </c>
      <c r="C46" s="794">
        <v>495</v>
      </c>
      <c r="D46" s="795">
        <v>135</v>
      </c>
      <c r="E46" s="795">
        <v>-10</v>
      </c>
      <c r="F46" s="795">
        <v>218</v>
      </c>
      <c r="G46" s="796">
        <v>115</v>
      </c>
    </row>
    <row r="47" spans="1:9" ht="16" x14ac:dyDescent="0.2">
      <c r="A47" s="1269" t="s">
        <v>277</v>
      </c>
      <c r="B47" s="1268">
        <v>3700</v>
      </c>
      <c r="C47" s="794">
        <v>1429</v>
      </c>
      <c r="D47" s="795">
        <v>1135</v>
      </c>
      <c r="E47" s="795">
        <v>165</v>
      </c>
      <c r="F47" s="795">
        <v>227</v>
      </c>
      <c r="G47" s="796">
        <v>744</v>
      </c>
    </row>
    <row r="48" spans="1:9" ht="16" x14ac:dyDescent="0.2">
      <c r="A48" s="1269" t="s">
        <v>278</v>
      </c>
      <c r="B48" s="1268">
        <v>1919</v>
      </c>
      <c r="C48" s="794">
        <v>1693</v>
      </c>
      <c r="D48" s="795">
        <v>-361</v>
      </c>
      <c r="E48" s="795">
        <v>-301</v>
      </c>
      <c r="F48" s="795">
        <v>444</v>
      </c>
      <c r="G48" s="796">
        <v>445</v>
      </c>
    </row>
    <row r="49" spans="1:7" ht="16" x14ac:dyDescent="0.2">
      <c r="A49" s="1269" t="s">
        <v>272</v>
      </c>
      <c r="B49" s="1268">
        <v>1328</v>
      </c>
      <c r="C49" s="794">
        <v>531</v>
      </c>
      <c r="D49" s="795">
        <v>347</v>
      </c>
      <c r="E49" s="795">
        <v>-29</v>
      </c>
      <c r="F49" s="795">
        <v>97</v>
      </c>
      <c r="G49" s="796">
        <v>381</v>
      </c>
    </row>
    <row r="50" spans="1:7" ht="16" x14ac:dyDescent="0.2">
      <c r="A50" s="1265" t="s">
        <v>262</v>
      </c>
      <c r="B50" s="1266" t="s">
        <v>262</v>
      </c>
      <c r="C50" s="799" t="s">
        <v>262</v>
      </c>
      <c r="D50" s="800" t="s">
        <v>262</v>
      </c>
      <c r="E50" s="800" t="s">
        <v>262</v>
      </c>
      <c r="F50" s="800" t="s">
        <v>262</v>
      </c>
      <c r="G50" s="801" t="s">
        <v>262</v>
      </c>
    </row>
    <row r="51" spans="1:7" ht="16" x14ac:dyDescent="0.2">
      <c r="A51" s="1267" t="s">
        <v>279</v>
      </c>
      <c r="B51" s="1268">
        <v>51078</v>
      </c>
      <c r="C51" s="794">
        <v>24905</v>
      </c>
      <c r="D51" s="795">
        <v>17223</v>
      </c>
      <c r="E51" s="795">
        <v>-2061</v>
      </c>
      <c r="F51" s="795">
        <v>4699</v>
      </c>
      <c r="G51" s="796">
        <v>6312</v>
      </c>
    </row>
    <row r="52" spans="1:7" ht="16" x14ac:dyDescent="0.2">
      <c r="A52" s="1269" t="s">
        <v>68</v>
      </c>
      <c r="B52" s="1268">
        <v>2849</v>
      </c>
      <c r="C52" s="794">
        <v>1475</v>
      </c>
      <c r="D52" s="795">
        <v>856</v>
      </c>
      <c r="E52" s="795">
        <v>-31</v>
      </c>
      <c r="F52" s="795">
        <v>100</v>
      </c>
      <c r="G52" s="796">
        <v>449</v>
      </c>
    </row>
    <row r="53" spans="1:7" ht="16" x14ac:dyDescent="0.2">
      <c r="A53" s="1269" t="s">
        <v>280</v>
      </c>
      <c r="B53" s="1268">
        <v>669</v>
      </c>
      <c r="C53" s="794">
        <v>429</v>
      </c>
      <c r="D53" s="795">
        <v>141</v>
      </c>
      <c r="E53" s="795">
        <v>-22</v>
      </c>
      <c r="F53" s="795">
        <v>15</v>
      </c>
      <c r="G53" s="796">
        <v>107</v>
      </c>
    </row>
    <row r="54" spans="1:7" ht="16" x14ac:dyDescent="0.2">
      <c r="A54" s="1269" t="s">
        <v>50</v>
      </c>
      <c r="B54" s="1268">
        <v>45071</v>
      </c>
      <c r="C54" s="794">
        <v>21727</v>
      </c>
      <c r="D54" s="795">
        <v>15753</v>
      </c>
      <c r="E54" s="795">
        <v>-1982</v>
      </c>
      <c r="F54" s="795">
        <v>4301</v>
      </c>
      <c r="G54" s="796">
        <v>5272</v>
      </c>
    </row>
    <row r="55" spans="1:7" ht="16" x14ac:dyDescent="0.2">
      <c r="A55" s="1269" t="s">
        <v>107</v>
      </c>
      <c r="B55" s="1268">
        <v>618</v>
      </c>
      <c r="C55" s="794">
        <v>451</v>
      </c>
      <c r="D55" s="795">
        <v>-41</v>
      </c>
      <c r="E55" s="795">
        <v>-6</v>
      </c>
      <c r="F55" s="795">
        <v>29</v>
      </c>
      <c r="G55" s="796">
        <v>185</v>
      </c>
    </row>
    <row r="56" spans="1:7" ht="16" x14ac:dyDescent="0.2">
      <c r="A56" s="1269" t="s">
        <v>272</v>
      </c>
      <c r="B56" s="1268">
        <v>1871</v>
      </c>
      <c r="C56" s="794">
        <v>823</v>
      </c>
      <c r="D56" s="795">
        <v>514</v>
      </c>
      <c r="E56" s="795">
        <v>-19</v>
      </c>
      <c r="F56" s="795">
        <v>255</v>
      </c>
      <c r="G56" s="796">
        <v>299</v>
      </c>
    </row>
    <row r="57" spans="1:7" ht="16" x14ac:dyDescent="0.2">
      <c r="A57" s="1265" t="s">
        <v>262</v>
      </c>
      <c r="B57" s="1266" t="s">
        <v>262</v>
      </c>
      <c r="C57" s="799" t="s">
        <v>262</v>
      </c>
      <c r="D57" s="800" t="s">
        <v>262</v>
      </c>
      <c r="E57" s="800" t="s">
        <v>262</v>
      </c>
      <c r="F57" s="800" t="s">
        <v>262</v>
      </c>
      <c r="G57" s="801" t="s">
        <v>262</v>
      </c>
    </row>
    <row r="58" spans="1:7" ht="16" x14ac:dyDescent="0.2">
      <c r="A58" s="1267" t="s">
        <v>281</v>
      </c>
      <c r="B58" s="1268">
        <v>23252</v>
      </c>
      <c r="C58" s="794">
        <v>4035</v>
      </c>
      <c r="D58" s="795">
        <v>29979</v>
      </c>
      <c r="E58" s="795">
        <v>-14969</v>
      </c>
      <c r="F58" s="795">
        <v>599</v>
      </c>
      <c r="G58" s="796">
        <v>3607</v>
      </c>
    </row>
    <row r="59" spans="1:7" ht="16" x14ac:dyDescent="0.2">
      <c r="A59" s="1269" t="s">
        <v>79</v>
      </c>
      <c r="B59" s="1268">
        <v>1074</v>
      </c>
      <c r="C59" s="794">
        <v>49</v>
      </c>
      <c r="D59" s="795">
        <v>1241</v>
      </c>
      <c r="E59" s="795">
        <v>-341</v>
      </c>
      <c r="F59" s="795">
        <v>7</v>
      </c>
      <c r="G59" s="796">
        <v>118</v>
      </c>
    </row>
    <row r="60" spans="1:7" ht="16" x14ac:dyDescent="0.2">
      <c r="A60" s="1269" t="s">
        <v>81</v>
      </c>
      <c r="B60" s="1268">
        <v>-1279</v>
      </c>
      <c r="C60" s="794">
        <v>1361</v>
      </c>
      <c r="D60" s="795">
        <v>1782</v>
      </c>
      <c r="E60" s="795">
        <v>-4995</v>
      </c>
      <c r="F60" s="795">
        <v>183</v>
      </c>
      <c r="G60" s="796">
        <v>389</v>
      </c>
    </row>
    <row r="61" spans="1:7" ht="16" x14ac:dyDescent="0.2">
      <c r="A61" s="1269" t="s">
        <v>282</v>
      </c>
      <c r="B61" s="1268">
        <v>1039</v>
      </c>
      <c r="C61" s="794">
        <v>260</v>
      </c>
      <c r="D61" s="795">
        <v>524</v>
      </c>
      <c r="E61" s="800" t="s">
        <v>283</v>
      </c>
      <c r="F61" s="800" t="s">
        <v>283</v>
      </c>
      <c r="G61" s="796">
        <v>131</v>
      </c>
    </row>
    <row r="62" spans="1:7" ht="16" x14ac:dyDescent="0.2">
      <c r="A62" s="1269" t="s">
        <v>284</v>
      </c>
      <c r="B62" s="1268">
        <v>5460</v>
      </c>
      <c r="C62" s="794">
        <v>1316</v>
      </c>
      <c r="D62" s="795">
        <v>11714</v>
      </c>
      <c r="E62" s="800">
        <v>-9303</v>
      </c>
      <c r="F62" s="800">
        <v>112</v>
      </c>
      <c r="G62" s="796">
        <v>1622</v>
      </c>
    </row>
    <row r="63" spans="1:7" ht="16" x14ac:dyDescent="0.2">
      <c r="A63" s="1269" t="s">
        <v>272</v>
      </c>
      <c r="B63" s="1268">
        <v>16958</v>
      </c>
      <c r="C63" s="794">
        <v>1049</v>
      </c>
      <c r="D63" s="795">
        <v>14719</v>
      </c>
      <c r="E63" s="800" t="s">
        <v>283</v>
      </c>
      <c r="F63" s="800" t="s">
        <v>283</v>
      </c>
      <c r="G63" s="796">
        <v>1347</v>
      </c>
    </row>
    <row r="64" spans="1:7" ht="16" x14ac:dyDescent="0.2">
      <c r="A64" s="1265" t="s">
        <v>262</v>
      </c>
      <c r="B64" s="1266" t="s">
        <v>262</v>
      </c>
      <c r="C64" s="799" t="s">
        <v>262</v>
      </c>
      <c r="D64" s="800" t="s">
        <v>262</v>
      </c>
      <c r="E64" s="800" t="s">
        <v>262</v>
      </c>
      <c r="F64" s="800" t="s">
        <v>262</v>
      </c>
      <c r="G64" s="801" t="s">
        <v>262</v>
      </c>
    </row>
    <row r="65" spans="1:7" ht="16" x14ac:dyDescent="0.2">
      <c r="A65" s="1265" t="s">
        <v>285</v>
      </c>
      <c r="B65" s="72">
        <v>30487</v>
      </c>
      <c r="C65" s="73">
        <v>7973</v>
      </c>
      <c r="D65" s="74">
        <v>6749</v>
      </c>
      <c r="E65" s="74">
        <v>281</v>
      </c>
      <c r="F65" s="74">
        <v>5478</v>
      </c>
      <c r="G65" s="78">
        <v>10007</v>
      </c>
    </row>
    <row r="66" spans="1:7" ht="16" x14ac:dyDescent="0.2">
      <c r="A66" s="1267" t="s">
        <v>286</v>
      </c>
      <c r="B66" s="1268">
        <v>3500</v>
      </c>
      <c r="C66" s="794">
        <v>658</v>
      </c>
      <c r="D66" s="795">
        <v>230</v>
      </c>
      <c r="E66" s="795">
        <v>-55</v>
      </c>
      <c r="F66" s="795">
        <v>1967</v>
      </c>
      <c r="G66" s="796">
        <v>700</v>
      </c>
    </row>
    <row r="67" spans="1:7" ht="16" x14ac:dyDescent="0.2">
      <c r="A67" s="1267" t="s">
        <v>287</v>
      </c>
      <c r="B67" s="1268">
        <v>9904</v>
      </c>
      <c r="C67" s="794">
        <v>1596</v>
      </c>
      <c r="D67" s="795">
        <v>3401</v>
      </c>
      <c r="E67" s="795">
        <v>133</v>
      </c>
      <c r="F67" s="800" t="s">
        <v>283</v>
      </c>
      <c r="G67" s="801" t="s">
        <v>283</v>
      </c>
    </row>
    <row r="68" spans="1:7" ht="16" x14ac:dyDescent="0.2">
      <c r="A68" s="1267" t="s">
        <v>71</v>
      </c>
      <c r="B68" s="1268">
        <v>6254</v>
      </c>
      <c r="C68" s="794">
        <v>3326</v>
      </c>
      <c r="D68" s="795">
        <v>1039</v>
      </c>
      <c r="E68" s="795">
        <v>244</v>
      </c>
      <c r="F68" s="795">
        <v>1291</v>
      </c>
      <c r="G68" s="796">
        <v>354</v>
      </c>
    </row>
    <row r="69" spans="1:7" ht="16" x14ac:dyDescent="0.2">
      <c r="A69" s="1267" t="s">
        <v>272</v>
      </c>
      <c r="B69" s="1268">
        <v>10830</v>
      </c>
      <c r="C69" s="794">
        <v>2393</v>
      </c>
      <c r="D69" s="795">
        <v>2079</v>
      </c>
      <c r="E69" s="795">
        <v>-40</v>
      </c>
      <c r="F69" s="800" t="s">
        <v>283</v>
      </c>
      <c r="G69" s="801" t="s">
        <v>283</v>
      </c>
    </row>
    <row r="70" spans="1:7" ht="16" x14ac:dyDescent="0.2">
      <c r="A70" s="1265" t="s">
        <v>262</v>
      </c>
      <c r="B70" s="1266" t="s">
        <v>262</v>
      </c>
      <c r="C70" s="799" t="s">
        <v>262</v>
      </c>
      <c r="D70" s="800" t="s">
        <v>262</v>
      </c>
      <c r="E70" s="800" t="s">
        <v>262</v>
      </c>
      <c r="F70" s="800" t="s">
        <v>262</v>
      </c>
      <c r="G70" s="801" t="s">
        <v>262</v>
      </c>
    </row>
    <row r="71" spans="1:7" ht="16" x14ac:dyDescent="0.2">
      <c r="A71" s="1265" t="s">
        <v>288</v>
      </c>
      <c r="B71" s="72">
        <v>24520</v>
      </c>
      <c r="C71" s="73">
        <v>10061</v>
      </c>
      <c r="D71" s="74">
        <v>10524</v>
      </c>
      <c r="E71" s="74">
        <v>6</v>
      </c>
      <c r="F71" s="74">
        <v>1220</v>
      </c>
      <c r="G71" s="78">
        <v>2709</v>
      </c>
    </row>
    <row r="72" spans="1:7" ht="16" x14ac:dyDescent="0.2">
      <c r="A72" s="1267" t="s">
        <v>44</v>
      </c>
      <c r="B72" s="1268">
        <v>9231</v>
      </c>
      <c r="C72" s="794">
        <v>5267</v>
      </c>
      <c r="D72" s="795">
        <v>2673</v>
      </c>
      <c r="E72" s="795">
        <v>2</v>
      </c>
      <c r="F72" s="795">
        <v>460</v>
      </c>
      <c r="G72" s="796">
        <v>831</v>
      </c>
    </row>
    <row r="73" spans="1:7" ht="16" x14ac:dyDescent="0.2">
      <c r="A73" s="1267" t="s">
        <v>289</v>
      </c>
      <c r="B73" s="1268">
        <v>2490</v>
      </c>
      <c r="C73" s="794">
        <v>1730</v>
      </c>
      <c r="D73" s="795">
        <v>414</v>
      </c>
      <c r="E73" s="800" t="s">
        <v>283</v>
      </c>
      <c r="F73" s="800" t="s">
        <v>283</v>
      </c>
      <c r="G73" s="796">
        <v>306</v>
      </c>
    </row>
    <row r="74" spans="1:7" ht="16" x14ac:dyDescent="0.2">
      <c r="A74" s="1267" t="s">
        <v>290</v>
      </c>
      <c r="B74" s="1268">
        <v>8158</v>
      </c>
      <c r="C74" s="794">
        <v>2086</v>
      </c>
      <c r="D74" s="795">
        <v>4813</v>
      </c>
      <c r="E74" s="800" t="s">
        <v>283</v>
      </c>
      <c r="F74" s="800" t="s">
        <v>283</v>
      </c>
      <c r="G74" s="796">
        <v>548</v>
      </c>
    </row>
    <row r="75" spans="1:7" ht="16" x14ac:dyDescent="0.2">
      <c r="A75" s="1267" t="s">
        <v>272</v>
      </c>
      <c r="B75" s="1268">
        <v>4641</v>
      </c>
      <c r="C75" s="794">
        <v>979</v>
      </c>
      <c r="D75" s="795">
        <v>2623</v>
      </c>
      <c r="E75" s="800" t="s">
        <v>283</v>
      </c>
      <c r="F75" s="800" t="s">
        <v>283</v>
      </c>
      <c r="G75" s="796">
        <v>1025</v>
      </c>
    </row>
    <row r="76" spans="1:7" ht="16" x14ac:dyDescent="0.2">
      <c r="A76" s="1265" t="s">
        <v>262</v>
      </c>
      <c r="B76" s="1266" t="s">
        <v>262</v>
      </c>
      <c r="C76" s="799" t="s">
        <v>262</v>
      </c>
      <c r="D76" s="800" t="s">
        <v>262</v>
      </c>
      <c r="E76" s="800" t="s">
        <v>262</v>
      </c>
      <c r="F76" s="800" t="s">
        <v>262</v>
      </c>
      <c r="G76" s="801" t="s">
        <v>262</v>
      </c>
    </row>
    <row r="77" spans="1:7" ht="16" x14ac:dyDescent="0.2">
      <c r="A77" s="1265" t="s">
        <v>291</v>
      </c>
      <c r="B77" s="72">
        <v>334532</v>
      </c>
      <c r="C77" s="73">
        <v>151269</v>
      </c>
      <c r="D77" s="74">
        <v>121872</v>
      </c>
      <c r="E77" s="74">
        <v>-11713</v>
      </c>
      <c r="F77" s="74">
        <v>36621</v>
      </c>
      <c r="G77" s="78">
        <v>36482</v>
      </c>
    </row>
    <row r="78" spans="1:7" ht="16" x14ac:dyDescent="0.2">
      <c r="A78" s="1267" t="s">
        <v>29</v>
      </c>
      <c r="B78" s="1268">
        <v>41610</v>
      </c>
      <c r="C78" s="794">
        <v>26647</v>
      </c>
      <c r="D78" s="795">
        <v>1981</v>
      </c>
      <c r="E78" s="795">
        <v>1064</v>
      </c>
      <c r="F78" s="795">
        <v>6126</v>
      </c>
      <c r="G78" s="796">
        <v>5792</v>
      </c>
    </row>
    <row r="79" spans="1:7" ht="16" x14ac:dyDescent="0.2">
      <c r="A79" s="1267" t="s">
        <v>66</v>
      </c>
      <c r="B79" s="1268">
        <v>65689</v>
      </c>
      <c r="C79" s="794">
        <v>28642</v>
      </c>
      <c r="D79" s="795">
        <v>24644</v>
      </c>
      <c r="E79" s="795">
        <v>-337</v>
      </c>
      <c r="F79" s="795">
        <v>5051</v>
      </c>
      <c r="G79" s="796">
        <v>7689</v>
      </c>
    </row>
    <row r="80" spans="1:7" ht="16" x14ac:dyDescent="0.2">
      <c r="A80" s="1267" t="s">
        <v>91</v>
      </c>
      <c r="B80" s="1268">
        <v>19845</v>
      </c>
      <c r="C80" s="794">
        <v>10357</v>
      </c>
      <c r="D80" s="795">
        <v>8705</v>
      </c>
      <c r="E80" s="795">
        <v>-888</v>
      </c>
      <c r="F80" s="795">
        <v>886</v>
      </c>
      <c r="G80" s="796">
        <v>785</v>
      </c>
    </row>
    <row r="81" spans="1:7" ht="16" x14ac:dyDescent="0.2">
      <c r="A81" s="1267" t="s">
        <v>69</v>
      </c>
      <c r="B81" s="1268">
        <v>26321</v>
      </c>
      <c r="C81" s="794">
        <v>17670</v>
      </c>
      <c r="D81" s="795">
        <v>6492</v>
      </c>
      <c r="E81" s="795">
        <v>-972</v>
      </c>
      <c r="F81" s="795">
        <v>1112</v>
      </c>
      <c r="G81" s="796">
        <v>2020</v>
      </c>
    </row>
    <row r="82" spans="1:7" ht="16" x14ac:dyDescent="0.2">
      <c r="A82" s="1267" t="s">
        <v>292</v>
      </c>
      <c r="B82" s="1268">
        <v>13470</v>
      </c>
      <c r="C82" s="794">
        <v>3028</v>
      </c>
      <c r="D82" s="795">
        <v>4260</v>
      </c>
      <c r="E82" s="795">
        <v>16</v>
      </c>
      <c r="F82" s="800" t="s">
        <v>283</v>
      </c>
      <c r="G82" s="801" t="s">
        <v>283</v>
      </c>
    </row>
    <row r="83" spans="1:7" ht="16" x14ac:dyDescent="0.2">
      <c r="A83" s="1267" t="s">
        <v>46</v>
      </c>
      <c r="B83" s="1268">
        <v>47420</v>
      </c>
      <c r="C83" s="794">
        <v>25937</v>
      </c>
      <c r="D83" s="795">
        <v>22296</v>
      </c>
      <c r="E83" s="795">
        <v>-7704</v>
      </c>
      <c r="F83" s="795">
        <v>3513</v>
      </c>
      <c r="G83" s="796">
        <v>3377</v>
      </c>
    </row>
    <row r="84" spans="1:7" ht="16" x14ac:dyDescent="0.2">
      <c r="A84" s="1267" t="s">
        <v>47</v>
      </c>
      <c r="B84" s="1268">
        <v>15486</v>
      </c>
      <c r="C84" s="794">
        <v>7527</v>
      </c>
      <c r="D84" s="795">
        <v>5141</v>
      </c>
      <c r="E84" s="795">
        <v>-965</v>
      </c>
      <c r="F84" s="795">
        <v>2275</v>
      </c>
      <c r="G84" s="796">
        <v>1509</v>
      </c>
    </row>
    <row r="85" spans="1:7" ht="16" x14ac:dyDescent="0.2">
      <c r="A85" s="1267" t="s">
        <v>293</v>
      </c>
      <c r="B85" s="1268">
        <v>8916</v>
      </c>
      <c r="C85" s="794">
        <v>3518</v>
      </c>
      <c r="D85" s="795">
        <v>2918</v>
      </c>
      <c r="E85" s="795">
        <v>-56</v>
      </c>
      <c r="F85" s="795">
        <v>531</v>
      </c>
      <c r="G85" s="796">
        <v>2006</v>
      </c>
    </row>
    <row r="86" spans="1:7" ht="16" x14ac:dyDescent="0.2">
      <c r="A86" s="1267" t="s">
        <v>52</v>
      </c>
      <c r="B86" s="1268">
        <v>4777</v>
      </c>
      <c r="C86" s="794">
        <v>1812</v>
      </c>
      <c r="D86" s="795">
        <v>1232</v>
      </c>
      <c r="E86" s="795">
        <v>-86</v>
      </c>
      <c r="F86" s="795">
        <v>1379</v>
      </c>
      <c r="G86" s="796">
        <v>440</v>
      </c>
    </row>
    <row r="87" spans="1:7" ht="16" x14ac:dyDescent="0.2">
      <c r="A87" s="1267" t="s">
        <v>294</v>
      </c>
      <c r="B87" s="1268">
        <v>5502</v>
      </c>
      <c r="C87" s="794">
        <v>3182</v>
      </c>
      <c r="D87" s="795">
        <v>820</v>
      </c>
      <c r="E87" s="795">
        <v>40</v>
      </c>
      <c r="F87" s="795">
        <v>470</v>
      </c>
      <c r="G87" s="796">
        <v>990</v>
      </c>
    </row>
    <row r="88" spans="1:7" ht="16" x14ac:dyDescent="0.2">
      <c r="A88" s="1267" t="s">
        <v>102</v>
      </c>
      <c r="B88" s="1268">
        <v>47644</v>
      </c>
      <c r="C88" s="794">
        <v>13740</v>
      </c>
      <c r="D88" s="795">
        <v>29642</v>
      </c>
      <c r="E88" s="795">
        <v>-1815</v>
      </c>
      <c r="F88" s="795">
        <v>2127</v>
      </c>
      <c r="G88" s="796">
        <v>3949</v>
      </c>
    </row>
    <row r="89" spans="1:7" ht="16" x14ac:dyDescent="0.2">
      <c r="A89" s="1267" t="s">
        <v>295</v>
      </c>
      <c r="B89" s="1268">
        <v>7291</v>
      </c>
      <c r="C89" s="794">
        <v>3200</v>
      </c>
      <c r="D89" s="795">
        <v>2904</v>
      </c>
      <c r="E89" s="795">
        <v>-214</v>
      </c>
      <c r="F89" s="795">
        <v>274</v>
      </c>
      <c r="G89" s="796">
        <v>1127</v>
      </c>
    </row>
    <row r="90" spans="1:7" ht="16" x14ac:dyDescent="0.2">
      <c r="A90" s="1267" t="s">
        <v>296</v>
      </c>
      <c r="B90" s="1268">
        <v>14854</v>
      </c>
      <c r="C90" s="794">
        <v>3129</v>
      </c>
      <c r="D90" s="795">
        <v>5698</v>
      </c>
      <c r="E90" s="795">
        <v>-56</v>
      </c>
      <c r="F90" s="795">
        <v>3508</v>
      </c>
      <c r="G90" s="796">
        <v>2575</v>
      </c>
    </row>
    <row r="91" spans="1:7" ht="16" x14ac:dyDescent="0.2">
      <c r="A91" s="1267" t="s">
        <v>272</v>
      </c>
      <c r="B91" s="1268">
        <v>15707</v>
      </c>
      <c r="C91" s="794">
        <v>2882</v>
      </c>
      <c r="D91" s="795">
        <v>5138</v>
      </c>
      <c r="E91" s="795">
        <v>258</v>
      </c>
      <c r="F91" s="800" t="s">
        <v>283</v>
      </c>
      <c r="G91" s="801" t="s">
        <v>283</v>
      </c>
    </row>
    <row r="92" spans="1:7" ht="16" x14ac:dyDescent="0.2">
      <c r="A92" s="1265" t="s">
        <v>262</v>
      </c>
      <c r="B92" s="1266" t="s">
        <v>262</v>
      </c>
      <c r="C92" s="799" t="s">
        <v>262</v>
      </c>
      <c r="D92" s="800" t="s">
        <v>262</v>
      </c>
      <c r="E92" s="800" t="s">
        <v>262</v>
      </c>
      <c r="F92" s="800" t="s">
        <v>262</v>
      </c>
      <c r="G92" s="801" t="s">
        <v>262</v>
      </c>
    </row>
    <row r="93" spans="1:7" ht="16" x14ac:dyDescent="0.2">
      <c r="A93" s="1265" t="s">
        <v>297</v>
      </c>
      <c r="B93" s="1266" t="s">
        <v>262</v>
      </c>
      <c r="C93" s="799" t="s">
        <v>262</v>
      </c>
      <c r="D93" s="800" t="s">
        <v>262</v>
      </c>
      <c r="E93" s="800" t="s">
        <v>262</v>
      </c>
      <c r="F93" s="800" t="s">
        <v>262</v>
      </c>
      <c r="G93" s="801" t="s">
        <v>262</v>
      </c>
    </row>
    <row r="94" spans="1:7" ht="16" x14ac:dyDescent="0.2">
      <c r="A94" s="1267" t="s">
        <v>298</v>
      </c>
      <c r="B94" s="1268">
        <v>582834</v>
      </c>
      <c r="C94" s="794">
        <v>282508</v>
      </c>
      <c r="D94" s="795">
        <v>196968</v>
      </c>
      <c r="E94" s="795">
        <v>-22690</v>
      </c>
      <c r="F94" s="795">
        <v>76648</v>
      </c>
      <c r="G94" s="796">
        <v>49399</v>
      </c>
    </row>
    <row r="95" spans="1:7" ht="17" thickBot="1" x14ac:dyDescent="0.25">
      <c r="A95" s="1270" t="s">
        <v>299</v>
      </c>
      <c r="B95" s="1271">
        <v>30981</v>
      </c>
      <c r="C95" s="1272">
        <v>8967</v>
      </c>
      <c r="D95" s="1273">
        <v>9965</v>
      </c>
      <c r="E95" s="1273">
        <v>-124</v>
      </c>
      <c r="F95" s="1273">
        <v>3230</v>
      </c>
      <c r="G95" s="1274">
        <v>8943</v>
      </c>
    </row>
    <row r="96" spans="1:7" ht="14" thickTop="1" x14ac:dyDescent="0.15"/>
    <row r="97" spans="1:7" ht="14" thickBot="1" x14ac:dyDescent="0.2"/>
    <row r="98" spans="1:7" ht="26.25" customHeight="1" thickBot="1" x14ac:dyDescent="0.2">
      <c r="A98" s="2122" t="s">
        <v>300</v>
      </c>
      <c r="B98" s="2123"/>
      <c r="C98" s="2123"/>
      <c r="D98" s="2123"/>
      <c r="E98" s="2123"/>
      <c r="F98" s="2123"/>
      <c r="G98" s="2124"/>
    </row>
  </sheetData>
  <mergeCells count="3">
    <mergeCell ref="A3:G3"/>
    <mergeCell ref="A98:G98"/>
    <mergeCell ref="B6:G6"/>
  </mergeCells>
  <phoneticPr fontId="37" type="noConversion"/>
  <pageMargins left="0.7" right="0.7" top="0.75" bottom="0.75" header="0.3" footer="0.3"/>
  <pageSetup scale="66" fitToHeight="0" orientation="portrait" horizontalDpi="300" verticalDpi="300"/>
  <customProperties>
    <customPr name="S" r:id="rId1"/>
  </customPropertie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I98"/>
  <sheetViews>
    <sheetView workbookViewId="0">
      <pane xSplit="1" ySplit="7" topLeftCell="B8" activePane="bottomRight" state="frozen"/>
      <selection pane="topRight" activeCell="B1" sqref="B1"/>
      <selection pane="bottomLeft" activeCell="A8" sqref="A8"/>
      <selection pane="bottomRight" activeCell="A3" sqref="A3:G3"/>
    </sheetView>
  </sheetViews>
  <sheetFormatPr baseColWidth="10" defaultColWidth="8.83203125" defaultRowHeight="13" x14ac:dyDescent="0.15"/>
  <cols>
    <col min="1" max="1" width="46.33203125" style="62" customWidth="1"/>
    <col min="2" max="7" width="14.1640625" style="62" customWidth="1"/>
    <col min="8" max="16384" width="8.83203125" style="62"/>
  </cols>
  <sheetData>
    <row r="2" spans="1:9" ht="14" thickBot="1" x14ac:dyDescent="0.2"/>
    <row r="3" spans="1:9" ht="32.25" customHeight="1" thickTop="1" x14ac:dyDescent="0.15">
      <c r="A3" s="2119" t="s">
        <v>301</v>
      </c>
      <c r="B3" s="2120"/>
      <c r="C3" s="2120"/>
      <c r="D3" s="2120"/>
      <c r="E3" s="2120"/>
      <c r="F3" s="2120"/>
      <c r="G3" s="2121"/>
    </row>
    <row r="4" spans="1:9" ht="12" customHeight="1" x14ac:dyDescent="0.15">
      <c r="A4" s="68"/>
      <c r="B4" s="69"/>
      <c r="C4" s="69"/>
      <c r="D4" s="69"/>
      <c r="E4" s="69"/>
      <c r="F4" s="69"/>
      <c r="G4" s="70"/>
    </row>
    <row r="5" spans="1:9" ht="15" customHeight="1" x14ac:dyDescent="0.15">
      <c r="A5" s="71" t="s">
        <v>262</v>
      </c>
      <c r="B5" s="84" t="s">
        <v>1</v>
      </c>
      <c r="C5" s="84" t="s">
        <v>2</v>
      </c>
      <c r="D5" s="84" t="s">
        <v>3</v>
      </c>
      <c r="E5" s="84" t="s">
        <v>4</v>
      </c>
      <c r="F5" s="84" t="s">
        <v>5</v>
      </c>
      <c r="G5" s="1787" t="s">
        <v>6</v>
      </c>
    </row>
    <row r="6" spans="1:9" ht="16" customHeight="1" x14ac:dyDescent="0.15">
      <c r="A6" s="79"/>
      <c r="B6" s="2125" t="s">
        <v>263</v>
      </c>
      <c r="C6" s="2126"/>
      <c r="D6" s="2126"/>
      <c r="E6" s="2126"/>
      <c r="F6" s="2126"/>
      <c r="G6" s="2127"/>
    </row>
    <row r="7" spans="1:9" ht="71.25" customHeight="1" x14ac:dyDescent="0.15">
      <c r="A7" s="1786" t="s">
        <v>262</v>
      </c>
      <c r="B7" s="1261" t="s">
        <v>264</v>
      </c>
      <c r="C7" s="1262" t="s">
        <v>125</v>
      </c>
      <c r="D7" s="1263" t="s">
        <v>265</v>
      </c>
      <c r="E7" s="1263" t="s">
        <v>266</v>
      </c>
      <c r="F7" s="1263" t="s">
        <v>267</v>
      </c>
      <c r="G7" s="77" t="s">
        <v>268</v>
      </c>
    </row>
    <row r="8" spans="1:9" ht="21" customHeight="1" x14ac:dyDescent="0.2">
      <c r="A8" s="1264" t="s">
        <v>302</v>
      </c>
      <c r="B8" s="72">
        <v>1490153</v>
      </c>
      <c r="C8" s="73">
        <v>632546</v>
      </c>
      <c r="D8" s="74">
        <v>554226</v>
      </c>
      <c r="E8" s="74">
        <v>-46774</v>
      </c>
      <c r="F8" s="74">
        <v>208002</v>
      </c>
      <c r="G8" s="78">
        <v>142154</v>
      </c>
    </row>
    <row r="9" spans="1:9" ht="16" x14ac:dyDescent="0.2">
      <c r="A9" s="1265" t="s">
        <v>262</v>
      </c>
      <c r="B9" s="1266" t="s">
        <v>262</v>
      </c>
      <c r="C9" s="799" t="s">
        <v>262</v>
      </c>
      <c r="D9" s="800" t="s">
        <v>262</v>
      </c>
      <c r="E9" s="800" t="s">
        <v>262</v>
      </c>
      <c r="F9" s="800" t="s">
        <v>262</v>
      </c>
      <c r="G9" s="801" t="s">
        <v>262</v>
      </c>
    </row>
    <row r="10" spans="1:9" ht="16" x14ac:dyDescent="0.2">
      <c r="A10" s="1265" t="s">
        <v>32</v>
      </c>
      <c r="B10" s="72">
        <v>154279</v>
      </c>
      <c r="C10" s="73">
        <v>68578</v>
      </c>
      <c r="D10" s="74">
        <v>46406</v>
      </c>
      <c r="E10" s="74">
        <v>-29</v>
      </c>
      <c r="F10" s="74">
        <v>25545</v>
      </c>
      <c r="G10" s="78">
        <v>13780</v>
      </c>
    </row>
    <row r="11" spans="1:9" ht="16" x14ac:dyDescent="0.2">
      <c r="A11" s="1265" t="s">
        <v>262</v>
      </c>
      <c r="B11" s="1266" t="s">
        <v>262</v>
      </c>
      <c r="C11" s="799" t="s">
        <v>262</v>
      </c>
      <c r="D11" s="800" t="s">
        <v>262</v>
      </c>
      <c r="E11" s="800" t="s">
        <v>262</v>
      </c>
      <c r="F11" s="800" t="s">
        <v>262</v>
      </c>
      <c r="G11" s="801" t="s">
        <v>262</v>
      </c>
    </row>
    <row r="12" spans="1:9" ht="16" x14ac:dyDescent="0.2">
      <c r="A12" s="1265" t="s">
        <v>303</v>
      </c>
      <c r="B12" s="72">
        <v>706950</v>
      </c>
      <c r="C12" s="73">
        <v>318127</v>
      </c>
      <c r="D12" s="74">
        <v>237942</v>
      </c>
      <c r="E12" s="74">
        <v>-18479</v>
      </c>
      <c r="F12" s="74">
        <v>110228</v>
      </c>
      <c r="G12" s="78">
        <v>59131</v>
      </c>
      <c r="I12" s="117"/>
    </row>
    <row r="13" spans="1:9" ht="16" x14ac:dyDescent="0.2">
      <c r="A13" s="1267" t="s">
        <v>30</v>
      </c>
      <c r="B13" s="1268">
        <v>6169</v>
      </c>
      <c r="C13" s="794">
        <v>3991</v>
      </c>
      <c r="D13" s="795">
        <v>1183</v>
      </c>
      <c r="E13" s="795">
        <v>54</v>
      </c>
      <c r="F13" s="795">
        <v>435</v>
      </c>
      <c r="G13" s="796">
        <v>506</v>
      </c>
      <c r="I13" s="117"/>
    </row>
    <row r="14" spans="1:9" ht="16" x14ac:dyDescent="0.2">
      <c r="A14" s="1267" t="s">
        <v>31</v>
      </c>
      <c r="B14" s="1268">
        <v>26349</v>
      </c>
      <c r="C14" s="794">
        <v>11719</v>
      </c>
      <c r="D14" s="795">
        <v>6774</v>
      </c>
      <c r="E14" s="795">
        <v>-308</v>
      </c>
      <c r="F14" s="795">
        <v>5870</v>
      </c>
      <c r="G14" s="796">
        <v>2293</v>
      </c>
      <c r="I14" s="117"/>
    </row>
    <row r="15" spans="1:9" ht="16" x14ac:dyDescent="0.2">
      <c r="A15" s="1267" t="s">
        <v>34</v>
      </c>
      <c r="B15" s="1268">
        <v>5504</v>
      </c>
      <c r="C15" s="794">
        <v>2294</v>
      </c>
      <c r="D15" s="795">
        <v>1424</v>
      </c>
      <c r="E15" s="795">
        <v>24</v>
      </c>
      <c r="F15" s="795">
        <v>1099</v>
      </c>
      <c r="G15" s="796">
        <v>663</v>
      </c>
      <c r="I15" s="117"/>
    </row>
    <row r="16" spans="1:9" ht="16" x14ac:dyDescent="0.2">
      <c r="A16" s="1267" t="s">
        <v>35</v>
      </c>
      <c r="B16" s="1268">
        <v>8018</v>
      </c>
      <c r="C16" s="794">
        <v>4591</v>
      </c>
      <c r="D16" s="795">
        <v>2317</v>
      </c>
      <c r="E16" s="795">
        <v>62</v>
      </c>
      <c r="F16" s="795">
        <v>379</v>
      </c>
      <c r="G16" s="796">
        <v>670</v>
      </c>
      <c r="I16" s="117"/>
    </row>
    <row r="17" spans="1:9" ht="16" x14ac:dyDescent="0.2">
      <c r="A17" s="1267" t="s">
        <v>37</v>
      </c>
      <c r="B17" s="1268">
        <v>2380</v>
      </c>
      <c r="C17" s="794">
        <v>1493</v>
      </c>
      <c r="D17" s="795">
        <v>-213</v>
      </c>
      <c r="E17" s="795" t="s">
        <v>283</v>
      </c>
      <c r="F17" s="795" t="s">
        <v>283</v>
      </c>
      <c r="G17" s="796">
        <v>296</v>
      </c>
      <c r="I17" s="117"/>
    </row>
    <row r="18" spans="1:9" ht="16" x14ac:dyDescent="0.2">
      <c r="A18" s="1267" t="s">
        <v>38</v>
      </c>
      <c r="B18" s="1268">
        <v>54997</v>
      </c>
      <c r="C18" s="794">
        <v>35623</v>
      </c>
      <c r="D18" s="795">
        <v>7444</v>
      </c>
      <c r="E18" s="795">
        <v>540</v>
      </c>
      <c r="F18" s="795">
        <v>7609</v>
      </c>
      <c r="G18" s="796">
        <v>3781</v>
      </c>
      <c r="I18" s="117"/>
    </row>
    <row r="19" spans="1:9" ht="16" x14ac:dyDescent="0.2">
      <c r="A19" s="1265" t="s">
        <v>262</v>
      </c>
      <c r="B19" s="1266" t="s">
        <v>262</v>
      </c>
      <c r="C19" s="799" t="s">
        <v>262</v>
      </c>
      <c r="D19" s="800" t="s">
        <v>262</v>
      </c>
      <c r="E19" s="800" t="s">
        <v>262</v>
      </c>
      <c r="F19" s="800" t="s">
        <v>262</v>
      </c>
      <c r="G19" s="801" t="s">
        <v>262</v>
      </c>
      <c r="I19" s="117"/>
    </row>
    <row r="20" spans="1:9" ht="16" x14ac:dyDescent="0.2">
      <c r="A20" s="1267" t="s">
        <v>39</v>
      </c>
      <c r="B20" s="1268">
        <v>94232</v>
      </c>
      <c r="C20" s="794">
        <v>54948</v>
      </c>
      <c r="D20" s="795">
        <v>14627</v>
      </c>
      <c r="E20" s="795">
        <v>1051</v>
      </c>
      <c r="F20" s="795">
        <v>16198</v>
      </c>
      <c r="G20" s="796">
        <v>7408</v>
      </c>
      <c r="I20" s="117"/>
    </row>
    <row r="21" spans="1:9" ht="16" x14ac:dyDescent="0.2">
      <c r="A21" s="1267" t="s">
        <v>40</v>
      </c>
      <c r="B21" s="1268">
        <v>2837</v>
      </c>
      <c r="C21" s="794">
        <v>1037</v>
      </c>
      <c r="D21" s="795">
        <v>149</v>
      </c>
      <c r="E21" s="795" t="s">
        <v>283</v>
      </c>
      <c r="F21" s="797" t="s">
        <v>283</v>
      </c>
      <c r="G21" s="796">
        <v>120</v>
      </c>
      <c r="I21" s="117"/>
    </row>
    <row r="22" spans="1:9" ht="16" x14ac:dyDescent="0.2">
      <c r="A22" s="1267" t="s">
        <v>41</v>
      </c>
      <c r="B22" s="1268">
        <v>3470</v>
      </c>
      <c r="C22" s="794">
        <v>1698</v>
      </c>
      <c r="D22" s="795">
        <v>632</v>
      </c>
      <c r="E22" s="795">
        <v>138</v>
      </c>
      <c r="F22" s="795">
        <v>458</v>
      </c>
      <c r="G22" s="796">
        <v>544</v>
      </c>
      <c r="I22" s="117"/>
    </row>
    <row r="23" spans="1:9" ht="16" x14ac:dyDescent="0.2">
      <c r="A23" s="1267" t="s">
        <v>43</v>
      </c>
      <c r="B23" s="1268">
        <v>79477</v>
      </c>
      <c r="C23" s="794">
        <v>9337</v>
      </c>
      <c r="D23" s="795">
        <v>61572</v>
      </c>
      <c r="E23" s="795">
        <v>-603</v>
      </c>
      <c r="F23" s="795">
        <v>1594</v>
      </c>
      <c r="G23" s="796">
        <v>7576</v>
      </c>
      <c r="I23" s="117"/>
    </row>
    <row r="24" spans="1:9" ht="16" x14ac:dyDescent="0.2">
      <c r="A24" s="1267" t="s">
        <v>45</v>
      </c>
      <c r="B24" s="1268">
        <v>32901</v>
      </c>
      <c r="C24" s="794">
        <v>16040</v>
      </c>
      <c r="D24" s="795">
        <v>3494</v>
      </c>
      <c r="E24" s="795" t="s">
        <v>283</v>
      </c>
      <c r="F24" s="795" t="s">
        <v>283</v>
      </c>
      <c r="G24" s="796">
        <v>2414</v>
      </c>
      <c r="I24" s="117"/>
    </row>
    <row r="25" spans="1:9" ht="16" x14ac:dyDescent="0.2">
      <c r="A25" s="1267" t="s">
        <v>49</v>
      </c>
      <c r="B25" s="1268">
        <v>4153</v>
      </c>
      <c r="C25" s="794">
        <v>1811</v>
      </c>
      <c r="D25" s="795">
        <v>7118</v>
      </c>
      <c r="E25" s="795">
        <v>-6416</v>
      </c>
      <c r="F25" s="795">
        <v>1137</v>
      </c>
      <c r="G25" s="796">
        <v>503</v>
      </c>
      <c r="I25" s="117"/>
    </row>
    <row r="26" spans="1:9" ht="16" x14ac:dyDescent="0.2">
      <c r="A26" s="1267" t="s">
        <v>51</v>
      </c>
      <c r="B26" s="1268">
        <v>32640</v>
      </c>
      <c r="C26" s="794">
        <v>18885</v>
      </c>
      <c r="D26" s="795">
        <v>15031</v>
      </c>
      <c r="E26" s="795">
        <v>-9292</v>
      </c>
      <c r="F26" s="795">
        <v>4538</v>
      </c>
      <c r="G26" s="796">
        <v>3478</v>
      </c>
      <c r="I26" s="117"/>
    </row>
    <row r="27" spans="1:9" ht="16" x14ac:dyDescent="0.2">
      <c r="A27" s="1265" t="s">
        <v>262</v>
      </c>
      <c r="B27" s="1266" t="s">
        <v>262</v>
      </c>
      <c r="C27" s="799" t="s">
        <v>262</v>
      </c>
      <c r="D27" s="800" t="s">
        <v>262</v>
      </c>
      <c r="E27" s="800" t="s">
        <v>262</v>
      </c>
      <c r="F27" s="800" t="s">
        <v>262</v>
      </c>
      <c r="G27" s="801" t="s">
        <v>262</v>
      </c>
      <c r="I27" s="117"/>
    </row>
    <row r="28" spans="1:9" ht="16" x14ac:dyDescent="0.2">
      <c r="A28" s="1267" t="s">
        <v>53</v>
      </c>
      <c r="B28" s="1268">
        <v>26165</v>
      </c>
      <c r="C28" s="794">
        <v>5749</v>
      </c>
      <c r="D28" s="795">
        <v>13365</v>
      </c>
      <c r="E28" s="795">
        <v>416</v>
      </c>
      <c r="F28" s="795">
        <v>2711</v>
      </c>
      <c r="G28" s="796">
        <v>3924</v>
      </c>
      <c r="I28" s="117"/>
    </row>
    <row r="29" spans="1:9" ht="16" x14ac:dyDescent="0.2">
      <c r="A29" s="1267" t="s">
        <v>54</v>
      </c>
      <c r="B29" s="1268">
        <v>11484</v>
      </c>
      <c r="C29" s="794">
        <v>4604</v>
      </c>
      <c r="D29" s="795">
        <v>2281</v>
      </c>
      <c r="E29" s="795">
        <v>-34</v>
      </c>
      <c r="F29" s="795">
        <v>3388</v>
      </c>
      <c r="G29" s="796">
        <v>1245</v>
      </c>
      <c r="I29" s="117"/>
    </row>
    <row r="30" spans="1:9" ht="16" x14ac:dyDescent="0.2">
      <c r="A30" s="1267" t="s">
        <v>55</v>
      </c>
      <c r="B30" s="1268">
        <v>3670</v>
      </c>
      <c r="C30" s="794">
        <v>1315</v>
      </c>
      <c r="D30" s="795">
        <v>581</v>
      </c>
      <c r="E30" s="795">
        <v>-35</v>
      </c>
      <c r="F30" s="797" t="s">
        <v>283</v>
      </c>
      <c r="G30" s="796" t="s">
        <v>283</v>
      </c>
      <c r="I30" s="117"/>
    </row>
    <row r="31" spans="1:9" ht="16" x14ac:dyDescent="0.2">
      <c r="A31" s="1267" t="s">
        <v>70</v>
      </c>
      <c r="B31" s="1268">
        <v>13573</v>
      </c>
      <c r="C31" s="794">
        <v>5615</v>
      </c>
      <c r="D31" s="795">
        <v>3211</v>
      </c>
      <c r="E31" s="795">
        <v>238</v>
      </c>
      <c r="F31" s="795">
        <v>3337</v>
      </c>
      <c r="G31" s="796">
        <v>1172</v>
      </c>
      <c r="I31" s="117"/>
    </row>
    <row r="32" spans="1:9" ht="16" x14ac:dyDescent="0.2">
      <c r="A32" s="1267" t="s">
        <v>58</v>
      </c>
      <c r="B32" s="1268">
        <v>16354</v>
      </c>
      <c r="C32" s="794">
        <v>10952</v>
      </c>
      <c r="D32" s="795">
        <v>2622</v>
      </c>
      <c r="E32" s="795">
        <v>-46</v>
      </c>
      <c r="F32" s="795">
        <v>970</v>
      </c>
      <c r="G32" s="796">
        <v>1856</v>
      </c>
      <c r="I32" s="117"/>
    </row>
    <row r="33" spans="1:9" ht="16" x14ac:dyDescent="0.2">
      <c r="A33" s="1267" t="s">
        <v>59</v>
      </c>
      <c r="B33" s="1268">
        <v>10981</v>
      </c>
      <c r="C33" s="794">
        <v>6223</v>
      </c>
      <c r="D33" s="795">
        <v>3195</v>
      </c>
      <c r="E33" s="795">
        <v>309</v>
      </c>
      <c r="F33" s="795">
        <v>296</v>
      </c>
      <c r="G33" s="796">
        <v>958</v>
      </c>
      <c r="I33" s="117"/>
    </row>
    <row r="34" spans="1:9" ht="16" x14ac:dyDescent="0.2">
      <c r="A34" s="1267" t="s">
        <v>60</v>
      </c>
      <c r="B34" s="1268">
        <v>53058</v>
      </c>
      <c r="C34" s="794">
        <v>13077</v>
      </c>
      <c r="D34" s="795">
        <v>38185</v>
      </c>
      <c r="E34" s="795">
        <v>-1578</v>
      </c>
      <c r="F34" s="795">
        <v>1796</v>
      </c>
      <c r="G34" s="796">
        <v>1579</v>
      </c>
      <c r="I34" s="117"/>
    </row>
    <row r="35" spans="1:9" ht="16" x14ac:dyDescent="0.2">
      <c r="A35" s="1267" t="s">
        <v>61</v>
      </c>
      <c r="B35" s="1268">
        <v>9451</v>
      </c>
      <c r="C35" s="794">
        <v>2135</v>
      </c>
      <c r="D35" s="795">
        <v>1027</v>
      </c>
      <c r="E35" s="795" t="s">
        <v>283</v>
      </c>
      <c r="F35" s="797" t="s">
        <v>283</v>
      </c>
      <c r="G35" s="798" t="s">
        <v>283</v>
      </c>
      <c r="I35" s="117"/>
    </row>
    <row r="36" spans="1:9" ht="16" x14ac:dyDescent="0.2">
      <c r="A36" s="1267" t="s">
        <v>62</v>
      </c>
      <c r="B36" s="1268">
        <v>178637</v>
      </c>
      <c r="C36" s="794">
        <v>100273</v>
      </c>
      <c r="D36" s="795">
        <v>35546</v>
      </c>
      <c r="E36" s="795">
        <v>-2947</v>
      </c>
      <c r="F36" s="795">
        <v>31023</v>
      </c>
      <c r="G36" s="796">
        <v>14743</v>
      </c>
      <c r="I36" s="117"/>
    </row>
    <row r="37" spans="1:9" ht="16" x14ac:dyDescent="0.2">
      <c r="A37" s="1267" t="s">
        <v>272</v>
      </c>
      <c r="B37" s="1268">
        <v>30450</v>
      </c>
      <c r="C37" s="794">
        <v>4717</v>
      </c>
      <c r="D37" s="795">
        <v>16378</v>
      </c>
      <c r="E37" s="795" t="s">
        <v>283</v>
      </c>
      <c r="F37" s="795">
        <v>6767</v>
      </c>
      <c r="G37" s="796" t="s">
        <v>283</v>
      </c>
      <c r="I37" s="117"/>
    </row>
    <row r="38" spans="1:9" ht="16" x14ac:dyDescent="0.2">
      <c r="A38" s="1265" t="s">
        <v>262</v>
      </c>
      <c r="B38" s="1266" t="s">
        <v>262</v>
      </c>
      <c r="C38" s="799" t="s">
        <v>262</v>
      </c>
      <c r="D38" s="800" t="s">
        <v>262</v>
      </c>
      <c r="E38" s="800" t="s">
        <v>262</v>
      </c>
      <c r="F38" s="800" t="s">
        <v>262</v>
      </c>
      <c r="G38" s="801" t="s">
        <v>262</v>
      </c>
    </row>
    <row r="39" spans="1:9" ht="16" x14ac:dyDescent="0.2">
      <c r="A39" s="1265" t="s">
        <v>304</v>
      </c>
      <c r="B39" s="72">
        <v>177080</v>
      </c>
      <c r="C39" s="73">
        <v>72532</v>
      </c>
      <c r="D39" s="74">
        <v>78512</v>
      </c>
      <c r="E39" s="74">
        <v>-17701</v>
      </c>
      <c r="F39" s="74">
        <v>21944</v>
      </c>
      <c r="G39" s="78">
        <v>21793</v>
      </c>
    </row>
    <row r="40" spans="1:9" ht="16" x14ac:dyDescent="0.2">
      <c r="A40" s="1265" t="s">
        <v>262</v>
      </c>
      <c r="B40" s="1266" t="s">
        <v>262</v>
      </c>
      <c r="C40" s="799" t="s">
        <v>262</v>
      </c>
      <c r="D40" s="800" t="s">
        <v>262</v>
      </c>
      <c r="E40" s="800" t="s">
        <v>262</v>
      </c>
      <c r="F40" s="800" t="s">
        <v>262</v>
      </c>
      <c r="G40" s="801" t="s">
        <v>262</v>
      </c>
    </row>
    <row r="41" spans="1:9" ht="16" x14ac:dyDescent="0.2">
      <c r="A41" s="1267" t="s">
        <v>274</v>
      </c>
      <c r="B41" s="1268">
        <v>91097</v>
      </c>
      <c r="C41" s="794">
        <v>43650</v>
      </c>
      <c r="D41" s="795">
        <v>22271</v>
      </c>
      <c r="E41" s="795">
        <v>-2495</v>
      </c>
      <c r="F41" s="795">
        <v>16155</v>
      </c>
      <c r="G41" s="796">
        <v>11515</v>
      </c>
    </row>
    <row r="42" spans="1:9" ht="16" x14ac:dyDescent="0.2">
      <c r="A42" s="1269" t="s">
        <v>275</v>
      </c>
      <c r="B42" s="1268">
        <v>17773</v>
      </c>
      <c r="C42" s="794">
        <v>5600</v>
      </c>
      <c r="D42" s="795">
        <v>5181</v>
      </c>
      <c r="E42" s="795">
        <v>-35</v>
      </c>
      <c r="F42" s="795">
        <v>5190</v>
      </c>
      <c r="G42" s="796">
        <v>1837</v>
      </c>
    </row>
    <row r="43" spans="1:9" ht="16" x14ac:dyDescent="0.2">
      <c r="A43" s="1269" t="s">
        <v>65</v>
      </c>
      <c r="B43" s="1268">
        <v>46370</v>
      </c>
      <c r="C43" s="794">
        <v>26326</v>
      </c>
      <c r="D43" s="795">
        <v>7500</v>
      </c>
      <c r="E43" s="795">
        <v>-1413</v>
      </c>
      <c r="F43" s="795">
        <v>8027</v>
      </c>
      <c r="G43" s="796">
        <v>5930</v>
      </c>
    </row>
    <row r="44" spans="1:9" ht="16" x14ac:dyDescent="0.2">
      <c r="A44" s="1269" t="s">
        <v>33</v>
      </c>
      <c r="B44" s="1268">
        <v>9739</v>
      </c>
      <c r="C44" s="794">
        <v>3936</v>
      </c>
      <c r="D44" s="795">
        <v>4829</v>
      </c>
      <c r="E44" s="795">
        <v>-886</v>
      </c>
      <c r="F44" s="795">
        <v>219</v>
      </c>
      <c r="G44" s="796">
        <v>1640</v>
      </c>
    </row>
    <row r="45" spans="1:9" ht="16" x14ac:dyDescent="0.2">
      <c r="A45" s="1269" t="s">
        <v>67</v>
      </c>
      <c r="B45" s="1268">
        <v>6683</v>
      </c>
      <c r="C45" s="794">
        <v>2946</v>
      </c>
      <c r="D45" s="795">
        <v>1747</v>
      </c>
      <c r="E45" s="795">
        <v>-50</v>
      </c>
      <c r="F45" s="795">
        <v>1275</v>
      </c>
      <c r="G45" s="796">
        <v>765</v>
      </c>
    </row>
    <row r="46" spans="1:9" ht="16" x14ac:dyDescent="0.2">
      <c r="A46" s="1269" t="s">
        <v>276</v>
      </c>
      <c r="B46" s="1268">
        <v>1192</v>
      </c>
      <c r="C46" s="794">
        <v>535</v>
      </c>
      <c r="D46" s="795">
        <v>294</v>
      </c>
      <c r="E46" s="795">
        <v>10</v>
      </c>
      <c r="F46" s="795">
        <v>249</v>
      </c>
      <c r="G46" s="796">
        <v>104</v>
      </c>
    </row>
    <row r="47" spans="1:9" ht="16" x14ac:dyDescent="0.2">
      <c r="A47" s="1269" t="s">
        <v>277</v>
      </c>
      <c r="B47" s="1268">
        <v>5061</v>
      </c>
      <c r="C47" s="794">
        <v>1334</v>
      </c>
      <c r="D47" s="795">
        <v>2382</v>
      </c>
      <c r="E47" s="795">
        <v>133</v>
      </c>
      <c r="F47" s="795">
        <v>551</v>
      </c>
      <c r="G47" s="796">
        <v>661</v>
      </c>
    </row>
    <row r="48" spans="1:9" ht="16" x14ac:dyDescent="0.2">
      <c r="A48" s="1269" t="s">
        <v>278</v>
      </c>
      <c r="B48" s="1268">
        <v>2883</v>
      </c>
      <c r="C48" s="794">
        <v>2446</v>
      </c>
      <c r="D48" s="795">
        <v>-294</v>
      </c>
      <c r="E48" s="795">
        <v>-178</v>
      </c>
      <c r="F48" s="795">
        <v>529</v>
      </c>
      <c r="G48" s="796">
        <v>380</v>
      </c>
    </row>
    <row r="49" spans="1:7" ht="16" x14ac:dyDescent="0.2">
      <c r="A49" s="1269" t="s">
        <v>272</v>
      </c>
      <c r="B49" s="1268">
        <v>1395</v>
      </c>
      <c r="C49" s="794">
        <v>525</v>
      </c>
      <c r="D49" s="795">
        <v>633</v>
      </c>
      <c r="E49" s="795">
        <v>-76</v>
      </c>
      <c r="F49" s="795">
        <v>116</v>
      </c>
      <c r="G49" s="796">
        <v>198</v>
      </c>
    </row>
    <row r="50" spans="1:7" ht="16" x14ac:dyDescent="0.2">
      <c r="A50" s="1265" t="s">
        <v>262</v>
      </c>
      <c r="B50" s="1266" t="s">
        <v>262</v>
      </c>
      <c r="C50" s="799" t="s">
        <v>262</v>
      </c>
      <c r="D50" s="800" t="s">
        <v>262</v>
      </c>
      <c r="E50" s="800" t="s">
        <v>262</v>
      </c>
      <c r="F50" s="800" t="s">
        <v>262</v>
      </c>
      <c r="G50" s="801" t="s">
        <v>262</v>
      </c>
    </row>
    <row r="51" spans="1:7" ht="16" x14ac:dyDescent="0.2">
      <c r="A51" s="1267" t="s">
        <v>279</v>
      </c>
      <c r="B51" s="1268">
        <v>55010</v>
      </c>
      <c r="C51" s="794">
        <v>24852</v>
      </c>
      <c r="D51" s="795">
        <v>19906</v>
      </c>
      <c r="E51" s="795">
        <v>-2453</v>
      </c>
      <c r="F51" s="795">
        <v>5113</v>
      </c>
      <c r="G51" s="796">
        <v>7593</v>
      </c>
    </row>
    <row r="52" spans="1:7" ht="16" x14ac:dyDescent="0.2">
      <c r="A52" s="1269" t="s">
        <v>68</v>
      </c>
      <c r="B52" s="1268">
        <v>2620</v>
      </c>
      <c r="C52" s="794">
        <v>1431</v>
      </c>
      <c r="D52" s="795">
        <v>693</v>
      </c>
      <c r="E52" s="795">
        <v>-14</v>
      </c>
      <c r="F52" s="795">
        <v>107</v>
      </c>
      <c r="G52" s="796">
        <v>404</v>
      </c>
    </row>
    <row r="53" spans="1:7" ht="16" x14ac:dyDescent="0.2">
      <c r="A53" s="1269" t="s">
        <v>280</v>
      </c>
      <c r="B53" s="1268">
        <v>565</v>
      </c>
      <c r="C53" s="794">
        <v>418</v>
      </c>
      <c r="D53" s="795">
        <v>79</v>
      </c>
      <c r="E53" s="795">
        <v>-15</v>
      </c>
      <c r="F53" s="795">
        <v>14</v>
      </c>
      <c r="G53" s="796">
        <v>68</v>
      </c>
    </row>
    <row r="54" spans="1:7" ht="16" x14ac:dyDescent="0.2">
      <c r="A54" s="1269" t="s">
        <v>50</v>
      </c>
      <c r="B54" s="1268">
        <v>49282</v>
      </c>
      <c r="C54" s="794">
        <v>21751</v>
      </c>
      <c r="D54" s="795">
        <v>18465</v>
      </c>
      <c r="E54" s="795">
        <v>-2392</v>
      </c>
      <c r="F54" s="795">
        <v>4715</v>
      </c>
      <c r="G54" s="796">
        <v>6744</v>
      </c>
    </row>
    <row r="55" spans="1:7" ht="16" x14ac:dyDescent="0.2">
      <c r="A55" s="1269" t="s">
        <v>107</v>
      </c>
      <c r="B55" s="1268">
        <v>691</v>
      </c>
      <c r="C55" s="794">
        <v>454</v>
      </c>
      <c r="D55" s="795">
        <v>37</v>
      </c>
      <c r="E55" s="795">
        <v>-22</v>
      </c>
      <c r="F55" s="795">
        <v>49</v>
      </c>
      <c r="G55" s="796">
        <v>173</v>
      </c>
    </row>
    <row r="56" spans="1:7" ht="16" x14ac:dyDescent="0.2">
      <c r="A56" s="1269" t="s">
        <v>272</v>
      </c>
      <c r="B56" s="1268">
        <v>1852</v>
      </c>
      <c r="C56" s="794">
        <v>799</v>
      </c>
      <c r="D56" s="795">
        <v>630</v>
      </c>
      <c r="E56" s="795">
        <v>-10</v>
      </c>
      <c r="F56" s="795">
        <v>228</v>
      </c>
      <c r="G56" s="796">
        <v>205</v>
      </c>
    </row>
    <row r="57" spans="1:7" ht="16" x14ac:dyDescent="0.2">
      <c r="A57" s="1265" t="s">
        <v>262</v>
      </c>
      <c r="B57" s="1266" t="s">
        <v>262</v>
      </c>
      <c r="C57" s="799" t="s">
        <v>262</v>
      </c>
      <c r="D57" s="800" t="s">
        <v>262</v>
      </c>
      <c r="E57" s="800" t="s">
        <v>262</v>
      </c>
      <c r="F57" s="800" t="s">
        <v>262</v>
      </c>
      <c r="G57" s="801" t="s">
        <v>262</v>
      </c>
    </row>
    <row r="58" spans="1:7" ht="16" x14ac:dyDescent="0.2">
      <c r="A58" s="1267" t="s">
        <v>281</v>
      </c>
      <c r="B58" s="1268">
        <v>30973</v>
      </c>
      <c r="C58" s="794">
        <v>4031</v>
      </c>
      <c r="D58" s="795">
        <v>36335</v>
      </c>
      <c r="E58" s="795">
        <v>-12753</v>
      </c>
      <c r="F58" s="795">
        <v>676</v>
      </c>
      <c r="G58" s="796">
        <v>2684</v>
      </c>
    </row>
    <row r="59" spans="1:7" ht="16" x14ac:dyDescent="0.2">
      <c r="A59" s="1269" t="s">
        <v>79</v>
      </c>
      <c r="B59" s="1268">
        <v>1785</v>
      </c>
      <c r="C59" s="794">
        <v>51</v>
      </c>
      <c r="D59" s="795">
        <v>1790</v>
      </c>
      <c r="E59" s="795" t="s">
        <v>283</v>
      </c>
      <c r="F59" s="795">
        <v>6</v>
      </c>
      <c r="G59" s="796" t="s">
        <v>283</v>
      </c>
    </row>
    <row r="60" spans="1:7" ht="16" x14ac:dyDescent="0.2">
      <c r="A60" s="1269" t="s">
        <v>81</v>
      </c>
      <c r="B60" s="1268">
        <v>4830</v>
      </c>
      <c r="C60" s="794">
        <v>1248</v>
      </c>
      <c r="D60" s="795">
        <v>7594</v>
      </c>
      <c r="E60" s="795" t="s">
        <v>283</v>
      </c>
      <c r="F60" s="795">
        <v>149</v>
      </c>
      <c r="G60" s="796" t="s">
        <v>283</v>
      </c>
    </row>
    <row r="61" spans="1:7" ht="16" x14ac:dyDescent="0.2">
      <c r="A61" s="1269" t="s">
        <v>282</v>
      </c>
      <c r="B61" s="1268">
        <v>860</v>
      </c>
      <c r="C61" s="794">
        <v>225</v>
      </c>
      <c r="D61" s="795">
        <v>416</v>
      </c>
      <c r="E61" s="800">
        <v>34</v>
      </c>
      <c r="F61" s="800">
        <v>114</v>
      </c>
      <c r="G61" s="796">
        <v>70</v>
      </c>
    </row>
    <row r="62" spans="1:7" ht="16" x14ac:dyDescent="0.2">
      <c r="A62" s="1269" t="s">
        <v>284</v>
      </c>
      <c r="B62" s="1268">
        <v>7901</v>
      </c>
      <c r="C62" s="794">
        <v>1491</v>
      </c>
      <c r="D62" s="795">
        <v>13080</v>
      </c>
      <c r="E62" s="800">
        <v>-7550</v>
      </c>
      <c r="F62" s="800">
        <v>106</v>
      </c>
      <c r="G62" s="796">
        <v>774</v>
      </c>
    </row>
    <row r="63" spans="1:7" ht="16" x14ac:dyDescent="0.2">
      <c r="A63" s="1269" t="s">
        <v>272</v>
      </c>
      <c r="B63" s="1268">
        <v>15597</v>
      </c>
      <c r="C63" s="794">
        <v>1015</v>
      </c>
      <c r="D63" s="795">
        <v>13454</v>
      </c>
      <c r="E63" s="800">
        <v>-282</v>
      </c>
      <c r="F63" s="800">
        <v>301</v>
      </c>
      <c r="G63" s="796">
        <v>1109</v>
      </c>
    </row>
    <row r="64" spans="1:7" ht="16" x14ac:dyDescent="0.2">
      <c r="A64" s="1265" t="s">
        <v>262</v>
      </c>
      <c r="B64" s="1266" t="s">
        <v>262</v>
      </c>
      <c r="C64" s="799" t="s">
        <v>262</v>
      </c>
      <c r="D64" s="800" t="s">
        <v>262</v>
      </c>
      <c r="E64" s="800" t="s">
        <v>262</v>
      </c>
      <c r="F64" s="800" t="s">
        <v>262</v>
      </c>
      <c r="G64" s="801" t="s">
        <v>262</v>
      </c>
    </row>
    <row r="65" spans="1:7" ht="16" x14ac:dyDescent="0.2">
      <c r="A65" s="1265" t="s">
        <v>305</v>
      </c>
      <c r="B65" s="72">
        <v>52596</v>
      </c>
      <c r="C65" s="73">
        <v>8395</v>
      </c>
      <c r="D65" s="74">
        <v>28014</v>
      </c>
      <c r="E65" s="74">
        <v>-327</v>
      </c>
      <c r="F65" s="74">
        <v>6685</v>
      </c>
      <c r="G65" s="78">
        <v>9828</v>
      </c>
    </row>
    <row r="66" spans="1:7" ht="16" x14ac:dyDescent="0.2">
      <c r="A66" s="1267" t="s">
        <v>286</v>
      </c>
      <c r="B66" s="1268">
        <v>6443</v>
      </c>
      <c r="C66" s="794">
        <v>744</v>
      </c>
      <c r="D66" s="795">
        <v>3788</v>
      </c>
      <c r="E66" s="795">
        <v>-289</v>
      </c>
      <c r="F66" s="795">
        <v>1438</v>
      </c>
      <c r="G66" s="796">
        <v>762</v>
      </c>
    </row>
    <row r="67" spans="1:7" ht="16" x14ac:dyDescent="0.2">
      <c r="A67" s="1267" t="s">
        <v>287</v>
      </c>
      <c r="B67" s="1268" t="s">
        <v>283</v>
      </c>
      <c r="C67" s="794">
        <v>1484</v>
      </c>
      <c r="D67" s="795" t="s">
        <v>283</v>
      </c>
      <c r="E67" s="795" t="s">
        <v>283</v>
      </c>
      <c r="F67" s="800" t="s">
        <v>283</v>
      </c>
      <c r="G67" s="801" t="s">
        <v>283</v>
      </c>
    </row>
    <row r="68" spans="1:7" ht="16" x14ac:dyDescent="0.2">
      <c r="A68" s="1267" t="s">
        <v>71</v>
      </c>
      <c r="B68" s="1268">
        <v>6621</v>
      </c>
      <c r="C68" s="794">
        <v>3498</v>
      </c>
      <c r="D68" s="795">
        <v>1548</v>
      </c>
      <c r="E68" s="795">
        <v>-62</v>
      </c>
      <c r="F68" s="795">
        <v>1304</v>
      </c>
      <c r="G68" s="796">
        <v>333</v>
      </c>
    </row>
    <row r="69" spans="1:7" ht="16" x14ac:dyDescent="0.2">
      <c r="A69" s="1267" t="s">
        <v>272</v>
      </c>
      <c r="B69" s="1268" t="s">
        <v>283</v>
      </c>
      <c r="C69" s="794">
        <v>2668</v>
      </c>
      <c r="D69" s="795" t="s">
        <v>283</v>
      </c>
      <c r="E69" s="795" t="s">
        <v>283</v>
      </c>
      <c r="F69" s="800" t="s">
        <v>283</v>
      </c>
      <c r="G69" s="801" t="s">
        <v>283</v>
      </c>
    </row>
    <row r="70" spans="1:7" ht="16" x14ac:dyDescent="0.2">
      <c r="A70" s="1265" t="s">
        <v>262</v>
      </c>
      <c r="B70" s="1266" t="s">
        <v>262</v>
      </c>
      <c r="C70" s="799" t="s">
        <v>262</v>
      </c>
      <c r="D70" s="800" t="s">
        <v>262</v>
      </c>
      <c r="E70" s="800" t="s">
        <v>262</v>
      </c>
      <c r="F70" s="800" t="s">
        <v>262</v>
      </c>
      <c r="G70" s="801" t="s">
        <v>262</v>
      </c>
    </row>
    <row r="71" spans="1:7" ht="16" x14ac:dyDescent="0.2">
      <c r="A71" s="1265" t="s">
        <v>306</v>
      </c>
      <c r="B71" s="72">
        <v>33694</v>
      </c>
      <c r="C71" s="73">
        <v>10134</v>
      </c>
      <c r="D71" s="74">
        <v>18727</v>
      </c>
      <c r="E71" s="74">
        <v>30</v>
      </c>
      <c r="F71" s="74">
        <v>1770</v>
      </c>
      <c r="G71" s="78">
        <v>3032</v>
      </c>
    </row>
    <row r="72" spans="1:7" ht="16" x14ac:dyDescent="0.2">
      <c r="A72" s="1267" t="s">
        <v>44</v>
      </c>
      <c r="B72" s="1268">
        <v>10414</v>
      </c>
      <c r="C72" s="794">
        <v>5242</v>
      </c>
      <c r="D72" s="795">
        <v>3566</v>
      </c>
      <c r="E72" s="795">
        <v>111</v>
      </c>
      <c r="F72" s="795" t="s">
        <v>283</v>
      </c>
      <c r="G72" s="796" t="s">
        <v>283</v>
      </c>
    </row>
    <row r="73" spans="1:7" ht="16" x14ac:dyDescent="0.2">
      <c r="A73" s="1267" t="s">
        <v>289</v>
      </c>
      <c r="B73" s="1268">
        <v>4899</v>
      </c>
      <c r="C73" s="794">
        <v>1823</v>
      </c>
      <c r="D73" s="795">
        <v>2629</v>
      </c>
      <c r="E73" s="800">
        <v>5</v>
      </c>
      <c r="F73" s="800">
        <v>35</v>
      </c>
      <c r="G73" s="796">
        <v>407</v>
      </c>
    </row>
    <row r="74" spans="1:7" ht="16" x14ac:dyDescent="0.2">
      <c r="A74" s="1267" t="s">
        <v>290</v>
      </c>
      <c r="B74" s="1268">
        <v>11019</v>
      </c>
      <c r="C74" s="794">
        <v>2002</v>
      </c>
      <c r="D74" s="795">
        <v>7334</v>
      </c>
      <c r="E74" s="800">
        <v>-3</v>
      </c>
      <c r="F74" s="800" t="s">
        <v>283</v>
      </c>
      <c r="G74" s="796" t="s">
        <v>283</v>
      </c>
    </row>
    <row r="75" spans="1:7" ht="16" x14ac:dyDescent="0.2">
      <c r="A75" s="1267" t="s">
        <v>272</v>
      </c>
      <c r="B75" s="1268">
        <v>7361</v>
      </c>
      <c r="C75" s="794">
        <v>1068</v>
      </c>
      <c r="D75" s="795">
        <v>5198</v>
      </c>
      <c r="E75" s="800">
        <v>-82</v>
      </c>
      <c r="F75" s="800">
        <v>30</v>
      </c>
      <c r="G75" s="796">
        <v>1147</v>
      </c>
    </row>
    <row r="76" spans="1:7" ht="16" x14ac:dyDescent="0.2">
      <c r="A76" s="1265" t="s">
        <v>262</v>
      </c>
      <c r="B76" s="1266" t="s">
        <v>262</v>
      </c>
      <c r="C76" s="799" t="s">
        <v>262</v>
      </c>
      <c r="D76" s="800" t="s">
        <v>262</v>
      </c>
      <c r="E76" s="800" t="s">
        <v>262</v>
      </c>
      <c r="F76" s="800" t="s">
        <v>262</v>
      </c>
      <c r="G76" s="801" t="s">
        <v>262</v>
      </c>
    </row>
    <row r="77" spans="1:7" ht="16" x14ac:dyDescent="0.2">
      <c r="A77" s="1265" t="s">
        <v>307</v>
      </c>
      <c r="B77" s="72">
        <v>365554</v>
      </c>
      <c r="C77" s="73">
        <v>154779</v>
      </c>
      <c r="D77" s="74">
        <v>144625</v>
      </c>
      <c r="E77" s="74">
        <v>-10269</v>
      </c>
      <c r="F77" s="74">
        <v>41829</v>
      </c>
      <c r="G77" s="78">
        <v>34590</v>
      </c>
    </row>
    <row r="78" spans="1:7" ht="16" x14ac:dyDescent="0.2">
      <c r="A78" s="1267" t="s">
        <v>29</v>
      </c>
      <c r="B78" s="1268">
        <v>58424</v>
      </c>
      <c r="C78" s="794">
        <v>29666</v>
      </c>
      <c r="D78" s="795">
        <v>14042</v>
      </c>
      <c r="E78" s="795">
        <v>292</v>
      </c>
      <c r="F78" s="795">
        <v>7789</v>
      </c>
      <c r="G78" s="796">
        <v>6635</v>
      </c>
    </row>
    <row r="79" spans="1:7" ht="16" x14ac:dyDescent="0.2">
      <c r="A79" s="1267" t="s">
        <v>66</v>
      </c>
      <c r="B79" s="1268">
        <v>67647</v>
      </c>
      <c r="C79" s="794">
        <v>27734</v>
      </c>
      <c r="D79" s="795">
        <v>27927</v>
      </c>
      <c r="E79" s="795">
        <v>-399</v>
      </c>
      <c r="F79" s="795">
        <v>5351</v>
      </c>
      <c r="G79" s="796">
        <v>7034</v>
      </c>
    </row>
    <row r="80" spans="1:7" ht="16" x14ac:dyDescent="0.2">
      <c r="A80" s="1267" t="s">
        <v>91</v>
      </c>
      <c r="B80" s="1268">
        <v>19041</v>
      </c>
      <c r="C80" s="794">
        <v>10286</v>
      </c>
      <c r="D80" s="795">
        <v>7859</v>
      </c>
      <c r="E80" s="795">
        <v>-704</v>
      </c>
      <c r="F80" s="795">
        <v>829</v>
      </c>
      <c r="G80" s="796">
        <v>771</v>
      </c>
    </row>
    <row r="81" spans="1:7" ht="16" x14ac:dyDescent="0.2">
      <c r="A81" s="1267" t="s">
        <v>69</v>
      </c>
      <c r="B81" s="1268">
        <v>25925</v>
      </c>
      <c r="C81" s="794">
        <v>17012</v>
      </c>
      <c r="D81" s="795">
        <v>6931</v>
      </c>
      <c r="E81" s="795">
        <v>-865</v>
      </c>
      <c r="F81" s="795">
        <v>950</v>
      </c>
      <c r="G81" s="796">
        <v>1898</v>
      </c>
    </row>
    <row r="82" spans="1:7" ht="16" x14ac:dyDescent="0.2">
      <c r="A82" s="1267" t="s">
        <v>292</v>
      </c>
      <c r="B82" s="1268">
        <v>16072</v>
      </c>
      <c r="C82" s="794">
        <v>3084</v>
      </c>
      <c r="D82" s="795">
        <v>6987</v>
      </c>
      <c r="E82" s="795">
        <v>95</v>
      </c>
      <c r="F82" s="800" t="s">
        <v>283</v>
      </c>
      <c r="G82" s="801" t="s">
        <v>283</v>
      </c>
    </row>
    <row r="83" spans="1:7" ht="16" x14ac:dyDescent="0.2">
      <c r="A83" s="1267" t="s">
        <v>46</v>
      </c>
      <c r="B83" s="1268">
        <v>49471</v>
      </c>
      <c r="C83" s="794">
        <v>27205</v>
      </c>
      <c r="D83" s="795">
        <v>21044</v>
      </c>
      <c r="E83" s="795">
        <v>-5961</v>
      </c>
      <c r="F83" s="795">
        <v>4110</v>
      </c>
      <c r="G83" s="796">
        <v>3073</v>
      </c>
    </row>
    <row r="84" spans="1:7" ht="16" x14ac:dyDescent="0.2">
      <c r="A84" s="1267" t="s">
        <v>308</v>
      </c>
      <c r="B84" s="1268">
        <v>15201</v>
      </c>
      <c r="C84" s="794">
        <v>8075</v>
      </c>
      <c r="D84" s="795">
        <v>5093</v>
      </c>
      <c r="E84" s="795">
        <v>-964</v>
      </c>
      <c r="F84" s="795">
        <v>1825</v>
      </c>
      <c r="G84" s="796">
        <v>1172</v>
      </c>
    </row>
    <row r="85" spans="1:7" ht="16" x14ac:dyDescent="0.2">
      <c r="A85" s="1267" t="s">
        <v>293</v>
      </c>
      <c r="B85" s="1268">
        <v>12425</v>
      </c>
      <c r="C85" s="794">
        <v>3698</v>
      </c>
      <c r="D85" s="795">
        <v>5830</v>
      </c>
      <c r="E85" s="795">
        <v>-66</v>
      </c>
      <c r="F85" s="795">
        <v>878</v>
      </c>
      <c r="G85" s="796">
        <v>2085</v>
      </c>
    </row>
    <row r="86" spans="1:7" ht="16" x14ac:dyDescent="0.2">
      <c r="A86" s="1267" t="s">
        <v>52</v>
      </c>
      <c r="B86" s="1268">
        <v>5339</v>
      </c>
      <c r="C86" s="794">
        <v>1859</v>
      </c>
      <c r="D86" s="795">
        <v>1572</v>
      </c>
      <c r="E86" s="795">
        <v>-38</v>
      </c>
      <c r="F86" s="795">
        <v>1634</v>
      </c>
      <c r="G86" s="796">
        <v>312</v>
      </c>
    </row>
    <row r="87" spans="1:7" ht="16" x14ac:dyDescent="0.2">
      <c r="A87" s="1267" t="s">
        <v>294</v>
      </c>
      <c r="B87" s="1268">
        <v>6752</v>
      </c>
      <c r="C87" s="794">
        <v>3006</v>
      </c>
      <c r="D87" s="795">
        <v>2110</v>
      </c>
      <c r="E87" s="795">
        <v>84</v>
      </c>
      <c r="F87" s="795">
        <v>550</v>
      </c>
      <c r="G87" s="796">
        <v>1002</v>
      </c>
    </row>
    <row r="88" spans="1:7" ht="16" x14ac:dyDescent="0.2">
      <c r="A88" s="1267" t="s">
        <v>102</v>
      </c>
      <c r="B88" s="1268">
        <v>47177</v>
      </c>
      <c r="C88" s="794">
        <v>13983</v>
      </c>
      <c r="D88" s="795">
        <v>28900</v>
      </c>
      <c r="E88" s="795">
        <v>-1554</v>
      </c>
      <c r="F88" s="795">
        <v>2239</v>
      </c>
      <c r="G88" s="796">
        <v>3609</v>
      </c>
    </row>
    <row r="89" spans="1:7" ht="16" x14ac:dyDescent="0.2">
      <c r="A89" s="1267" t="s">
        <v>295</v>
      </c>
      <c r="B89" s="1268">
        <v>7500</v>
      </c>
      <c r="C89" s="794">
        <v>3168</v>
      </c>
      <c r="D89" s="795">
        <v>3249</v>
      </c>
      <c r="E89" s="795">
        <v>-312</v>
      </c>
      <c r="F89" s="795">
        <v>409</v>
      </c>
      <c r="G89" s="796">
        <v>986</v>
      </c>
    </row>
    <row r="90" spans="1:7" ht="16" x14ac:dyDescent="0.2">
      <c r="A90" s="1267" t="s">
        <v>296</v>
      </c>
      <c r="B90" s="1268">
        <v>15217</v>
      </c>
      <c r="C90" s="794">
        <v>3178</v>
      </c>
      <c r="D90" s="795">
        <v>6452</v>
      </c>
      <c r="E90" s="795">
        <v>-38</v>
      </c>
      <c r="F90" s="795">
        <v>3088</v>
      </c>
      <c r="G90" s="796">
        <v>2537</v>
      </c>
    </row>
    <row r="91" spans="1:7" ht="16" x14ac:dyDescent="0.2">
      <c r="A91" s="1267" t="s">
        <v>272</v>
      </c>
      <c r="B91" s="1268">
        <v>19363</v>
      </c>
      <c r="C91" s="794">
        <v>2825</v>
      </c>
      <c r="D91" s="795">
        <v>6628</v>
      </c>
      <c r="E91" s="795">
        <v>163</v>
      </c>
      <c r="F91" s="800" t="s">
        <v>283</v>
      </c>
      <c r="G91" s="801" t="s">
        <v>283</v>
      </c>
    </row>
    <row r="92" spans="1:7" ht="16" x14ac:dyDescent="0.2">
      <c r="A92" s="1265" t="s">
        <v>262</v>
      </c>
      <c r="B92" s="1266" t="s">
        <v>262</v>
      </c>
      <c r="C92" s="799" t="s">
        <v>262</v>
      </c>
      <c r="D92" s="800" t="s">
        <v>262</v>
      </c>
      <c r="E92" s="800" t="s">
        <v>262</v>
      </c>
      <c r="F92" s="800" t="s">
        <v>262</v>
      </c>
      <c r="G92" s="801" t="s">
        <v>262</v>
      </c>
    </row>
    <row r="93" spans="1:7" ht="16" x14ac:dyDescent="0.2">
      <c r="A93" s="1265" t="s">
        <v>309</v>
      </c>
      <c r="B93" s="1266" t="s">
        <v>262</v>
      </c>
      <c r="C93" s="799" t="s">
        <v>262</v>
      </c>
      <c r="D93" s="800" t="s">
        <v>262</v>
      </c>
      <c r="E93" s="800" t="s">
        <v>262</v>
      </c>
      <c r="F93" s="800" t="s">
        <v>262</v>
      </c>
      <c r="G93" s="801" t="s">
        <v>262</v>
      </c>
    </row>
    <row r="94" spans="1:7" ht="16" x14ac:dyDescent="0.2">
      <c r="A94" s="1267" t="s">
        <v>298</v>
      </c>
      <c r="B94" s="1268">
        <v>581395</v>
      </c>
      <c r="C94" s="794">
        <v>290113</v>
      </c>
      <c r="D94" s="795">
        <v>166899</v>
      </c>
      <c r="E94" s="795">
        <v>-17260</v>
      </c>
      <c r="F94" s="795">
        <v>91585</v>
      </c>
      <c r="G94" s="796">
        <v>50059</v>
      </c>
    </row>
    <row r="95" spans="1:7" ht="17" thickBot="1" x14ac:dyDescent="0.25">
      <c r="A95" s="1270" t="s">
        <v>299</v>
      </c>
      <c r="B95" s="1271">
        <v>54313</v>
      </c>
      <c r="C95" s="1272">
        <v>9887</v>
      </c>
      <c r="D95" s="1273">
        <v>30281</v>
      </c>
      <c r="E95" s="1273">
        <v>11</v>
      </c>
      <c r="F95" s="1273">
        <v>5676</v>
      </c>
      <c r="G95" s="1274">
        <v>8458</v>
      </c>
    </row>
    <row r="96" spans="1:7" ht="14" thickTop="1" x14ac:dyDescent="0.15"/>
    <row r="97" spans="1:7" ht="14" thickBot="1" x14ac:dyDescent="0.2"/>
    <row r="98" spans="1:7" ht="26.25" customHeight="1" thickBot="1" x14ac:dyDescent="0.2">
      <c r="A98" s="2122" t="s">
        <v>300</v>
      </c>
      <c r="B98" s="2123"/>
      <c r="C98" s="2123"/>
      <c r="D98" s="2123"/>
      <c r="E98" s="2123"/>
      <c r="F98" s="2123"/>
      <c r="G98" s="2124"/>
    </row>
  </sheetData>
  <mergeCells count="3">
    <mergeCell ref="A3:G3"/>
    <mergeCell ref="B6:G6"/>
    <mergeCell ref="A98:G98"/>
  </mergeCells>
  <pageMargins left="0.7" right="0.7" top="0.75" bottom="0.75" header="0.3" footer="0.3"/>
  <pageSetup scale="70" fitToHeight="0" orientation="portrait" horizontalDpi="300" verticalDpi="300"/>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L101"/>
  <sheetViews>
    <sheetView workbookViewId="0">
      <pane xSplit="1" ySplit="8" topLeftCell="B9" activePane="bottomRight" state="frozen"/>
      <selection pane="topRight" activeCell="B1" sqref="B1"/>
      <selection pane="bottomLeft" activeCell="A8" sqref="A8"/>
      <selection pane="bottomRight" activeCell="A3" sqref="A3:L3"/>
    </sheetView>
  </sheetViews>
  <sheetFormatPr baseColWidth="10" defaultColWidth="7.6640625" defaultRowHeight="16" x14ac:dyDescent="0.2"/>
  <cols>
    <col min="1" max="1" width="29.33203125" style="80" customWidth="1"/>
    <col min="2" max="11" width="12.1640625" style="80" customWidth="1"/>
    <col min="12" max="12" width="11" style="80" customWidth="1"/>
    <col min="13" max="248" width="7.6640625" style="80"/>
    <col min="249" max="249" width="38.83203125" style="80" customWidth="1"/>
    <col min="250" max="259" width="12.1640625" style="80" customWidth="1"/>
    <col min="260" max="504" width="7.6640625" style="80"/>
    <col min="505" max="505" width="38.83203125" style="80" customWidth="1"/>
    <col min="506" max="515" width="12.1640625" style="80" customWidth="1"/>
    <col min="516" max="760" width="7.6640625" style="80"/>
    <col min="761" max="761" width="38.83203125" style="80" customWidth="1"/>
    <col min="762" max="771" width="12.1640625" style="80" customWidth="1"/>
    <col min="772" max="1016" width="7.6640625" style="80"/>
    <col min="1017" max="1017" width="38.83203125" style="80" customWidth="1"/>
    <col min="1018" max="1027" width="12.1640625" style="80" customWidth="1"/>
    <col min="1028" max="1272" width="7.6640625" style="80"/>
    <col min="1273" max="1273" width="38.83203125" style="80" customWidth="1"/>
    <col min="1274" max="1283" width="12.1640625" style="80" customWidth="1"/>
    <col min="1284" max="1528" width="7.6640625" style="80"/>
    <col min="1529" max="1529" width="38.83203125" style="80" customWidth="1"/>
    <col min="1530" max="1539" width="12.1640625" style="80" customWidth="1"/>
    <col min="1540" max="1784" width="7.6640625" style="80"/>
    <col min="1785" max="1785" width="38.83203125" style="80" customWidth="1"/>
    <col min="1786" max="1795" width="12.1640625" style="80" customWidth="1"/>
    <col min="1796" max="2040" width="7.6640625" style="80"/>
    <col min="2041" max="2041" width="38.83203125" style="80" customWidth="1"/>
    <col min="2042" max="2051" width="12.1640625" style="80" customWidth="1"/>
    <col min="2052" max="2296" width="7.6640625" style="80"/>
    <col min="2297" max="2297" width="38.83203125" style="80" customWidth="1"/>
    <col min="2298" max="2307" width="12.1640625" style="80" customWidth="1"/>
    <col min="2308" max="2552" width="7.6640625" style="80"/>
    <col min="2553" max="2553" width="38.83203125" style="80" customWidth="1"/>
    <col min="2554" max="2563" width="12.1640625" style="80" customWidth="1"/>
    <col min="2564" max="2808" width="7.6640625" style="80"/>
    <col min="2809" max="2809" width="38.83203125" style="80" customWidth="1"/>
    <col min="2810" max="2819" width="12.1640625" style="80" customWidth="1"/>
    <col min="2820" max="3064" width="7.6640625" style="80"/>
    <col min="3065" max="3065" width="38.83203125" style="80" customWidth="1"/>
    <col min="3066" max="3075" width="12.1640625" style="80" customWidth="1"/>
    <col min="3076" max="3320" width="7.6640625" style="80"/>
    <col min="3321" max="3321" width="38.83203125" style="80" customWidth="1"/>
    <col min="3322" max="3331" width="12.1640625" style="80" customWidth="1"/>
    <col min="3332" max="3576" width="7.6640625" style="80"/>
    <col min="3577" max="3577" width="38.83203125" style="80" customWidth="1"/>
    <col min="3578" max="3587" width="12.1640625" style="80" customWidth="1"/>
    <col min="3588" max="3832" width="7.6640625" style="80"/>
    <col min="3833" max="3833" width="38.83203125" style="80" customWidth="1"/>
    <col min="3834" max="3843" width="12.1640625" style="80" customWidth="1"/>
    <col min="3844" max="4088" width="7.6640625" style="80"/>
    <col min="4089" max="4089" width="38.83203125" style="80" customWidth="1"/>
    <col min="4090" max="4099" width="12.1640625" style="80" customWidth="1"/>
    <col min="4100" max="4344" width="7.6640625" style="80"/>
    <col min="4345" max="4345" width="38.83203125" style="80" customWidth="1"/>
    <col min="4346" max="4355" width="12.1640625" style="80" customWidth="1"/>
    <col min="4356" max="4600" width="7.6640625" style="80"/>
    <col min="4601" max="4601" width="38.83203125" style="80" customWidth="1"/>
    <col min="4602" max="4611" width="12.1640625" style="80" customWidth="1"/>
    <col min="4612" max="4856" width="7.6640625" style="80"/>
    <col min="4857" max="4857" width="38.83203125" style="80" customWidth="1"/>
    <col min="4858" max="4867" width="12.1640625" style="80" customWidth="1"/>
    <col min="4868" max="5112" width="7.6640625" style="80"/>
    <col min="5113" max="5113" width="38.83203125" style="80" customWidth="1"/>
    <col min="5114" max="5123" width="12.1640625" style="80" customWidth="1"/>
    <col min="5124" max="5368" width="7.6640625" style="80"/>
    <col min="5369" max="5369" width="38.83203125" style="80" customWidth="1"/>
    <col min="5370" max="5379" width="12.1640625" style="80" customWidth="1"/>
    <col min="5380" max="5624" width="7.6640625" style="80"/>
    <col min="5625" max="5625" width="38.83203125" style="80" customWidth="1"/>
    <col min="5626" max="5635" width="12.1640625" style="80" customWidth="1"/>
    <col min="5636" max="5880" width="7.6640625" style="80"/>
    <col min="5881" max="5881" width="38.83203125" style="80" customWidth="1"/>
    <col min="5882" max="5891" width="12.1640625" style="80" customWidth="1"/>
    <col min="5892" max="6136" width="7.6640625" style="80"/>
    <col min="6137" max="6137" width="38.83203125" style="80" customWidth="1"/>
    <col min="6138" max="6147" width="12.1640625" style="80" customWidth="1"/>
    <col min="6148" max="6392" width="7.6640625" style="80"/>
    <col min="6393" max="6393" width="38.83203125" style="80" customWidth="1"/>
    <col min="6394" max="6403" width="12.1640625" style="80" customWidth="1"/>
    <col min="6404" max="6648" width="7.6640625" style="80"/>
    <col min="6649" max="6649" width="38.83203125" style="80" customWidth="1"/>
    <col min="6650" max="6659" width="12.1640625" style="80" customWidth="1"/>
    <col min="6660" max="6904" width="7.6640625" style="80"/>
    <col min="6905" max="6905" width="38.83203125" style="80" customWidth="1"/>
    <col min="6906" max="6915" width="12.1640625" style="80" customWidth="1"/>
    <col min="6916" max="7160" width="7.6640625" style="80"/>
    <col min="7161" max="7161" width="38.83203125" style="80" customWidth="1"/>
    <col min="7162" max="7171" width="12.1640625" style="80" customWidth="1"/>
    <col min="7172" max="7416" width="7.6640625" style="80"/>
    <col min="7417" max="7417" width="38.83203125" style="80" customWidth="1"/>
    <col min="7418" max="7427" width="12.1640625" style="80" customWidth="1"/>
    <col min="7428" max="7672" width="7.6640625" style="80"/>
    <col min="7673" max="7673" width="38.83203125" style="80" customWidth="1"/>
    <col min="7674" max="7683" width="12.1640625" style="80" customWidth="1"/>
    <col min="7684" max="7928" width="7.6640625" style="80"/>
    <col min="7929" max="7929" width="38.83203125" style="80" customWidth="1"/>
    <col min="7930" max="7939" width="12.1640625" style="80" customWidth="1"/>
    <col min="7940" max="8184" width="7.6640625" style="80"/>
    <col min="8185" max="8185" width="38.83203125" style="80" customWidth="1"/>
    <col min="8186" max="8195" width="12.1640625" style="80" customWidth="1"/>
    <col min="8196" max="8440" width="7.6640625" style="80"/>
    <col min="8441" max="8441" width="38.83203125" style="80" customWidth="1"/>
    <col min="8442" max="8451" width="12.1640625" style="80" customWidth="1"/>
    <col min="8452" max="8696" width="7.6640625" style="80"/>
    <col min="8697" max="8697" width="38.83203125" style="80" customWidth="1"/>
    <col min="8698" max="8707" width="12.1640625" style="80" customWidth="1"/>
    <col min="8708" max="8952" width="7.6640625" style="80"/>
    <col min="8953" max="8953" width="38.83203125" style="80" customWidth="1"/>
    <col min="8954" max="8963" width="12.1640625" style="80" customWidth="1"/>
    <col min="8964" max="9208" width="7.6640625" style="80"/>
    <col min="9209" max="9209" width="38.83203125" style="80" customWidth="1"/>
    <col min="9210" max="9219" width="12.1640625" style="80" customWidth="1"/>
    <col min="9220" max="9464" width="7.6640625" style="80"/>
    <col min="9465" max="9465" width="38.83203125" style="80" customWidth="1"/>
    <col min="9466" max="9475" width="12.1640625" style="80" customWidth="1"/>
    <col min="9476" max="9720" width="7.6640625" style="80"/>
    <col min="9721" max="9721" width="38.83203125" style="80" customWidth="1"/>
    <col min="9722" max="9731" width="12.1640625" style="80" customWidth="1"/>
    <col min="9732" max="9976" width="7.6640625" style="80"/>
    <col min="9977" max="9977" width="38.83203125" style="80" customWidth="1"/>
    <col min="9978" max="9987" width="12.1640625" style="80" customWidth="1"/>
    <col min="9988" max="10232" width="7.6640625" style="80"/>
    <col min="10233" max="10233" width="38.83203125" style="80" customWidth="1"/>
    <col min="10234" max="10243" width="12.1640625" style="80" customWidth="1"/>
    <col min="10244" max="10488" width="7.6640625" style="80"/>
    <col min="10489" max="10489" width="38.83203125" style="80" customWidth="1"/>
    <col min="10490" max="10499" width="12.1640625" style="80" customWidth="1"/>
    <col min="10500" max="10744" width="7.6640625" style="80"/>
    <col min="10745" max="10745" width="38.83203125" style="80" customWidth="1"/>
    <col min="10746" max="10755" width="12.1640625" style="80" customWidth="1"/>
    <col min="10756" max="11000" width="7.6640625" style="80"/>
    <col min="11001" max="11001" width="38.83203125" style="80" customWidth="1"/>
    <col min="11002" max="11011" width="12.1640625" style="80" customWidth="1"/>
    <col min="11012" max="11256" width="7.6640625" style="80"/>
    <col min="11257" max="11257" width="38.83203125" style="80" customWidth="1"/>
    <col min="11258" max="11267" width="12.1640625" style="80" customWidth="1"/>
    <col min="11268" max="11512" width="7.6640625" style="80"/>
    <col min="11513" max="11513" width="38.83203125" style="80" customWidth="1"/>
    <col min="11514" max="11523" width="12.1640625" style="80" customWidth="1"/>
    <col min="11524" max="11768" width="7.6640625" style="80"/>
    <col min="11769" max="11769" width="38.83203125" style="80" customWidth="1"/>
    <col min="11770" max="11779" width="12.1640625" style="80" customWidth="1"/>
    <col min="11780" max="12024" width="7.6640625" style="80"/>
    <col min="12025" max="12025" width="38.83203125" style="80" customWidth="1"/>
    <col min="12026" max="12035" width="12.1640625" style="80" customWidth="1"/>
    <col min="12036" max="12280" width="7.6640625" style="80"/>
    <col min="12281" max="12281" width="38.83203125" style="80" customWidth="1"/>
    <col min="12282" max="12291" width="12.1640625" style="80" customWidth="1"/>
    <col min="12292" max="12536" width="7.6640625" style="80"/>
    <col min="12537" max="12537" width="38.83203125" style="80" customWidth="1"/>
    <col min="12538" max="12547" width="12.1640625" style="80" customWidth="1"/>
    <col min="12548" max="12792" width="7.6640625" style="80"/>
    <col min="12793" max="12793" width="38.83203125" style="80" customWidth="1"/>
    <col min="12794" max="12803" width="12.1640625" style="80" customWidth="1"/>
    <col min="12804" max="13048" width="7.6640625" style="80"/>
    <col min="13049" max="13049" width="38.83203125" style="80" customWidth="1"/>
    <col min="13050" max="13059" width="12.1640625" style="80" customWidth="1"/>
    <col min="13060" max="13304" width="7.6640625" style="80"/>
    <col min="13305" max="13305" width="38.83203125" style="80" customWidth="1"/>
    <col min="13306" max="13315" width="12.1640625" style="80" customWidth="1"/>
    <col min="13316" max="13560" width="7.6640625" style="80"/>
    <col min="13561" max="13561" width="38.83203125" style="80" customWidth="1"/>
    <col min="13562" max="13571" width="12.1640625" style="80" customWidth="1"/>
    <col min="13572" max="13816" width="7.6640625" style="80"/>
    <col min="13817" max="13817" width="38.83203125" style="80" customWidth="1"/>
    <col min="13818" max="13827" width="12.1640625" style="80" customWidth="1"/>
    <col min="13828" max="14072" width="7.6640625" style="80"/>
    <col min="14073" max="14073" width="38.83203125" style="80" customWidth="1"/>
    <col min="14074" max="14083" width="12.1640625" style="80" customWidth="1"/>
    <col min="14084" max="14328" width="7.6640625" style="80"/>
    <col min="14329" max="14329" width="38.83203125" style="80" customWidth="1"/>
    <col min="14330" max="14339" width="12.1640625" style="80" customWidth="1"/>
    <col min="14340" max="14584" width="7.6640625" style="80"/>
    <col min="14585" max="14585" width="38.83203125" style="80" customWidth="1"/>
    <col min="14586" max="14595" width="12.1640625" style="80" customWidth="1"/>
    <col min="14596" max="14840" width="7.6640625" style="80"/>
    <col min="14841" max="14841" width="38.83203125" style="80" customWidth="1"/>
    <col min="14842" max="14851" width="12.1640625" style="80" customWidth="1"/>
    <col min="14852" max="15096" width="7.6640625" style="80"/>
    <col min="15097" max="15097" width="38.83203125" style="80" customWidth="1"/>
    <col min="15098" max="15107" width="12.1640625" style="80" customWidth="1"/>
    <col min="15108" max="15352" width="7.6640625" style="80"/>
    <col min="15353" max="15353" width="38.83203125" style="80" customWidth="1"/>
    <col min="15354" max="15363" width="12.1640625" style="80" customWidth="1"/>
    <col min="15364" max="15608" width="7.6640625" style="80"/>
    <col min="15609" max="15609" width="38.83203125" style="80" customWidth="1"/>
    <col min="15610" max="15619" width="12.1640625" style="80" customWidth="1"/>
    <col min="15620" max="15864" width="7.6640625" style="80"/>
    <col min="15865" max="15865" width="38.83203125" style="80" customWidth="1"/>
    <col min="15866" max="15875" width="12.1640625" style="80" customWidth="1"/>
    <col min="15876" max="16120" width="7.6640625" style="80"/>
    <col min="16121" max="16121" width="38.83203125" style="80" customWidth="1"/>
    <col min="16122" max="16131" width="12.1640625" style="80" customWidth="1"/>
    <col min="16132" max="16384" width="7.6640625" style="80"/>
  </cols>
  <sheetData>
    <row r="2" spans="1:12" ht="17" thickBot="1" x14ac:dyDescent="0.25">
      <c r="A2" s="1275"/>
      <c r="B2" s="1275"/>
      <c r="C2" s="1275"/>
      <c r="D2" s="1275"/>
      <c r="E2" s="1275"/>
      <c r="F2" s="1275"/>
      <c r="G2" s="1275"/>
      <c r="H2" s="1275"/>
      <c r="I2" s="1275"/>
      <c r="J2" s="1275"/>
      <c r="K2" s="1275"/>
      <c r="L2" s="1275"/>
    </row>
    <row r="3" spans="1:12" ht="33" customHeight="1" thickTop="1" x14ac:dyDescent="0.2">
      <c r="A3" s="2119" t="s">
        <v>310</v>
      </c>
      <c r="B3" s="2133"/>
      <c r="C3" s="2133"/>
      <c r="D3" s="2133"/>
      <c r="E3" s="2133"/>
      <c r="F3" s="2133"/>
      <c r="G3" s="2133"/>
      <c r="H3" s="2133"/>
      <c r="I3" s="2133"/>
      <c r="J3" s="2133"/>
      <c r="K3" s="2133"/>
      <c r="L3" s="2134"/>
    </row>
    <row r="4" spans="1:12" x14ac:dyDescent="0.2">
      <c r="A4" s="81"/>
      <c r="B4" s="82"/>
      <c r="C4" s="82"/>
      <c r="D4" s="82"/>
      <c r="E4" s="82"/>
      <c r="F4" s="82"/>
      <c r="G4" s="82"/>
      <c r="H4" s="82"/>
      <c r="I4" s="82"/>
      <c r="J4" s="82"/>
      <c r="K4" s="82"/>
      <c r="L4" s="1276"/>
    </row>
    <row r="5" spans="1:12" ht="17" x14ac:dyDescent="0.2">
      <c r="A5" s="1277" t="s">
        <v>262</v>
      </c>
      <c r="B5" s="3" t="s">
        <v>1</v>
      </c>
      <c r="C5" s="3" t="s">
        <v>2</v>
      </c>
      <c r="D5" s="3" t="s">
        <v>3</v>
      </c>
      <c r="E5" s="3" t="s">
        <v>4</v>
      </c>
      <c r="F5" s="3" t="s">
        <v>5</v>
      </c>
      <c r="G5" s="3" t="s">
        <v>6</v>
      </c>
      <c r="H5" s="3" t="s">
        <v>7</v>
      </c>
      <c r="I5" s="3" t="s">
        <v>8</v>
      </c>
      <c r="J5" s="3" t="s">
        <v>9</v>
      </c>
      <c r="K5" s="3" t="s">
        <v>10</v>
      </c>
      <c r="L5" s="1788" t="s">
        <v>11</v>
      </c>
    </row>
    <row r="6" spans="1:12" x14ac:dyDescent="0.2">
      <c r="A6" s="81"/>
      <c r="B6" s="2130" t="s">
        <v>263</v>
      </c>
      <c r="C6" s="2131"/>
      <c r="D6" s="2131"/>
      <c r="E6" s="2131"/>
      <c r="F6" s="2131"/>
      <c r="G6" s="2131"/>
      <c r="H6" s="2131"/>
      <c r="I6" s="2131"/>
      <c r="J6" s="2131"/>
      <c r="K6" s="2132"/>
      <c r="L6" s="2141" t="s">
        <v>311</v>
      </c>
    </row>
    <row r="7" spans="1:12" ht="23.25" customHeight="1" x14ac:dyDescent="0.2">
      <c r="A7" s="1278" t="s">
        <v>262</v>
      </c>
      <c r="B7" s="2135" t="s">
        <v>312</v>
      </c>
      <c r="C7" s="2136"/>
      <c r="D7" s="2136"/>
      <c r="E7" s="2136"/>
      <c r="F7" s="2137"/>
      <c r="G7" s="2138" t="s">
        <v>313</v>
      </c>
      <c r="H7" s="2139"/>
      <c r="I7" s="2139"/>
      <c r="J7" s="2140"/>
      <c r="K7" s="2128" t="s">
        <v>314</v>
      </c>
      <c r="L7" s="2142"/>
    </row>
    <row r="8" spans="1:12" ht="107.25" customHeight="1" x14ac:dyDescent="0.2">
      <c r="A8" s="1789" t="s">
        <v>262</v>
      </c>
      <c r="B8" s="1261" t="s">
        <v>231</v>
      </c>
      <c r="C8" s="1262" t="s">
        <v>315</v>
      </c>
      <c r="D8" s="1263" t="s">
        <v>316</v>
      </c>
      <c r="E8" s="1263" t="s">
        <v>317</v>
      </c>
      <c r="F8" s="1263" t="s">
        <v>272</v>
      </c>
      <c r="G8" s="1790" t="s">
        <v>231</v>
      </c>
      <c r="H8" s="1791" t="s">
        <v>318</v>
      </c>
      <c r="I8" s="1792" t="s">
        <v>319</v>
      </c>
      <c r="J8" s="1793" t="s">
        <v>272</v>
      </c>
      <c r="K8" s="2129"/>
      <c r="L8" s="2143"/>
    </row>
    <row r="9" spans="1:12" x14ac:dyDescent="0.2">
      <c r="A9" s="1264" t="s">
        <v>269</v>
      </c>
      <c r="B9" s="72">
        <v>6852611</v>
      </c>
      <c r="C9" s="73">
        <v>5960223</v>
      </c>
      <c r="D9" s="74">
        <v>722683</v>
      </c>
      <c r="E9" s="74">
        <v>-38383</v>
      </c>
      <c r="F9" s="74">
        <v>208087</v>
      </c>
      <c r="G9" s="72">
        <v>5786761</v>
      </c>
      <c r="H9" s="83">
        <v>5188063</v>
      </c>
      <c r="I9" s="74">
        <v>91179</v>
      </c>
      <c r="J9" s="75">
        <v>507519</v>
      </c>
      <c r="K9" s="76">
        <v>1065850</v>
      </c>
      <c r="L9" s="1279">
        <f>I9/TableA10!D8</f>
        <v>0.18939162621434846</v>
      </c>
    </row>
    <row r="10" spans="1:12" x14ac:dyDescent="0.2">
      <c r="A10" s="1265" t="s">
        <v>262</v>
      </c>
      <c r="B10" s="1266" t="s">
        <v>262</v>
      </c>
      <c r="C10" s="799" t="s">
        <v>262</v>
      </c>
      <c r="D10" s="800" t="s">
        <v>262</v>
      </c>
      <c r="E10" s="800" t="s">
        <v>262</v>
      </c>
      <c r="F10" s="800" t="s">
        <v>262</v>
      </c>
      <c r="G10" s="1266" t="s">
        <v>262</v>
      </c>
      <c r="H10" s="800" t="s">
        <v>262</v>
      </c>
      <c r="I10" s="800" t="s">
        <v>262</v>
      </c>
      <c r="J10" s="1280" t="s">
        <v>262</v>
      </c>
      <c r="K10" s="1281" t="s">
        <v>262</v>
      </c>
      <c r="L10" s="1279"/>
    </row>
    <row r="11" spans="1:12" x14ac:dyDescent="0.2">
      <c r="A11" s="1265" t="s">
        <v>270</v>
      </c>
      <c r="B11" s="72">
        <v>595719</v>
      </c>
      <c r="C11" s="73">
        <v>565936</v>
      </c>
      <c r="D11" s="74">
        <v>22025</v>
      </c>
      <c r="E11" s="74">
        <v>-1715</v>
      </c>
      <c r="F11" s="74">
        <v>9472</v>
      </c>
      <c r="G11" s="72">
        <v>550530</v>
      </c>
      <c r="H11" s="74">
        <v>512319</v>
      </c>
      <c r="I11" s="74">
        <v>5636</v>
      </c>
      <c r="J11" s="75">
        <v>32575</v>
      </c>
      <c r="K11" s="76">
        <v>45188</v>
      </c>
      <c r="L11" s="1279">
        <f>I11/TableA10!D10</f>
        <v>0.17223886070533587</v>
      </c>
    </row>
    <row r="12" spans="1:12" x14ac:dyDescent="0.2">
      <c r="A12" s="1265" t="s">
        <v>262</v>
      </c>
      <c r="B12" s="1266" t="s">
        <v>262</v>
      </c>
      <c r="C12" s="799" t="s">
        <v>262</v>
      </c>
      <c r="D12" s="800" t="s">
        <v>262</v>
      </c>
      <c r="E12" s="800" t="s">
        <v>262</v>
      </c>
      <c r="F12" s="800" t="s">
        <v>262</v>
      </c>
      <c r="G12" s="1266" t="s">
        <v>262</v>
      </c>
      <c r="H12" s="800" t="s">
        <v>262</v>
      </c>
      <c r="I12" s="800" t="s">
        <v>262</v>
      </c>
      <c r="J12" s="1280" t="s">
        <v>262</v>
      </c>
      <c r="K12" s="1281" t="s">
        <v>262</v>
      </c>
      <c r="L12" s="1279"/>
    </row>
    <row r="13" spans="1:12" x14ac:dyDescent="0.2">
      <c r="A13" s="1265" t="s">
        <v>271</v>
      </c>
      <c r="B13" s="72">
        <v>3439110</v>
      </c>
      <c r="C13" s="73">
        <v>2825800</v>
      </c>
      <c r="D13" s="74">
        <v>491126</v>
      </c>
      <c r="E13" s="74">
        <v>-29486</v>
      </c>
      <c r="F13" s="74">
        <v>151670</v>
      </c>
      <c r="G13" s="72">
        <v>2769452</v>
      </c>
      <c r="H13" s="74">
        <v>2428722</v>
      </c>
      <c r="I13" s="74">
        <v>41690</v>
      </c>
      <c r="J13" s="75">
        <v>299040</v>
      </c>
      <c r="K13" s="76">
        <v>669658</v>
      </c>
      <c r="L13" s="1279">
        <f>I13/TableA10!D12</f>
        <v>0.16627713121096335</v>
      </c>
    </row>
    <row r="14" spans="1:12" x14ac:dyDescent="0.2">
      <c r="A14" s="1267" t="s">
        <v>30</v>
      </c>
      <c r="B14" s="1268">
        <v>24204</v>
      </c>
      <c r="C14" s="794">
        <v>20170</v>
      </c>
      <c r="D14" s="795">
        <v>3120</v>
      </c>
      <c r="E14" s="795">
        <v>-6</v>
      </c>
      <c r="F14" s="795">
        <v>920</v>
      </c>
      <c r="G14" s="1268">
        <v>21392</v>
      </c>
      <c r="H14" s="795">
        <v>19373</v>
      </c>
      <c r="I14" s="795">
        <v>262</v>
      </c>
      <c r="J14" s="1282">
        <v>1756</v>
      </c>
      <c r="K14" s="1283">
        <v>2811</v>
      </c>
      <c r="L14" s="1279">
        <f>I14/TableA10!D13</f>
        <v>-17.466666666666665</v>
      </c>
    </row>
    <row r="15" spans="1:12" x14ac:dyDescent="0.2">
      <c r="A15" s="1267" t="s">
        <v>31</v>
      </c>
      <c r="B15" s="1268">
        <v>121924</v>
      </c>
      <c r="C15" s="794">
        <v>116774</v>
      </c>
      <c r="D15" s="795">
        <v>2778</v>
      </c>
      <c r="E15" s="795">
        <v>224</v>
      </c>
      <c r="F15" s="795">
        <v>2149</v>
      </c>
      <c r="G15" s="1268">
        <v>114192</v>
      </c>
      <c r="H15" s="795">
        <v>104975</v>
      </c>
      <c r="I15" s="795">
        <v>1883</v>
      </c>
      <c r="J15" s="1282">
        <v>7334</v>
      </c>
      <c r="K15" s="1283">
        <v>7733</v>
      </c>
      <c r="L15" s="1279">
        <f>I15/TableA10!D14</f>
        <v>0.28469912307227097</v>
      </c>
    </row>
    <row r="16" spans="1:12" x14ac:dyDescent="0.2">
      <c r="A16" s="1267" t="s">
        <v>34</v>
      </c>
      <c r="B16" s="1268">
        <v>17353</v>
      </c>
      <c r="C16" s="794">
        <v>17212</v>
      </c>
      <c r="D16" s="795">
        <v>64</v>
      </c>
      <c r="E16" s="795">
        <v>-19</v>
      </c>
      <c r="F16" s="795">
        <v>96</v>
      </c>
      <c r="G16" s="1268">
        <v>16146</v>
      </c>
      <c r="H16" s="795">
        <v>14710</v>
      </c>
      <c r="I16" s="795">
        <v>187</v>
      </c>
      <c r="J16" s="1282">
        <v>1249</v>
      </c>
      <c r="K16" s="1283">
        <v>1207</v>
      </c>
      <c r="L16" s="1279">
        <f>I16/TableA10!D15</f>
        <v>0.13872403560830859</v>
      </c>
    </row>
    <row r="17" spans="1:12" x14ac:dyDescent="0.2">
      <c r="A17" s="1267" t="s">
        <v>35</v>
      </c>
      <c r="B17" s="1268">
        <v>19992</v>
      </c>
      <c r="C17" s="794">
        <v>18636</v>
      </c>
      <c r="D17" s="795">
        <v>1026</v>
      </c>
      <c r="E17" s="795">
        <v>133</v>
      </c>
      <c r="F17" s="795">
        <v>197</v>
      </c>
      <c r="G17" s="1268">
        <v>18162</v>
      </c>
      <c r="H17" s="795">
        <v>16250</v>
      </c>
      <c r="I17" s="795">
        <v>337</v>
      </c>
      <c r="J17" s="1282">
        <v>1575</v>
      </c>
      <c r="K17" s="1283">
        <v>1830</v>
      </c>
      <c r="L17" s="1279">
        <f>I17/TableA10!D16</f>
        <v>0.3343253968253968</v>
      </c>
    </row>
    <row r="18" spans="1:12" x14ac:dyDescent="0.2">
      <c r="A18" s="1267" t="s">
        <v>37</v>
      </c>
      <c r="B18" s="1268">
        <v>17412</v>
      </c>
      <c r="C18" s="794">
        <v>16576</v>
      </c>
      <c r="D18" s="795" t="s">
        <v>283</v>
      </c>
      <c r="E18" s="795" t="s">
        <v>283</v>
      </c>
      <c r="F18" s="795">
        <v>122</v>
      </c>
      <c r="G18" s="1268">
        <v>18519</v>
      </c>
      <c r="H18" s="795">
        <v>17362</v>
      </c>
      <c r="I18" s="795">
        <v>61</v>
      </c>
      <c r="J18" s="1282">
        <v>1096</v>
      </c>
      <c r="K18" s="1283">
        <v>-1107</v>
      </c>
      <c r="L18" s="1279">
        <f>I18/TableA10!D17</f>
        <v>-3.4678794769755543E-2</v>
      </c>
    </row>
    <row r="19" spans="1:12" x14ac:dyDescent="0.2">
      <c r="A19" s="1267" t="s">
        <v>38</v>
      </c>
      <c r="B19" s="1268">
        <v>194216</v>
      </c>
      <c r="C19" s="794">
        <v>189219</v>
      </c>
      <c r="D19" s="795">
        <v>4630</v>
      </c>
      <c r="E19" s="795">
        <v>-3543</v>
      </c>
      <c r="F19" s="795">
        <v>3911</v>
      </c>
      <c r="G19" s="1268">
        <v>191812</v>
      </c>
      <c r="H19" s="795">
        <v>175870</v>
      </c>
      <c r="I19" s="795">
        <v>3497</v>
      </c>
      <c r="J19" s="1282">
        <v>12445</v>
      </c>
      <c r="K19" s="1283">
        <v>2404</v>
      </c>
      <c r="L19" s="1279">
        <f>I19/TableA10!D18</f>
        <v>0.7246166597596353</v>
      </c>
    </row>
    <row r="20" spans="1:12" x14ac:dyDescent="0.2">
      <c r="A20" s="1265" t="s">
        <v>262</v>
      </c>
      <c r="B20" s="1266" t="s">
        <v>262</v>
      </c>
      <c r="C20" s="799" t="s">
        <v>262</v>
      </c>
      <c r="D20" s="800" t="s">
        <v>262</v>
      </c>
      <c r="E20" s="800" t="s">
        <v>262</v>
      </c>
      <c r="F20" s="800" t="s">
        <v>262</v>
      </c>
      <c r="G20" s="1266" t="s">
        <v>262</v>
      </c>
      <c r="H20" s="800" t="s">
        <v>262</v>
      </c>
      <c r="I20" s="800" t="s">
        <v>262</v>
      </c>
      <c r="J20" s="1280" t="s">
        <v>262</v>
      </c>
      <c r="K20" s="1281" t="s">
        <v>262</v>
      </c>
      <c r="L20" s="1279"/>
    </row>
    <row r="21" spans="1:12" x14ac:dyDescent="0.2">
      <c r="A21" s="1267" t="s">
        <v>39</v>
      </c>
      <c r="B21" s="1268">
        <v>372382</v>
      </c>
      <c r="C21" s="794">
        <v>357214</v>
      </c>
      <c r="D21" s="795">
        <v>10120</v>
      </c>
      <c r="E21" s="795">
        <v>-2554</v>
      </c>
      <c r="F21" s="795">
        <v>7602</v>
      </c>
      <c r="G21" s="1268">
        <v>356716</v>
      </c>
      <c r="H21" s="795">
        <v>323590</v>
      </c>
      <c r="I21" s="795">
        <v>4875</v>
      </c>
      <c r="J21" s="1282">
        <v>28252</v>
      </c>
      <c r="K21" s="1283">
        <v>15665</v>
      </c>
      <c r="L21" s="1279">
        <f>I21/TableA10!D20</f>
        <v>0.37405048722473722</v>
      </c>
    </row>
    <row r="22" spans="1:12" x14ac:dyDescent="0.2">
      <c r="A22" s="1267" t="s">
        <v>40</v>
      </c>
      <c r="B22" s="1268">
        <v>5476</v>
      </c>
      <c r="C22" s="794">
        <v>5427</v>
      </c>
      <c r="D22" s="795" t="s">
        <v>283</v>
      </c>
      <c r="E22" s="800" t="s">
        <v>283</v>
      </c>
      <c r="F22" s="800">
        <v>40</v>
      </c>
      <c r="G22" s="1268">
        <v>5419</v>
      </c>
      <c r="H22" s="795">
        <v>5094</v>
      </c>
      <c r="I22" s="795">
        <v>81</v>
      </c>
      <c r="J22" s="1282">
        <v>244</v>
      </c>
      <c r="K22" s="1283">
        <v>56</v>
      </c>
      <c r="L22" s="1279">
        <f>I22/TableA10!D21</f>
        <v>0.62790697674418605</v>
      </c>
    </row>
    <row r="23" spans="1:12" x14ac:dyDescent="0.2">
      <c r="A23" s="1267" t="s">
        <v>41</v>
      </c>
      <c r="B23" s="1268">
        <v>63882</v>
      </c>
      <c r="C23" s="794">
        <v>30707</v>
      </c>
      <c r="D23" s="800" t="s">
        <v>283</v>
      </c>
      <c r="E23" s="795" t="s">
        <v>283</v>
      </c>
      <c r="F23" s="795" t="s">
        <v>283</v>
      </c>
      <c r="G23" s="1266" t="s">
        <v>283</v>
      </c>
      <c r="H23" s="795">
        <v>21965</v>
      </c>
      <c r="I23" s="795" t="s">
        <v>283</v>
      </c>
      <c r="J23" s="1282">
        <v>4625</v>
      </c>
      <c r="K23" s="1281" t="s">
        <v>283</v>
      </c>
      <c r="L23" s="1279"/>
    </row>
    <row r="24" spans="1:12" x14ac:dyDescent="0.2">
      <c r="A24" s="1267" t="s">
        <v>43</v>
      </c>
      <c r="B24" s="1268">
        <v>448528</v>
      </c>
      <c r="C24" s="794">
        <v>368414</v>
      </c>
      <c r="D24" s="795">
        <v>66686</v>
      </c>
      <c r="E24" s="795">
        <v>-3117</v>
      </c>
      <c r="F24" s="795">
        <v>16545</v>
      </c>
      <c r="G24" s="1268">
        <v>316903</v>
      </c>
      <c r="H24" s="795">
        <v>262031</v>
      </c>
      <c r="I24" s="795">
        <v>3976</v>
      </c>
      <c r="J24" s="1282">
        <v>50895</v>
      </c>
      <c r="K24" s="1283">
        <v>131625</v>
      </c>
      <c r="L24" s="1279">
        <f>I24/TableA10!D23</f>
        <v>5.5192326378767059E-2</v>
      </c>
    </row>
    <row r="25" spans="1:12" x14ac:dyDescent="0.2">
      <c r="A25" s="1267" t="s">
        <v>45</v>
      </c>
      <c r="B25" s="1268">
        <v>111896</v>
      </c>
      <c r="C25" s="794">
        <v>109564</v>
      </c>
      <c r="D25" s="795">
        <v>1911</v>
      </c>
      <c r="E25" s="795">
        <v>-493</v>
      </c>
      <c r="F25" s="795">
        <v>914</v>
      </c>
      <c r="G25" s="1268">
        <v>107707</v>
      </c>
      <c r="H25" s="795">
        <v>100722</v>
      </c>
      <c r="I25" s="795">
        <v>1473</v>
      </c>
      <c r="J25" s="1282">
        <v>5513</v>
      </c>
      <c r="K25" s="1283">
        <v>4189</v>
      </c>
      <c r="L25" s="1279">
        <f>I25/TableA10!D24</f>
        <v>0.34675141242937851</v>
      </c>
    </row>
    <row r="26" spans="1:12" x14ac:dyDescent="0.2">
      <c r="A26" s="1267" t="s">
        <v>49</v>
      </c>
      <c r="B26" s="1268">
        <v>162079</v>
      </c>
      <c r="C26" s="794">
        <v>69288</v>
      </c>
      <c r="D26" s="795">
        <v>73532</v>
      </c>
      <c r="E26" s="795">
        <v>-528</v>
      </c>
      <c r="F26" s="795">
        <v>19786</v>
      </c>
      <c r="G26" s="1268">
        <v>80476</v>
      </c>
      <c r="H26" s="795">
        <v>52395</v>
      </c>
      <c r="I26" s="795">
        <v>834</v>
      </c>
      <c r="J26" s="1282">
        <v>27247</v>
      </c>
      <c r="K26" s="1283">
        <v>81603</v>
      </c>
      <c r="L26" s="1279">
        <f>I26/TableA10!D25</f>
        <v>8.8413018127849047E-2</v>
      </c>
    </row>
    <row r="27" spans="1:12" x14ac:dyDescent="0.2">
      <c r="A27" s="1267" t="s">
        <v>51</v>
      </c>
      <c r="B27" s="1268">
        <v>460110</v>
      </c>
      <c r="C27" s="794">
        <v>253147</v>
      </c>
      <c r="D27" s="795">
        <v>176295</v>
      </c>
      <c r="E27" s="795">
        <v>-18799</v>
      </c>
      <c r="F27" s="795">
        <v>49467</v>
      </c>
      <c r="G27" s="1268">
        <v>273601</v>
      </c>
      <c r="H27" s="795">
        <v>220064</v>
      </c>
      <c r="I27" s="795">
        <v>3794</v>
      </c>
      <c r="J27" s="1282">
        <v>49742</v>
      </c>
      <c r="K27" s="1283">
        <v>186510</v>
      </c>
      <c r="L27" s="1279">
        <f>I27/TableA10!D26</f>
        <v>0.11562138111781557</v>
      </c>
    </row>
    <row r="28" spans="1:12" x14ac:dyDescent="0.2">
      <c r="A28" s="1265" t="s">
        <v>262</v>
      </c>
      <c r="B28" s="1266" t="s">
        <v>262</v>
      </c>
      <c r="C28" s="799" t="s">
        <v>262</v>
      </c>
      <c r="D28" s="800" t="s">
        <v>262</v>
      </c>
      <c r="E28" s="800" t="s">
        <v>262</v>
      </c>
      <c r="F28" s="800" t="s">
        <v>262</v>
      </c>
      <c r="G28" s="1266" t="s">
        <v>262</v>
      </c>
      <c r="H28" s="800" t="s">
        <v>262</v>
      </c>
      <c r="I28" s="800" t="s">
        <v>262</v>
      </c>
      <c r="J28" s="1280" t="s">
        <v>262</v>
      </c>
      <c r="K28" s="1281" t="s">
        <v>262</v>
      </c>
      <c r="L28" s="1279"/>
    </row>
    <row r="29" spans="1:12" x14ac:dyDescent="0.2">
      <c r="A29" s="1267" t="s">
        <v>53</v>
      </c>
      <c r="B29" s="1268">
        <v>40356</v>
      </c>
      <c r="C29" s="794">
        <v>37465</v>
      </c>
      <c r="D29" s="795">
        <v>1882</v>
      </c>
      <c r="E29" s="795">
        <v>320</v>
      </c>
      <c r="F29" s="795">
        <v>689</v>
      </c>
      <c r="G29" s="1268">
        <v>34845</v>
      </c>
      <c r="H29" s="795">
        <v>30193</v>
      </c>
      <c r="I29" s="795">
        <v>2821</v>
      </c>
      <c r="J29" s="1282">
        <v>1830</v>
      </c>
      <c r="K29" s="1283">
        <v>5511</v>
      </c>
      <c r="L29" s="1279">
        <f>I29/TableA10!D28</f>
        <v>0.43353311818042106</v>
      </c>
    </row>
    <row r="30" spans="1:12" x14ac:dyDescent="0.2">
      <c r="A30" s="1267" t="s">
        <v>54</v>
      </c>
      <c r="B30" s="1268">
        <v>41157</v>
      </c>
      <c r="C30" s="794">
        <v>39896</v>
      </c>
      <c r="D30" s="795">
        <v>642</v>
      </c>
      <c r="E30" s="795">
        <v>201</v>
      </c>
      <c r="F30" s="795">
        <v>418</v>
      </c>
      <c r="G30" s="1268">
        <v>39026</v>
      </c>
      <c r="H30" s="795">
        <v>35586</v>
      </c>
      <c r="I30" s="795">
        <v>271</v>
      </c>
      <c r="J30" s="1282">
        <v>3169</v>
      </c>
      <c r="K30" s="1283">
        <v>2131</v>
      </c>
      <c r="L30" s="1279">
        <f>I30/TableA10!D29</f>
        <v>0.17338451695457455</v>
      </c>
    </row>
    <row r="31" spans="1:12" x14ac:dyDescent="0.2">
      <c r="A31" s="1267" t="s">
        <v>55</v>
      </c>
      <c r="B31" s="1268">
        <v>9698</v>
      </c>
      <c r="C31" s="794">
        <v>9546</v>
      </c>
      <c r="D31" s="795" t="s">
        <v>283</v>
      </c>
      <c r="E31" s="800" t="s">
        <v>283</v>
      </c>
      <c r="F31" s="800">
        <v>81</v>
      </c>
      <c r="G31" s="1268">
        <v>9219</v>
      </c>
      <c r="H31" s="795">
        <v>8620</v>
      </c>
      <c r="I31" s="795">
        <v>98</v>
      </c>
      <c r="J31" s="1282">
        <v>501</v>
      </c>
      <c r="K31" s="1283">
        <v>478</v>
      </c>
      <c r="L31" s="1279">
        <f>I31/TableA10!D30</f>
        <v>0.19367588932806323</v>
      </c>
    </row>
    <row r="32" spans="1:12" x14ac:dyDescent="0.2">
      <c r="A32" s="1267" t="s">
        <v>70</v>
      </c>
      <c r="B32" s="1268">
        <v>40180</v>
      </c>
      <c r="C32" s="794">
        <v>41195</v>
      </c>
      <c r="D32" s="795">
        <v>-1580</v>
      </c>
      <c r="E32" s="795">
        <v>228</v>
      </c>
      <c r="F32" s="795">
        <v>337</v>
      </c>
      <c r="G32" s="1268">
        <v>41575</v>
      </c>
      <c r="H32" s="795">
        <v>37247</v>
      </c>
      <c r="I32" s="795">
        <v>603</v>
      </c>
      <c r="J32" s="1282">
        <v>3725</v>
      </c>
      <c r="K32" s="1283">
        <v>-1395</v>
      </c>
      <c r="L32" s="1279">
        <f>I32/TableA10!D31</f>
        <v>1.0505226480836236</v>
      </c>
    </row>
    <row r="33" spans="1:12" x14ac:dyDescent="0.2">
      <c r="A33" s="1267" t="s">
        <v>58</v>
      </c>
      <c r="B33" s="1268">
        <v>89968</v>
      </c>
      <c r="C33" s="794">
        <v>81971</v>
      </c>
      <c r="D33" s="795">
        <v>3310</v>
      </c>
      <c r="E33" s="795">
        <v>1082</v>
      </c>
      <c r="F33" s="795">
        <v>3605</v>
      </c>
      <c r="G33" s="1268">
        <v>83520</v>
      </c>
      <c r="H33" s="795">
        <v>75322</v>
      </c>
      <c r="I33" s="795">
        <v>737</v>
      </c>
      <c r="J33" s="1282">
        <v>7461</v>
      </c>
      <c r="K33" s="1283">
        <v>6447</v>
      </c>
      <c r="L33" s="1279">
        <f>I33/TableA10!D32</f>
        <v>0.26387397064088791</v>
      </c>
    </row>
    <row r="34" spans="1:12" x14ac:dyDescent="0.2">
      <c r="A34" s="1267" t="s">
        <v>59</v>
      </c>
      <c r="B34" s="1268">
        <v>37167</v>
      </c>
      <c r="C34" s="794">
        <v>34195</v>
      </c>
      <c r="D34" s="795">
        <v>1206</v>
      </c>
      <c r="E34" s="795">
        <v>186</v>
      </c>
      <c r="F34" s="795">
        <v>1579</v>
      </c>
      <c r="G34" s="1268">
        <v>33729</v>
      </c>
      <c r="H34" s="795">
        <v>29920</v>
      </c>
      <c r="I34" s="795">
        <v>646</v>
      </c>
      <c r="J34" s="1282">
        <v>3163</v>
      </c>
      <c r="K34" s="1283">
        <v>3437</v>
      </c>
      <c r="L34" s="1279">
        <f>I34/TableA10!D33</f>
        <v>0.24005945745076179</v>
      </c>
    </row>
    <row r="35" spans="1:12" ht="16" customHeight="1" x14ac:dyDescent="0.2">
      <c r="A35" s="1267" t="s">
        <v>60</v>
      </c>
      <c r="B35" s="1268">
        <v>352934</v>
      </c>
      <c r="C35" s="794">
        <v>309072</v>
      </c>
      <c r="D35" s="795">
        <v>33963</v>
      </c>
      <c r="E35" s="795">
        <v>-126</v>
      </c>
      <c r="F35" s="795">
        <v>10025</v>
      </c>
      <c r="G35" s="1268">
        <v>283036</v>
      </c>
      <c r="H35" s="795">
        <v>258057</v>
      </c>
      <c r="I35" s="795">
        <v>3125</v>
      </c>
      <c r="J35" s="1282">
        <v>21853</v>
      </c>
      <c r="K35" s="1283">
        <v>69898</v>
      </c>
      <c r="L35" s="1279">
        <f>I35/TableA10!D34</f>
        <v>7.974176427058613E-2</v>
      </c>
    </row>
    <row r="36" spans="1:12" x14ac:dyDescent="0.2">
      <c r="A36" s="1267" t="s">
        <v>61</v>
      </c>
      <c r="B36" s="1268">
        <v>25775</v>
      </c>
      <c r="C36" s="794">
        <v>25715</v>
      </c>
      <c r="D36" s="795">
        <v>24</v>
      </c>
      <c r="E36" s="800">
        <v>-105</v>
      </c>
      <c r="F36" s="800">
        <v>141</v>
      </c>
      <c r="G36" s="1266">
        <v>25246</v>
      </c>
      <c r="H36" s="800">
        <v>23723</v>
      </c>
      <c r="I36" s="795">
        <v>240</v>
      </c>
      <c r="J36" s="1282">
        <v>1283</v>
      </c>
      <c r="K36" s="1283">
        <v>530</v>
      </c>
      <c r="L36" s="1279">
        <f>I36/TableA10!D35</f>
        <v>0.28202115158636898</v>
      </c>
    </row>
    <row r="37" spans="1:12" x14ac:dyDescent="0.2">
      <c r="A37" s="1267" t="s">
        <v>62</v>
      </c>
      <c r="B37" s="1268">
        <v>724201</v>
      </c>
      <c r="C37" s="794">
        <v>623300</v>
      </c>
      <c r="D37" s="795" t="s">
        <v>283</v>
      </c>
      <c r="E37" s="795" t="s">
        <v>283</v>
      </c>
      <c r="F37" s="795" t="s">
        <v>283</v>
      </c>
      <c r="G37" s="1268">
        <v>622273</v>
      </c>
      <c r="H37" s="795">
        <v>554192</v>
      </c>
      <c r="I37" s="795">
        <v>7141</v>
      </c>
      <c r="J37" s="1282">
        <v>60939</v>
      </c>
      <c r="K37" s="1283">
        <v>101928</v>
      </c>
      <c r="L37" s="1279">
        <f>I37/TableA10!D36</f>
        <v>0.21672888403289933</v>
      </c>
    </row>
    <row r="38" spans="1:12" x14ac:dyDescent="0.2">
      <c r="A38" s="1267" t="s">
        <v>272</v>
      </c>
      <c r="B38" s="1268">
        <v>58222</v>
      </c>
      <c r="C38" s="794">
        <v>51098</v>
      </c>
      <c r="D38" s="800" t="s">
        <v>283</v>
      </c>
      <c r="E38" s="800">
        <v>-610</v>
      </c>
      <c r="F38" s="795" t="s">
        <v>283</v>
      </c>
      <c r="G38" s="1268" t="s">
        <v>283</v>
      </c>
      <c r="H38" s="795">
        <v>41461</v>
      </c>
      <c r="I38" s="795" t="s">
        <v>283</v>
      </c>
      <c r="J38" s="1282">
        <v>3141</v>
      </c>
      <c r="K38" s="1281" t="s">
        <v>283</v>
      </c>
      <c r="L38" s="1279"/>
    </row>
    <row r="39" spans="1:12" x14ac:dyDescent="0.2">
      <c r="A39" s="1265" t="s">
        <v>262</v>
      </c>
      <c r="B39" s="1266" t="s">
        <v>262</v>
      </c>
      <c r="C39" s="799" t="s">
        <v>262</v>
      </c>
      <c r="D39" s="800" t="s">
        <v>262</v>
      </c>
      <c r="E39" s="800" t="s">
        <v>262</v>
      </c>
      <c r="F39" s="800" t="s">
        <v>262</v>
      </c>
      <c r="G39" s="1266" t="s">
        <v>262</v>
      </c>
      <c r="H39" s="800" t="s">
        <v>262</v>
      </c>
      <c r="I39" s="800" t="s">
        <v>262</v>
      </c>
      <c r="J39" s="1280" t="s">
        <v>262</v>
      </c>
      <c r="K39" s="1281" t="s">
        <v>262</v>
      </c>
      <c r="L39" s="1279"/>
    </row>
    <row r="40" spans="1:12" x14ac:dyDescent="0.2">
      <c r="A40" s="1265" t="s">
        <v>320</v>
      </c>
      <c r="B40" s="72">
        <v>929336</v>
      </c>
      <c r="C40" s="73">
        <v>764667</v>
      </c>
      <c r="D40" s="74">
        <v>142786</v>
      </c>
      <c r="E40" s="74">
        <v>246</v>
      </c>
      <c r="F40" s="74">
        <v>21637</v>
      </c>
      <c r="G40" s="72">
        <v>741937</v>
      </c>
      <c r="H40" s="74">
        <v>656581</v>
      </c>
      <c r="I40" s="74">
        <v>12998</v>
      </c>
      <c r="J40" s="75">
        <v>72358</v>
      </c>
      <c r="K40" s="76">
        <v>187399</v>
      </c>
      <c r="L40" s="1279">
        <f>I40/TableA10!D39</f>
        <v>0.22090790122197862</v>
      </c>
    </row>
    <row r="41" spans="1:12" x14ac:dyDescent="0.2">
      <c r="A41" s="1265" t="s">
        <v>262</v>
      </c>
      <c r="B41" s="1266" t="s">
        <v>262</v>
      </c>
      <c r="C41" s="799" t="s">
        <v>262</v>
      </c>
      <c r="D41" s="800" t="s">
        <v>262</v>
      </c>
      <c r="E41" s="800" t="s">
        <v>262</v>
      </c>
      <c r="F41" s="800" t="s">
        <v>262</v>
      </c>
      <c r="G41" s="1266" t="s">
        <v>262</v>
      </c>
      <c r="H41" s="800" t="s">
        <v>262</v>
      </c>
      <c r="I41" s="800" t="s">
        <v>262</v>
      </c>
      <c r="J41" s="1280" t="s">
        <v>262</v>
      </c>
      <c r="K41" s="1281" t="s">
        <v>262</v>
      </c>
      <c r="L41" s="1279"/>
    </row>
    <row r="42" spans="1:12" x14ac:dyDescent="0.2">
      <c r="A42" s="1267" t="s">
        <v>274</v>
      </c>
      <c r="B42" s="1268">
        <v>328095</v>
      </c>
      <c r="C42" s="794">
        <v>319554</v>
      </c>
      <c r="D42" s="795">
        <v>8013</v>
      </c>
      <c r="E42" s="795">
        <v>-3947</v>
      </c>
      <c r="F42" s="795">
        <v>4475</v>
      </c>
      <c r="G42" s="1268">
        <v>319636</v>
      </c>
      <c r="H42" s="795">
        <v>292396</v>
      </c>
      <c r="I42" s="795">
        <v>6263</v>
      </c>
      <c r="J42" s="1282">
        <v>20977</v>
      </c>
      <c r="K42" s="1283">
        <v>8459</v>
      </c>
      <c r="L42" s="1279">
        <f>I42/TableA10!D41</f>
        <v>0.53819712984446166</v>
      </c>
    </row>
    <row r="43" spans="1:12" x14ac:dyDescent="0.2">
      <c r="A43" s="1269" t="s">
        <v>275</v>
      </c>
      <c r="B43" s="1268">
        <v>48301</v>
      </c>
      <c r="C43" s="794">
        <v>46838</v>
      </c>
      <c r="D43" s="795">
        <v>1045</v>
      </c>
      <c r="E43" s="795">
        <v>-556</v>
      </c>
      <c r="F43" s="795">
        <v>973</v>
      </c>
      <c r="G43" s="1268">
        <v>46011</v>
      </c>
      <c r="H43" s="795">
        <v>39893</v>
      </c>
      <c r="I43" s="795">
        <v>2546</v>
      </c>
      <c r="J43" s="1282">
        <v>3572</v>
      </c>
      <c r="K43" s="1283">
        <v>2290</v>
      </c>
      <c r="L43" s="1279">
        <f>I43/TableA10!D42</f>
        <v>0.57316524088248533</v>
      </c>
    </row>
    <row r="44" spans="1:12" x14ac:dyDescent="0.2">
      <c r="A44" s="1269" t="s">
        <v>65</v>
      </c>
      <c r="B44" s="1268">
        <v>173607</v>
      </c>
      <c r="C44" s="794">
        <v>171369</v>
      </c>
      <c r="D44" s="795">
        <v>2181</v>
      </c>
      <c r="E44" s="795">
        <v>-2514</v>
      </c>
      <c r="F44" s="795">
        <v>2570</v>
      </c>
      <c r="G44" s="1268">
        <v>174022</v>
      </c>
      <c r="H44" s="795">
        <v>162111</v>
      </c>
      <c r="I44" s="795">
        <v>1382</v>
      </c>
      <c r="J44" s="1282">
        <v>10529</v>
      </c>
      <c r="K44" s="1283">
        <v>-415</v>
      </c>
      <c r="L44" s="1279">
        <f>I44/TableA10!D43</f>
        <v>0.95772695772695771</v>
      </c>
    </row>
    <row r="45" spans="1:12" x14ac:dyDescent="0.2">
      <c r="A45" s="1269" t="s">
        <v>33</v>
      </c>
      <c r="B45" s="1268">
        <v>39032</v>
      </c>
      <c r="C45" s="794">
        <v>37077</v>
      </c>
      <c r="D45" s="795">
        <v>1708</v>
      </c>
      <c r="E45" s="795">
        <v>-163</v>
      </c>
      <c r="F45" s="795">
        <v>410</v>
      </c>
      <c r="G45" s="1268">
        <v>34750</v>
      </c>
      <c r="H45" s="795">
        <v>30986</v>
      </c>
      <c r="I45" s="795">
        <v>842</v>
      </c>
      <c r="J45" s="1282">
        <v>2923</v>
      </c>
      <c r="K45" s="1283">
        <v>4281</v>
      </c>
      <c r="L45" s="1279">
        <f>I45/TableA10!D44</f>
        <v>0.21830438164376459</v>
      </c>
    </row>
    <row r="46" spans="1:12" x14ac:dyDescent="0.2">
      <c r="A46" s="1269" t="s">
        <v>67</v>
      </c>
      <c r="B46" s="1268">
        <v>20884</v>
      </c>
      <c r="C46" s="794">
        <v>21156</v>
      </c>
      <c r="D46" s="795" t="s">
        <v>283</v>
      </c>
      <c r="E46" s="795" t="s">
        <v>283</v>
      </c>
      <c r="F46" s="795">
        <v>74</v>
      </c>
      <c r="G46" s="1268">
        <v>21137</v>
      </c>
      <c r="H46" s="795">
        <v>19221</v>
      </c>
      <c r="I46" s="795">
        <v>402</v>
      </c>
      <c r="J46" s="1282">
        <v>1513</v>
      </c>
      <c r="K46" s="1283">
        <v>-253</v>
      </c>
      <c r="L46" s="1279">
        <f>I46/TableA10!D45</f>
        <v>0.62910798122065725</v>
      </c>
    </row>
    <row r="47" spans="1:12" x14ac:dyDescent="0.2">
      <c r="A47" s="1269" t="s">
        <v>276</v>
      </c>
      <c r="B47" s="1268">
        <v>5524</v>
      </c>
      <c r="C47" s="794">
        <v>5516</v>
      </c>
      <c r="D47" s="795">
        <v>-6</v>
      </c>
      <c r="E47" s="795">
        <v>3</v>
      </c>
      <c r="F47" s="795">
        <v>11</v>
      </c>
      <c r="G47" s="1268">
        <v>5420</v>
      </c>
      <c r="H47" s="795">
        <v>5149</v>
      </c>
      <c r="I47" s="795">
        <v>28</v>
      </c>
      <c r="J47" s="1282">
        <v>244</v>
      </c>
      <c r="K47" s="1283">
        <v>104</v>
      </c>
      <c r="L47" s="1279">
        <f>I47/TableA10!D46</f>
        <v>0.2074074074074074</v>
      </c>
    </row>
    <row r="48" spans="1:12" x14ac:dyDescent="0.2">
      <c r="A48" s="1269" t="s">
        <v>277</v>
      </c>
      <c r="B48" s="1268">
        <v>14220</v>
      </c>
      <c r="C48" s="794">
        <v>13562</v>
      </c>
      <c r="D48" s="795">
        <v>445</v>
      </c>
      <c r="E48" s="795">
        <v>108</v>
      </c>
      <c r="F48" s="795">
        <v>105</v>
      </c>
      <c r="G48" s="1268">
        <v>13442</v>
      </c>
      <c r="H48" s="795">
        <v>11999</v>
      </c>
      <c r="I48" s="795">
        <v>631</v>
      </c>
      <c r="J48" s="1282">
        <v>812</v>
      </c>
      <c r="K48" s="1283">
        <v>779</v>
      </c>
      <c r="L48" s="1279">
        <f>I48/TableA10!D47</f>
        <v>0.55594713656387662</v>
      </c>
    </row>
    <row r="49" spans="1:12" x14ac:dyDescent="0.2">
      <c r="A49" s="1269" t="s">
        <v>278</v>
      </c>
      <c r="B49" s="1268">
        <v>18613</v>
      </c>
      <c r="C49" s="794">
        <v>16104</v>
      </c>
      <c r="D49" s="795" t="s">
        <v>283</v>
      </c>
      <c r="E49" s="795" t="s">
        <v>283</v>
      </c>
      <c r="F49" s="795">
        <v>294</v>
      </c>
      <c r="G49" s="1268">
        <v>17044</v>
      </c>
      <c r="H49" s="795">
        <v>15732</v>
      </c>
      <c r="I49" s="795">
        <v>268</v>
      </c>
      <c r="J49" s="1282">
        <v>1045</v>
      </c>
      <c r="K49" s="1283">
        <v>1569</v>
      </c>
      <c r="L49" s="1279">
        <f>I49/TableA10!D48</f>
        <v>-0.74238227146814406</v>
      </c>
    </row>
    <row r="50" spans="1:12" x14ac:dyDescent="0.2">
      <c r="A50" s="1269" t="s">
        <v>272</v>
      </c>
      <c r="B50" s="1268">
        <v>7914</v>
      </c>
      <c r="C50" s="794">
        <v>7930</v>
      </c>
      <c r="D50" s="795">
        <v>17</v>
      </c>
      <c r="E50" s="795">
        <v>-71</v>
      </c>
      <c r="F50" s="795">
        <v>38</v>
      </c>
      <c r="G50" s="1268">
        <v>7809</v>
      </c>
      <c r="H50" s="795">
        <v>7306</v>
      </c>
      <c r="I50" s="795">
        <v>164</v>
      </c>
      <c r="J50" s="1282">
        <v>340</v>
      </c>
      <c r="K50" s="1283">
        <v>105</v>
      </c>
      <c r="L50" s="1279">
        <f>I50/TableA10!D49</f>
        <v>0.47262247838616717</v>
      </c>
    </row>
    <row r="51" spans="1:12" x14ac:dyDescent="0.2">
      <c r="A51" s="1265" t="s">
        <v>262</v>
      </c>
      <c r="B51" s="1266" t="s">
        <v>262</v>
      </c>
      <c r="C51" s="799" t="s">
        <v>262</v>
      </c>
      <c r="D51" s="800" t="s">
        <v>262</v>
      </c>
      <c r="E51" s="800" t="s">
        <v>262</v>
      </c>
      <c r="F51" s="800" t="s">
        <v>262</v>
      </c>
      <c r="G51" s="1266" t="s">
        <v>262</v>
      </c>
      <c r="H51" s="800" t="s">
        <v>262</v>
      </c>
      <c r="I51" s="800" t="s">
        <v>262</v>
      </c>
      <c r="J51" s="1280" t="s">
        <v>262</v>
      </c>
      <c r="K51" s="1281" t="s">
        <v>262</v>
      </c>
      <c r="L51" s="1279"/>
    </row>
    <row r="52" spans="1:12" x14ac:dyDescent="0.2">
      <c r="A52" s="1267" t="s">
        <v>279</v>
      </c>
      <c r="B52" s="1268">
        <v>285054</v>
      </c>
      <c r="C52" s="794">
        <v>274807</v>
      </c>
      <c r="D52" s="795">
        <v>6435</v>
      </c>
      <c r="E52" s="795">
        <v>625</v>
      </c>
      <c r="F52" s="795">
        <v>3186</v>
      </c>
      <c r="G52" s="1268">
        <v>266330</v>
      </c>
      <c r="H52" s="795">
        <v>245383</v>
      </c>
      <c r="I52" s="795">
        <v>5281</v>
      </c>
      <c r="J52" s="1282">
        <v>15667</v>
      </c>
      <c r="K52" s="1283">
        <v>18724</v>
      </c>
      <c r="L52" s="1279">
        <f>I52/TableA10!D51</f>
        <v>0.30662486210300183</v>
      </c>
    </row>
    <row r="53" spans="1:12" x14ac:dyDescent="0.2">
      <c r="A53" s="1269" t="s">
        <v>68</v>
      </c>
      <c r="B53" s="1268">
        <v>13068</v>
      </c>
      <c r="C53" s="794">
        <v>12981</v>
      </c>
      <c r="D53" s="795" t="s">
        <v>283</v>
      </c>
      <c r="E53" s="795" t="s">
        <v>283</v>
      </c>
      <c r="F53" s="795">
        <v>35</v>
      </c>
      <c r="G53" s="1268">
        <v>12333</v>
      </c>
      <c r="H53" s="795">
        <v>11645</v>
      </c>
      <c r="I53" s="795">
        <v>173</v>
      </c>
      <c r="J53" s="1282">
        <v>515</v>
      </c>
      <c r="K53" s="1283">
        <v>735</v>
      </c>
      <c r="L53" s="1279">
        <f>I53/TableA10!D52</f>
        <v>0.20210280373831777</v>
      </c>
    </row>
    <row r="54" spans="1:12" x14ac:dyDescent="0.2">
      <c r="A54" s="1269" t="s">
        <v>280</v>
      </c>
      <c r="B54" s="1268">
        <v>3743</v>
      </c>
      <c r="C54" s="794">
        <v>3738</v>
      </c>
      <c r="D54" s="795">
        <v>2</v>
      </c>
      <c r="E54" s="795">
        <v>-5</v>
      </c>
      <c r="F54" s="795">
        <v>8</v>
      </c>
      <c r="G54" s="1268">
        <v>3644</v>
      </c>
      <c r="H54" s="795">
        <v>3523</v>
      </c>
      <c r="I54" s="795">
        <v>38</v>
      </c>
      <c r="J54" s="1282">
        <v>82</v>
      </c>
      <c r="K54" s="1283">
        <v>100</v>
      </c>
      <c r="L54" s="1279">
        <f>I54/TableA10!D53</f>
        <v>0.26950354609929078</v>
      </c>
    </row>
    <row r="55" spans="1:12" x14ac:dyDescent="0.2">
      <c r="A55" s="1269" t="s">
        <v>50</v>
      </c>
      <c r="B55" s="1268">
        <v>250411</v>
      </c>
      <c r="C55" s="794">
        <v>240432</v>
      </c>
      <c r="D55" s="795">
        <v>6313</v>
      </c>
      <c r="E55" s="795">
        <v>622</v>
      </c>
      <c r="F55" s="795">
        <v>3044</v>
      </c>
      <c r="G55" s="1268">
        <v>232913</v>
      </c>
      <c r="H55" s="795">
        <v>213720</v>
      </c>
      <c r="I55" s="795">
        <v>4910</v>
      </c>
      <c r="J55" s="1282">
        <v>14283</v>
      </c>
      <c r="K55" s="1283">
        <v>17498</v>
      </c>
      <c r="L55" s="1279">
        <f>I55/TableA10!D54</f>
        <v>0.31168666285786834</v>
      </c>
    </row>
    <row r="56" spans="1:12" x14ac:dyDescent="0.2">
      <c r="A56" s="1269" t="s">
        <v>107</v>
      </c>
      <c r="B56" s="1268">
        <v>8367</v>
      </c>
      <c r="C56" s="794">
        <v>8056</v>
      </c>
      <c r="D56" s="795" t="s">
        <v>283</v>
      </c>
      <c r="E56" s="795" t="s">
        <v>283</v>
      </c>
      <c r="F56" s="795">
        <v>25</v>
      </c>
      <c r="G56" s="1268">
        <v>8175</v>
      </c>
      <c r="H56" s="795">
        <v>7795</v>
      </c>
      <c r="I56" s="795">
        <v>54</v>
      </c>
      <c r="J56" s="1282">
        <v>326</v>
      </c>
      <c r="K56" s="1283">
        <v>192</v>
      </c>
      <c r="L56" s="1279">
        <f>I56/TableA10!D55</f>
        <v>-1.3170731707317074</v>
      </c>
    </row>
    <row r="57" spans="1:12" x14ac:dyDescent="0.2">
      <c r="A57" s="1269" t="s">
        <v>272</v>
      </c>
      <c r="B57" s="1268">
        <v>9464</v>
      </c>
      <c r="C57" s="794">
        <v>9601</v>
      </c>
      <c r="D57" s="795" t="s">
        <v>283</v>
      </c>
      <c r="E57" s="795" t="s">
        <v>283</v>
      </c>
      <c r="F57" s="795">
        <v>74</v>
      </c>
      <c r="G57" s="1268">
        <v>9266</v>
      </c>
      <c r="H57" s="795">
        <v>8700</v>
      </c>
      <c r="I57" s="795">
        <v>105</v>
      </c>
      <c r="J57" s="1282">
        <v>460</v>
      </c>
      <c r="K57" s="1283">
        <v>199</v>
      </c>
      <c r="L57" s="1279">
        <f>I57/TableA10!D56</f>
        <v>0.20428015564202334</v>
      </c>
    </row>
    <row r="58" spans="1:12" x14ac:dyDescent="0.2">
      <c r="A58" s="1265" t="s">
        <v>262</v>
      </c>
      <c r="B58" s="1266" t="s">
        <v>262</v>
      </c>
      <c r="C58" s="799" t="s">
        <v>262</v>
      </c>
      <c r="D58" s="800" t="s">
        <v>262</v>
      </c>
      <c r="E58" s="800" t="s">
        <v>262</v>
      </c>
      <c r="F58" s="800" t="s">
        <v>262</v>
      </c>
      <c r="G58" s="1266" t="s">
        <v>262</v>
      </c>
      <c r="H58" s="800" t="s">
        <v>262</v>
      </c>
      <c r="I58" s="800" t="s">
        <v>262</v>
      </c>
      <c r="J58" s="1280" t="s">
        <v>262</v>
      </c>
      <c r="K58" s="1281" t="s">
        <v>262</v>
      </c>
      <c r="L58" s="1279"/>
    </row>
    <row r="59" spans="1:12" x14ac:dyDescent="0.2">
      <c r="A59" s="1267" t="s">
        <v>281</v>
      </c>
      <c r="B59" s="1268">
        <v>316188</v>
      </c>
      <c r="C59" s="794">
        <v>170306</v>
      </c>
      <c r="D59" s="795">
        <v>128339</v>
      </c>
      <c r="E59" s="795">
        <v>3567</v>
      </c>
      <c r="F59" s="795">
        <v>13976</v>
      </c>
      <c r="G59" s="1268">
        <v>155971</v>
      </c>
      <c r="H59" s="795">
        <v>118802</v>
      </c>
      <c r="I59" s="795">
        <v>1454</v>
      </c>
      <c r="J59" s="1282">
        <v>35715</v>
      </c>
      <c r="K59" s="1283">
        <v>160216</v>
      </c>
      <c r="L59" s="1279">
        <f>I59/TableA10!D58</f>
        <v>4.8500617098635714E-2</v>
      </c>
    </row>
    <row r="60" spans="1:12" x14ac:dyDescent="0.2">
      <c r="A60" s="1269" t="s">
        <v>79</v>
      </c>
      <c r="B60" s="1268">
        <v>14131</v>
      </c>
      <c r="C60" s="794">
        <v>13096</v>
      </c>
      <c r="D60" s="795" t="s">
        <v>283</v>
      </c>
      <c r="E60" s="795" t="s">
        <v>283</v>
      </c>
      <c r="F60" s="795">
        <v>101</v>
      </c>
      <c r="G60" s="1268">
        <v>12009</v>
      </c>
      <c r="H60" s="795">
        <v>11683</v>
      </c>
      <c r="I60" s="795">
        <v>52</v>
      </c>
      <c r="J60" s="1282">
        <v>274</v>
      </c>
      <c r="K60" s="1283">
        <v>2122</v>
      </c>
      <c r="L60" s="1279">
        <f>I60/TableA10!D59</f>
        <v>4.1901692183722805E-2</v>
      </c>
    </row>
    <row r="61" spans="1:12" x14ac:dyDescent="0.2">
      <c r="A61" s="1269" t="s">
        <v>81</v>
      </c>
      <c r="B61" s="1268">
        <v>137323</v>
      </c>
      <c r="C61" s="794">
        <v>58148</v>
      </c>
      <c r="D61" s="795">
        <v>70797</v>
      </c>
      <c r="E61" s="795">
        <v>-1592</v>
      </c>
      <c r="F61" s="795">
        <v>9971</v>
      </c>
      <c r="G61" s="1268">
        <v>67026</v>
      </c>
      <c r="H61" s="795">
        <v>45346</v>
      </c>
      <c r="I61" s="795">
        <v>652</v>
      </c>
      <c r="J61" s="1282">
        <v>21027</v>
      </c>
      <c r="K61" s="1283">
        <v>70298</v>
      </c>
      <c r="L61" s="1279">
        <f>I61/TableA10!D60</f>
        <v>0.36588103254769921</v>
      </c>
    </row>
    <row r="62" spans="1:12" x14ac:dyDescent="0.2">
      <c r="A62" s="1269" t="s">
        <v>282</v>
      </c>
      <c r="B62" s="1268">
        <v>3654</v>
      </c>
      <c r="C62" s="794">
        <v>3621</v>
      </c>
      <c r="D62" s="795" t="s">
        <v>321</v>
      </c>
      <c r="E62" s="800">
        <v>9</v>
      </c>
      <c r="F62" s="800">
        <v>23</v>
      </c>
      <c r="G62" s="1268">
        <v>3215</v>
      </c>
      <c r="H62" s="795">
        <v>2962</v>
      </c>
      <c r="I62" s="795">
        <v>94</v>
      </c>
      <c r="J62" s="1282">
        <v>159</v>
      </c>
      <c r="K62" s="1283">
        <v>439</v>
      </c>
      <c r="L62" s="1279">
        <f>I62/TableA10!D61</f>
        <v>0.17938931297709923</v>
      </c>
    </row>
    <row r="63" spans="1:12" x14ac:dyDescent="0.2">
      <c r="A63" s="1269" t="s">
        <v>284</v>
      </c>
      <c r="B63" s="1268">
        <v>122221</v>
      </c>
      <c r="C63" s="794">
        <v>66698</v>
      </c>
      <c r="D63" s="795">
        <v>49498</v>
      </c>
      <c r="E63" s="800">
        <v>2352</v>
      </c>
      <c r="F63" s="800">
        <v>3673</v>
      </c>
      <c r="G63" s="1268">
        <v>59239</v>
      </c>
      <c r="H63" s="795">
        <v>45784</v>
      </c>
      <c r="I63" s="795">
        <v>569</v>
      </c>
      <c r="J63" s="1282">
        <v>12887</v>
      </c>
      <c r="K63" s="1283">
        <v>62982</v>
      </c>
      <c r="L63" s="1279">
        <f>I63/TableA10!D62</f>
        <v>4.8574355472084683E-2</v>
      </c>
    </row>
    <row r="64" spans="1:12" x14ac:dyDescent="0.2">
      <c r="A64" s="1269" t="s">
        <v>272</v>
      </c>
      <c r="B64" s="1268">
        <v>38859</v>
      </c>
      <c r="C64" s="794">
        <v>28744</v>
      </c>
      <c r="D64" s="795" t="s">
        <v>283</v>
      </c>
      <c r="E64" s="800" t="s">
        <v>283</v>
      </c>
      <c r="F64" s="800">
        <v>207</v>
      </c>
      <c r="G64" s="1268">
        <v>14483</v>
      </c>
      <c r="H64" s="795">
        <v>13027</v>
      </c>
      <c r="I64" s="795">
        <v>87</v>
      </c>
      <c r="J64" s="1282">
        <v>1368</v>
      </c>
      <c r="K64" s="1283">
        <v>24376</v>
      </c>
      <c r="L64" s="1279">
        <f>I64/TableA10!D63</f>
        <v>5.91072763095319E-3</v>
      </c>
    </row>
    <row r="65" spans="1:12" x14ac:dyDescent="0.2">
      <c r="A65" s="1265" t="s">
        <v>262</v>
      </c>
      <c r="B65" s="1266" t="s">
        <v>262</v>
      </c>
      <c r="C65" s="799" t="s">
        <v>262</v>
      </c>
      <c r="D65" s="800" t="s">
        <v>262</v>
      </c>
      <c r="E65" s="800" t="s">
        <v>262</v>
      </c>
      <c r="F65" s="800" t="s">
        <v>262</v>
      </c>
      <c r="G65" s="1266" t="s">
        <v>262</v>
      </c>
      <c r="H65" s="800" t="s">
        <v>262</v>
      </c>
      <c r="I65" s="800" t="s">
        <v>262</v>
      </c>
      <c r="J65" s="1280" t="s">
        <v>262</v>
      </c>
      <c r="K65" s="1281" t="s">
        <v>262</v>
      </c>
      <c r="L65" s="1279"/>
    </row>
    <row r="66" spans="1:12" x14ac:dyDescent="0.2">
      <c r="A66" s="1265" t="s">
        <v>285</v>
      </c>
      <c r="B66" s="72">
        <v>93247</v>
      </c>
      <c r="C66" s="73">
        <v>86372</v>
      </c>
      <c r="D66" s="74" t="s">
        <v>283</v>
      </c>
      <c r="E66" s="74" t="s">
        <v>283</v>
      </c>
      <c r="F66" s="74">
        <v>1323</v>
      </c>
      <c r="G66" s="72">
        <v>85639</v>
      </c>
      <c r="H66" s="74">
        <v>77559</v>
      </c>
      <c r="I66" s="74">
        <v>3632</v>
      </c>
      <c r="J66" s="75">
        <v>4448</v>
      </c>
      <c r="K66" s="76">
        <v>7609</v>
      </c>
      <c r="L66" s="1279">
        <f>I66/TableA10!D65</f>
        <v>0.5381538005630464</v>
      </c>
    </row>
    <row r="67" spans="1:12" x14ac:dyDescent="0.2">
      <c r="A67" s="1267" t="s">
        <v>286</v>
      </c>
      <c r="B67" s="1268">
        <v>11755</v>
      </c>
      <c r="C67" s="794">
        <v>11341</v>
      </c>
      <c r="D67" s="795" t="s">
        <v>283</v>
      </c>
      <c r="E67" s="795" t="s">
        <v>283</v>
      </c>
      <c r="F67" s="795">
        <v>348</v>
      </c>
      <c r="G67" s="1268">
        <v>12039</v>
      </c>
      <c r="H67" s="795">
        <v>11284</v>
      </c>
      <c r="I67" s="795">
        <v>475</v>
      </c>
      <c r="J67" s="1282">
        <v>281</v>
      </c>
      <c r="K67" s="1283">
        <v>-285</v>
      </c>
      <c r="L67" s="1279">
        <f>I67/TableA10!D66</f>
        <v>2.0652173913043477</v>
      </c>
    </row>
    <row r="68" spans="1:12" x14ac:dyDescent="0.2">
      <c r="A68" s="1267" t="s">
        <v>287</v>
      </c>
      <c r="B68" s="1268">
        <v>17677</v>
      </c>
      <c r="C68" s="794">
        <v>14025</v>
      </c>
      <c r="D68" s="795" t="s">
        <v>283</v>
      </c>
      <c r="E68" s="795" t="s">
        <v>283</v>
      </c>
      <c r="F68" s="800" t="s">
        <v>283</v>
      </c>
      <c r="G68" s="1266">
        <v>12905</v>
      </c>
      <c r="H68" s="800">
        <v>10206</v>
      </c>
      <c r="I68" s="795" t="s">
        <v>283</v>
      </c>
      <c r="J68" s="1282" t="s">
        <v>283</v>
      </c>
      <c r="K68" s="1283">
        <v>4772</v>
      </c>
      <c r="L68" s="1279"/>
    </row>
    <row r="69" spans="1:12" x14ac:dyDescent="0.2">
      <c r="A69" s="1267" t="s">
        <v>71</v>
      </c>
      <c r="B69" s="1268">
        <v>32654</v>
      </c>
      <c r="C69" s="794">
        <v>32233</v>
      </c>
      <c r="D69" s="795">
        <v>106</v>
      </c>
      <c r="E69" s="795">
        <v>107</v>
      </c>
      <c r="F69" s="795">
        <v>208</v>
      </c>
      <c r="G69" s="1268">
        <v>31723</v>
      </c>
      <c r="H69" s="795">
        <v>30238</v>
      </c>
      <c r="I69" s="795">
        <v>318</v>
      </c>
      <c r="J69" s="1282">
        <v>1167</v>
      </c>
      <c r="K69" s="1283">
        <v>931</v>
      </c>
      <c r="L69" s="1279">
        <f>I69/TableA10!D68</f>
        <v>0.30606352261790182</v>
      </c>
    </row>
    <row r="70" spans="1:12" x14ac:dyDescent="0.2">
      <c r="A70" s="1267" t="s">
        <v>272</v>
      </c>
      <c r="B70" s="1268">
        <v>31162</v>
      </c>
      <c r="C70" s="794">
        <v>28773</v>
      </c>
      <c r="D70" s="795" t="s">
        <v>283</v>
      </c>
      <c r="E70" s="795">
        <v>-1137</v>
      </c>
      <c r="F70" s="800" t="s">
        <v>283</v>
      </c>
      <c r="G70" s="1266">
        <v>28971</v>
      </c>
      <c r="H70" s="800">
        <v>25830</v>
      </c>
      <c r="I70" s="795" t="s">
        <v>283</v>
      </c>
      <c r="J70" s="1282" t="s">
        <v>283</v>
      </c>
      <c r="K70" s="1283">
        <v>2191</v>
      </c>
      <c r="L70" s="1279"/>
    </row>
    <row r="71" spans="1:12" x14ac:dyDescent="0.2">
      <c r="A71" s="1265" t="s">
        <v>262</v>
      </c>
      <c r="B71" s="1266" t="s">
        <v>262</v>
      </c>
      <c r="C71" s="799" t="s">
        <v>262</v>
      </c>
      <c r="D71" s="800" t="s">
        <v>262</v>
      </c>
      <c r="E71" s="800" t="s">
        <v>262</v>
      </c>
      <c r="F71" s="800" t="s">
        <v>262</v>
      </c>
      <c r="G71" s="1266" t="s">
        <v>262</v>
      </c>
      <c r="H71" s="800" t="s">
        <v>262</v>
      </c>
      <c r="I71" s="800" t="s">
        <v>262</v>
      </c>
      <c r="J71" s="1280" t="s">
        <v>262</v>
      </c>
      <c r="K71" s="1281" t="s">
        <v>262</v>
      </c>
      <c r="L71" s="1279"/>
    </row>
    <row r="72" spans="1:12" x14ac:dyDescent="0.2">
      <c r="A72" s="1265" t="s">
        <v>288</v>
      </c>
      <c r="B72" s="72">
        <v>70317</v>
      </c>
      <c r="C72" s="73">
        <v>64440</v>
      </c>
      <c r="D72" s="74" t="s">
        <v>283</v>
      </c>
      <c r="E72" s="74" t="s">
        <v>283</v>
      </c>
      <c r="F72" s="74">
        <v>672</v>
      </c>
      <c r="G72" s="72">
        <v>59752</v>
      </c>
      <c r="H72" s="74">
        <v>51742</v>
      </c>
      <c r="I72" s="74">
        <v>3863</v>
      </c>
      <c r="J72" s="75">
        <v>4146</v>
      </c>
      <c r="K72" s="76">
        <v>10565</v>
      </c>
      <c r="L72" s="1279">
        <f>I72/TableA10!D71</f>
        <v>0.3670657544659825</v>
      </c>
    </row>
    <row r="73" spans="1:12" x14ac:dyDescent="0.2">
      <c r="A73" s="1267" t="s">
        <v>44</v>
      </c>
      <c r="B73" s="1268">
        <v>21132</v>
      </c>
      <c r="C73" s="794">
        <v>20522</v>
      </c>
      <c r="D73" s="795">
        <v>463</v>
      </c>
      <c r="E73" s="795">
        <v>-15</v>
      </c>
      <c r="F73" s="795">
        <v>162</v>
      </c>
      <c r="G73" s="1268">
        <v>18499</v>
      </c>
      <c r="H73" s="795">
        <v>16740</v>
      </c>
      <c r="I73" s="795">
        <v>390</v>
      </c>
      <c r="J73" s="1282">
        <v>1369</v>
      </c>
      <c r="K73" s="1283">
        <v>2633</v>
      </c>
      <c r="L73" s="1279">
        <f>I73/TableA10!D72</f>
        <v>0.14590347923681257</v>
      </c>
    </row>
    <row r="74" spans="1:12" x14ac:dyDescent="0.2">
      <c r="A74" s="1267" t="s">
        <v>289</v>
      </c>
      <c r="B74" s="1268">
        <v>12224</v>
      </c>
      <c r="C74" s="794">
        <v>11077</v>
      </c>
      <c r="D74" s="795" t="s">
        <v>283</v>
      </c>
      <c r="E74" s="800" t="s">
        <v>283</v>
      </c>
      <c r="F74" s="800">
        <v>32</v>
      </c>
      <c r="G74" s="1268">
        <v>10915</v>
      </c>
      <c r="H74" s="795">
        <v>10237</v>
      </c>
      <c r="I74" s="795">
        <v>162</v>
      </c>
      <c r="J74" s="1282">
        <v>516</v>
      </c>
      <c r="K74" s="1283">
        <v>1309</v>
      </c>
      <c r="L74" s="1279">
        <f>I74/TableA10!D73</f>
        <v>0.39130434782608697</v>
      </c>
    </row>
    <row r="75" spans="1:12" x14ac:dyDescent="0.2">
      <c r="A75" s="1267" t="s">
        <v>290</v>
      </c>
      <c r="B75" s="1268">
        <v>23691</v>
      </c>
      <c r="C75" s="794">
        <v>22986</v>
      </c>
      <c r="D75" s="795" t="s">
        <v>283</v>
      </c>
      <c r="E75" s="800">
        <v>162</v>
      </c>
      <c r="F75" s="800" t="s">
        <v>283</v>
      </c>
      <c r="G75" s="1268">
        <v>20688</v>
      </c>
      <c r="H75" s="795">
        <v>17144</v>
      </c>
      <c r="I75" s="795" t="s">
        <v>283</v>
      </c>
      <c r="J75" s="1282" t="s">
        <v>283</v>
      </c>
      <c r="K75" s="1283">
        <v>3003</v>
      </c>
      <c r="L75" s="1279"/>
    </row>
    <row r="76" spans="1:12" x14ac:dyDescent="0.2">
      <c r="A76" s="1267" t="s">
        <v>272</v>
      </c>
      <c r="B76" s="1268">
        <v>13269</v>
      </c>
      <c r="C76" s="794">
        <v>9855</v>
      </c>
      <c r="D76" s="795" t="s">
        <v>283</v>
      </c>
      <c r="E76" s="800" t="s">
        <v>283</v>
      </c>
      <c r="F76" s="800" t="s">
        <v>283</v>
      </c>
      <c r="G76" s="1268">
        <v>9649</v>
      </c>
      <c r="H76" s="795">
        <v>7621</v>
      </c>
      <c r="I76" s="795" t="s">
        <v>283</v>
      </c>
      <c r="J76" s="1282" t="s">
        <v>283</v>
      </c>
      <c r="K76" s="1283">
        <v>3620</v>
      </c>
      <c r="L76" s="1279"/>
    </row>
    <row r="77" spans="1:12" x14ac:dyDescent="0.2">
      <c r="A77" s="1265" t="s">
        <v>262</v>
      </c>
      <c r="B77" s="1266" t="s">
        <v>262</v>
      </c>
      <c r="C77" s="799" t="s">
        <v>262</v>
      </c>
      <c r="D77" s="800" t="s">
        <v>262</v>
      </c>
      <c r="E77" s="800" t="s">
        <v>262</v>
      </c>
      <c r="F77" s="800" t="s">
        <v>262</v>
      </c>
      <c r="G77" s="1266" t="s">
        <v>262</v>
      </c>
      <c r="H77" s="800" t="s">
        <v>262</v>
      </c>
      <c r="I77" s="800" t="s">
        <v>262</v>
      </c>
      <c r="J77" s="1280" t="s">
        <v>262</v>
      </c>
      <c r="K77" s="1281" t="s">
        <v>262</v>
      </c>
      <c r="L77" s="1279"/>
    </row>
    <row r="78" spans="1:12" x14ac:dyDescent="0.2">
      <c r="A78" s="1265" t="s">
        <v>291</v>
      </c>
      <c r="B78" s="72">
        <v>1724881</v>
      </c>
      <c r="C78" s="73">
        <v>1653007</v>
      </c>
      <c r="D78" s="74">
        <v>51895</v>
      </c>
      <c r="E78" s="74">
        <v>-3333</v>
      </c>
      <c r="F78" s="74">
        <v>23313</v>
      </c>
      <c r="G78" s="72">
        <v>1579451</v>
      </c>
      <c r="H78" s="74">
        <v>1461139</v>
      </c>
      <c r="I78" s="74">
        <v>23359</v>
      </c>
      <c r="J78" s="75">
        <v>94952</v>
      </c>
      <c r="K78" s="76">
        <v>145430</v>
      </c>
      <c r="L78" s="124">
        <f>I78/TableA10!D77</f>
        <v>0.19166830773270316</v>
      </c>
    </row>
    <row r="79" spans="1:12" x14ac:dyDescent="0.2">
      <c r="A79" s="1267" t="s">
        <v>29</v>
      </c>
      <c r="B79" s="1268">
        <v>160065</v>
      </c>
      <c r="C79" s="794">
        <v>152193</v>
      </c>
      <c r="D79" s="795">
        <v>10436</v>
      </c>
      <c r="E79" s="795">
        <v>-6243</v>
      </c>
      <c r="F79" s="795">
        <v>3678</v>
      </c>
      <c r="G79" s="1268">
        <v>156494</v>
      </c>
      <c r="H79" s="795">
        <v>133326</v>
      </c>
      <c r="I79" s="795">
        <v>2186</v>
      </c>
      <c r="J79" s="1282">
        <v>20981</v>
      </c>
      <c r="K79" s="1283">
        <v>3571</v>
      </c>
      <c r="L79" s="1279">
        <f>I79/TableA10!D78</f>
        <v>1.1034830893488137</v>
      </c>
    </row>
    <row r="80" spans="1:12" x14ac:dyDescent="0.2">
      <c r="A80" s="1267" t="s">
        <v>66</v>
      </c>
      <c r="B80" s="1268">
        <v>363697</v>
      </c>
      <c r="C80" s="794">
        <v>355840</v>
      </c>
      <c r="D80" s="795">
        <v>4432</v>
      </c>
      <c r="E80" s="795">
        <v>-1809</v>
      </c>
      <c r="F80" s="795">
        <v>5233</v>
      </c>
      <c r="G80" s="1268">
        <v>341758</v>
      </c>
      <c r="H80" s="795">
        <v>323290</v>
      </c>
      <c r="I80" s="795">
        <v>5230</v>
      </c>
      <c r="J80" s="1282">
        <v>13238</v>
      </c>
      <c r="K80" s="1283">
        <v>21938</v>
      </c>
      <c r="L80" s="1279">
        <f>I80/TableA10!D79</f>
        <v>0.21222204187631877</v>
      </c>
    </row>
    <row r="81" spans="1:12" x14ac:dyDescent="0.2">
      <c r="A81" s="1267" t="s">
        <v>91</v>
      </c>
      <c r="B81" s="1268">
        <v>156597</v>
      </c>
      <c r="C81" s="794">
        <v>142786</v>
      </c>
      <c r="D81" s="795">
        <v>8493</v>
      </c>
      <c r="E81" s="795">
        <v>2465</v>
      </c>
      <c r="F81" s="795">
        <v>2853</v>
      </c>
      <c r="G81" s="1268">
        <v>138184</v>
      </c>
      <c r="H81" s="795">
        <v>130574</v>
      </c>
      <c r="I81" s="795">
        <v>1239</v>
      </c>
      <c r="J81" s="1282">
        <v>6371</v>
      </c>
      <c r="K81" s="1283">
        <v>18413</v>
      </c>
      <c r="L81" s="1279">
        <f>I81/TableA10!D80</f>
        <v>0.14233199310740954</v>
      </c>
    </row>
    <row r="82" spans="1:12" x14ac:dyDescent="0.2">
      <c r="A82" s="1267" t="s">
        <v>69</v>
      </c>
      <c r="B82" s="1268">
        <v>82239</v>
      </c>
      <c r="C82" s="794">
        <v>80115</v>
      </c>
      <c r="D82" s="795">
        <v>389</v>
      </c>
      <c r="E82" s="795">
        <v>567</v>
      </c>
      <c r="F82" s="795">
        <v>1168</v>
      </c>
      <c r="G82" s="1268">
        <v>77084</v>
      </c>
      <c r="H82" s="795">
        <v>68470</v>
      </c>
      <c r="I82" s="795">
        <v>2293</v>
      </c>
      <c r="J82" s="1282">
        <v>6321</v>
      </c>
      <c r="K82" s="1283">
        <v>5155</v>
      </c>
      <c r="L82" s="1279">
        <f>I82/TableA10!D81</f>
        <v>0.35320394331484906</v>
      </c>
    </row>
    <row r="83" spans="1:12" x14ac:dyDescent="0.2">
      <c r="A83" s="1267" t="s">
        <v>292</v>
      </c>
      <c r="B83" s="1268">
        <v>27497</v>
      </c>
      <c r="C83" s="794">
        <v>26021</v>
      </c>
      <c r="D83" s="795">
        <v>1430</v>
      </c>
      <c r="E83" s="795">
        <v>-32</v>
      </c>
      <c r="F83" s="800">
        <v>77</v>
      </c>
      <c r="G83" s="1266">
        <v>24244</v>
      </c>
      <c r="H83" s="800">
        <v>20828</v>
      </c>
      <c r="I83" s="795">
        <v>1953</v>
      </c>
      <c r="J83" s="1282">
        <v>1462</v>
      </c>
      <c r="K83" s="1283">
        <v>3253</v>
      </c>
      <c r="L83" s="1279">
        <f>I83/TableA10!D82</f>
        <v>0.45845070422535211</v>
      </c>
    </row>
    <row r="84" spans="1:12" x14ac:dyDescent="0.2">
      <c r="A84" s="1267" t="s">
        <v>46</v>
      </c>
      <c r="B84" s="1268">
        <v>219703</v>
      </c>
      <c r="C84" s="794">
        <v>215684</v>
      </c>
      <c r="D84" s="795">
        <v>4130</v>
      </c>
      <c r="E84" s="795">
        <v>-3001</v>
      </c>
      <c r="F84" s="795">
        <v>2890</v>
      </c>
      <c r="G84" s="1268">
        <v>201795</v>
      </c>
      <c r="H84" s="795">
        <v>186886</v>
      </c>
      <c r="I84" s="795">
        <v>5505</v>
      </c>
      <c r="J84" s="1282">
        <v>9405</v>
      </c>
      <c r="K84" s="1283">
        <v>17908</v>
      </c>
      <c r="L84" s="1279">
        <f>I84/TableA10!D83</f>
        <v>0.24690527448869753</v>
      </c>
    </row>
    <row r="85" spans="1:12" x14ac:dyDescent="0.2">
      <c r="A85" s="1267" t="s">
        <v>308</v>
      </c>
      <c r="B85" s="1268">
        <v>73036</v>
      </c>
      <c r="C85" s="794">
        <v>71673</v>
      </c>
      <c r="D85" s="795">
        <v>396</v>
      </c>
      <c r="E85" s="795">
        <v>328</v>
      </c>
      <c r="F85" s="795">
        <v>639</v>
      </c>
      <c r="G85" s="1268">
        <v>68268</v>
      </c>
      <c r="H85" s="795">
        <v>63234</v>
      </c>
      <c r="I85" s="795">
        <v>1096</v>
      </c>
      <c r="J85" s="1282">
        <v>3938</v>
      </c>
      <c r="K85" s="1283">
        <v>4768</v>
      </c>
      <c r="L85" s="1279">
        <f>I85/TableA10!D84</f>
        <v>0.21318809570122543</v>
      </c>
    </row>
    <row r="86" spans="1:12" x14ac:dyDescent="0.2">
      <c r="A86" s="1267" t="s">
        <v>293</v>
      </c>
      <c r="B86" s="1268">
        <v>48439</v>
      </c>
      <c r="C86" s="794">
        <v>47568</v>
      </c>
      <c r="D86" s="795">
        <v>-39</v>
      </c>
      <c r="E86" s="795">
        <v>241</v>
      </c>
      <c r="F86" s="795">
        <v>670</v>
      </c>
      <c r="G86" s="1268">
        <v>45321</v>
      </c>
      <c r="H86" s="795">
        <v>42394</v>
      </c>
      <c r="I86" s="795">
        <v>-178</v>
      </c>
      <c r="J86" s="1282">
        <v>3105</v>
      </c>
      <c r="K86" s="1283">
        <v>3118</v>
      </c>
      <c r="L86" s="1279">
        <f>I86/TableA10!D85</f>
        <v>-6.1000685400959563E-2</v>
      </c>
    </row>
    <row r="87" spans="1:12" x14ac:dyDescent="0.2">
      <c r="A87" s="1267" t="s">
        <v>52</v>
      </c>
      <c r="B87" s="1268">
        <v>15078</v>
      </c>
      <c r="C87" s="794">
        <v>14769</v>
      </c>
      <c r="D87" s="795" t="s">
        <v>283</v>
      </c>
      <c r="E87" s="795" t="s">
        <v>283</v>
      </c>
      <c r="F87" s="795" t="s">
        <v>283</v>
      </c>
      <c r="G87" s="1268">
        <v>13837</v>
      </c>
      <c r="H87" s="795">
        <v>12928</v>
      </c>
      <c r="I87" s="795">
        <v>196</v>
      </c>
      <c r="J87" s="1282">
        <v>713</v>
      </c>
      <c r="K87" s="1283">
        <v>1241</v>
      </c>
      <c r="L87" s="1279">
        <f>I87/TableA10!D86</f>
        <v>0.15909090909090909</v>
      </c>
    </row>
    <row r="88" spans="1:12" x14ac:dyDescent="0.2">
      <c r="A88" s="1267" t="s">
        <v>294</v>
      </c>
      <c r="B88" s="1268">
        <v>22206</v>
      </c>
      <c r="C88" s="794">
        <v>21975</v>
      </c>
      <c r="D88" s="795">
        <v>51</v>
      </c>
      <c r="E88" s="795">
        <v>5</v>
      </c>
      <c r="F88" s="795">
        <v>175</v>
      </c>
      <c r="G88" s="1268">
        <v>21701</v>
      </c>
      <c r="H88" s="795">
        <v>19010</v>
      </c>
      <c r="I88" s="795">
        <v>371</v>
      </c>
      <c r="J88" s="1282">
        <v>2319</v>
      </c>
      <c r="K88" s="1283">
        <v>505</v>
      </c>
      <c r="L88" s="1279">
        <f>I88/TableA10!D87</f>
        <v>0.45243902439024392</v>
      </c>
    </row>
    <row r="89" spans="1:12" x14ac:dyDescent="0.2">
      <c r="A89" s="1267" t="s">
        <v>102</v>
      </c>
      <c r="B89" s="1268">
        <v>431201</v>
      </c>
      <c r="C89" s="794">
        <v>401090</v>
      </c>
      <c r="D89" s="795">
        <v>20744</v>
      </c>
      <c r="E89" s="795">
        <v>4938</v>
      </c>
      <c r="F89" s="795">
        <v>4429</v>
      </c>
      <c r="G89" s="1268">
        <v>377593</v>
      </c>
      <c r="H89" s="795">
        <v>354068</v>
      </c>
      <c r="I89" s="795">
        <v>1714</v>
      </c>
      <c r="J89" s="1282">
        <v>21812</v>
      </c>
      <c r="K89" s="1283">
        <v>53608</v>
      </c>
      <c r="L89" s="1279">
        <f>I89/TableA10!D88</f>
        <v>5.7823358747722826E-2</v>
      </c>
    </row>
    <row r="90" spans="1:12" x14ac:dyDescent="0.2">
      <c r="A90" s="1267" t="s">
        <v>295</v>
      </c>
      <c r="B90" s="1268">
        <v>37909</v>
      </c>
      <c r="C90" s="794">
        <v>37217</v>
      </c>
      <c r="D90" s="795">
        <v>321</v>
      </c>
      <c r="E90" s="795">
        <v>110</v>
      </c>
      <c r="F90" s="795">
        <v>260</v>
      </c>
      <c r="G90" s="1268">
        <v>35057</v>
      </c>
      <c r="H90" s="795">
        <v>32579</v>
      </c>
      <c r="I90" s="795">
        <v>484</v>
      </c>
      <c r="J90" s="1282">
        <v>1994</v>
      </c>
      <c r="K90" s="1283">
        <v>2852</v>
      </c>
      <c r="L90" s="1279">
        <f>I90/TableA10!D89</f>
        <v>0.16666666666666666</v>
      </c>
    </row>
    <row r="91" spans="1:12" x14ac:dyDescent="0.2">
      <c r="A91" s="1267" t="s">
        <v>296</v>
      </c>
      <c r="B91" s="1268">
        <v>56660</v>
      </c>
      <c r="C91" s="794">
        <v>55678</v>
      </c>
      <c r="D91" s="795">
        <v>140</v>
      </c>
      <c r="E91" s="795">
        <v>438</v>
      </c>
      <c r="F91" s="795">
        <v>404</v>
      </c>
      <c r="G91" s="1268">
        <v>51455</v>
      </c>
      <c r="H91" s="795">
        <v>48939</v>
      </c>
      <c r="I91" s="795">
        <v>763</v>
      </c>
      <c r="J91" s="1282">
        <v>1752</v>
      </c>
      <c r="K91" s="1283">
        <v>5206</v>
      </c>
      <c r="L91" s="1279">
        <f>I91/TableA10!D90</f>
        <v>0.1339066339066339</v>
      </c>
    </row>
    <row r="92" spans="1:12" x14ac:dyDescent="0.2">
      <c r="A92" s="1267" t="s">
        <v>272</v>
      </c>
      <c r="B92" s="1268">
        <v>30556</v>
      </c>
      <c r="C92" s="794">
        <v>30399</v>
      </c>
      <c r="D92" s="795" t="s">
        <v>283</v>
      </c>
      <c r="E92" s="795" t="s">
        <v>283</v>
      </c>
      <c r="F92" s="800" t="s">
        <v>283</v>
      </c>
      <c r="G92" s="1266">
        <v>26661</v>
      </c>
      <c r="H92" s="800">
        <v>24613</v>
      </c>
      <c r="I92" s="795">
        <v>507</v>
      </c>
      <c r="J92" s="1282">
        <v>1540</v>
      </c>
      <c r="K92" s="1283">
        <v>3895</v>
      </c>
      <c r="L92" s="1279">
        <f>I92/TableA10!D91</f>
        <v>9.8676527831841179E-2</v>
      </c>
    </row>
    <row r="93" spans="1:12" x14ac:dyDescent="0.2">
      <c r="A93" s="1265" t="s">
        <v>262</v>
      </c>
      <c r="B93" s="1266" t="s">
        <v>262</v>
      </c>
      <c r="C93" s="799" t="s">
        <v>262</v>
      </c>
      <c r="D93" s="800" t="s">
        <v>262</v>
      </c>
      <c r="E93" s="800" t="s">
        <v>262</v>
      </c>
      <c r="F93" s="800" t="s">
        <v>262</v>
      </c>
      <c r="G93" s="1266" t="s">
        <v>262</v>
      </c>
      <c r="H93" s="800" t="s">
        <v>262</v>
      </c>
      <c r="I93" s="800" t="s">
        <v>262</v>
      </c>
      <c r="J93" s="1280" t="s">
        <v>262</v>
      </c>
      <c r="K93" s="1281" t="s">
        <v>262</v>
      </c>
      <c r="L93" s="1279"/>
    </row>
    <row r="94" spans="1:12" x14ac:dyDescent="0.2">
      <c r="A94" s="1265" t="s">
        <v>297</v>
      </c>
      <c r="B94" s="1266" t="s">
        <v>262</v>
      </c>
      <c r="C94" s="799" t="s">
        <v>262</v>
      </c>
      <c r="D94" s="800" t="s">
        <v>262</v>
      </c>
      <c r="E94" s="800" t="s">
        <v>262</v>
      </c>
      <c r="F94" s="800" t="s">
        <v>262</v>
      </c>
      <c r="G94" s="1266" t="s">
        <v>262</v>
      </c>
      <c r="H94" s="800" t="s">
        <v>262</v>
      </c>
      <c r="I94" s="800" t="s">
        <v>262</v>
      </c>
      <c r="J94" s="1280" t="s">
        <v>262</v>
      </c>
      <c r="K94" s="1281" t="s">
        <v>262</v>
      </c>
      <c r="L94" s="1279"/>
    </row>
    <row r="95" spans="1:12" x14ac:dyDescent="0.2">
      <c r="A95" s="1267" t="s">
        <v>298</v>
      </c>
      <c r="B95" s="1268">
        <v>2948107</v>
      </c>
      <c r="C95" s="794">
        <v>2386308</v>
      </c>
      <c r="D95" s="795">
        <v>451075</v>
      </c>
      <c r="E95" s="795">
        <v>-29134</v>
      </c>
      <c r="F95" s="795">
        <v>139858</v>
      </c>
      <c r="G95" s="1268">
        <v>2362270</v>
      </c>
      <c r="H95" s="795">
        <v>2060533</v>
      </c>
      <c r="I95" s="795">
        <v>32595</v>
      </c>
      <c r="J95" s="1282">
        <v>269141</v>
      </c>
      <c r="K95" s="1283">
        <v>585837</v>
      </c>
      <c r="L95" s="1279">
        <f>I95/TableA10!D94</f>
        <v>0.16548373339831851</v>
      </c>
    </row>
    <row r="96" spans="1:12" ht="17" thickBot="1" x14ac:dyDescent="0.25">
      <c r="A96" s="1270" t="s">
        <v>299</v>
      </c>
      <c r="B96" s="1271">
        <v>97268</v>
      </c>
      <c r="C96" s="1272">
        <v>84915</v>
      </c>
      <c r="D96" s="1273">
        <v>14137</v>
      </c>
      <c r="E96" s="1273">
        <v>-2688</v>
      </c>
      <c r="F96" s="1273">
        <v>902</v>
      </c>
      <c r="G96" s="1271">
        <v>82533</v>
      </c>
      <c r="H96" s="1273">
        <v>71746</v>
      </c>
      <c r="I96" s="1273">
        <v>5854</v>
      </c>
      <c r="J96" s="1284">
        <v>4934</v>
      </c>
      <c r="K96" s="1285">
        <v>14734</v>
      </c>
      <c r="L96" s="1286">
        <f>I96/TableA10!D95</f>
        <v>0.5874560963371801</v>
      </c>
    </row>
    <row r="97" spans="1:12" ht="17" thickTop="1" x14ac:dyDescent="0.2">
      <c r="A97" s="1275"/>
      <c r="B97" s="1275"/>
      <c r="C97" s="1275"/>
      <c r="D97" s="1275"/>
      <c r="E97" s="1275"/>
      <c r="F97" s="1275"/>
      <c r="G97" s="1275"/>
      <c r="H97" s="1275"/>
      <c r="I97" s="1275"/>
      <c r="J97" s="1275"/>
      <c r="K97" s="1275"/>
      <c r="L97" s="1275"/>
    </row>
    <row r="99" spans="1:12" x14ac:dyDescent="0.2">
      <c r="A99" s="1275" t="s">
        <v>322</v>
      </c>
      <c r="B99" s="1287">
        <f t="shared" ref="B99:G99" si="0">B26+B27+B24+B35+B59+B89</f>
        <v>2171040</v>
      </c>
      <c r="C99" s="1287">
        <f t="shared" si="0"/>
        <v>1571317</v>
      </c>
      <c r="D99" s="1287">
        <f t="shared" si="0"/>
        <v>499559</v>
      </c>
      <c r="E99" s="1287">
        <f t="shared" si="0"/>
        <v>-14065</v>
      </c>
      <c r="F99" s="1287">
        <f t="shared" si="0"/>
        <v>114228</v>
      </c>
      <c r="G99" s="1287">
        <f t="shared" si="0"/>
        <v>1487580</v>
      </c>
      <c r="H99" s="1287">
        <f>H26+H27+H24+H35+H59+H89</f>
        <v>1265417</v>
      </c>
      <c r="I99" s="1287">
        <f>I26+I27+I24+I35+I59+I89</f>
        <v>14897</v>
      </c>
      <c r="J99" s="1287">
        <f>J26+J27+J24+J35+J59+J89</f>
        <v>207264</v>
      </c>
      <c r="K99" s="1287">
        <f>K26+K27+K24+K35+K59+K89</f>
        <v>683460</v>
      </c>
      <c r="L99" s="1288">
        <f>I99/(K99+I99-D99-E99)</f>
        <v>6.9983980306582164E-2</v>
      </c>
    </row>
    <row r="100" spans="1:12" x14ac:dyDescent="0.2">
      <c r="A100" s="1275" t="s">
        <v>323</v>
      </c>
      <c r="B100" s="1287">
        <f>B13-B26-B27-B24-B35-B29</f>
        <v>1975103</v>
      </c>
      <c r="C100" s="1287">
        <f t="shared" ref="C100:K100" si="1">C13-C26-C27-C24-C35-C29</f>
        <v>1788414</v>
      </c>
      <c r="D100" s="1287">
        <f t="shared" si="1"/>
        <v>138768</v>
      </c>
      <c r="E100" s="1287">
        <f t="shared" si="1"/>
        <v>-7236</v>
      </c>
      <c r="F100" s="1287">
        <f t="shared" si="1"/>
        <v>55158</v>
      </c>
      <c r="G100" s="1287">
        <f t="shared" si="1"/>
        <v>1780591</v>
      </c>
      <c r="H100" s="1287">
        <f t="shared" si="1"/>
        <v>1605982</v>
      </c>
      <c r="I100" s="1287">
        <f t="shared" si="1"/>
        <v>27140</v>
      </c>
      <c r="J100" s="1287">
        <f t="shared" si="1"/>
        <v>147473</v>
      </c>
      <c r="K100" s="1287">
        <f t="shared" si="1"/>
        <v>194511</v>
      </c>
      <c r="L100" s="1288">
        <f>I100/(K100+I100-D100-E100)</f>
        <v>0.30115735860362408</v>
      </c>
    </row>
    <row r="101" spans="1:12" x14ac:dyDescent="0.2">
      <c r="A101" s="1275" t="s">
        <v>324</v>
      </c>
      <c r="B101" s="1287">
        <f t="shared" ref="B101:H101" si="2">B82+B80+B83+B85+B42</f>
        <v>874564</v>
      </c>
      <c r="C101" s="1287">
        <f t="shared" si="2"/>
        <v>853203</v>
      </c>
      <c r="D101" s="1287">
        <f t="shared" si="2"/>
        <v>14660</v>
      </c>
      <c r="E101" s="1287">
        <f t="shared" si="2"/>
        <v>-4893</v>
      </c>
      <c r="F101" s="1287">
        <f t="shared" si="2"/>
        <v>11592</v>
      </c>
      <c r="G101" s="1287">
        <f t="shared" si="2"/>
        <v>830990</v>
      </c>
      <c r="H101" s="1287">
        <f t="shared" si="2"/>
        <v>768218</v>
      </c>
      <c r="I101" s="1287">
        <f>I82+I80+I83+I85+I42</f>
        <v>16835</v>
      </c>
      <c r="J101" s="1287">
        <f>J82+J80+J83+J85+J42</f>
        <v>45936</v>
      </c>
      <c r="K101" s="1287">
        <f>K82+K80+K83+K85+K42</f>
        <v>43573</v>
      </c>
      <c r="L101" s="1288">
        <f>I101/(K101+I101-D101-E101)</f>
        <v>0.3324381430066547</v>
      </c>
    </row>
  </sheetData>
  <mergeCells count="6">
    <mergeCell ref="K7:K8"/>
    <mergeCell ref="B6:K6"/>
    <mergeCell ref="A3:L3"/>
    <mergeCell ref="B7:F7"/>
    <mergeCell ref="G7:J7"/>
    <mergeCell ref="L6:L8"/>
  </mergeCells>
  <pageMargins left="0.7" right="0.7" top="0.75" bottom="0.75" header="0.3" footer="0.3"/>
  <pageSetup scale="46" orientation="portrait" horizontalDpi="300" verticalDpi="300"/>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L101"/>
  <sheetViews>
    <sheetView workbookViewId="0">
      <pane xSplit="1" ySplit="8" topLeftCell="B69" activePane="bottomRight" state="frozen"/>
      <selection pane="topRight" activeCell="B1" sqref="B1"/>
      <selection pane="bottomLeft" activeCell="A8" sqref="A8"/>
      <selection pane="bottomRight" activeCell="A3" sqref="A3:L3"/>
    </sheetView>
  </sheetViews>
  <sheetFormatPr baseColWidth="10" defaultColWidth="7.6640625" defaultRowHeight="16" x14ac:dyDescent="0.2"/>
  <cols>
    <col min="1" max="1" width="29.33203125" style="80" customWidth="1"/>
    <col min="2" max="11" width="12.1640625" style="80" customWidth="1"/>
    <col min="12" max="12" width="11" style="80" customWidth="1"/>
    <col min="13" max="248" width="7.6640625" style="80"/>
    <col min="249" max="249" width="38.83203125" style="80" customWidth="1"/>
    <col min="250" max="259" width="12.1640625" style="80" customWidth="1"/>
    <col min="260" max="504" width="7.6640625" style="80"/>
    <col min="505" max="505" width="38.83203125" style="80" customWidth="1"/>
    <col min="506" max="515" width="12.1640625" style="80" customWidth="1"/>
    <col min="516" max="760" width="7.6640625" style="80"/>
    <col min="761" max="761" width="38.83203125" style="80" customWidth="1"/>
    <col min="762" max="771" width="12.1640625" style="80" customWidth="1"/>
    <col min="772" max="1016" width="7.6640625" style="80"/>
    <col min="1017" max="1017" width="38.83203125" style="80" customWidth="1"/>
    <col min="1018" max="1027" width="12.1640625" style="80" customWidth="1"/>
    <col min="1028" max="1272" width="7.6640625" style="80"/>
    <col min="1273" max="1273" width="38.83203125" style="80" customWidth="1"/>
    <col min="1274" max="1283" width="12.1640625" style="80" customWidth="1"/>
    <col min="1284" max="1528" width="7.6640625" style="80"/>
    <col min="1529" max="1529" width="38.83203125" style="80" customWidth="1"/>
    <col min="1530" max="1539" width="12.1640625" style="80" customWidth="1"/>
    <col min="1540" max="1784" width="7.6640625" style="80"/>
    <col min="1785" max="1785" width="38.83203125" style="80" customWidth="1"/>
    <col min="1786" max="1795" width="12.1640625" style="80" customWidth="1"/>
    <col min="1796" max="2040" width="7.6640625" style="80"/>
    <col min="2041" max="2041" width="38.83203125" style="80" customWidth="1"/>
    <col min="2042" max="2051" width="12.1640625" style="80" customWidth="1"/>
    <col min="2052" max="2296" width="7.6640625" style="80"/>
    <col min="2297" max="2297" width="38.83203125" style="80" customWidth="1"/>
    <col min="2298" max="2307" width="12.1640625" style="80" customWidth="1"/>
    <col min="2308" max="2552" width="7.6640625" style="80"/>
    <col min="2553" max="2553" width="38.83203125" style="80" customWidth="1"/>
    <col min="2554" max="2563" width="12.1640625" style="80" customWidth="1"/>
    <col min="2564" max="2808" width="7.6640625" style="80"/>
    <col min="2809" max="2809" width="38.83203125" style="80" customWidth="1"/>
    <col min="2810" max="2819" width="12.1640625" style="80" customWidth="1"/>
    <col min="2820" max="3064" width="7.6640625" style="80"/>
    <col min="3065" max="3065" width="38.83203125" style="80" customWidth="1"/>
    <col min="3066" max="3075" width="12.1640625" style="80" customWidth="1"/>
    <col min="3076" max="3320" width="7.6640625" style="80"/>
    <col min="3321" max="3321" width="38.83203125" style="80" customWidth="1"/>
    <col min="3322" max="3331" width="12.1640625" style="80" customWidth="1"/>
    <col min="3332" max="3576" width="7.6640625" style="80"/>
    <col min="3577" max="3577" width="38.83203125" style="80" customWidth="1"/>
    <col min="3578" max="3587" width="12.1640625" style="80" customWidth="1"/>
    <col min="3588" max="3832" width="7.6640625" style="80"/>
    <col min="3833" max="3833" width="38.83203125" style="80" customWidth="1"/>
    <col min="3834" max="3843" width="12.1640625" style="80" customWidth="1"/>
    <col min="3844" max="4088" width="7.6640625" style="80"/>
    <col min="4089" max="4089" width="38.83203125" style="80" customWidth="1"/>
    <col min="4090" max="4099" width="12.1640625" style="80" customWidth="1"/>
    <col min="4100" max="4344" width="7.6640625" style="80"/>
    <col min="4345" max="4345" width="38.83203125" style="80" customWidth="1"/>
    <col min="4346" max="4355" width="12.1640625" style="80" customWidth="1"/>
    <col min="4356" max="4600" width="7.6640625" style="80"/>
    <col min="4601" max="4601" width="38.83203125" style="80" customWidth="1"/>
    <col min="4602" max="4611" width="12.1640625" style="80" customWidth="1"/>
    <col min="4612" max="4856" width="7.6640625" style="80"/>
    <col min="4857" max="4857" width="38.83203125" style="80" customWidth="1"/>
    <col min="4858" max="4867" width="12.1640625" style="80" customWidth="1"/>
    <col min="4868" max="5112" width="7.6640625" style="80"/>
    <col min="5113" max="5113" width="38.83203125" style="80" customWidth="1"/>
    <col min="5114" max="5123" width="12.1640625" style="80" customWidth="1"/>
    <col min="5124" max="5368" width="7.6640625" style="80"/>
    <col min="5369" max="5369" width="38.83203125" style="80" customWidth="1"/>
    <col min="5370" max="5379" width="12.1640625" style="80" customWidth="1"/>
    <col min="5380" max="5624" width="7.6640625" style="80"/>
    <col min="5625" max="5625" width="38.83203125" style="80" customWidth="1"/>
    <col min="5626" max="5635" width="12.1640625" style="80" customWidth="1"/>
    <col min="5636" max="5880" width="7.6640625" style="80"/>
    <col min="5881" max="5881" width="38.83203125" style="80" customWidth="1"/>
    <col min="5882" max="5891" width="12.1640625" style="80" customWidth="1"/>
    <col min="5892" max="6136" width="7.6640625" style="80"/>
    <col min="6137" max="6137" width="38.83203125" style="80" customWidth="1"/>
    <col min="6138" max="6147" width="12.1640625" style="80" customWidth="1"/>
    <col min="6148" max="6392" width="7.6640625" style="80"/>
    <col min="6393" max="6393" width="38.83203125" style="80" customWidth="1"/>
    <col min="6394" max="6403" width="12.1640625" style="80" customWidth="1"/>
    <col min="6404" max="6648" width="7.6640625" style="80"/>
    <col min="6649" max="6649" width="38.83203125" style="80" customWidth="1"/>
    <col min="6650" max="6659" width="12.1640625" style="80" customWidth="1"/>
    <col min="6660" max="6904" width="7.6640625" style="80"/>
    <col min="6905" max="6905" width="38.83203125" style="80" customWidth="1"/>
    <col min="6906" max="6915" width="12.1640625" style="80" customWidth="1"/>
    <col min="6916" max="7160" width="7.6640625" style="80"/>
    <col min="7161" max="7161" width="38.83203125" style="80" customWidth="1"/>
    <col min="7162" max="7171" width="12.1640625" style="80" customWidth="1"/>
    <col min="7172" max="7416" width="7.6640625" style="80"/>
    <col min="7417" max="7417" width="38.83203125" style="80" customWidth="1"/>
    <col min="7418" max="7427" width="12.1640625" style="80" customWidth="1"/>
    <col min="7428" max="7672" width="7.6640625" style="80"/>
    <col min="7673" max="7673" width="38.83203125" style="80" customWidth="1"/>
    <col min="7674" max="7683" width="12.1640625" style="80" customWidth="1"/>
    <col min="7684" max="7928" width="7.6640625" style="80"/>
    <col min="7929" max="7929" width="38.83203125" style="80" customWidth="1"/>
    <col min="7930" max="7939" width="12.1640625" style="80" customWidth="1"/>
    <col min="7940" max="8184" width="7.6640625" style="80"/>
    <col min="8185" max="8185" width="38.83203125" style="80" customWidth="1"/>
    <col min="8186" max="8195" width="12.1640625" style="80" customWidth="1"/>
    <col min="8196" max="8440" width="7.6640625" style="80"/>
    <col min="8441" max="8441" width="38.83203125" style="80" customWidth="1"/>
    <col min="8442" max="8451" width="12.1640625" style="80" customWidth="1"/>
    <col min="8452" max="8696" width="7.6640625" style="80"/>
    <col min="8697" max="8697" width="38.83203125" style="80" customWidth="1"/>
    <col min="8698" max="8707" width="12.1640625" style="80" customWidth="1"/>
    <col min="8708" max="8952" width="7.6640625" style="80"/>
    <col min="8953" max="8953" width="38.83203125" style="80" customWidth="1"/>
    <col min="8954" max="8963" width="12.1640625" style="80" customWidth="1"/>
    <col min="8964" max="9208" width="7.6640625" style="80"/>
    <col min="9209" max="9209" width="38.83203125" style="80" customWidth="1"/>
    <col min="9210" max="9219" width="12.1640625" style="80" customWidth="1"/>
    <col min="9220" max="9464" width="7.6640625" style="80"/>
    <col min="9465" max="9465" width="38.83203125" style="80" customWidth="1"/>
    <col min="9466" max="9475" width="12.1640625" style="80" customWidth="1"/>
    <col min="9476" max="9720" width="7.6640625" style="80"/>
    <col min="9721" max="9721" width="38.83203125" style="80" customWidth="1"/>
    <col min="9722" max="9731" width="12.1640625" style="80" customWidth="1"/>
    <col min="9732" max="9976" width="7.6640625" style="80"/>
    <col min="9977" max="9977" width="38.83203125" style="80" customWidth="1"/>
    <col min="9978" max="9987" width="12.1640625" style="80" customWidth="1"/>
    <col min="9988" max="10232" width="7.6640625" style="80"/>
    <col min="10233" max="10233" width="38.83203125" style="80" customWidth="1"/>
    <col min="10234" max="10243" width="12.1640625" style="80" customWidth="1"/>
    <col min="10244" max="10488" width="7.6640625" style="80"/>
    <col min="10489" max="10489" width="38.83203125" style="80" customWidth="1"/>
    <col min="10490" max="10499" width="12.1640625" style="80" customWidth="1"/>
    <col min="10500" max="10744" width="7.6640625" style="80"/>
    <col min="10745" max="10745" width="38.83203125" style="80" customWidth="1"/>
    <col min="10746" max="10755" width="12.1640625" style="80" customWidth="1"/>
    <col min="10756" max="11000" width="7.6640625" style="80"/>
    <col min="11001" max="11001" width="38.83203125" style="80" customWidth="1"/>
    <col min="11002" max="11011" width="12.1640625" style="80" customWidth="1"/>
    <col min="11012" max="11256" width="7.6640625" style="80"/>
    <col min="11257" max="11257" width="38.83203125" style="80" customWidth="1"/>
    <col min="11258" max="11267" width="12.1640625" style="80" customWidth="1"/>
    <col min="11268" max="11512" width="7.6640625" style="80"/>
    <col min="11513" max="11513" width="38.83203125" style="80" customWidth="1"/>
    <col min="11514" max="11523" width="12.1640625" style="80" customWidth="1"/>
    <col min="11524" max="11768" width="7.6640625" style="80"/>
    <col min="11769" max="11769" width="38.83203125" style="80" customWidth="1"/>
    <col min="11770" max="11779" width="12.1640625" style="80" customWidth="1"/>
    <col min="11780" max="12024" width="7.6640625" style="80"/>
    <col min="12025" max="12025" width="38.83203125" style="80" customWidth="1"/>
    <col min="12026" max="12035" width="12.1640625" style="80" customWidth="1"/>
    <col min="12036" max="12280" width="7.6640625" style="80"/>
    <col min="12281" max="12281" width="38.83203125" style="80" customWidth="1"/>
    <col min="12282" max="12291" width="12.1640625" style="80" customWidth="1"/>
    <col min="12292" max="12536" width="7.6640625" style="80"/>
    <col min="12537" max="12537" width="38.83203125" style="80" customWidth="1"/>
    <col min="12538" max="12547" width="12.1640625" style="80" customWidth="1"/>
    <col min="12548" max="12792" width="7.6640625" style="80"/>
    <col min="12793" max="12793" width="38.83203125" style="80" customWidth="1"/>
    <col min="12794" max="12803" width="12.1640625" style="80" customWidth="1"/>
    <col min="12804" max="13048" width="7.6640625" style="80"/>
    <col min="13049" max="13049" width="38.83203125" style="80" customWidth="1"/>
    <col min="13050" max="13059" width="12.1640625" style="80" customWidth="1"/>
    <col min="13060" max="13304" width="7.6640625" style="80"/>
    <col min="13305" max="13305" width="38.83203125" style="80" customWidth="1"/>
    <col min="13306" max="13315" width="12.1640625" style="80" customWidth="1"/>
    <col min="13316" max="13560" width="7.6640625" style="80"/>
    <col min="13561" max="13561" width="38.83203125" style="80" customWidth="1"/>
    <col min="13562" max="13571" width="12.1640625" style="80" customWidth="1"/>
    <col min="13572" max="13816" width="7.6640625" style="80"/>
    <col min="13817" max="13817" width="38.83203125" style="80" customWidth="1"/>
    <col min="13818" max="13827" width="12.1640625" style="80" customWidth="1"/>
    <col min="13828" max="14072" width="7.6640625" style="80"/>
    <col min="14073" max="14073" width="38.83203125" style="80" customWidth="1"/>
    <col min="14074" max="14083" width="12.1640625" style="80" customWidth="1"/>
    <col min="14084" max="14328" width="7.6640625" style="80"/>
    <col min="14329" max="14329" width="38.83203125" style="80" customWidth="1"/>
    <col min="14330" max="14339" width="12.1640625" style="80" customWidth="1"/>
    <col min="14340" max="14584" width="7.6640625" style="80"/>
    <col min="14585" max="14585" width="38.83203125" style="80" customWidth="1"/>
    <col min="14586" max="14595" width="12.1640625" style="80" customWidth="1"/>
    <col min="14596" max="14840" width="7.6640625" style="80"/>
    <col min="14841" max="14841" width="38.83203125" style="80" customWidth="1"/>
    <col min="14842" max="14851" width="12.1640625" style="80" customWidth="1"/>
    <col min="14852" max="15096" width="7.6640625" style="80"/>
    <col min="15097" max="15097" width="38.83203125" style="80" customWidth="1"/>
    <col min="15098" max="15107" width="12.1640625" style="80" customWidth="1"/>
    <col min="15108" max="15352" width="7.6640625" style="80"/>
    <col min="15353" max="15353" width="38.83203125" style="80" customWidth="1"/>
    <col min="15354" max="15363" width="12.1640625" style="80" customWidth="1"/>
    <col min="15364" max="15608" width="7.6640625" style="80"/>
    <col min="15609" max="15609" width="38.83203125" style="80" customWidth="1"/>
    <col min="15610" max="15619" width="12.1640625" style="80" customWidth="1"/>
    <col min="15620" max="15864" width="7.6640625" style="80"/>
    <col min="15865" max="15865" width="38.83203125" style="80" customWidth="1"/>
    <col min="15866" max="15875" width="12.1640625" style="80" customWidth="1"/>
    <col min="15876" max="16120" width="7.6640625" style="80"/>
    <col min="16121" max="16121" width="38.83203125" style="80" customWidth="1"/>
    <col min="16122" max="16131" width="12.1640625" style="80" customWidth="1"/>
    <col min="16132" max="16384" width="7.6640625" style="80"/>
  </cols>
  <sheetData>
    <row r="2" spans="1:12" ht="17" thickBot="1" x14ac:dyDescent="0.25">
      <c r="A2" s="1275"/>
      <c r="B2" s="1275"/>
      <c r="C2" s="1275"/>
      <c r="D2" s="1275"/>
      <c r="E2" s="1275"/>
      <c r="F2" s="1275"/>
      <c r="G2" s="1275"/>
      <c r="H2" s="1275"/>
      <c r="I2" s="1275"/>
      <c r="J2" s="1275"/>
      <c r="K2" s="1275"/>
      <c r="L2" s="1275"/>
    </row>
    <row r="3" spans="1:12" ht="33" customHeight="1" thickTop="1" x14ac:dyDescent="0.2">
      <c r="A3" s="2119" t="s">
        <v>325</v>
      </c>
      <c r="B3" s="2133"/>
      <c r="C3" s="2133"/>
      <c r="D3" s="2133"/>
      <c r="E3" s="2133"/>
      <c r="F3" s="2133"/>
      <c r="G3" s="2133"/>
      <c r="H3" s="2133"/>
      <c r="I3" s="2133"/>
      <c r="J3" s="2133"/>
      <c r="K3" s="2133"/>
      <c r="L3" s="2134"/>
    </row>
    <row r="4" spans="1:12" x14ac:dyDescent="0.2">
      <c r="A4" s="81"/>
      <c r="B4" s="82"/>
      <c r="C4" s="82"/>
      <c r="D4" s="82"/>
      <c r="E4" s="82"/>
      <c r="F4" s="82"/>
      <c r="G4" s="82"/>
      <c r="H4" s="82"/>
      <c r="I4" s="82"/>
      <c r="J4" s="82"/>
      <c r="K4" s="82"/>
      <c r="L4" s="1276"/>
    </row>
    <row r="5" spans="1:12" ht="17" x14ac:dyDescent="0.2">
      <c r="A5" s="1277" t="s">
        <v>262</v>
      </c>
      <c r="B5" s="3" t="s">
        <v>1</v>
      </c>
      <c r="C5" s="3" t="s">
        <v>2</v>
      </c>
      <c r="D5" s="3" t="s">
        <v>3</v>
      </c>
      <c r="E5" s="3" t="s">
        <v>4</v>
      </c>
      <c r="F5" s="3" t="s">
        <v>5</v>
      </c>
      <c r="G5" s="3" t="s">
        <v>6</v>
      </c>
      <c r="H5" s="3" t="s">
        <v>7</v>
      </c>
      <c r="I5" s="3" t="s">
        <v>8</v>
      </c>
      <c r="J5" s="3" t="s">
        <v>9</v>
      </c>
      <c r="K5" s="3" t="s">
        <v>10</v>
      </c>
      <c r="L5" s="1788" t="s">
        <v>11</v>
      </c>
    </row>
    <row r="6" spans="1:12" x14ac:dyDescent="0.2">
      <c r="A6" s="81"/>
      <c r="B6" s="2130" t="s">
        <v>263</v>
      </c>
      <c r="C6" s="2131"/>
      <c r="D6" s="2131"/>
      <c r="E6" s="2131"/>
      <c r="F6" s="2131"/>
      <c r="G6" s="2131"/>
      <c r="H6" s="2131"/>
      <c r="I6" s="2131"/>
      <c r="J6" s="2131"/>
      <c r="K6" s="2132"/>
      <c r="L6" s="2141" t="s">
        <v>311</v>
      </c>
    </row>
    <row r="7" spans="1:12" ht="23.25" customHeight="1" x14ac:dyDescent="0.2">
      <c r="A7" s="1278" t="s">
        <v>262</v>
      </c>
      <c r="B7" s="2135" t="s">
        <v>312</v>
      </c>
      <c r="C7" s="2136"/>
      <c r="D7" s="2136"/>
      <c r="E7" s="2136"/>
      <c r="F7" s="2137"/>
      <c r="G7" s="2135" t="s">
        <v>313</v>
      </c>
      <c r="H7" s="2136"/>
      <c r="I7" s="2136"/>
      <c r="J7" s="2137"/>
      <c r="K7" s="2128" t="s">
        <v>314</v>
      </c>
      <c r="L7" s="2142"/>
    </row>
    <row r="8" spans="1:12" ht="107.25" customHeight="1" x14ac:dyDescent="0.2">
      <c r="A8" s="1789" t="s">
        <v>262</v>
      </c>
      <c r="B8" s="1261" t="s">
        <v>231</v>
      </c>
      <c r="C8" s="1262" t="s">
        <v>315</v>
      </c>
      <c r="D8" s="1263" t="s">
        <v>316</v>
      </c>
      <c r="E8" s="1263" t="s">
        <v>317</v>
      </c>
      <c r="F8" s="1263" t="s">
        <v>272</v>
      </c>
      <c r="G8" s="1261" t="s">
        <v>231</v>
      </c>
      <c r="H8" s="416" t="s">
        <v>318</v>
      </c>
      <c r="I8" s="1263" t="s">
        <v>319</v>
      </c>
      <c r="J8" s="1289" t="s">
        <v>272</v>
      </c>
      <c r="K8" s="2129"/>
      <c r="L8" s="2143"/>
    </row>
    <row r="9" spans="1:12" x14ac:dyDescent="0.2">
      <c r="A9" s="1264" t="s">
        <v>269</v>
      </c>
      <c r="B9" s="72">
        <v>7454513</v>
      </c>
      <c r="C9" s="73">
        <v>6504909</v>
      </c>
      <c r="D9" s="74">
        <v>746914</v>
      </c>
      <c r="E9" s="74">
        <v>10251</v>
      </c>
      <c r="F9" s="74">
        <v>192439</v>
      </c>
      <c r="G9" s="72">
        <v>6288291</v>
      </c>
      <c r="H9" s="83">
        <v>5743289</v>
      </c>
      <c r="I9" s="74">
        <v>133164</v>
      </c>
      <c r="J9" s="75">
        <v>411837</v>
      </c>
      <c r="K9" s="76">
        <v>1166223</v>
      </c>
      <c r="L9" s="1279">
        <f>I9/TableA10b!D8</f>
        <v>0.24027021467776682</v>
      </c>
    </row>
    <row r="10" spans="1:12" x14ac:dyDescent="0.2">
      <c r="A10" s="1265" t="s">
        <v>262</v>
      </c>
      <c r="B10" s="1266" t="s">
        <v>262</v>
      </c>
      <c r="C10" s="799" t="s">
        <v>262</v>
      </c>
      <c r="D10" s="800"/>
      <c r="E10" s="800" t="s">
        <v>262</v>
      </c>
      <c r="F10" s="800" t="s">
        <v>262</v>
      </c>
      <c r="G10" s="1266" t="s">
        <v>262</v>
      </c>
      <c r="H10" s="800" t="s">
        <v>262</v>
      </c>
      <c r="I10" s="800" t="s">
        <v>262</v>
      </c>
      <c r="J10" s="1280" t="s">
        <v>262</v>
      </c>
      <c r="K10" s="1281" t="s">
        <v>262</v>
      </c>
      <c r="L10" s="1279"/>
    </row>
    <row r="11" spans="1:12" x14ac:dyDescent="0.2">
      <c r="A11" s="1265" t="s">
        <v>270</v>
      </c>
      <c r="B11" s="72">
        <v>726159</v>
      </c>
      <c r="C11" s="73">
        <v>677696</v>
      </c>
      <c r="D11" s="74">
        <v>49262</v>
      </c>
      <c r="E11" s="74">
        <v>-12788</v>
      </c>
      <c r="F11" s="74">
        <v>11990</v>
      </c>
      <c r="G11" s="72">
        <v>655124</v>
      </c>
      <c r="H11" s="74">
        <v>616384</v>
      </c>
      <c r="I11" s="74">
        <v>9178</v>
      </c>
      <c r="J11" s="75">
        <v>29562</v>
      </c>
      <c r="K11" s="76">
        <v>71035</v>
      </c>
      <c r="L11" s="1279">
        <f>I11/TableA10b!D10</f>
        <v>0.19777614963582296</v>
      </c>
    </row>
    <row r="12" spans="1:12" x14ac:dyDescent="0.2">
      <c r="A12" s="1265" t="s">
        <v>262</v>
      </c>
      <c r="B12" s="1266" t="s">
        <v>262</v>
      </c>
      <c r="C12" s="799" t="s">
        <v>262</v>
      </c>
      <c r="D12" s="800"/>
      <c r="E12" s="800" t="s">
        <v>262</v>
      </c>
      <c r="F12" s="800" t="s">
        <v>262</v>
      </c>
      <c r="G12" s="1266" t="s">
        <v>262</v>
      </c>
      <c r="H12" s="800" t="s">
        <v>262</v>
      </c>
      <c r="I12" s="800" t="s">
        <v>262</v>
      </c>
      <c r="J12" s="1280" t="s">
        <v>262</v>
      </c>
      <c r="K12" s="1281" t="s">
        <v>262</v>
      </c>
      <c r="L12" s="1279"/>
    </row>
    <row r="13" spans="1:12" x14ac:dyDescent="0.2">
      <c r="A13" s="1265" t="s">
        <v>271</v>
      </c>
      <c r="B13" s="72">
        <v>3632353</v>
      </c>
      <c r="C13" s="73">
        <v>3036358</v>
      </c>
      <c r="D13" s="74">
        <v>453184</v>
      </c>
      <c r="E13" s="74">
        <v>13287</v>
      </c>
      <c r="F13" s="74">
        <v>129523</v>
      </c>
      <c r="G13" s="72">
        <v>2982696</v>
      </c>
      <c r="H13" s="74">
        <v>2677372</v>
      </c>
      <c r="I13" s="74">
        <v>52277</v>
      </c>
      <c r="J13" s="75">
        <v>253047</v>
      </c>
      <c r="K13" s="76">
        <v>649657</v>
      </c>
      <c r="L13" s="1279">
        <f>I13/TableA10b!D12</f>
        <v>0.21970480201057402</v>
      </c>
    </row>
    <row r="14" spans="1:12" x14ac:dyDescent="0.2">
      <c r="A14" s="1267" t="s">
        <v>30</v>
      </c>
      <c r="B14" s="1268">
        <v>27244</v>
      </c>
      <c r="C14" s="794">
        <v>22467</v>
      </c>
      <c r="D14" s="795">
        <v>3399</v>
      </c>
      <c r="E14" s="795">
        <v>8</v>
      </c>
      <c r="F14" s="795">
        <v>1369</v>
      </c>
      <c r="G14" s="1268">
        <v>23046</v>
      </c>
      <c r="H14" s="795">
        <v>21580</v>
      </c>
      <c r="I14" s="795" t="s">
        <v>283</v>
      </c>
      <c r="J14" s="1282" t="s">
        <v>283</v>
      </c>
      <c r="K14" s="1283">
        <v>4198</v>
      </c>
      <c r="L14" s="1279"/>
    </row>
    <row r="15" spans="1:12" x14ac:dyDescent="0.2">
      <c r="A15" s="1267" t="s">
        <v>31</v>
      </c>
      <c r="B15" s="1268">
        <v>151437</v>
      </c>
      <c r="C15" s="794">
        <v>141254</v>
      </c>
      <c r="D15" s="795"/>
      <c r="E15" s="795">
        <v>251</v>
      </c>
      <c r="F15" s="795">
        <v>2334</v>
      </c>
      <c r="G15" s="1268">
        <v>138404</v>
      </c>
      <c r="H15" s="795">
        <v>130637</v>
      </c>
      <c r="I15" s="795">
        <v>1590</v>
      </c>
      <c r="J15" s="1282">
        <v>6177</v>
      </c>
      <c r="K15" s="1283">
        <v>13032</v>
      </c>
      <c r="L15" s="1279">
        <f>I15/TableA10b!D14</f>
        <v>0.23472099202834368</v>
      </c>
    </row>
    <row r="16" spans="1:12" x14ac:dyDescent="0.2">
      <c r="A16" s="1267" t="s">
        <v>34</v>
      </c>
      <c r="B16" s="1268">
        <v>19397</v>
      </c>
      <c r="C16" s="794">
        <v>19003</v>
      </c>
      <c r="D16" s="795">
        <v>92</v>
      </c>
      <c r="E16" s="795">
        <v>56</v>
      </c>
      <c r="F16" s="795">
        <v>246</v>
      </c>
      <c r="G16" s="1268">
        <v>18089</v>
      </c>
      <c r="H16" s="795">
        <v>16683</v>
      </c>
      <c r="I16" s="795">
        <v>264</v>
      </c>
      <c r="J16" s="1282">
        <v>1142</v>
      </c>
      <c r="K16" s="1283">
        <v>1308</v>
      </c>
      <c r="L16" s="1279">
        <f>I16/TableA10b!D15</f>
        <v>0.1853932584269663</v>
      </c>
    </row>
    <row r="17" spans="1:12" x14ac:dyDescent="0.2">
      <c r="A17" s="1267" t="s">
        <v>35</v>
      </c>
      <c r="B17" s="1268">
        <v>26206</v>
      </c>
      <c r="C17" s="794">
        <v>23123</v>
      </c>
      <c r="D17" s="795">
        <v>1475</v>
      </c>
      <c r="E17" s="795">
        <v>1204</v>
      </c>
      <c r="F17" s="795">
        <v>405</v>
      </c>
      <c r="G17" s="1268">
        <v>23430</v>
      </c>
      <c r="H17" s="795">
        <v>19661</v>
      </c>
      <c r="I17" s="795">
        <v>2219</v>
      </c>
      <c r="J17" s="1282">
        <v>1550</v>
      </c>
      <c r="K17" s="1283">
        <v>2777</v>
      </c>
      <c r="L17" s="1279">
        <f>I17/TableA10b!D16</f>
        <v>0.95770392749244715</v>
      </c>
    </row>
    <row r="18" spans="1:12" x14ac:dyDescent="0.2">
      <c r="A18" s="1267" t="s">
        <v>37</v>
      </c>
      <c r="B18" s="1268">
        <v>11432</v>
      </c>
      <c r="C18" s="794">
        <v>11140</v>
      </c>
      <c r="D18" s="795"/>
      <c r="E18" s="795">
        <v>-16</v>
      </c>
      <c r="F18" s="795">
        <v>98</v>
      </c>
      <c r="G18" s="1268">
        <v>11556</v>
      </c>
      <c r="H18" s="795">
        <v>10631</v>
      </c>
      <c r="I18" s="795">
        <v>105</v>
      </c>
      <c r="J18" s="1282">
        <v>820</v>
      </c>
      <c r="K18" s="1283">
        <v>-124</v>
      </c>
      <c r="L18" s="1279">
        <f>I18/TableA10b!D17</f>
        <v>-0.49295774647887325</v>
      </c>
    </row>
    <row r="19" spans="1:12" x14ac:dyDescent="0.2">
      <c r="A19" s="1267" t="s">
        <v>38</v>
      </c>
      <c r="B19" s="1268">
        <v>228594</v>
      </c>
      <c r="C19" s="794">
        <v>218946</v>
      </c>
      <c r="D19" s="795">
        <v>5273</v>
      </c>
      <c r="E19" s="795">
        <v>-948</v>
      </c>
      <c r="F19" s="795">
        <v>5322</v>
      </c>
      <c r="G19" s="1268">
        <v>220706</v>
      </c>
      <c r="H19" s="795">
        <v>205604</v>
      </c>
      <c r="I19" s="795">
        <v>3877</v>
      </c>
      <c r="J19" s="1282">
        <v>11226</v>
      </c>
      <c r="K19" s="1283">
        <v>7888</v>
      </c>
      <c r="L19" s="1279">
        <f>I19/TableA10b!D18</f>
        <v>0.52082213863514237</v>
      </c>
    </row>
    <row r="20" spans="1:12" x14ac:dyDescent="0.2">
      <c r="A20" s="1265" t="s">
        <v>262</v>
      </c>
      <c r="B20" s="1266" t="s">
        <v>262</v>
      </c>
      <c r="C20" s="799" t="s">
        <v>262</v>
      </c>
      <c r="D20" s="800"/>
      <c r="E20" s="800" t="s">
        <v>262</v>
      </c>
      <c r="F20" s="800" t="s">
        <v>262</v>
      </c>
      <c r="G20" s="1266" t="s">
        <v>262</v>
      </c>
      <c r="H20" s="800" t="s">
        <v>262</v>
      </c>
      <c r="I20" s="800" t="s">
        <v>262</v>
      </c>
      <c r="J20" s="1280" t="s">
        <v>262</v>
      </c>
      <c r="K20" s="1281" t="s">
        <v>262</v>
      </c>
      <c r="L20" s="1279"/>
    </row>
    <row r="21" spans="1:12" x14ac:dyDescent="0.2">
      <c r="A21" s="1267" t="s">
        <v>39</v>
      </c>
      <c r="B21" s="1268">
        <v>391864</v>
      </c>
      <c r="C21" s="794">
        <v>363546</v>
      </c>
      <c r="D21" s="795">
        <v>14781</v>
      </c>
      <c r="E21" s="795">
        <v>-242</v>
      </c>
      <c r="F21" s="795">
        <v>13779</v>
      </c>
      <c r="G21" s="1268">
        <v>368888</v>
      </c>
      <c r="H21" s="795">
        <v>336179</v>
      </c>
      <c r="I21" s="795" t="s">
        <v>283</v>
      </c>
      <c r="J21" s="1282" t="s">
        <v>283</v>
      </c>
      <c r="K21" s="1283">
        <v>22976</v>
      </c>
      <c r="L21" s="1279"/>
    </row>
    <row r="22" spans="1:12" x14ac:dyDescent="0.2">
      <c r="A22" s="1267" t="s">
        <v>40</v>
      </c>
      <c r="B22" s="1268">
        <v>6667</v>
      </c>
      <c r="C22" s="794">
        <v>6445</v>
      </c>
      <c r="D22" s="795"/>
      <c r="E22" s="800" t="s">
        <v>283</v>
      </c>
      <c r="F22" s="800">
        <v>104</v>
      </c>
      <c r="G22" s="1268">
        <v>6492</v>
      </c>
      <c r="H22" s="795">
        <v>6212</v>
      </c>
      <c r="I22" s="795">
        <v>92</v>
      </c>
      <c r="J22" s="1282">
        <v>187</v>
      </c>
      <c r="K22" s="1283">
        <v>175</v>
      </c>
      <c r="L22" s="1279">
        <f>I22/TableA10b!D21</f>
        <v>0.6174496644295302</v>
      </c>
    </row>
    <row r="23" spans="1:12" x14ac:dyDescent="0.2">
      <c r="A23" s="1267" t="s">
        <v>41</v>
      </c>
      <c r="B23" s="1268">
        <v>24122</v>
      </c>
      <c r="C23" s="794">
        <v>22872</v>
      </c>
      <c r="D23" s="800"/>
      <c r="E23" s="795">
        <v>88</v>
      </c>
      <c r="F23" s="795">
        <v>759</v>
      </c>
      <c r="G23" s="1266">
        <v>23434</v>
      </c>
      <c r="H23" s="795">
        <v>19620</v>
      </c>
      <c r="I23" s="795">
        <v>433</v>
      </c>
      <c r="J23" s="1282">
        <v>3380</v>
      </c>
      <c r="K23" s="1281">
        <v>689</v>
      </c>
      <c r="L23" s="1279"/>
    </row>
    <row r="24" spans="1:12" x14ac:dyDescent="0.2">
      <c r="A24" s="1267" t="s">
        <v>43</v>
      </c>
      <c r="B24" s="1268">
        <v>428444</v>
      </c>
      <c r="C24" s="794">
        <v>358012</v>
      </c>
      <c r="D24" s="795">
        <v>54257</v>
      </c>
      <c r="E24" s="795">
        <v>3298</v>
      </c>
      <c r="F24" s="795">
        <v>12877</v>
      </c>
      <c r="G24" s="1268">
        <v>313162</v>
      </c>
      <c r="H24" s="795">
        <v>279344</v>
      </c>
      <c r="I24" s="795">
        <v>3840</v>
      </c>
      <c r="J24" s="1282">
        <v>29979</v>
      </c>
      <c r="K24" s="1283">
        <v>115282</v>
      </c>
      <c r="L24" s="1279">
        <f>I24/TableA10b!D23</f>
        <v>6.2366010524264277E-2</v>
      </c>
    </row>
    <row r="25" spans="1:12" x14ac:dyDescent="0.2">
      <c r="A25" s="1267" t="s">
        <v>45</v>
      </c>
      <c r="B25" s="1268">
        <v>121658</v>
      </c>
      <c r="C25" s="794">
        <v>119115</v>
      </c>
      <c r="D25" s="795">
        <v>1277</v>
      </c>
      <c r="E25" s="795">
        <v>-312</v>
      </c>
      <c r="F25" s="795">
        <v>1578</v>
      </c>
      <c r="G25" s="1268">
        <v>119423</v>
      </c>
      <c r="H25" s="795">
        <v>111017</v>
      </c>
      <c r="I25" s="795">
        <v>2220</v>
      </c>
      <c r="J25" s="1282">
        <v>6187</v>
      </c>
      <c r="K25" s="1283">
        <v>2236</v>
      </c>
      <c r="L25" s="1279">
        <f>I25/TableA10b!D24</f>
        <v>0.6353749284487693</v>
      </c>
    </row>
    <row r="26" spans="1:12" x14ac:dyDescent="0.2">
      <c r="A26" s="1267" t="s">
        <v>49</v>
      </c>
      <c r="B26" s="1268">
        <v>200150</v>
      </c>
      <c r="C26" s="794">
        <v>65027</v>
      </c>
      <c r="D26" s="795">
        <v>117965</v>
      </c>
      <c r="E26" s="795">
        <v>145</v>
      </c>
      <c r="F26" s="795">
        <v>17013</v>
      </c>
      <c r="G26" s="1268">
        <v>75718</v>
      </c>
      <c r="H26" s="795">
        <v>46128</v>
      </c>
      <c r="I26" s="795">
        <v>795</v>
      </c>
      <c r="J26" s="1282">
        <v>28794</v>
      </c>
      <c r="K26" s="1283">
        <v>124432</v>
      </c>
      <c r="L26" s="1279">
        <f>I26/TableA10b!D25</f>
        <v>0.11168867659454904</v>
      </c>
    </row>
    <row r="27" spans="1:12" x14ac:dyDescent="0.2">
      <c r="A27" s="1267" t="s">
        <v>51</v>
      </c>
      <c r="B27" s="1268">
        <v>443839</v>
      </c>
      <c r="C27" s="794">
        <v>271919</v>
      </c>
      <c r="D27" s="795">
        <v>130704</v>
      </c>
      <c r="E27" s="795">
        <v>11239</v>
      </c>
      <c r="F27" s="795">
        <v>29978</v>
      </c>
      <c r="G27" s="1268">
        <v>291220</v>
      </c>
      <c r="H27" s="795">
        <v>240961</v>
      </c>
      <c r="I27" s="795">
        <v>4344</v>
      </c>
      <c r="J27" s="1282">
        <v>45916</v>
      </c>
      <c r="K27" s="1283">
        <v>152619</v>
      </c>
      <c r="L27" s="1279">
        <f>I27/TableA10b!D26</f>
        <v>0.28900272769609475</v>
      </c>
    </row>
    <row r="28" spans="1:12" x14ac:dyDescent="0.2">
      <c r="A28" s="1265" t="s">
        <v>262</v>
      </c>
      <c r="B28" s="1266" t="s">
        <v>262</v>
      </c>
      <c r="C28" s="799" t="s">
        <v>262</v>
      </c>
      <c r="D28" s="800"/>
      <c r="E28" s="800" t="s">
        <v>262</v>
      </c>
      <c r="F28" s="800" t="s">
        <v>262</v>
      </c>
      <c r="G28" s="1266" t="s">
        <v>262</v>
      </c>
      <c r="H28" s="800" t="s">
        <v>262</v>
      </c>
      <c r="I28" s="800" t="s">
        <v>262</v>
      </c>
      <c r="J28" s="1280" t="s">
        <v>262</v>
      </c>
      <c r="K28" s="1281" t="s">
        <v>262</v>
      </c>
      <c r="L28" s="1279"/>
    </row>
    <row r="29" spans="1:12" x14ac:dyDescent="0.2">
      <c r="A29" s="1267" t="s">
        <v>53</v>
      </c>
      <c r="B29" s="1268">
        <v>60966</v>
      </c>
      <c r="C29" s="794">
        <v>55694</v>
      </c>
      <c r="D29" s="795"/>
      <c r="E29" s="795">
        <v>-2433</v>
      </c>
      <c r="F29" s="795">
        <v>1438</v>
      </c>
      <c r="G29" s="1268">
        <v>50169</v>
      </c>
      <c r="H29" s="795">
        <v>41242</v>
      </c>
      <c r="I29" s="795" t="s">
        <v>283</v>
      </c>
      <c r="J29" s="1282" t="s">
        <v>283</v>
      </c>
      <c r="K29" s="1283">
        <v>10797</v>
      </c>
      <c r="L29" s="1279"/>
    </row>
    <row r="30" spans="1:12" x14ac:dyDescent="0.2">
      <c r="A30" s="1267" t="s">
        <v>54</v>
      </c>
      <c r="B30" s="1268">
        <v>43210</v>
      </c>
      <c r="C30" s="794">
        <v>41579</v>
      </c>
      <c r="D30" s="795">
        <v>657</v>
      </c>
      <c r="E30" s="795">
        <v>242</v>
      </c>
      <c r="F30" s="795">
        <v>732</v>
      </c>
      <c r="G30" s="1268">
        <v>40407</v>
      </c>
      <c r="H30" s="795">
        <v>37144</v>
      </c>
      <c r="I30" s="795">
        <v>373</v>
      </c>
      <c r="J30" s="1282">
        <v>2891</v>
      </c>
      <c r="K30" s="1283">
        <v>2803</v>
      </c>
      <c r="L30" s="1279">
        <f>I30/TableA10b!D29</f>
        <v>0.16352476983779043</v>
      </c>
    </row>
    <row r="31" spans="1:12" x14ac:dyDescent="0.2">
      <c r="A31" s="1267" t="s">
        <v>55</v>
      </c>
      <c r="B31" s="1268">
        <v>10332</v>
      </c>
      <c r="C31" s="794">
        <v>9946</v>
      </c>
      <c r="D31" s="795"/>
      <c r="E31" s="800" t="s">
        <v>283</v>
      </c>
      <c r="F31" s="800" t="s">
        <v>283</v>
      </c>
      <c r="G31" s="1268">
        <v>9612</v>
      </c>
      <c r="H31" s="795">
        <v>9116</v>
      </c>
      <c r="I31" s="795">
        <v>153</v>
      </c>
      <c r="J31" s="1282">
        <v>344</v>
      </c>
      <c r="K31" s="1283">
        <v>720</v>
      </c>
      <c r="L31" s="1279">
        <f>I31/TableA10b!D30</f>
        <v>0.26333907056798622</v>
      </c>
    </row>
    <row r="32" spans="1:12" x14ac:dyDescent="0.2">
      <c r="A32" s="1267" t="s">
        <v>70</v>
      </c>
      <c r="B32" s="1268">
        <v>57203</v>
      </c>
      <c r="C32" s="794">
        <v>56447</v>
      </c>
      <c r="D32" s="795"/>
      <c r="E32" s="795">
        <v>265</v>
      </c>
      <c r="F32" s="795">
        <v>802</v>
      </c>
      <c r="G32" s="1268">
        <v>55147</v>
      </c>
      <c r="H32" s="795">
        <v>51820</v>
      </c>
      <c r="I32" s="795" t="s">
        <v>283</v>
      </c>
      <c r="J32" s="1282" t="s">
        <v>283</v>
      </c>
      <c r="K32" s="1283">
        <v>2056</v>
      </c>
      <c r="L32" s="1279"/>
    </row>
    <row r="33" spans="1:12" x14ac:dyDescent="0.2">
      <c r="A33" s="1267" t="s">
        <v>58</v>
      </c>
      <c r="B33" s="1268">
        <v>92384</v>
      </c>
      <c r="C33" s="794">
        <v>85384</v>
      </c>
      <c r="D33" s="795">
        <v>2470</v>
      </c>
      <c r="E33" s="795">
        <v>566</v>
      </c>
      <c r="F33" s="795">
        <v>3965</v>
      </c>
      <c r="G33" s="1268">
        <v>87646</v>
      </c>
      <c r="H33" s="795">
        <v>79852</v>
      </c>
      <c r="I33" s="795">
        <v>918</v>
      </c>
      <c r="J33" s="1282">
        <v>6875</v>
      </c>
      <c r="K33" s="1283">
        <v>4738</v>
      </c>
      <c r="L33" s="1279">
        <f>I33/TableA10b!D32</f>
        <v>0.35011441647597252</v>
      </c>
    </row>
    <row r="34" spans="1:12" x14ac:dyDescent="0.2">
      <c r="A34" s="1267" t="s">
        <v>59</v>
      </c>
      <c r="B34" s="1268">
        <v>39847</v>
      </c>
      <c r="C34" s="794">
        <v>37735</v>
      </c>
      <c r="D34" s="795"/>
      <c r="E34" s="795">
        <v>-353</v>
      </c>
      <c r="F34" s="795">
        <v>2166</v>
      </c>
      <c r="G34" s="1268">
        <v>37181</v>
      </c>
      <c r="H34" s="795">
        <v>33192</v>
      </c>
      <c r="I34" s="795">
        <v>475</v>
      </c>
      <c r="J34" s="1282">
        <v>3514</v>
      </c>
      <c r="K34" s="1283">
        <v>2666</v>
      </c>
      <c r="L34" s="1279">
        <f>I34/TableA10b!D33</f>
        <v>0.14866979655712051</v>
      </c>
    </row>
    <row r="35" spans="1:12" ht="16" customHeight="1" x14ac:dyDescent="0.2">
      <c r="A35" s="1267" t="s">
        <v>60</v>
      </c>
      <c r="B35" s="1268">
        <v>381821</v>
      </c>
      <c r="C35" s="794">
        <v>337624</v>
      </c>
      <c r="D35" s="795">
        <v>35033</v>
      </c>
      <c r="E35" s="795">
        <v>68</v>
      </c>
      <c r="F35" s="795">
        <v>9097</v>
      </c>
      <c r="G35" s="1268">
        <v>311217</v>
      </c>
      <c r="H35" s="795">
        <v>285695</v>
      </c>
      <c r="I35" s="795">
        <v>2677</v>
      </c>
      <c r="J35" s="1282">
        <v>22845</v>
      </c>
      <c r="K35" s="1283">
        <v>70604</v>
      </c>
      <c r="L35" s="1279">
        <f>I35/TableA10b!D34</f>
        <v>7.0106062590022264E-2</v>
      </c>
    </row>
    <row r="36" spans="1:12" x14ac:dyDescent="0.2">
      <c r="A36" s="1267" t="s">
        <v>61</v>
      </c>
      <c r="B36" s="1268">
        <v>27017</v>
      </c>
      <c r="C36" s="794">
        <v>26706</v>
      </c>
      <c r="D36" s="795"/>
      <c r="E36" s="800">
        <v>9</v>
      </c>
      <c r="F36" s="800">
        <v>328</v>
      </c>
      <c r="G36" s="1266">
        <v>26340</v>
      </c>
      <c r="H36" s="800">
        <v>24931</v>
      </c>
      <c r="I36" s="795">
        <v>333</v>
      </c>
      <c r="J36" s="1282">
        <v>1076</v>
      </c>
      <c r="K36" s="1283">
        <v>677</v>
      </c>
      <c r="L36" s="1279">
        <f>I36/TableA10b!D35</f>
        <v>0.32424537487828625</v>
      </c>
    </row>
    <row r="37" spans="1:12" x14ac:dyDescent="0.2">
      <c r="A37" s="1267" t="s">
        <v>62</v>
      </c>
      <c r="B37" s="1268">
        <v>756426</v>
      </c>
      <c r="C37" s="794">
        <v>676048</v>
      </c>
      <c r="D37" s="795">
        <v>54183.585446845376</v>
      </c>
      <c r="E37" s="795">
        <v>585</v>
      </c>
      <c r="F37" s="795" t="s">
        <v>283</v>
      </c>
      <c r="G37" s="1268">
        <v>675002</v>
      </c>
      <c r="H37" s="795">
        <v>622369</v>
      </c>
      <c r="I37" s="795">
        <v>8513</v>
      </c>
      <c r="J37" s="1282">
        <v>44119</v>
      </c>
      <c r="K37" s="1283">
        <v>81424</v>
      </c>
      <c r="L37" s="1279">
        <f>I37/TableA10b!D36</f>
        <v>0.23949248860631295</v>
      </c>
    </row>
    <row r="38" spans="1:12" x14ac:dyDescent="0.2">
      <c r="A38" s="1267" t="s">
        <v>272</v>
      </c>
      <c r="B38" s="1268">
        <v>82092</v>
      </c>
      <c r="C38" s="794">
        <v>66327</v>
      </c>
      <c r="D38" s="800"/>
      <c r="E38" s="800">
        <v>-476</v>
      </c>
      <c r="F38" s="795" t="s">
        <v>283</v>
      </c>
      <c r="G38" s="1268">
        <v>56407</v>
      </c>
      <c r="H38" s="795">
        <v>47754</v>
      </c>
      <c r="I38" s="795">
        <v>5415</v>
      </c>
      <c r="J38" s="1282">
        <v>3238</v>
      </c>
      <c r="K38" s="1283">
        <v>25685</v>
      </c>
      <c r="L38" s="1279">
        <f>I38/TableA10b!D37</f>
        <v>0.33062645011600927</v>
      </c>
    </row>
    <row r="39" spans="1:12" x14ac:dyDescent="0.2">
      <c r="A39" s="1265" t="s">
        <v>262</v>
      </c>
      <c r="B39" s="1266" t="s">
        <v>262</v>
      </c>
      <c r="C39" s="799" t="s">
        <v>262</v>
      </c>
      <c r="D39" s="800"/>
      <c r="E39" s="800" t="s">
        <v>262</v>
      </c>
      <c r="F39" s="800" t="s">
        <v>262</v>
      </c>
      <c r="G39" s="1266" t="s">
        <v>262</v>
      </c>
      <c r="H39" s="800" t="s">
        <v>262</v>
      </c>
      <c r="I39" s="800" t="s">
        <v>262</v>
      </c>
      <c r="J39" s="1280" t="s">
        <v>262</v>
      </c>
      <c r="K39" s="1281" t="s">
        <v>262</v>
      </c>
      <c r="L39" s="1279"/>
    </row>
    <row r="40" spans="1:12" x14ac:dyDescent="0.2">
      <c r="A40" s="1265" t="s">
        <v>320</v>
      </c>
      <c r="B40" s="72">
        <v>1024797</v>
      </c>
      <c r="C40" s="73">
        <v>840014</v>
      </c>
      <c r="D40" s="74">
        <v>157427</v>
      </c>
      <c r="E40" s="74">
        <v>4696</v>
      </c>
      <c r="F40" s="74">
        <v>22660</v>
      </c>
      <c r="G40" s="72">
        <v>802195</v>
      </c>
      <c r="H40" s="74">
        <v>731980</v>
      </c>
      <c r="I40" s="74">
        <v>16505</v>
      </c>
      <c r="J40" s="75">
        <v>53710</v>
      </c>
      <c r="K40" s="76">
        <v>222602</v>
      </c>
      <c r="L40" s="1279">
        <f>I40/TableA10b!D39</f>
        <v>0.21022264112492359</v>
      </c>
    </row>
    <row r="41" spans="1:12" x14ac:dyDescent="0.2">
      <c r="A41" s="1265" t="s">
        <v>262</v>
      </c>
      <c r="B41" s="1266" t="s">
        <v>262</v>
      </c>
      <c r="C41" s="799" t="s">
        <v>262</v>
      </c>
      <c r="D41" s="800"/>
      <c r="E41" s="800" t="s">
        <v>262</v>
      </c>
      <c r="F41" s="800" t="s">
        <v>262</v>
      </c>
      <c r="G41" s="1266" t="s">
        <v>262</v>
      </c>
      <c r="H41" s="800" t="s">
        <v>262</v>
      </c>
      <c r="I41" s="800" t="s">
        <v>262</v>
      </c>
      <c r="J41" s="1280" t="s">
        <v>262</v>
      </c>
      <c r="K41" s="1281" t="s">
        <v>262</v>
      </c>
      <c r="L41" s="1279"/>
    </row>
    <row r="42" spans="1:12" x14ac:dyDescent="0.2">
      <c r="A42" s="1267" t="s">
        <v>274</v>
      </c>
      <c r="B42" s="1268">
        <v>391530</v>
      </c>
      <c r="C42" s="794">
        <v>381783</v>
      </c>
      <c r="D42" s="795"/>
      <c r="E42" s="795">
        <v>-3094</v>
      </c>
      <c r="F42" s="795">
        <v>5870</v>
      </c>
      <c r="G42" s="1268">
        <v>374514</v>
      </c>
      <c r="H42" s="795">
        <v>347174</v>
      </c>
      <c r="I42" s="795">
        <v>8109</v>
      </c>
      <c r="J42" s="1282">
        <v>19231</v>
      </c>
      <c r="K42" s="1283">
        <v>17016</v>
      </c>
      <c r="L42" s="1279">
        <f>I42/TableA10b!D41</f>
        <v>0.36410578779578823</v>
      </c>
    </row>
    <row r="43" spans="1:12" x14ac:dyDescent="0.2">
      <c r="A43" s="1269" t="s">
        <v>275</v>
      </c>
      <c r="B43" s="1268">
        <v>50196</v>
      </c>
      <c r="C43" s="794">
        <v>47582</v>
      </c>
      <c r="D43" s="795"/>
      <c r="E43" s="795">
        <v>-165</v>
      </c>
      <c r="F43" s="795">
        <v>772</v>
      </c>
      <c r="G43" s="1268">
        <v>45857</v>
      </c>
      <c r="H43" s="795">
        <v>40769</v>
      </c>
      <c r="I43" s="795" t="s">
        <v>283</v>
      </c>
      <c r="J43" s="1282" t="s">
        <v>283</v>
      </c>
      <c r="K43" s="1283">
        <v>4339</v>
      </c>
      <c r="L43" s="1279"/>
    </row>
    <row r="44" spans="1:12" x14ac:dyDescent="0.2">
      <c r="A44" s="1269" t="s">
        <v>65</v>
      </c>
      <c r="B44" s="1268">
        <v>221931</v>
      </c>
      <c r="C44" s="794">
        <v>216629</v>
      </c>
      <c r="D44" s="795">
        <v>2673</v>
      </c>
      <c r="E44" s="795">
        <v>-1238</v>
      </c>
      <c r="F44" s="795">
        <v>3867</v>
      </c>
      <c r="G44" s="1268">
        <v>214780</v>
      </c>
      <c r="H44" s="795">
        <v>202826</v>
      </c>
      <c r="I44" s="795">
        <v>1537</v>
      </c>
      <c r="J44" s="1282">
        <v>10416</v>
      </c>
      <c r="K44" s="1283">
        <v>7151</v>
      </c>
      <c r="L44" s="1279">
        <f>I44/TableA10b!D43</f>
        <v>0.20493333333333333</v>
      </c>
    </row>
    <row r="45" spans="1:12" x14ac:dyDescent="0.2">
      <c r="A45" s="1269" t="s">
        <v>33</v>
      </c>
      <c r="B45" s="1268">
        <v>40241</v>
      </c>
      <c r="C45" s="794">
        <v>39412</v>
      </c>
      <c r="D45" s="795">
        <v>788</v>
      </c>
      <c r="E45" s="795">
        <v>-456</v>
      </c>
      <c r="F45" s="795">
        <v>497</v>
      </c>
      <c r="G45" s="1268">
        <v>36872</v>
      </c>
      <c r="H45" s="795">
        <v>32286</v>
      </c>
      <c r="I45" s="795" t="s">
        <v>283</v>
      </c>
      <c r="J45" s="1282" t="s">
        <v>283</v>
      </c>
      <c r="K45" s="1283">
        <v>3370</v>
      </c>
      <c r="L45" s="1279"/>
    </row>
    <row r="46" spans="1:12" x14ac:dyDescent="0.2">
      <c r="A46" s="1269" t="s">
        <v>67</v>
      </c>
      <c r="B46" s="1268">
        <v>25735</v>
      </c>
      <c r="C46" s="794">
        <v>25681</v>
      </c>
      <c r="D46" s="795">
        <v>-325</v>
      </c>
      <c r="E46" s="795">
        <v>186</v>
      </c>
      <c r="F46" s="795">
        <v>193</v>
      </c>
      <c r="G46" s="1268">
        <v>25226</v>
      </c>
      <c r="H46" s="795">
        <v>23361</v>
      </c>
      <c r="I46" s="795" t="s">
        <v>283</v>
      </c>
      <c r="J46" s="1282" t="s">
        <v>283</v>
      </c>
      <c r="K46" s="1283">
        <v>509</v>
      </c>
      <c r="L46" s="1279"/>
    </row>
    <row r="47" spans="1:12" x14ac:dyDescent="0.2">
      <c r="A47" s="1269" t="s">
        <v>276</v>
      </c>
      <c r="B47" s="1268">
        <v>6699</v>
      </c>
      <c r="C47" s="794">
        <v>6377</v>
      </c>
      <c r="D47" s="795"/>
      <c r="E47" s="795" t="s">
        <v>283</v>
      </c>
      <c r="F47" s="795">
        <v>15</v>
      </c>
      <c r="G47" s="1268">
        <v>6173</v>
      </c>
      <c r="H47" s="795">
        <v>5982</v>
      </c>
      <c r="I47" s="795">
        <v>75</v>
      </c>
      <c r="J47" s="1282">
        <v>116</v>
      </c>
      <c r="K47" s="1283">
        <v>525</v>
      </c>
      <c r="L47" s="1279">
        <f>I47/TableA10b!D46</f>
        <v>0.25510204081632654</v>
      </c>
    </row>
    <row r="48" spans="1:12" x14ac:dyDescent="0.2">
      <c r="A48" s="1269" t="s">
        <v>277</v>
      </c>
      <c r="B48" s="1268">
        <v>18646</v>
      </c>
      <c r="C48" s="794">
        <v>18032</v>
      </c>
      <c r="D48" s="795">
        <v>454</v>
      </c>
      <c r="E48" s="795" t="s">
        <v>283</v>
      </c>
      <c r="F48" s="795" t="s">
        <v>283</v>
      </c>
      <c r="G48" s="1268">
        <v>16901</v>
      </c>
      <c r="H48" s="795">
        <v>15308</v>
      </c>
      <c r="I48" s="795">
        <v>885</v>
      </c>
      <c r="J48" s="1282">
        <v>708</v>
      </c>
      <c r="K48" s="1283">
        <v>1746</v>
      </c>
      <c r="L48" s="1279">
        <f>I48/TableA10b!D47</f>
        <v>0.37153652392947101</v>
      </c>
    </row>
    <row r="49" spans="1:12" x14ac:dyDescent="0.2">
      <c r="A49" s="1269" t="s">
        <v>278</v>
      </c>
      <c r="B49" s="1268">
        <v>18932</v>
      </c>
      <c r="C49" s="794">
        <v>19144</v>
      </c>
      <c r="D49" s="795"/>
      <c r="E49" s="795">
        <v>-1679</v>
      </c>
      <c r="F49" s="795">
        <v>294</v>
      </c>
      <c r="G49" s="1268">
        <v>20184</v>
      </c>
      <c r="H49" s="795">
        <v>18411</v>
      </c>
      <c r="I49" s="795">
        <v>448</v>
      </c>
      <c r="J49" s="1282">
        <v>1325</v>
      </c>
      <c r="K49" s="1283">
        <v>-1252</v>
      </c>
      <c r="L49" s="1279">
        <f>I49/TableA10b!D48</f>
        <v>-1.5238095238095237</v>
      </c>
    </row>
    <row r="50" spans="1:12" x14ac:dyDescent="0.2">
      <c r="A50" s="1269" t="s">
        <v>272</v>
      </c>
      <c r="B50" s="1268">
        <v>9150</v>
      </c>
      <c r="C50" s="794">
        <v>8925</v>
      </c>
      <c r="D50" s="795"/>
      <c r="E50" s="795" t="s">
        <v>283</v>
      </c>
      <c r="F50" s="795" t="s">
        <v>283</v>
      </c>
      <c r="G50" s="1268">
        <v>8521</v>
      </c>
      <c r="H50" s="795">
        <v>8230</v>
      </c>
      <c r="I50" s="795">
        <v>101</v>
      </c>
      <c r="J50" s="1282">
        <v>190</v>
      </c>
      <c r="K50" s="1283">
        <v>629</v>
      </c>
      <c r="L50" s="1279">
        <f>I50/TableA10b!D49</f>
        <v>0.15955766192733017</v>
      </c>
    </row>
    <row r="51" spans="1:12" x14ac:dyDescent="0.2">
      <c r="A51" s="1265" t="s">
        <v>262</v>
      </c>
      <c r="B51" s="1266" t="s">
        <v>262</v>
      </c>
      <c r="C51" s="799" t="s">
        <v>262</v>
      </c>
      <c r="D51" s="800"/>
      <c r="E51" s="800" t="s">
        <v>262</v>
      </c>
      <c r="F51" s="800" t="s">
        <v>262</v>
      </c>
      <c r="G51" s="1266" t="s">
        <v>262</v>
      </c>
      <c r="H51" s="800" t="s">
        <v>262</v>
      </c>
      <c r="I51" s="800" t="s">
        <v>262</v>
      </c>
      <c r="J51" s="1280" t="s">
        <v>262</v>
      </c>
      <c r="K51" s="1281" t="s">
        <v>262</v>
      </c>
      <c r="L51" s="1279"/>
    </row>
    <row r="52" spans="1:12" x14ac:dyDescent="0.2">
      <c r="A52" s="1267" t="s">
        <v>279</v>
      </c>
      <c r="B52" s="1268">
        <v>304389</v>
      </c>
      <c r="C52" s="794">
        <v>291882</v>
      </c>
      <c r="D52" s="795"/>
      <c r="E52" s="795">
        <v>459</v>
      </c>
      <c r="F52" s="795">
        <v>4229</v>
      </c>
      <c r="G52" s="1268">
        <v>281770</v>
      </c>
      <c r="H52" s="795">
        <v>267283</v>
      </c>
      <c r="I52" s="795" t="s">
        <v>283</v>
      </c>
      <c r="J52" s="1282" t="s">
        <v>283</v>
      </c>
      <c r="K52" s="1283">
        <v>22619</v>
      </c>
      <c r="L52" s="1279"/>
    </row>
    <row r="53" spans="1:12" x14ac:dyDescent="0.2">
      <c r="A53" s="1269" t="s">
        <v>68</v>
      </c>
      <c r="B53" s="1268">
        <v>13181</v>
      </c>
      <c r="C53" s="794">
        <v>12980</v>
      </c>
      <c r="D53" s="795"/>
      <c r="E53" s="795">
        <v>101</v>
      </c>
      <c r="F53" s="795" t="s">
        <v>283</v>
      </c>
      <c r="G53" s="1268">
        <v>12462</v>
      </c>
      <c r="H53" s="795">
        <v>12113</v>
      </c>
      <c r="I53" s="795" t="s">
        <v>283</v>
      </c>
      <c r="J53" s="1282" t="s">
        <v>283</v>
      </c>
      <c r="K53" s="1283">
        <v>719</v>
      </c>
      <c r="L53" s="1279"/>
    </row>
    <row r="54" spans="1:12" x14ac:dyDescent="0.2">
      <c r="A54" s="1269" t="s">
        <v>280</v>
      </c>
      <c r="B54" s="1268">
        <v>3938</v>
      </c>
      <c r="C54" s="794">
        <v>3901</v>
      </c>
      <c r="D54" s="795">
        <v>3</v>
      </c>
      <c r="E54" s="795">
        <v>27</v>
      </c>
      <c r="F54" s="795">
        <v>7</v>
      </c>
      <c r="G54" s="1268">
        <v>3852</v>
      </c>
      <c r="H54" s="795">
        <v>3808</v>
      </c>
      <c r="I54" s="795">
        <v>24</v>
      </c>
      <c r="J54" s="1282">
        <v>21</v>
      </c>
      <c r="K54" s="1283">
        <v>85</v>
      </c>
      <c r="L54" s="1279">
        <f>I54/TableA10b!D53</f>
        <v>0.30379746835443039</v>
      </c>
    </row>
    <row r="55" spans="1:12" x14ac:dyDescent="0.2">
      <c r="A55" s="1269" t="s">
        <v>50</v>
      </c>
      <c r="B55" s="1268">
        <v>264722</v>
      </c>
      <c r="C55" s="794">
        <v>252937</v>
      </c>
      <c r="D55" s="795"/>
      <c r="E55" s="795">
        <v>238</v>
      </c>
      <c r="F55" s="795">
        <v>4056</v>
      </c>
      <c r="G55" s="1268">
        <v>243723</v>
      </c>
      <c r="H55" s="795">
        <v>230162</v>
      </c>
      <c r="I55" s="795" t="s">
        <v>283</v>
      </c>
      <c r="J55" s="1282" t="s">
        <v>283</v>
      </c>
      <c r="K55" s="1283">
        <v>20999</v>
      </c>
      <c r="L55" s="1279"/>
    </row>
    <row r="56" spans="1:12" x14ac:dyDescent="0.2">
      <c r="A56" s="1269" t="s">
        <v>107</v>
      </c>
      <c r="B56" s="1268">
        <v>12494</v>
      </c>
      <c r="C56" s="794">
        <v>12233</v>
      </c>
      <c r="D56" s="795">
        <v>199</v>
      </c>
      <c r="E56" s="795">
        <v>33</v>
      </c>
      <c r="F56" s="795">
        <v>30</v>
      </c>
      <c r="G56" s="1268">
        <v>12300</v>
      </c>
      <c r="H56" s="795">
        <v>12038</v>
      </c>
      <c r="I56" s="795">
        <v>74</v>
      </c>
      <c r="J56" s="1282">
        <v>188</v>
      </c>
      <c r="K56" s="1283">
        <v>194</v>
      </c>
      <c r="L56" s="1279">
        <f>I56/TableA10b!D55</f>
        <v>2</v>
      </c>
    </row>
    <row r="57" spans="1:12" x14ac:dyDescent="0.2">
      <c r="A57" s="1269" t="s">
        <v>272</v>
      </c>
      <c r="B57" s="1268">
        <v>10054</v>
      </c>
      <c r="C57" s="794">
        <v>9831</v>
      </c>
      <c r="D57" s="795"/>
      <c r="E57" s="795">
        <v>61</v>
      </c>
      <c r="F57" s="795" t="s">
        <v>283</v>
      </c>
      <c r="G57" s="1268">
        <v>9433</v>
      </c>
      <c r="H57" s="795">
        <v>9163</v>
      </c>
      <c r="I57" s="795" t="s">
        <v>283</v>
      </c>
      <c r="J57" s="1282" t="s">
        <v>283</v>
      </c>
      <c r="K57" s="1283">
        <v>621</v>
      </c>
      <c r="L57" s="1279"/>
    </row>
    <row r="58" spans="1:12" x14ac:dyDescent="0.2">
      <c r="A58" s="1265" t="s">
        <v>262</v>
      </c>
      <c r="B58" s="1266" t="s">
        <v>262</v>
      </c>
      <c r="C58" s="799" t="s">
        <v>262</v>
      </c>
      <c r="D58" s="800"/>
      <c r="E58" s="800" t="s">
        <v>262</v>
      </c>
      <c r="F58" s="800" t="s">
        <v>262</v>
      </c>
      <c r="G58" s="1266" t="s">
        <v>262</v>
      </c>
      <c r="H58" s="800" t="s">
        <v>262</v>
      </c>
      <c r="I58" s="800" t="s">
        <v>262</v>
      </c>
      <c r="J58" s="1280" t="s">
        <v>262</v>
      </c>
      <c r="K58" s="1281" t="s">
        <v>262</v>
      </c>
      <c r="L58" s="1279"/>
    </row>
    <row r="59" spans="1:12" x14ac:dyDescent="0.2">
      <c r="A59" s="1267" t="s">
        <v>281</v>
      </c>
      <c r="B59" s="1268">
        <v>328878</v>
      </c>
      <c r="C59" s="794">
        <v>166349</v>
      </c>
      <c r="D59" s="795">
        <v>142635</v>
      </c>
      <c r="E59" s="795">
        <v>7332</v>
      </c>
      <c r="F59" s="795">
        <v>12562</v>
      </c>
      <c r="G59" s="1268">
        <v>145911</v>
      </c>
      <c r="H59" s="795">
        <v>117523</v>
      </c>
      <c r="I59" s="116">
        <f>I60+I61+I62+I63+I64</f>
        <v>1788.6947186038897</v>
      </c>
      <c r="J59" s="1282" t="s">
        <v>283</v>
      </c>
      <c r="K59" s="1283">
        <v>182967</v>
      </c>
      <c r="L59" s="1279">
        <f>I59/TableA10b!D58</f>
        <v>4.9227871710579046E-2</v>
      </c>
    </row>
    <row r="60" spans="1:12" x14ac:dyDescent="0.2">
      <c r="A60" s="1269" t="s">
        <v>79</v>
      </c>
      <c r="B60" s="1268">
        <v>13218</v>
      </c>
      <c r="C60" s="794">
        <v>11703</v>
      </c>
      <c r="D60" s="795"/>
      <c r="E60" s="795" t="s">
        <v>283</v>
      </c>
      <c r="F60" s="795" t="s">
        <v>283</v>
      </c>
      <c r="G60" s="1268">
        <v>10633</v>
      </c>
      <c r="H60" s="795">
        <v>10070</v>
      </c>
      <c r="I60" s="795">
        <v>366</v>
      </c>
      <c r="J60" s="1282">
        <v>196</v>
      </c>
      <c r="K60" s="1283">
        <v>2585</v>
      </c>
      <c r="L60" s="1279">
        <f>I60/TableA10b!D59</f>
        <v>0.20446927374301677</v>
      </c>
    </row>
    <row r="61" spans="1:12" x14ac:dyDescent="0.2">
      <c r="A61" s="1269" t="s">
        <v>81</v>
      </c>
      <c r="B61" s="1268">
        <v>142934</v>
      </c>
      <c r="C61" s="794">
        <v>60210</v>
      </c>
      <c r="D61" s="795">
        <v>75963</v>
      </c>
      <c r="E61" s="795">
        <v>1427</v>
      </c>
      <c r="F61" s="795">
        <v>5334</v>
      </c>
      <c r="G61" s="1268">
        <v>58712</v>
      </c>
      <c r="H61" s="795">
        <v>47241</v>
      </c>
      <c r="I61" s="116">
        <f>TableA11!I61*TableA11!K61/TableA11b!K61</f>
        <v>544.20811664410724</v>
      </c>
      <c r="J61" s="1282" t="s">
        <v>283</v>
      </c>
      <c r="K61" s="1283">
        <v>84222</v>
      </c>
      <c r="L61" s="1279"/>
    </row>
    <row r="62" spans="1:12" x14ac:dyDescent="0.2">
      <c r="A62" s="1269" t="s">
        <v>282</v>
      </c>
      <c r="B62" s="1268">
        <v>3907</v>
      </c>
      <c r="C62" s="794">
        <v>3825</v>
      </c>
      <c r="D62" s="795"/>
      <c r="E62" s="800">
        <v>45</v>
      </c>
      <c r="F62" s="800">
        <v>34</v>
      </c>
      <c r="G62" s="1268">
        <v>3526</v>
      </c>
      <c r="H62" s="795">
        <v>3347</v>
      </c>
      <c r="I62" s="795">
        <v>83</v>
      </c>
      <c r="J62" s="1282">
        <v>96</v>
      </c>
      <c r="K62" s="1283">
        <v>380</v>
      </c>
      <c r="L62" s="1279">
        <f>I62/TableA10b!D61</f>
        <v>0.19951923076923078</v>
      </c>
    </row>
    <row r="63" spans="1:12" x14ac:dyDescent="0.2">
      <c r="A63" s="1269" t="s">
        <v>284</v>
      </c>
      <c r="B63" s="1268">
        <v>130053</v>
      </c>
      <c r="C63" s="794">
        <v>64106</v>
      </c>
      <c r="D63" s="795">
        <v>57818</v>
      </c>
      <c r="E63" s="800">
        <v>4053</v>
      </c>
      <c r="F63" s="800">
        <v>4075</v>
      </c>
      <c r="G63" s="1268">
        <v>55807</v>
      </c>
      <c r="H63" s="795">
        <v>42050</v>
      </c>
      <c r="I63" s="795">
        <v>697</v>
      </c>
      <c r="J63" s="1282">
        <v>13060</v>
      </c>
      <c r="K63" s="1283">
        <v>74246</v>
      </c>
      <c r="L63" s="1279">
        <f>I63/TableA10b!D62</f>
        <v>5.3287461773700306E-2</v>
      </c>
    </row>
    <row r="64" spans="1:12" x14ac:dyDescent="0.2">
      <c r="A64" s="1269" t="s">
        <v>272</v>
      </c>
      <c r="B64" s="1268">
        <v>38766</v>
      </c>
      <c r="C64" s="794">
        <v>26505</v>
      </c>
      <c r="D64" s="795"/>
      <c r="E64" s="800" t="s">
        <v>283</v>
      </c>
      <c r="F64" s="800" t="s">
        <v>283</v>
      </c>
      <c r="G64" s="1268">
        <v>17233</v>
      </c>
      <c r="H64" s="795">
        <v>14814</v>
      </c>
      <c r="I64" s="116">
        <f>TableA11!I64*TableA11!K64/TableA11b!K64</f>
        <v>98.486601959782661</v>
      </c>
      <c r="J64" s="1282" t="s">
        <v>283</v>
      </c>
      <c r="K64" s="1283">
        <v>21533</v>
      </c>
      <c r="L64" s="1279"/>
    </row>
    <row r="65" spans="1:12" x14ac:dyDescent="0.2">
      <c r="A65" s="1265" t="s">
        <v>262</v>
      </c>
      <c r="B65" s="1266" t="s">
        <v>262</v>
      </c>
      <c r="C65" s="799" t="s">
        <v>262</v>
      </c>
      <c r="D65" s="800"/>
      <c r="E65" s="800" t="s">
        <v>262</v>
      </c>
      <c r="F65" s="800" t="s">
        <v>262</v>
      </c>
      <c r="G65" s="1266" t="s">
        <v>262</v>
      </c>
      <c r="H65" s="800" t="s">
        <v>262</v>
      </c>
      <c r="I65" s="800" t="s">
        <v>262</v>
      </c>
      <c r="J65" s="1280" t="s">
        <v>262</v>
      </c>
      <c r="K65" s="1281" t="s">
        <v>262</v>
      </c>
      <c r="L65" s="1279"/>
    </row>
    <row r="66" spans="1:12" x14ac:dyDescent="0.2">
      <c r="A66" s="1265" t="s">
        <v>285</v>
      </c>
      <c r="B66" s="72">
        <v>133890</v>
      </c>
      <c r="C66" s="73">
        <v>114276</v>
      </c>
      <c r="D66" s="74">
        <v>15852</v>
      </c>
      <c r="E66" s="74">
        <v>1738</v>
      </c>
      <c r="F66" s="74">
        <v>2023</v>
      </c>
      <c r="G66" s="72">
        <v>104574</v>
      </c>
      <c r="H66" s="74">
        <v>83709</v>
      </c>
      <c r="I66" s="74" t="s">
        <v>283</v>
      </c>
      <c r="J66" s="75" t="s">
        <v>283</v>
      </c>
      <c r="K66" s="76">
        <v>29316</v>
      </c>
      <c r="L66" s="1279"/>
    </row>
    <row r="67" spans="1:12" x14ac:dyDescent="0.2">
      <c r="A67" s="1267" t="s">
        <v>286</v>
      </c>
      <c r="B67" s="1268">
        <v>14641</v>
      </c>
      <c r="C67" s="794">
        <v>13940</v>
      </c>
      <c r="D67" s="795">
        <v>4</v>
      </c>
      <c r="E67" s="795">
        <v>20</v>
      </c>
      <c r="F67" s="795">
        <v>678</v>
      </c>
      <c r="G67" s="1268">
        <v>13148</v>
      </c>
      <c r="H67" s="795">
        <v>11346</v>
      </c>
      <c r="I67" s="795" t="s">
        <v>283</v>
      </c>
      <c r="J67" s="1282" t="s">
        <v>283</v>
      </c>
      <c r="K67" s="1283">
        <v>1493</v>
      </c>
      <c r="L67" s="1279"/>
    </row>
    <row r="68" spans="1:12" x14ac:dyDescent="0.2">
      <c r="A68" s="1267" t="s">
        <v>287</v>
      </c>
      <c r="B68" s="1268" t="s">
        <v>283</v>
      </c>
      <c r="C68" s="794">
        <v>25040</v>
      </c>
      <c r="D68" s="795"/>
      <c r="E68" s="795">
        <v>53</v>
      </c>
      <c r="F68" s="800" t="s">
        <v>283</v>
      </c>
      <c r="G68" s="1266">
        <v>20551</v>
      </c>
      <c r="H68" s="800">
        <v>11911</v>
      </c>
      <c r="I68" s="795" t="s">
        <v>283</v>
      </c>
      <c r="J68" s="1282" t="s">
        <v>283</v>
      </c>
      <c r="K68" s="1283" t="s">
        <v>283</v>
      </c>
      <c r="L68" s="1279"/>
    </row>
    <row r="69" spans="1:12" x14ac:dyDescent="0.2">
      <c r="A69" s="1267" t="s">
        <v>71</v>
      </c>
      <c r="B69" s="1268">
        <v>35719</v>
      </c>
      <c r="C69" s="794">
        <v>35236</v>
      </c>
      <c r="D69" s="795">
        <v>228</v>
      </c>
      <c r="E69" s="795">
        <v>-46</v>
      </c>
      <c r="F69" s="795">
        <v>301</v>
      </c>
      <c r="G69" s="1268">
        <v>34433</v>
      </c>
      <c r="H69" s="795">
        <v>33154</v>
      </c>
      <c r="I69" s="795">
        <v>439</v>
      </c>
      <c r="J69" s="1282">
        <v>840</v>
      </c>
      <c r="K69" s="1283">
        <v>1286</v>
      </c>
      <c r="L69" s="1279">
        <f>I69/TableA10b!D68</f>
        <v>0.28359173126614989</v>
      </c>
    </row>
    <row r="70" spans="1:12" x14ac:dyDescent="0.2">
      <c r="A70" s="1267" t="s">
        <v>272</v>
      </c>
      <c r="B70" s="1268" t="s">
        <v>283</v>
      </c>
      <c r="C70" s="794">
        <v>40061</v>
      </c>
      <c r="D70" s="795"/>
      <c r="E70" s="795">
        <v>1711</v>
      </c>
      <c r="F70" s="800" t="s">
        <v>283</v>
      </c>
      <c r="G70" s="1266">
        <v>36443</v>
      </c>
      <c r="H70" s="800">
        <v>27298</v>
      </c>
      <c r="I70" s="795">
        <v>6190</v>
      </c>
      <c r="J70" s="1282">
        <v>2955</v>
      </c>
      <c r="K70" s="1283" t="s">
        <v>283</v>
      </c>
      <c r="L70" s="1279"/>
    </row>
    <row r="71" spans="1:12" x14ac:dyDescent="0.2">
      <c r="A71" s="1265" t="s">
        <v>262</v>
      </c>
      <c r="B71" s="1266" t="s">
        <v>262</v>
      </c>
      <c r="C71" s="799" t="s">
        <v>262</v>
      </c>
      <c r="D71" s="800"/>
      <c r="E71" s="800" t="s">
        <v>262</v>
      </c>
      <c r="F71" s="800" t="s">
        <v>262</v>
      </c>
      <c r="G71" s="1266" t="s">
        <v>262</v>
      </c>
      <c r="H71" s="800" t="s">
        <v>262</v>
      </c>
      <c r="I71" s="800" t="s">
        <v>262</v>
      </c>
      <c r="J71" s="1280" t="s">
        <v>262</v>
      </c>
      <c r="K71" s="1281" t="s">
        <v>262</v>
      </c>
      <c r="L71" s="1279"/>
    </row>
    <row r="72" spans="1:12" x14ac:dyDescent="0.2">
      <c r="A72" s="1265" t="s">
        <v>288</v>
      </c>
      <c r="B72" s="72">
        <v>89544</v>
      </c>
      <c r="C72" s="73">
        <v>75092</v>
      </c>
      <c r="D72" s="74">
        <v>14002</v>
      </c>
      <c r="E72" s="74">
        <v>-866</v>
      </c>
      <c r="F72" s="74">
        <v>1316</v>
      </c>
      <c r="G72" s="72">
        <v>67735</v>
      </c>
      <c r="H72" s="74">
        <v>56485</v>
      </c>
      <c r="I72" s="74" t="s">
        <v>283</v>
      </c>
      <c r="J72" s="75" t="s">
        <v>283</v>
      </c>
      <c r="K72" s="76">
        <v>21809</v>
      </c>
      <c r="L72" s="1279"/>
    </row>
    <row r="73" spans="1:12" x14ac:dyDescent="0.2">
      <c r="A73" s="1267" t="s">
        <v>44</v>
      </c>
      <c r="B73" s="1268">
        <v>21950</v>
      </c>
      <c r="C73" s="794">
        <v>20667</v>
      </c>
      <c r="D73" s="795"/>
      <c r="E73" s="795" t="s">
        <v>283</v>
      </c>
      <c r="F73" s="795">
        <v>952</v>
      </c>
      <c r="G73" s="1268">
        <v>18669</v>
      </c>
      <c r="H73" s="795">
        <v>16978</v>
      </c>
      <c r="I73" s="795" t="s">
        <v>283</v>
      </c>
      <c r="J73" s="1282" t="s">
        <v>283</v>
      </c>
      <c r="K73" s="1283">
        <v>3281</v>
      </c>
      <c r="L73" s="1279"/>
    </row>
    <row r="74" spans="1:12" x14ac:dyDescent="0.2">
      <c r="A74" s="1267" t="s">
        <v>289</v>
      </c>
      <c r="B74" s="1268">
        <v>15914</v>
      </c>
      <c r="C74" s="794">
        <v>14249</v>
      </c>
      <c r="D74" s="795"/>
      <c r="E74" s="800">
        <v>-25</v>
      </c>
      <c r="F74" s="800" t="s">
        <v>283</v>
      </c>
      <c r="G74" s="1268">
        <v>13556</v>
      </c>
      <c r="H74" s="795">
        <v>11518</v>
      </c>
      <c r="I74" s="795" t="s">
        <v>283</v>
      </c>
      <c r="J74" s="1282" t="s">
        <v>283</v>
      </c>
      <c r="K74" s="1283">
        <v>2358</v>
      </c>
      <c r="L74" s="1279"/>
    </row>
    <row r="75" spans="1:12" x14ac:dyDescent="0.2">
      <c r="A75" s="1267" t="s">
        <v>290</v>
      </c>
      <c r="B75" s="1268">
        <v>27397</v>
      </c>
      <c r="C75" s="794">
        <v>26942</v>
      </c>
      <c r="D75" s="795"/>
      <c r="E75" s="800">
        <v>-91</v>
      </c>
      <c r="F75" s="800" t="s">
        <v>283</v>
      </c>
      <c r="G75" s="1268">
        <v>23997</v>
      </c>
      <c r="H75" s="795">
        <v>19324</v>
      </c>
      <c r="I75" s="795" t="s">
        <v>283</v>
      </c>
      <c r="J75" s="1282" t="s">
        <v>283</v>
      </c>
      <c r="K75" s="1283">
        <v>3400</v>
      </c>
      <c r="L75" s="1279"/>
    </row>
    <row r="76" spans="1:12" x14ac:dyDescent="0.2">
      <c r="A76" s="1267" t="s">
        <v>272</v>
      </c>
      <c r="B76" s="1268">
        <v>24283</v>
      </c>
      <c r="C76" s="794">
        <v>13234</v>
      </c>
      <c r="D76" s="795"/>
      <c r="E76" s="800" t="s">
        <v>283</v>
      </c>
      <c r="F76" s="800" t="s">
        <v>283</v>
      </c>
      <c r="G76" s="1268">
        <v>11512</v>
      </c>
      <c r="H76" s="795">
        <v>8665</v>
      </c>
      <c r="I76" s="795" t="s">
        <v>283</v>
      </c>
      <c r="J76" s="1282" t="s">
        <v>283</v>
      </c>
      <c r="K76" s="1283">
        <v>12771</v>
      </c>
      <c r="L76" s="1279"/>
    </row>
    <row r="77" spans="1:12" x14ac:dyDescent="0.2">
      <c r="A77" s="1265" t="s">
        <v>262</v>
      </c>
      <c r="B77" s="1266" t="s">
        <v>262</v>
      </c>
      <c r="C77" s="799" t="s">
        <v>262</v>
      </c>
      <c r="D77" s="800"/>
      <c r="E77" s="800" t="s">
        <v>262</v>
      </c>
      <c r="F77" s="800" t="s">
        <v>262</v>
      </c>
      <c r="G77" s="1266" t="s">
        <v>262</v>
      </c>
      <c r="H77" s="800" t="s">
        <v>262</v>
      </c>
      <c r="I77" s="800" t="s">
        <v>262</v>
      </c>
      <c r="J77" s="1280" t="s">
        <v>262</v>
      </c>
      <c r="K77" s="1281" t="s">
        <v>262</v>
      </c>
      <c r="L77" s="1279"/>
    </row>
    <row r="78" spans="1:12" x14ac:dyDescent="0.2">
      <c r="A78" s="1265" t="s">
        <v>291</v>
      </c>
      <c r="B78" s="72">
        <v>1847770</v>
      </c>
      <c r="C78" s="73">
        <v>1761472</v>
      </c>
      <c r="D78" s="74">
        <v>57187</v>
      </c>
      <c r="E78" s="74">
        <v>4184</v>
      </c>
      <c r="F78" s="74">
        <v>24927</v>
      </c>
      <c r="G78" s="72">
        <v>1675967</v>
      </c>
      <c r="H78" s="74">
        <v>1577360</v>
      </c>
      <c r="I78" s="74">
        <v>31915</v>
      </c>
      <c r="J78" s="75">
        <v>66692</v>
      </c>
      <c r="K78" s="76">
        <v>171804</v>
      </c>
      <c r="L78" s="1279">
        <f>I78/TableA10b!D77</f>
        <v>0.22067415730337078</v>
      </c>
    </row>
    <row r="79" spans="1:12" x14ac:dyDescent="0.2">
      <c r="A79" s="1267" t="s">
        <v>29</v>
      </c>
      <c r="B79" s="1268">
        <v>198859</v>
      </c>
      <c r="C79" s="794">
        <v>183124</v>
      </c>
      <c r="D79" s="795">
        <v>11476</v>
      </c>
      <c r="E79" s="795">
        <v>-1237</v>
      </c>
      <c r="F79" s="795">
        <v>5497</v>
      </c>
      <c r="G79" s="1268">
        <v>179205</v>
      </c>
      <c r="H79" s="795">
        <v>161239</v>
      </c>
      <c r="I79" s="795">
        <v>3528</v>
      </c>
      <c r="J79" s="1282">
        <v>14437</v>
      </c>
      <c r="K79" s="1283">
        <v>19654</v>
      </c>
      <c r="L79" s="1279">
        <f>I79/TableA10b!D78</f>
        <v>0.25124626121635096</v>
      </c>
    </row>
    <row r="80" spans="1:12" x14ac:dyDescent="0.2">
      <c r="A80" s="1267" t="s">
        <v>66</v>
      </c>
      <c r="B80" s="1268">
        <v>351822</v>
      </c>
      <c r="C80" s="794">
        <v>343031</v>
      </c>
      <c r="D80" s="795">
        <v>4180</v>
      </c>
      <c r="E80" s="795">
        <v>53</v>
      </c>
      <c r="F80" s="795">
        <v>4558</v>
      </c>
      <c r="G80" s="1268">
        <v>326138</v>
      </c>
      <c r="H80" s="795">
        <v>308745</v>
      </c>
      <c r="I80" s="795" t="s">
        <v>283</v>
      </c>
      <c r="J80" s="1282" t="s">
        <v>283</v>
      </c>
      <c r="K80" s="1283">
        <v>25684</v>
      </c>
      <c r="L80" s="1279"/>
    </row>
    <row r="81" spans="1:12" x14ac:dyDescent="0.2">
      <c r="A81" s="1267" t="s">
        <v>91</v>
      </c>
      <c r="B81" s="1268">
        <v>154650</v>
      </c>
      <c r="C81" s="794">
        <v>142981</v>
      </c>
      <c r="D81" s="795">
        <v>8607</v>
      </c>
      <c r="E81" s="795">
        <v>1210</v>
      </c>
      <c r="F81" s="795">
        <v>1852</v>
      </c>
      <c r="G81" s="1268">
        <v>138351</v>
      </c>
      <c r="H81" s="795">
        <v>132854</v>
      </c>
      <c r="I81" s="795">
        <v>1372</v>
      </c>
      <c r="J81" s="1282">
        <v>4126</v>
      </c>
      <c r="K81" s="1283">
        <v>16299</v>
      </c>
      <c r="L81" s="1279">
        <f>I81/TableA10b!D80</f>
        <v>0.17457691818297494</v>
      </c>
    </row>
    <row r="82" spans="1:12" x14ac:dyDescent="0.2">
      <c r="A82" s="1267" t="s">
        <v>69</v>
      </c>
      <c r="B82" s="1268">
        <v>79260</v>
      </c>
      <c r="C82" s="794">
        <v>76881</v>
      </c>
      <c r="D82" s="795">
        <v>186</v>
      </c>
      <c r="E82" s="795">
        <v>617</v>
      </c>
      <c r="F82" s="795">
        <v>1575</v>
      </c>
      <c r="G82" s="1268">
        <v>74288</v>
      </c>
      <c r="H82" s="795">
        <v>68832</v>
      </c>
      <c r="I82" s="795">
        <v>2763</v>
      </c>
      <c r="J82" s="1282">
        <v>2693</v>
      </c>
      <c r="K82" s="1283">
        <v>4972</v>
      </c>
      <c r="L82" s="1279">
        <f>I82/TableA10b!D81</f>
        <v>0.39864377434713605</v>
      </c>
    </row>
    <row r="83" spans="1:12" x14ac:dyDescent="0.2">
      <c r="A83" s="1267" t="s">
        <v>292</v>
      </c>
      <c r="B83" s="1268">
        <v>32267</v>
      </c>
      <c r="C83" s="794">
        <v>29625</v>
      </c>
      <c r="D83" s="795">
        <v>2281</v>
      </c>
      <c r="E83" s="795">
        <v>238</v>
      </c>
      <c r="F83" s="800">
        <v>122</v>
      </c>
      <c r="G83" s="1266">
        <v>26148</v>
      </c>
      <c r="H83" s="800">
        <v>22600</v>
      </c>
      <c r="I83" s="795" t="s">
        <v>283</v>
      </c>
      <c r="J83" s="1282" t="s">
        <v>283</v>
      </c>
      <c r="K83" s="1283">
        <v>6118</v>
      </c>
      <c r="L83" s="1279"/>
    </row>
    <row r="84" spans="1:12" x14ac:dyDescent="0.2">
      <c r="A84" s="1267" t="s">
        <v>46</v>
      </c>
      <c r="B84" s="1268">
        <v>242992</v>
      </c>
      <c r="C84" s="794">
        <v>233748</v>
      </c>
      <c r="D84" s="795">
        <v>5321</v>
      </c>
      <c r="E84" s="795">
        <v>911</v>
      </c>
      <c r="F84" s="795">
        <v>3013</v>
      </c>
      <c r="G84" s="1268">
        <v>223445</v>
      </c>
      <c r="H84" s="795">
        <v>207071</v>
      </c>
      <c r="I84" s="795" t="s">
        <v>283</v>
      </c>
      <c r="J84" s="1282" t="s">
        <v>283</v>
      </c>
      <c r="K84" s="1283">
        <v>19547</v>
      </c>
      <c r="L84" s="1279"/>
    </row>
    <row r="85" spans="1:12" x14ac:dyDescent="0.2">
      <c r="A85" s="1267" t="s">
        <v>308</v>
      </c>
      <c r="B85" s="1268">
        <v>76428</v>
      </c>
      <c r="C85" s="794">
        <v>74499</v>
      </c>
      <c r="D85" s="795">
        <v>355</v>
      </c>
      <c r="E85" s="795">
        <v>793</v>
      </c>
      <c r="F85" s="795">
        <v>781</v>
      </c>
      <c r="G85" s="1268">
        <v>71440</v>
      </c>
      <c r="H85" s="795">
        <v>66615</v>
      </c>
      <c r="I85" s="795">
        <v>1253</v>
      </c>
      <c r="J85" s="1282">
        <v>3572</v>
      </c>
      <c r="K85" s="1283">
        <v>4988</v>
      </c>
      <c r="L85" s="1279">
        <f>I85/TableA10b!D84</f>
        <v>0.24602395444728059</v>
      </c>
    </row>
    <row r="86" spans="1:12" x14ac:dyDescent="0.2">
      <c r="A86" s="1267" t="s">
        <v>293</v>
      </c>
      <c r="B86" s="1268">
        <v>53911</v>
      </c>
      <c r="C86" s="794">
        <v>51413</v>
      </c>
      <c r="D86" s="795">
        <v>1597</v>
      </c>
      <c r="E86" s="795">
        <v>632</v>
      </c>
      <c r="F86" s="795">
        <v>270</v>
      </c>
      <c r="G86" s="1268">
        <v>46952</v>
      </c>
      <c r="H86" s="795">
        <v>45017</v>
      </c>
      <c r="I86" s="795" t="s">
        <v>283</v>
      </c>
      <c r="J86" s="1282" t="s">
        <v>283</v>
      </c>
      <c r="K86" s="1283">
        <v>6960</v>
      </c>
      <c r="L86" s="1279"/>
    </row>
    <row r="87" spans="1:12" x14ac:dyDescent="0.2">
      <c r="A87" s="1267" t="s">
        <v>52</v>
      </c>
      <c r="B87" s="1268">
        <v>17722</v>
      </c>
      <c r="C87" s="794">
        <v>17276</v>
      </c>
      <c r="D87" s="795">
        <v>107</v>
      </c>
      <c r="E87" s="795">
        <v>-66</v>
      </c>
      <c r="F87" s="795">
        <v>406</v>
      </c>
      <c r="G87" s="1268">
        <v>16383</v>
      </c>
      <c r="H87" s="795">
        <v>15471</v>
      </c>
      <c r="I87" s="795" t="s">
        <v>283</v>
      </c>
      <c r="J87" s="1282" t="s">
        <v>283</v>
      </c>
      <c r="K87" s="1283">
        <v>1339</v>
      </c>
      <c r="L87" s="1279"/>
    </row>
    <row r="88" spans="1:12" x14ac:dyDescent="0.2">
      <c r="A88" s="1267" t="s">
        <v>294</v>
      </c>
      <c r="B88" s="1268">
        <v>23780</v>
      </c>
      <c r="C88" s="794">
        <v>22488</v>
      </c>
      <c r="D88" s="795">
        <v>790</v>
      </c>
      <c r="E88" s="795">
        <v>320</v>
      </c>
      <c r="F88" s="795">
        <v>183</v>
      </c>
      <c r="G88" s="1268">
        <v>21020</v>
      </c>
      <c r="H88" s="795">
        <v>19946</v>
      </c>
      <c r="I88" s="795">
        <v>460</v>
      </c>
      <c r="J88" s="1282">
        <v>615</v>
      </c>
      <c r="K88" s="1283">
        <v>2760</v>
      </c>
      <c r="L88" s="1279">
        <f>I88/TableA10b!D87</f>
        <v>0.21800947867298578</v>
      </c>
    </row>
    <row r="89" spans="1:12" x14ac:dyDescent="0.2">
      <c r="A89" s="1267" t="s">
        <v>102</v>
      </c>
      <c r="B89" s="1268">
        <v>477624</v>
      </c>
      <c r="C89" s="794">
        <v>450946</v>
      </c>
      <c r="D89" s="795">
        <v>20988</v>
      </c>
      <c r="E89" s="795">
        <v>195</v>
      </c>
      <c r="F89" s="795">
        <v>5495</v>
      </c>
      <c r="G89" s="1268">
        <v>429474</v>
      </c>
      <c r="H89" s="795">
        <v>412448</v>
      </c>
      <c r="I89" s="795">
        <v>1931</v>
      </c>
      <c r="J89" s="1282">
        <v>15095</v>
      </c>
      <c r="K89" s="1283">
        <v>48150</v>
      </c>
      <c r="L89" s="1279">
        <f>I89/TableA10b!D88</f>
        <v>6.6816608996539795E-2</v>
      </c>
    </row>
    <row r="90" spans="1:12" x14ac:dyDescent="0.2">
      <c r="A90" s="1267" t="s">
        <v>295</v>
      </c>
      <c r="B90" s="1268">
        <v>39636</v>
      </c>
      <c r="C90" s="794">
        <v>38691</v>
      </c>
      <c r="D90" s="795"/>
      <c r="E90" s="795">
        <v>250</v>
      </c>
      <c r="F90" s="795">
        <v>343</v>
      </c>
      <c r="G90" s="1268">
        <v>36345</v>
      </c>
      <c r="H90" s="795">
        <v>34198</v>
      </c>
      <c r="I90" s="795">
        <v>559</v>
      </c>
      <c r="J90" s="1282">
        <v>1588</v>
      </c>
      <c r="K90" s="1283">
        <v>3292</v>
      </c>
      <c r="L90" s="1279">
        <f>I90/TableA10b!D89</f>
        <v>0.17205293936595875</v>
      </c>
    </row>
    <row r="91" spans="1:12" x14ac:dyDescent="0.2">
      <c r="A91" s="1267" t="s">
        <v>296</v>
      </c>
      <c r="B91" s="1268">
        <v>63793</v>
      </c>
      <c r="C91" s="794">
        <v>62792</v>
      </c>
      <c r="D91" s="795">
        <v>298</v>
      </c>
      <c r="E91" s="795">
        <v>430</v>
      </c>
      <c r="F91" s="795">
        <v>273</v>
      </c>
      <c r="G91" s="1268">
        <v>58217</v>
      </c>
      <c r="H91" s="795">
        <v>55782</v>
      </c>
      <c r="I91" s="795" t="s">
        <v>283</v>
      </c>
      <c r="J91" s="1282" t="s">
        <v>283</v>
      </c>
      <c r="K91" s="1283">
        <v>5576</v>
      </c>
      <c r="L91" s="1279"/>
    </row>
    <row r="92" spans="1:12" x14ac:dyDescent="0.2">
      <c r="A92" s="1267" t="s">
        <v>272</v>
      </c>
      <c r="B92" s="1268">
        <v>35025</v>
      </c>
      <c r="C92" s="794">
        <v>33978</v>
      </c>
      <c r="D92" s="795"/>
      <c r="E92" s="795">
        <v>-161</v>
      </c>
      <c r="F92" s="800">
        <v>557</v>
      </c>
      <c r="G92" s="1266">
        <v>28561</v>
      </c>
      <c r="H92" s="800">
        <v>26540</v>
      </c>
      <c r="I92" s="795" t="s">
        <v>283</v>
      </c>
      <c r="J92" s="1282" t="s">
        <v>283</v>
      </c>
      <c r="K92" s="1283">
        <v>6464</v>
      </c>
      <c r="L92" s="1279"/>
    </row>
    <row r="93" spans="1:12" x14ac:dyDescent="0.2">
      <c r="A93" s="1265" t="s">
        <v>262</v>
      </c>
      <c r="B93" s="1266" t="s">
        <v>262</v>
      </c>
      <c r="C93" s="799" t="s">
        <v>262</v>
      </c>
      <c r="D93" s="800"/>
      <c r="E93" s="800" t="s">
        <v>262</v>
      </c>
      <c r="F93" s="800" t="s">
        <v>262</v>
      </c>
      <c r="G93" s="1266" t="s">
        <v>262</v>
      </c>
      <c r="H93" s="800" t="s">
        <v>262</v>
      </c>
      <c r="I93" s="800" t="s">
        <v>262</v>
      </c>
      <c r="J93" s="1280" t="s">
        <v>262</v>
      </c>
      <c r="K93" s="1281" t="s">
        <v>262</v>
      </c>
      <c r="L93" s="1279"/>
    </row>
    <row r="94" spans="1:12" x14ac:dyDescent="0.2">
      <c r="A94" s="1265" t="s">
        <v>297</v>
      </c>
      <c r="B94" s="1266" t="s">
        <v>262</v>
      </c>
      <c r="C94" s="799" t="s">
        <v>262</v>
      </c>
      <c r="D94" s="800"/>
      <c r="E94" s="800" t="s">
        <v>262</v>
      </c>
      <c r="F94" s="800" t="s">
        <v>262</v>
      </c>
      <c r="G94" s="1266" t="s">
        <v>262</v>
      </c>
      <c r="H94" s="800" t="s">
        <v>262</v>
      </c>
      <c r="I94" s="800" t="s">
        <v>262</v>
      </c>
      <c r="J94" s="1280" t="s">
        <v>262</v>
      </c>
      <c r="K94" s="1281" t="s">
        <v>262</v>
      </c>
      <c r="L94" s="1279"/>
    </row>
    <row r="95" spans="1:12" x14ac:dyDescent="0.2">
      <c r="A95" s="1267" t="s">
        <v>298</v>
      </c>
      <c r="B95" s="1268">
        <v>3054598</v>
      </c>
      <c r="C95" s="794">
        <v>2520897</v>
      </c>
      <c r="D95" s="795">
        <v>400417</v>
      </c>
      <c r="E95" s="795">
        <v>15861</v>
      </c>
      <c r="F95" s="795">
        <v>117423</v>
      </c>
      <c r="G95" s="1268">
        <v>2510289</v>
      </c>
      <c r="H95" s="795">
        <v>2250704</v>
      </c>
      <c r="I95" s="795">
        <v>36817</v>
      </c>
      <c r="J95" s="1282">
        <v>222769</v>
      </c>
      <c r="K95" s="1283">
        <v>544308</v>
      </c>
      <c r="L95" s="1279">
        <f>I95/TableA10b!D94</f>
        <v>0.22059449127915687</v>
      </c>
    </row>
    <row r="96" spans="1:12" ht="17" thickBot="1" x14ac:dyDescent="0.25">
      <c r="A96" s="1270" t="s">
        <v>299</v>
      </c>
      <c r="B96" s="1271">
        <v>139650</v>
      </c>
      <c r="C96" s="1272">
        <v>114884</v>
      </c>
      <c r="D96" s="1273">
        <v>25520</v>
      </c>
      <c r="E96" s="1273">
        <v>-1550</v>
      </c>
      <c r="F96" s="1273">
        <v>796</v>
      </c>
      <c r="G96" s="1271">
        <v>104324</v>
      </c>
      <c r="H96" s="1273">
        <v>80870</v>
      </c>
      <c r="I96" s="1273">
        <v>18040</v>
      </c>
      <c r="J96" s="1284">
        <v>5414</v>
      </c>
      <c r="K96" s="1285">
        <v>35326</v>
      </c>
      <c r="L96" s="1286">
        <f>I96/TableA10b!D95</f>
        <v>0.59575311251279683</v>
      </c>
    </row>
    <row r="97" spans="1:12" ht="17" thickTop="1" x14ac:dyDescent="0.2">
      <c r="A97" s="1275"/>
      <c r="B97" s="1275"/>
      <c r="C97" s="1275"/>
      <c r="D97" s="1275"/>
      <c r="E97" s="1275"/>
      <c r="F97" s="1275"/>
      <c r="G97" s="1275"/>
      <c r="H97" s="1275"/>
      <c r="I97" s="1275"/>
      <c r="J97" s="1275"/>
      <c r="K97" s="1275"/>
      <c r="L97" s="1275"/>
    </row>
    <row r="99" spans="1:12" x14ac:dyDescent="0.2">
      <c r="A99" s="1275" t="s">
        <v>322</v>
      </c>
      <c r="B99" s="1287">
        <f t="shared" ref="B99:G99" si="0">B26+B27+B24+B35+B59+B89</f>
        <v>2260756</v>
      </c>
      <c r="C99" s="1287">
        <f t="shared" si="0"/>
        <v>1649877</v>
      </c>
      <c r="D99" s="1287">
        <f t="shared" si="0"/>
        <v>501582</v>
      </c>
      <c r="E99" s="1287">
        <f t="shared" si="0"/>
        <v>22277</v>
      </c>
      <c r="F99" s="1287">
        <f t="shared" si="0"/>
        <v>87022</v>
      </c>
      <c r="G99" s="1287">
        <f t="shared" si="0"/>
        <v>1566702</v>
      </c>
      <c r="H99" s="1287">
        <f>H26+H27+H24+H35+H59+H89</f>
        <v>1382099</v>
      </c>
      <c r="I99" s="1287">
        <f>I26+I27+I24+I35+I59+I89</f>
        <v>15375.694718603889</v>
      </c>
      <c r="J99" s="1287" t="e">
        <f>J26+J27+J24+J35+J59+J89</f>
        <v>#VALUE!</v>
      </c>
      <c r="K99" s="1287">
        <f>K26+K27+K24+K35+K59+K89</f>
        <v>694054</v>
      </c>
      <c r="L99" s="1288">
        <f>I99/(K99+I99-D99-E99)</f>
        <v>8.2856265327450121E-2</v>
      </c>
    </row>
    <row r="100" spans="1:12" x14ac:dyDescent="0.2">
      <c r="A100" s="1275" t="s">
        <v>323</v>
      </c>
      <c r="B100" s="1287">
        <f>B13-B26-B27-B24-B35-B29</f>
        <v>2117133</v>
      </c>
      <c r="C100" s="1287">
        <f t="shared" ref="C100:K100" si="1">C13-C26-C27-C24-C35-C29</f>
        <v>1948082</v>
      </c>
      <c r="D100" s="1287">
        <f t="shared" si="1"/>
        <v>115225</v>
      </c>
      <c r="E100" s="1287">
        <f t="shared" si="1"/>
        <v>970</v>
      </c>
      <c r="F100" s="1287">
        <f t="shared" si="1"/>
        <v>59120</v>
      </c>
      <c r="G100" s="1287">
        <f t="shared" si="1"/>
        <v>1941210</v>
      </c>
      <c r="H100" s="1287">
        <f t="shared" si="1"/>
        <v>1784002</v>
      </c>
      <c r="I100" s="1287" t="e">
        <f t="shared" si="1"/>
        <v>#VALUE!</v>
      </c>
      <c r="J100" s="1287" t="e">
        <f t="shared" si="1"/>
        <v>#VALUE!</v>
      </c>
      <c r="K100" s="1287">
        <f t="shared" si="1"/>
        <v>175923</v>
      </c>
      <c r="L100" s="1290"/>
    </row>
    <row r="101" spans="1:12" x14ac:dyDescent="0.2">
      <c r="A101" s="1275" t="s">
        <v>324</v>
      </c>
      <c r="B101" s="1287">
        <f t="shared" ref="B101:H101" si="2">B82+B80+B83+B85+B42</f>
        <v>931307</v>
      </c>
      <c r="C101" s="1287">
        <f t="shared" si="2"/>
        <v>905819</v>
      </c>
      <c r="D101" s="1287">
        <f t="shared" si="2"/>
        <v>7002</v>
      </c>
      <c r="E101" s="1287">
        <f t="shared" si="2"/>
        <v>-1393</v>
      </c>
      <c r="F101" s="1287">
        <f t="shared" si="2"/>
        <v>12906</v>
      </c>
      <c r="G101" s="1287">
        <f t="shared" si="2"/>
        <v>872528</v>
      </c>
      <c r="H101" s="1287">
        <f t="shared" si="2"/>
        <v>813966</v>
      </c>
      <c r="I101" s="1287" t="e">
        <f>I82+I80+I83+I85+I42</f>
        <v>#VALUE!</v>
      </c>
      <c r="J101" s="1287" t="e">
        <f>J82+J80+J83+J85+J42</f>
        <v>#VALUE!</v>
      </c>
      <c r="K101" s="1287">
        <f>K82+K80+K83+K85+K42</f>
        <v>58778</v>
      </c>
      <c r="L101" s="1290"/>
    </row>
  </sheetData>
  <mergeCells count="6">
    <mergeCell ref="A3:L3"/>
    <mergeCell ref="B6:K6"/>
    <mergeCell ref="L6:L8"/>
    <mergeCell ref="B7:F7"/>
    <mergeCell ref="G7:J7"/>
    <mergeCell ref="K7:K8"/>
  </mergeCells>
  <pageMargins left="0.7" right="0.7" top="0.75" bottom="0.75" header="0.3" footer="0.3"/>
  <pageSetup scale="46" orientation="portrait" horizontalDpi="300" verticalDpi="300"/>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5CEDB-115E-654B-940D-76CF01C79105}">
  <sheetPr>
    <pageSetUpPr fitToPage="1"/>
  </sheetPr>
  <dimension ref="B1:R20"/>
  <sheetViews>
    <sheetView zoomScale="50" zoomScaleNormal="50" zoomScalePageLayoutView="50" workbookViewId="0">
      <pane xSplit="2" ySplit="3" topLeftCell="C4" activePane="bottomRight" state="frozen"/>
      <selection pane="topRight" activeCell="B1" sqref="B1"/>
      <selection pane="bottomLeft" activeCell="A2" sqref="A2"/>
      <selection pane="bottomRight" activeCell="B2" sqref="B2:I2"/>
    </sheetView>
  </sheetViews>
  <sheetFormatPr baseColWidth="10" defaultColWidth="10.83203125" defaultRowHeight="16" x14ac:dyDescent="0.2"/>
  <cols>
    <col min="1" max="1" width="10.83203125" style="1888"/>
    <col min="2" max="2" width="47.83203125" style="1888" customWidth="1"/>
    <col min="3" max="7" width="20.5" style="1888" customWidth="1"/>
    <col min="8" max="8" width="23.5" style="1888" customWidth="1"/>
    <col min="9" max="9" width="19.5" style="1888" bestFit="1" customWidth="1"/>
    <col min="10" max="10" width="10.83203125" style="1888"/>
    <col min="11" max="11" width="20.83203125" style="1888" bestFit="1" customWidth="1"/>
    <col min="12" max="16384" width="10.83203125" style="1888"/>
  </cols>
  <sheetData>
    <row r="1" spans="2:18" ht="17" thickBot="1" x14ac:dyDescent="0.25"/>
    <row r="2" spans="2:18" ht="99" customHeight="1" thickTop="1" x14ac:dyDescent="0.2">
      <c r="B2" s="2144" t="s">
        <v>1146</v>
      </c>
      <c r="C2" s="2144"/>
      <c r="D2" s="2144"/>
      <c r="E2" s="2144"/>
      <c r="F2" s="2144"/>
      <c r="G2" s="2144"/>
      <c r="H2" s="2144"/>
      <c r="I2" s="2144"/>
    </row>
    <row r="3" spans="2:18" s="1889" customFormat="1" ht="175" customHeight="1" x14ac:dyDescent="0.2">
      <c r="B3" s="1895"/>
      <c r="C3" s="1896" t="s">
        <v>1145</v>
      </c>
      <c r="D3" s="1897" t="s">
        <v>1144</v>
      </c>
      <c r="E3" s="1897" t="s">
        <v>1143</v>
      </c>
      <c r="F3" s="1896" t="s">
        <v>1142</v>
      </c>
      <c r="G3" s="1895" t="s">
        <v>1141</v>
      </c>
      <c r="H3" s="1895" t="s">
        <v>1140</v>
      </c>
      <c r="I3" s="1896" t="s">
        <v>1139</v>
      </c>
    </row>
    <row r="4" spans="2:18" ht="30" x14ac:dyDescent="0.3">
      <c r="B4" s="1898" t="str">
        <f>TableA1!$A12</f>
        <v>Belgium</v>
      </c>
      <c r="C4" s="1899">
        <f>VLOOKUP($B4,TableA6!$A$9:$L$91,2,)</f>
        <v>80.241889758299209</v>
      </c>
      <c r="D4" s="1900">
        <f>VLOOKUP($B4,TableA6!$A$9:$L$91,11,)</f>
        <v>48.035141815518401</v>
      </c>
      <c r="E4" s="1900">
        <f>VLOOKUP($B4,TableA6!$A$9:$L$91,5,)</f>
        <v>32.206747942780808</v>
      </c>
      <c r="F4" s="1899">
        <f>-VLOOKUP(B4,TableA7!$A$9:$P$91,16,)</f>
        <v>-13.106870602869716</v>
      </c>
      <c r="G4" s="1901">
        <f>VLOOKUP($B4,TableA6!$A$9:$L$91,12,)</f>
        <v>0.18742426983704405</v>
      </c>
      <c r="H4" s="1902">
        <v>0.15960156624970104</v>
      </c>
      <c r="I4" s="1903">
        <f t="shared" ref="I4:I16" si="0">F4/C4</f>
        <v>-0.16334199808042416</v>
      </c>
    </row>
    <row r="5" spans="2:18" ht="30" x14ac:dyDescent="0.3">
      <c r="B5" s="1898" t="str">
        <f>TableA1!$A24</f>
        <v>Ireland</v>
      </c>
      <c r="C5" s="1899">
        <f>VLOOKUP($B5,TableA6!$A$9:$L$91,2,)</f>
        <v>174.30510209753976</v>
      </c>
      <c r="D5" s="1900">
        <f>VLOOKUP($B5,TableA6!$A$9:$L$91,11,)</f>
        <v>58.031972841329662</v>
      </c>
      <c r="E5" s="1900">
        <f>VLOOKUP($B5,TableA6!$A$9:$L$91,5,)</f>
        <v>116.2731292562101</v>
      </c>
      <c r="F5" s="1899">
        <f>-VLOOKUP(B5,TableA7!$A$9:$P$91,16,)</f>
        <v>-106.3289638729139</v>
      </c>
      <c r="G5" s="1901">
        <f>VLOOKUP($B5,TableA6!$A$9:$L$91,12,)</f>
        <v>4.3730990037364761E-2</v>
      </c>
      <c r="H5" s="1902">
        <v>0.57743248093138921</v>
      </c>
      <c r="I5" s="1903">
        <f t="shared" si="0"/>
        <v>-0.61001635978167212</v>
      </c>
    </row>
    <row r="6" spans="2:18" ht="30" x14ac:dyDescent="0.3">
      <c r="B6" s="1898" t="str">
        <f>TableA1!$A30</f>
        <v>Luxembourg</v>
      </c>
      <c r="C6" s="1899">
        <f>VLOOKUP($B6,TableA6!$A$9:$L$91,2,)</f>
        <v>91.027431841444567</v>
      </c>
      <c r="D6" s="1900">
        <f>VLOOKUP($B6,TableA6!$A$9:$L$91,11,)</f>
        <v>39.722599658914945</v>
      </c>
      <c r="E6" s="1900">
        <f>VLOOKUP($B6,TableA6!$A$9:$L$91,5,)</f>
        <v>51.304832182529623</v>
      </c>
      <c r="F6" s="1899">
        <f>-VLOOKUP(B6,TableA7!$A$9:$P$91,16,)</f>
        <v>-46.799572185855702</v>
      </c>
      <c r="G6" s="1901">
        <f>VLOOKUP($B6,TableA6!$A$9:$L$91,12,)</f>
        <v>2.7963025736591773E-2</v>
      </c>
      <c r="H6" s="1902">
        <v>0.50414994247910705</v>
      </c>
      <c r="I6" s="1903">
        <f t="shared" si="0"/>
        <v>-0.5141260303528411</v>
      </c>
    </row>
    <row r="7" spans="2:18" ht="30" x14ac:dyDescent="0.3">
      <c r="B7" s="1898" t="s">
        <v>96</v>
      </c>
      <c r="C7" s="1899">
        <f>VLOOKUP($B7,TableA6!$A$9:$L$91,2,)</f>
        <v>13.646495114506827</v>
      </c>
      <c r="D7" s="1900">
        <f>VLOOKUP($B7,TableA6!$A$9:$L$91,11,)</f>
        <v>0.79144089380624261</v>
      </c>
      <c r="E7" s="1900">
        <f>VLOOKUP($B7,TableA6!$A$9:$L$91,5,)</f>
        <v>12.855054220700584</v>
      </c>
      <c r="F7" s="1899">
        <f>-VLOOKUP(B7,TableA7!$A$9:$P$91,16,)</f>
        <v>-12.327426958163089</v>
      </c>
      <c r="G7" s="1901">
        <f>VLOOKUP($B7,TableA6!$A$9:$L$91,12,)</f>
        <v>4.7649291571561309E-2</v>
      </c>
      <c r="H7" s="1902">
        <v>0.90334015105889631</v>
      </c>
      <c r="I7" s="1903">
        <f t="shared" si="0"/>
        <v>-0.90334015105889642</v>
      </c>
    </row>
    <row r="8" spans="2:18" ht="30" x14ac:dyDescent="0.3">
      <c r="B8" s="1898" t="str">
        <f>TableA1!$A32</f>
        <v>Netherlands</v>
      </c>
      <c r="C8" s="1899">
        <f>VLOOKUP($B8,TableA6!$A$9:$L$91,2,)</f>
        <v>195.09598848383817</v>
      </c>
      <c r="D8" s="1900">
        <f>VLOOKUP($B8,TableA6!$A$9:$L$91,11,)</f>
        <v>105.76204146485456</v>
      </c>
      <c r="E8" s="1900">
        <f>VLOOKUP($B8,TableA6!$A$9:$L$91,5,)</f>
        <v>89.333947018983608</v>
      </c>
      <c r="F8" s="1899">
        <f>-VLOOKUP(B8,TableA7!$A$9:$P$91,16,)</f>
        <v>-57.353364287520073</v>
      </c>
      <c r="G8" s="1901">
        <f>VLOOKUP($B8,TableA6!$A$9:$L$91,12,)</f>
        <v>0.10484903843270543</v>
      </c>
      <c r="H8" s="1902">
        <v>0.3179544298480857</v>
      </c>
      <c r="I8" s="1903">
        <f t="shared" si="0"/>
        <v>-0.29397510801341387</v>
      </c>
    </row>
    <row r="9" spans="2:18" ht="30" x14ac:dyDescent="0.3">
      <c r="B9" s="1898" t="s">
        <v>1138</v>
      </c>
      <c r="C9" s="1899">
        <f>TableA6!$E$55+TableA6!$E$56+TableA6!$E$57+TableA6!$E$58+TableA6!$E$60+TableA6!$E$61+TableA6!$E$63+TableA6!$E$64+TableA6!$E$65+TableA6!$E$66+TableA6!$E$69+TableA6!$E$78+TableA6!$C$84+TableA6!$C$85+TableA6!$C$86+TableA6!$C$87+TableA6!$C$88</f>
        <v>102.24493064007694</v>
      </c>
      <c r="D9" s="1900">
        <f>C9-E9</f>
        <v>3.8664188443038086</v>
      </c>
      <c r="E9" s="1900">
        <f>TableA6!$E$55+TableA6!$E$56+TableA6!$E$57+TableA6!$E$58+TableA6!$E$60+TableA6!$E$61+TableA6!$E$63+TableA6!$E$64+TableA6!$E$65+TableA6!$E$66+TableA6!$E$69+TableA6!$E$78+TableA6!$E$84+TableA6!$E$85+TableA6!$E$86+TableA6!$E$87+TableA6!$E$88</f>
        <v>98.378511795773136</v>
      </c>
      <c r="F9" s="1899">
        <f>-(TableA7!$P$55+TableA7!$P$56+TableA7!$P$57+TableA7!$P$58+TableA7!$P$60+TableA7!$P$61+TableA7!$P$63+TableA7!$P$64+TableA7!$P$65+TableA7!$P$66+TableA7!$P$69+TableA7!$P$80+TableA7!$P$84+TableA7!$P$85+TableA7!$P$86+TableA7!$P$87+TableA7!$P$88)</f>
        <v>-96.73216830648569</v>
      </c>
      <c r="G9" s="1901">
        <v>0.02</v>
      </c>
      <c r="H9" s="1902">
        <v>1</v>
      </c>
      <c r="I9" s="1903">
        <f t="shared" si="0"/>
        <v>-0.94608278083734731</v>
      </c>
    </row>
    <row r="10" spans="2:18" ht="30" x14ac:dyDescent="0.3">
      <c r="B10" s="1898" t="s">
        <v>81</v>
      </c>
      <c r="C10" s="1899">
        <f>VLOOKUP($B10,TableA6!$A$9:$L$91,2,)</f>
        <v>25.438024032487199</v>
      </c>
      <c r="D10" s="1900">
        <f>VLOOKUP($B10,TableA6!$A$9:$L$91,11,)</f>
        <v>0.89240592903512039</v>
      </c>
      <c r="E10" s="1900">
        <f>VLOOKUP($B10,TableA6!$A$9:$L$91,5,)</f>
        <v>24.545618103452078</v>
      </c>
      <c r="F10" s="1899">
        <f>-VLOOKUP(B10,TableA7!$A$9:$P$91,16,)</f>
        <v>-23.950680817428665</v>
      </c>
      <c r="G10" s="1901">
        <f>VLOOKUP($B10,TableA6!$A$9:$L$91,12,)</f>
        <v>0</v>
      </c>
      <c r="H10" s="1902"/>
      <c r="I10" s="1903">
        <f t="shared" si="0"/>
        <v>-0.94153070957244833</v>
      </c>
    </row>
    <row r="11" spans="2:18" ht="30" x14ac:dyDescent="0.3">
      <c r="B11" s="1898" t="s">
        <v>102</v>
      </c>
      <c r="C11" s="1899">
        <f>VLOOKUP($B11,TableA6!$A$9:$L$91,2,)</f>
        <v>120.07387384516201</v>
      </c>
      <c r="D11" s="1900">
        <f>VLOOKUP($B11,TableA6!$A$9:$L$91,11,)</f>
        <v>29.794561305006578</v>
      </c>
      <c r="E11" s="1900">
        <f>VLOOKUP($B11,TableA6!$A$9:$L$91,5,)</f>
        <v>90.279312540155431</v>
      </c>
      <c r="F11" s="1899">
        <f>-VLOOKUP(B11,TableA7!$A$9:$P$91,16,)</f>
        <v>-70.416271670151048</v>
      </c>
      <c r="G11" s="1901">
        <f>VLOOKUP($B11,TableA6!$A$9:$L$91,12,)</f>
        <v>8.300833934937181E-2</v>
      </c>
      <c r="H11" s="1902">
        <v>0.40851319960697152</v>
      </c>
      <c r="I11" s="1903">
        <f t="shared" si="0"/>
        <v>-0.58644124167222611</v>
      </c>
    </row>
    <row r="12" spans="2:18" ht="30" x14ac:dyDescent="0.3">
      <c r="B12" s="1898" t="s">
        <v>108</v>
      </c>
      <c r="C12" s="1899">
        <f>VLOOKUP($B12,TableA6!$A$9:$L$91,2,)</f>
        <v>52.764834331533464</v>
      </c>
      <c r="D12" s="1900">
        <f>VLOOKUP($B12,TableA6!$A$9:$L$91,11,)</f>
        <v>9.8517915193119219</v>
      </c>
      <c r="E12" s="1900">
        <f>VLOOKUP($B12,TableA6!$A$9:$L$91,5,)</f>
        <v>42.913042812221541</v>
      </c>
      <c r="F12" s="1899">
        <f>-VLOOKUP(B12,TableA7!$A$9:$P$91,16,)</f>
        <v>-41.683062581236264</v>
      </c>
      <c r="G12" s="1901">
        <f>VLOOKUP($B12,TableA6!$A$9:$L$91,12,)</f>
        <v>3.2938604318924807E-2</v>
      </c>
      <c r="H12" s="1902">
        <v>0.78997808122227953</v>
      </c>
      <c r="I12" s="1903">
        <f t="shared" si="0"/>
        <v>-0.78997808122227953</v>
      </c>
    </row>
    <row r="13" spans="2:18" ht="30" x14ac:dyDescent="0.3">
      <c r="B13" s="1898" t="s">
        <v>91</v>
      </c>
      <c r="C13" s="1899">
        <f>VLOOKUP($B13,TableA6!$A$9:$L$91,2,)</f>
        <v>95.223967679643692</v>
      </c>
      <c r="D13" s="1900">
        <f>VLOOKUP($B13,TableA6!$A$9:$L$91,11,)</f>
        <v>44.867795494357466</v>
      </c>
      <c r="E13" s="1900">
        <f>VLOOKUP($B13,TableA6!$A$9:$L$91,5,)</f>
        <v>50.356172185286226</v>
      </c>
      <c r="F13" s="1899">
        <f>-VLOOKUP(B13,TableA7!$A$9:$P$91,16,)</f>
        <v>-39.035168909870336</v>
      </c>
      <c r="G13" s="1901">
        <f>VLOOKUP($B13,TableA6!$A$9:$L$91,12,)</f>
        <v>0.17659863513001625</v>
      </c>
      <c r="H13" s="1902">
        <v>0.33038854240582904</v>
      </c>
      <c r="I13" s="1903">
        <f t="shared" si="0"/>
        <v>-0.40993008232122846</v>
      </c>
      <c r="R13" s="1894"/>
    </row>
    <row r="14" spans="2:18" ht="30" x14ac:dyDescent="0.3">
      <c r="B14" s="1898" t="s">
        <v>60</v>
      </c>
      <c r="C14" s="1899">
        <f>VLOOKUP($B14,TableA6!$A$9:$L$91,2,)</f>
        <v>94.889238877326122</v>
      </c>
      <c r="D14" s="1900">
        <f>VLOOKUP($B14,TableA6!$A$9:$L$91,11,)</f>
        <v>34.576111736785066</v>
      </c>
      <c r="E14" s="1900">
        <f>VLOOKUP($B14,TableA6!$A$9:$L$91,5,)</f>
        <v>60.313127140541056</v>
      </c>
      <c r="F14" s="1899">
        <f>-VLOOKUP(B14,TableA7!$A$9:$P$91,16,)</f>
        <v>-58.152724672949248</v>
      </c>
      <c r="G14" s="1901">
        <f>VLOOKUP($B14,TableA6!$A$9:$L$91,12,)</f>
        <v>0.21188216848158226</v>
      </c>
      <c r="H14" s="1902">
        <v>0.20104419648279911</v>
      </c>
      <c r="I14" s="1903">
        <f t="shared" si="0"/>
        <v>-0.6128484679714814</v>
      </c>
    </row>
    <row r="15" spans="2:18" ht="30" x14ac:dyDescent="0.3">
      <c r="B15" s="1898" t="s">
        <v>272</v>
      </c>
      <c r="C15" s="1899">
        <f>TableA6!$B$53-C9-C10-C11-C12-C13-C7</f>
        <v>76.360135496271937</v>
      </c>
      <c r="D15" s="1900">
        <f>TableA6!$K$53-D9-D10-D11-D12-D13-D7</f>
        <v>16.046306788128465</v>
      </c>
      <c r="E15" s="1900">
        <f>TableA6!$E$53-E9-E10-E11-E12-E13-E7</f>
        <v>60.313828708143532</v>
      </c>
      <c r="F15" s="1899">
        <f>-TableA7!$P$91-SUM(F4:F14)</f>
        <v>-50.575354983473517</v>
      </c>
      <c r="G15" s="1901">
        <f>TableA6!$L$53</f>
        <v>7.00691340466289E-2</v>
      </c>
      <c r="H15" s="1902"/>
      <c r="I15" s="1903">
        <f t="shared" si="0"/>
        <v>-0.66232667942217982</v>
      </c>
    </row>
    <row r="16" spans="2:18" ht="31" thickBot="1" x14ac:dyDescent="0.35">
      <c r="B16" s="1904" t="s">
        <v>1137</v>
      </c>
      <c r="C16" s="1905">
        <f>SUM(C4:C15)</f>
        <v>1121.3119121981299</v>
      </c>
      <c r="D16" s="1906">
        <f>SUM(D4:D15)</f>
        <v>392.2385882913523</v>
      </c>
      <c r="E16" s="1906">
        <f>SUM(E4:E15)</f>
        <v>729.07332390677766</v>
      </c>
      <c r="F16" s="1905">
        <f>SUM(F4:F15)</f>
        <v>-616.46162984891726</v>
      </c>
      <c r="G16" s="1907"/>
      <c r="H16" s="1908"/>
      <c r="I16" s="1909">
        <f t="shared" si="0"/>
        <v>-0.54976819843147418</v>
      </c>
    </row>
    <row r="17" spans="2:8" ht="17" thickTop="1" x14ac:dyDescent="0.2"/>
    <row r="18" spans="2:8" ht="40" customHeight="1" x14ac:dyDescent="0.35">
      <c r="B18" s="1890"/>
      <c r="C18" s="1891"/>
      <c r="D18" s="1891"/>
      <c r="E18" s="1891"/>
      <c r="F18" s="1891"/>
      <c r="G18" s="1892"/>
      <c r="H18" s="1893"/>
    </row>
    <row r="19" spans="2:8" ht="33" x14ac:dyDescent="0.35">
      <c r="B19" s="1890"/>
      <c r="C19" s="1891"/>
      <c r="D19" s="1891"/>
      <c r="E19" s="1891"/>
      <c r="F19" s="1891"/>
      <c r="G19" s="1891"/>
    </row>
    <row r="20" spans="2:8" ht="33" x14ac:dyDescent="0.35">
      <c r="C20" s="1891"/>
      <c r="D20" s="1891"/>
      <c r="E20" s="1891"/>
      <c r="F20" s="1891"/>
      <c r="G20" s="1891"/>
    </row>
  </sheetData>
  <mergeCells count="1">
    <mergeCell ref="B2:I2"/>
  </mergeCells>
  <pageMargins left="0.75" right="0.75" top="1" bottom="1" header="0.5" footer="0.5"/>
  <pageSetup scale="55"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97"/>
  <sheetViews>
    <sheetView topLeftCell="B3" workbookViewId="0">
      <pane xSplit="1" ySplit="8" topLeftCell="C11" activePane="bottomRight" state="frozen"/>
      <selection pane="topRight" activeCell="Q8" sqref="Q8"/>
      <selection pane="bottomLeft" activeCell="Q8" sqref="Q8"/>
      <selection pane="bottomRight" activeCell="B4" sqref="B4:K4"/>
    </sheetView>
  </sheetViews>
  <sheetFormatPr baseColWidth="10" defaultColWidth="7.6640625" defaultRowHeight="13" x14ac:dyDescent="0.15"/>
  <cols>
    <col min="1" max="1" width="7.6640625" style="145" hidden="1" customWidth="1"/>
    <col min="2" max="2" width="18.5" style="145" customWidth="1"/>
    <col min="3" max="11" width="12.83203125" style="145" customWidth="1"/>
    <col min="12" max="14" width="7.6640625" style="145"/>
    <col min="15" max="15" width="7.6640625" style="759"/>
    <col min="16" max="16384" width="7.6640625" style="145"/>
  </cols>
  <sheetData>
    <row r="1" spans="1:17" hidden="1" x14ac:dyDescent="0.15"/>
    <row r="2" spans="1:17" hidden="1" x14ac:dyDescent="0.15">
      <c r="C2" s="145" t="s">
        <v>326</v>
      </c>
      <c r="D2" s="145">
        <v>0.90165899999999999</v>
      </c>
    </row>
    <row r="3" spans="1:17" ht="14" thickBot="1" x14ac:dyDescent="0.2"/>
    <row r="4" spans="1:17" ht="33" customHeight="1" thickTop="1" x14ac:dyDescent="0.15">
      <c r="B4" s="1951" t="s">
        <v>327</v>
      </c>
      <c r="C4" s="1952"/>
      <c r="D4" s="1952"/>
      <c r="E4" s="1952"/>
      <c r="F4" s="1952"/>
      <c r="G4" s="1952"/>
      <c r="H4" s="1952"/>
      <c r="I4" s="1952"/>
      <c r="J4" s="1952"/>
      <c r="K4" s="1953"/>
    </row>
    <row r="5" spans="1:17" s="1" customFormat="1" ht="12" customHeight="1" x14ac:dyDescent="0.2">
      <c r="A5" s="954"/>
      <c r="B5" s="4"/>
      <c r="C5" s="620"/>
      <c r="D5" s="620"/>
      <c r="E5" s="620"/>
      <c r="F5" s="620"/>
      <c r="G5" s="620"/>
      <c r="H5" s="620"/>
      <c r="I5" s="620"/>
      <c r="J5" s="620"/>
      <c r="K5" s="5"/>
      <c r="L5" s="954"/>
      <c r="M5" s="954"/>
      <c r="N5" s="954"/>
      <c r="O5" s="1109"/>
      <c r="P5" s="954"/>
      <c r="Q5" s="954"/>
    </row>
    <row r="6" spans="1:17" s="1" customFormat="1" ht="17" thickBot="1" x14ac:dyDescent="0.25">
      <c r="A6" s="1000"/>
      <c r="B6" s="1291"/>
      <c r="C6" s="3" t="s">
        <v>1</v>
      </c>
      <c r="D6" s="3" t="s">
        <v>2</v>
      </c>
      <c r="E6" s="3" t="s">
        <v>3</v>
      </c>
      <c r="F6" s="3" t="s">
        <v>4</v>
      </c>
      <c r="G6" s="3" t="s">
        <v>5</v>
      </c>
      <c r="H6" s="3" t="s">
        <v>6</v>
      </c>
      <c r="I6" s="3" t="s">
        <v>7</v>
      </c>
      <c r="J6" s="3" t="s">
        <v>8</v>
      </c>
      <c r="K6" s="6" t="s">
        <v>9</v>
      </c>
      <c r="L6" s="954"/>
      <c r="M6" s="954"/>
      <c r="N6" s="954"/>
      <c r="O6" s="1109"/>
      <c r="P6" s="954"/>
      <c r="Q6" s="954"/>
    </row>
    <row r="7" spans="1:17" s="1" customFormat="1" ht="16" x14ac:dyDescent="0.2">
      <c r="A7" s="1000"/>
      <c r="B7" s="1291"/>
      <c r="C7" s="2163" t="s">
        <v>136</v>
      </c>
      <c r="D7" s="2164"/>
      <c r="E7" s="2164"/>
      <c r="F7" s="2164"/>
      <c r="G7" s="2164"/>
      <c r="H7" s="2164"/>
      <c r="I7" s="2164"/>
      <c r="J7" s="2164"/>
      <c r="K7" s="2165"/>
      <c r="L7" s="954"/>
      <c r="M7" s="954"/>
      <c r="N7" s="954"/>
      <c r="O7" s="1109"/>
      <c r="P7" s="954"/>
      <c r="Q7" s="954"/>
    </row>
    <row r="8" spans="1:17" ht="24.75" customHeight="1" x14ac:dyDescent="0.2">
      <c r="A8" s="146"/>
      <c r="B8" s="395"/>
      <c r="C8" s="2151" t="s">
        <v>328</v>
      </c>
      <c r="D8" s="2154" t="s">
        <v>329</v>
      </c>
      <c r="E8" s="2154" t="s">
        <v>330</v>
      </c>
      <c r="F8" s="1292"/>
      <c r="G8" s="1292"/>
      <c r="H8" s="1292"/>
      <c r="I8" s="1292"/>
      <c r="J8" s="1292"/>
      <c r="K8" s="2156" t="s">
        <v>331</v>
      </c>
    </row>
    <row r="9" spans="1:17" s="148" customFormat="1" ht="46.5" customHeight="1" thickBot="1" x14ac:dyDescent="0.25">
      <c r="A9" s="149"/>
      <c r="B9" s="396"/>
      <c r="C9" s="2152"/>
      <c r="D9" s="2154"/>
      <c r="E9" s="2154"/>
      <c r="F9" s="2158" t="s">
        <v>125</v>
      </c>
      <c r="G9" s="2160" t="s">
        <v>332</v>
      </c>
      <c r="H9" s="1293"/>
      <c r="I9" s="1293"/>
      <c r="J9" s="2161" t="s">
        <v>333</v>
      </c>
      <c r="K9" s="2156"/>
      <c r="O9" s="760"/>
    </row>
    <row r="10" spans="1:17" ht="72" customHeight="1" thickBot="1" x14ac:dyDescent="0.2">
      <c r="A10" s="146"/>
      <c r="B10" s="395"/>
      <c r="C10" s="2153"/>
      <c r="D10" s="2155"/>
      <c r="E10" s="2155"/>
      <c r="F10" s="2159"/>
      <c r="G10" s="2155" t="s">
        <v>332</v>
      </c>
      <c r="H10" s="397" t="s">
        <v>334</v>
      </c>
      <c r="I10" s="398" t="s">
        <v>335</v>
      </c>
      <c r="J10" s="2162"/>
      <c r="K10" s="2157"/>
      <c r="O10" s="759" t="s">
        <v>26</v>
      </c>
    </row>
    <row r="11" spans="1:17" ht="40" customHeight="1" x14ac:dyDescent="0.15">
      <c r="A11" s="146"/>
      <c r="B11" s="754" t="s">
        <v>28</v>
      </c>
      <c r="C11" s="755">
        <f>SUM(C12:C46)</f>
        <v>82.588599250913376</v>
      </c>
      <c r="D11" s="756">
        <f t="shared" ref="D11:K11" si="0">SUM(D12:D46)</f>
        <v>169.34964211339991</v>
      </c>
      <c r="E11" s="756">
        <f t="shared" si="0"/>
        <v>248.04061139661329</v>
      </c>
      <c r="F11" s="761">
        <f t="shared" si="0"/>
        <v>-16.260849400000001</v>
      </c>
      <c r="G11" s="756">
        <f t="shared" si="0"/>
        <v>416.95715207811338</v>
      </c>
      <c r="H11" s="762">
        <f t="shared" si="0"/>
        <v>428.24080049349629</v>
      </c>
      <c r="I11" s="763">
        <f t="shared" si="0"/>
        <v>-11.282057852271533</v>
      </c>
      <c r="J11" s="764">
        <f t="shared" si="0"/>
        <v>-152.6556912815</v>
      </c>
      <c r="K11" s="765">
        <f t="shared" si="0"/>
        <v>-334.80165425909996</v>
      </c>
    </row>
    <row r="12" spans="1:17" ht="16" x14ac:dyDescent="0.2">
      <c r="A12" s="146"/>
      <c r="B12" s="1291" t="s">
        <v>29</v>
      </c>
      <c r="C12" s="406">
        <f>D12+E12+K12</f>
        <v>-58.411891936082995</v>
      </c>
      <c r="D12" s="399">
        <v>-27.4876196578</v>
      </c>
      <c r="E12" s="399">
        <f t="shared" ref="E12:E46" si="1">F12+G12+J12</f>
        <v>-29.518415384082999</v>
      </c>
      <c r="F12" s="400">
        <f>TableB1b!K12</f>
        <v>-2.8967800000000001</v>
      </c>
      <c r="G12" s="407">
        <f>TableB2!G10-TableB2!C10</f>
        <v>-10.587572319483</v>
      </c>
      <c r="H12" s="401">
        <f>TableB1b!E12</f>
        <v>-6.7292809377112004</v>
      </c>
      <c r="I12" s="402">
        <f>TableB1b!F12</f>
        <v>-3.8582913817716999</v>
      </c>
      <c r="J12" s="403">
        <f>TableB1b!G12+TableB1b!J12+TableB1b!L12</f>
        <v>-16.034063064599998</v>
      </c>
      <c r="K12" s="404">
        <v>-1.4058568942</v>
      </c>
      <c r="O12" s="758">
        <f t="shared" ref="O12:O43" si="2">C12-D12-E12-K12</f>
        <v>4.2188474935755949E-15</v>
      </c>
      <c r="P12" s="392">
        <f t="shared" ref="P12:P43" si="3">E12-F12-G12-J12</f>
        <v>0</v>
      </c>
      <c r="Q12" s="392">
        <f t="shared" ref="Q12:Q43" si="4">G12-H12-I12</f>
        <v>-9.9475983006414026E-14</v>
      </c>
    </row>
    <row r="13" spans="1:17" ht="16" x14ac:dyDescent="0.2">
      <c r="A13" s="146"/>
      <c r="B13" s="1291" t="s">
        <v>30</v>
      </c>
      <c r="C13" s="406">
        <f t="shared" ref="C13:C76" si="5">D13+E13+K13</f>
        <v>6.4007859047542803</v>
      </c>
      <c r="D13" s="399">
        <v>12.839629604700001</v>
      </c>
      <c r="E13" s="399">
        <f t="shared" si="1"/>
        <v>-2.6726777348457205</v>
      </c>
      <c r="F13" s="400">
        <f>TableB1b!K13</f>
        <v>-0.48529899999999998</v>
      </c>
      <c r="G13" s="407">
        <f>TableB2!G11-TableB2!C11</f>
        <v>1.0904048807542801</v>
      </c>
      <c r="H13" s="401">
        <f>TableB1b!E13</f>
        <v>1.1558513588465011</v>
      </c>
      <c r="I13" s="402">
        <f>TableB1b!F13</f>
        <v>-6.5446478092059945E-2</v>
      </c>
      <c r="J13" s="403">
        <f>TableB1b!G13+TableB1b!J13+TableB1b!L13</f>
        <v>-3.2777836156000006</v>
      </c>
      <c r="K13" s="404">
        <v>-3.7661659650999999</v>
      </c>
      <c r="O13" s="758">
        <f t="shared" si="2"/>
        <v>0</v>
      </c>
      <c r="P13" s="392">
        <f t="shared" si="3"/>
        <v>0</v>
      </c>
      <c r="Q13" s="392">
        <f t="shared" si="4"/>
        <v>-1.6109336087311021E-13</v>
      </c>
    </row>
    <row r="14" spans="1:17" ht="16" x14ac:dyDescent="0.2">
      <c r="A14" s="146"/>
      <c r="B14" s="1291" t="s">
        <v>31</v>
      </c>
      <c r="C14" s="406">
        <f t="shared" si="5"/>
        <v>2.9348396848630021</v>
      </c>
      <c r="D14" s="399">
        <v>10.2998078217</v>
      </c>
      <c r="E14" s="399">
        <f t="shared" si="1"/>
        <v>4.3240763363002421E-2</v>
      </c>
      <c r="F14" s="400">
        <f>TableB1b!K14</f>
        <v>6.4764299999999997</v>
      </c>
      <c r="G14" s="407">
        <f>TableB2!G12-TableB2!C12</f>
        <v>-6.8108707709369973</v>
      </c>
      <c r="H14" s="401">
        <f>TableB1b!E14</f>
        <v>-12.627842484748356</v>
      </c>
      <c r="I14" s="402">
        <f>TableB1b!F14</f>
        <v>5.8169717138103998</v>
      </c>
      <c r="J14" s="403">
        <f>TableB1b!G14+TableB1b!J14+TableB1b!L14</f>
        <v>0.37768153430000007</v>
      </c>
      <c r="K14" s="404">
        <v>-7.4082089002</v>
      </c>
      <c r="O14" s="758">
        <f t="shared" si="2"/>
        <v>0</v>
      </c>
      <c r="P14" s="392">
        <f t="shared" si="3"/>
        <v>0</v>
      </c>
      <c r="Q14" s="392">
        <f t="shared" si="4"/>
        <v>9.5923269327613525E-13</v>
      </c>
    </row>
    <row r="15" spans="1:17" ht="16" x14ac:dyDescent="0.2">
      <c r="A15" s="146"/>
      <c r="B15" s="1291" t="s">
        <v>32</v>
      </c>
      <c r="C15" s="406">
        <f t="shared" si="5"/>
        <v>-54.300252163949999</v>
      </c>
      <c r="D15" s="399">
        <v>-37.321059861599998</v>
      </c>
      <c r="E15" s="399">
        <f t="shared" si="1"/>
        <v>-14.143957122550002</v>
      </c>
      <c r="F15" s="400">
        <f>TableB1b!K15</f>
        <v>-1.5351900000000001</v>
      </c>
      <c r="G15" s="407">
        <f>TableB2!G13-TableB2!C13</f>
        <v>5.5487757177499972</v>
      </c>
      <c r="H15" s="401">
        <f>TableB1b!E15</f>
        <v>5.3641555190470012</v>
      </c>
      <c r="I15" s="402">
        <f>TableB1b!F15</f>
        <v>0.18462019870139956</v>
      </c>
      <c r="J15" s="403">
        <f>TableB1b!G15+TableB1b!J15+TableB1b!L15</f>
        <v>-18.1575428403</v>
      </c>
      <c r="K15" s="404">
        <v>-2.8352351798000002</v>
      </c>
      <c r="O15" s="758">
        <f t="shared" si="2"/>
        <v>0</v>
      </c>
      <c r="P15" s="392">
        <f t="shared" si="3"/>
        <v>0</v>
      </c>
      <c r="Q15" s="392">
        <f t="shared" si="4"/>
        <v>1.5965007094109751E-12</v>
      </c>
    </row>
    <row r="16" spans="1:17" ht="16" x14ac:dyDescent="0.2">
      <c r="A16" s="146"/>
      <c r="B16" s="1291" t="s">
        <v>33</v>
      </c>
      <c r="C16" s="406">
        <f t="shared" si="5"/>
        <v>-4.6697952065948005</v>
      </c>
      <c r="D16" s="399">
        <v>4.7467490700000003E-2</v>
      </c>
      <c r="E16" s="399">
        <f t="shared" si="1"/>
        <v>-6.5757078686948001</v>
      </c>
      <c r="F16" s="400">
        <f>TableB1b!K16</f>
        <v>-0.190971</v>
      </c>
      <c r="G16" s="407">
        <f>TableB2!G14-TableB2!C14</f>
        <v>-6.3508948686947999</v>
      </c>
      <c r="H16" s="401">
        <f>TableB1b!E16</f>
        <v>-4.7134820799641899</v>
      </c>
      <c r="I16" s="402">
        <f>TableB1b!F16</f>
        <v>-1.6374127887305399</v>
      </c>
      <c r="J16" s="403">
        <f>TableB1b!G16+TableB1b!J16+TableB1b!L16</f>
        <v>-3.3842000000000039E-2</v>
      </c>
      <c r="K16" s="404">
        <v>1.8584451714000001</v>
      </c>
      <c r="O16" s="758">
        <f t="shared" si="2"/>
        <v>0</v>
      </c>
      <c r="P16" s="392">
        <f t="shared" si="3"/>
        <v>1.1102230246251565E-16</v>
      </c>
      <c r="Q16" s="392">
        <f t="shared" si="4"/>
        <v>-7.0166095156309893E-14</v>
      </c>
    </row>
    <row r="17" spans="1:17" ht="16" x14ac:dyDescent="0.2">
      <c r="A17" s="146"/>
      <c r="B17" s="1291" t="s">
        <v>34</v>
      </c>
      <c r="C17" s="406">
        <f t="shared" si="5"/>
        <v>-0.23557342826079794</v>
      </c>
      <c r="D17" s="399">
        <v>10.8170230157</v>
      </c>
      <c r="E17" s="399">
        <f t="shared" si="1"/>
        <v>-11.058277711260798</v>
      </c>
      <c r="F17" s="400">
        <f>TableB1b!K17</f>
        <v>1.1957899999999999</v>
      </c>
      <c r="G17" s="407">
        <f>TableB2!G15-TableB2!C15</f>
        <v>-12.612613345260799</v>
      </c>
      <c r="H17" s="401">
        <f>TableB1b!E17</f>
        <v>-12.141259708046629</v>
      </c>
      <c r="I17" s="402">
        <f>TableB1b!F17</f>
        <v>-0.47135363721384216</v>
      </c>
      <c r="J17" s="403">
        <f>TableB1b!G17+TableB1b!J17+TableB1b!L17</f>
        <v>0.35854563400000017</v>
      </c>
      <c r="K17" s="404">
        <v>5.6812672999999999E-3</v>
      </c>
      <c r="O17" s="758">
        <f t="shared" si="2"/>
        <v>-4.0766001685454967E-17</v>
      </c>
      <c r="P17" s="392">
        <f t="shared" si="3"/>
        <v>0</v>
      </c>
      <c r="Q17" s="392">
        <f t="shared" si="4"/>
        <v>-3.2784885917180873E-13</v>
      </c>
    </row>
    <row r="18" spans="1:17" ht="16" x14ac:dyDescent="0.2">
      <c r="A18" s="146"/>
      <c r="B18" s="1291" t="s">
        <v>35</v>
      </c>
      <c r="C18" s="406">
        <f t="shared" si="5"/>
        <v>27.1763262822356</v>
      </c>
      <c r="D18" s="399">
        <v>22.318809186700001</v>
      </c>
      <c r="E18" s="399">
        <f t="shared" si="1"/>
        <v>9.6766262891355996</v>
      </c>
      <c r="F18" s="400">
        <f>TableB1b!K18</f>
        <v>-1.51902</v>
      </c>
      <c r="G18" s="407">
        <f>TableB2!G16-TableB2!C16</f>
        <v>7.5993992922355993</v>
      </c>
      <c r="H18" s="401">
        <f>TableB1b!E18</f>
        <v>6.8885122074523499</v>
      </c>
      <c r="I18" s="402">
        <f>TableB1b!F18</f>
        <v>0.71148184494603006</v>
      </c>
      <c r="J18" s="403">
        <f>TableB1b!G18+TableB1b!J18+TableB1b!L18</f>
        <v>3.5962469969000002</v>
      </c>
      <c r="K18" s="404">
        <v>-4.8191091936000001</v>
      </c>
      <c r="O18" s="758">
        <f t="shared" si="2"/>
        <v>0</v>
      </c>
      <c r="P18" s="392">
        <f t="shared" si="3"/>
        <v>0</v>
      </c>
      <c r="Q18" s="392">
        <f t="shared" si="4"/>
        <v>-5.9476016278070531E-4</v>
      </c>
    </row>
    <row r="19" spans="1:17" ht="16" x14ac:dyDescent="0.2">
      <c r="A19" s="146"/>
      <c r="B19" s="1291" t="s">
        <v>36</v>
      </c>
      <c r="C19" s="406">
        <f t="shared" si="5"/>
        <v>0.49777546594623989</v>
      </c>
      <c r="D19" s="399">
        <v>0.9311176498</v>
      </c>
      <c r="E19" s="399">
        <f t="shared" si="1"/>
        <v>-0.45929482925376008</v>
      </c>
      <c r="F19" s="400">
        <f>TableB1b!K19</f>
        <v>0.283752</v>
      </c>
      <c r="G19" s="407">
        <f>TableB2!G17-TableB2!C17</f>
        <v>-0.98771270105376008</v>
      </c>
      <c r="H19" s="401">
        <f>TableB1b!E19</f>
        <v>-1.0265546311702671</v>
      </c>
      <c r="I19" s="402">
        <f>TableB1b!F19</f>
        <v>3.8841930116473002E-2</v>
      </c>
      <c r="J19" s="403">
        <f>TableB1b!G19+TableB1b!J19+TableB1b!L19</f>
        <v>0.24466587179999999</v>
      </c>
      <c r="K19" s="404">
        <v>2.5952645399999998E-2</v>
      </c>
      <c r="O19" s="758">
        <f t="shared" si="2"/>
        <v>0</v>
      </c>
      <c r="P19" s="392">
        <f t="shared" si="3"/>
        <v>0</v>
      </c>
      <c r="Q19" s="392">
        <f t="shared" si="4"/>
        <v>3.404915238647277E-14</v>
      </c>
    </row>
    <row r="20" spans="1:17" ht="16" x14ac:dyDescent="0.2">
      <c r="A20" s="146"/>
      <c r="B20" s="1291" t="s">
        <v>37</v>
      </c>
      <c r="C20" s="406">
        <f t="shared" si="5"/>
        <v>-1.4698836648315998</v>
      </c>
      <c r="D20" s="399">
        <v>-0.10256275209999999</v>
      </c>
      <c r="E20" s="399">
        <f t="shared" si="1"/>
        <v>1.2160564745684002</v>
      </c>
      <c r="F20" s="400">
        <f>TableB1b!K20</f>
        <v>0.17037099999999999</v>
      </c>
      <c r="G20" s="407">
        <f>TableB2!G18-TableB2!C18</f>
        <v>3.2823072656684005</v>
      </c>
      <c r="H20" s="401">
        <f>TableB1b!E20</f>
        <v>3.5463117027172997</v>
      </c>
      <c r="I20" s="402">
        <f>TableB1b!F20</f>
        <v>-0.26400443704936</v>
      </c>
      <c r="J20" s="403">
        <f>TableB1b!G20+TableB1b!J20+TableB1b!L20</f>
        <v>-2.2366217911000001</v>
      </c>
      <c r="K20" s="404">
        <v>-2.5833773873000001</v>
      </c>
      <c r="O20" s="758">
        <f t="shared" si="2"/>
        <v>0</v>
      </c>
      <c r="P20" s="392">
        <f t="shared" si="3"/>
        <v>0</v>
      </c>
      <c r="Q20" s="392">
        <f t="shared" si="4"/>
        <v>4.6079806637067122E-13</v>
      </c>
    </row>
    <row r="21" spans="1:17" ht="16" x14ac:dyDescent="0.2">
      <c r="A21" s="146"/>
      <c r="B21" s="1291" t="s">
        <v>38</v>
      </c>
      <c r="C21" s="406">
        <f t="shared" si="5"/>
        <v>-10.826929085461998</v>
      </c>
      <c r="D21" s="399">
        <v>-17.971380817099998</v>
      </c>
      <c r="E21" s="399">
        <f t="shared" si="1"/>
        <v>56.345356133337994</v>
      </c>
      <c r="F21" s="400">
        <f>TableB1b!K21</f>
        <v>21.572399999999998</v>
      </c>
      <c r="G21" s="407">
        <f>TableB2!G19-TableB2!C19</f>
        <v>44.815971118137995</v>
      </c>
      <c r="H21" s="401">
        <f>TableB1b!E21</f>
        <v>45.529564059900203</v>
      </c>
      <c r="I21" s="402">
        <f>TableB1b!F21</f>
        <v>-0.71359294176330001</v>
      </c>
      <c r="J21" s="403">
        <f>TableB1b!G21+TableB1b!J21+TableB1b!L21</f>
        <v>-10.043014984800001</v>
      </c>
      <c r="K21" s="404">
        <v>-49.200904401699994</v>
      </c>
      <c r="O21" s="758">
        <f t="shared" si="2"/>
        <v>0</v>
      </c>
      <c r="P21" s="392">
        <f t="shared" si="3"/>
        <v>0</v>
      </c>
      <c r="Q21" s="392">
        <f t="shared" si="4"/>
        <v>1.092015367021304E-12</v>
      </c>
    </row>
    <row r="22" spans="1:17" ht="16" x14ac:dyDescent="0.2">
      <c r="A22" s="146"/>
      <c r="B22" s="1291" t="s">
        <v>39</v>
      </c>
      <c r="C22" s="406">
        <f t="shared" si="5"/>
        <v>288.17768460765797</v>
      </c>
      <c r="D22" s="399">
        <v>268.975511187</v>
      </c>
      <c r="E22" s="399">
        <f t="shared" si="1"/>
        <v>63.653237855857995</v>
      </c>
      <c r="F22" s="400">
        <f>TableB1b!K22</f>
        <v>0.87762899999999999</v>
      </c>
      <c r="G22" s="407">
        <f>TableB2!G20-TableB2!C20</f>
        <v>40.567942318358</v>
      </c>
      <c r="H22" s="401">
        <f>TableB1b!E22</f>
        <v>49.392124237382006</v>
      </c>
      <c r="I22" s="402">
        <f>TableB1b!F22</f>
        <v>-8.8241819190237987</v>
      </c>
      <c r="J22" s="403">
        <f>TableB1b!G22+TableB1b!J22+TableB1b!L22</f>
        <v>22.2076665375</v>
      </c>
      <c r="K22" s="404">
        <v>-44.451064435199996</v>
      </c>
      <c r="O22" s="758">
        <f t="shared" si="2"/>
        <v>0</v>
      </c>
      <c r="P22" s="392">
        <f t="shared" si="3"/>
        <v>0</v>
      </c>
      <c r="Q22" s="392">
        <f t="shared" si="4"/>
        <v>-2.078337502098293E-13</v>
      </c>
    </row>
    <row r="23" spans="1:17" ht="16" x14ac:dyDescent="0.2">
      <c r="A23" s="146"/>
      <c r="B23" s="1291" t="s">
        <v>40</v>
      </c>
      <c r="C23" s="406">
        <f t="shared" si="5"/>
        <v>-0.45987457409960014</v>
      </c>
      <c r="D23" s="399">
        <v>-0.34159217080000004</v>
      </c>
      <c r="E23" s="399">
        <f t="shared" si="1"/>
        <v>0.46074003830039995</v>
      </c>
      <c r="F23" s="400">
        <f>TableB1b!K23</f>
        <v>-0.25148100000000001</v>
      </c>
      <c r="G23" s="407">
        <f>TableB2!G21-TableB2!C21</f>
        <v>0.64464147310039999</v>
      </c>
      <c r="H23" s="401">
        <f>TableB1b!E23</f>
        <v>0.70526558069888012</v>
      </c>
      <c r="I23" s="402">
        <f>TableB1b!F23</f>
        <v>-6.0624107598446692E-2</v>
      </c>
      <c r="J23" s="403">
        <f>TableB1b!G23+TableB1b!J23+TableB1b!L23</f>
        <v>6.7579565199999969E-2</v>
      </c>
      <c r="K23" s="404">
        <v>-0.57902244160000005</v>
      </c>
      <c r="O23" s="758">
        <f t="shared" si="2"/>
        <v>0</v>
      </c>
      <c r="P23" s="392">
        <f t="shared" si="3"/>
        <v>0</v>
      </c>
      <c r="Q23" s="392">
        <f t="shared" si="4"/>
        <v>-3.3445468616832841E-14</v>
      </c>
    </row>
    <row r="24" spans="1:17" ht="16" x14ac:dyDescent="0.2">
      <c r="A24" s="146"/>
      <c r="B24" s="1291" t="s">
        <v>41</v>
      </c>
      <c r="C24" s="406">
        <f t="shared" si="5"/>
        <v>3.648509046749699</v>
      </c>
      <c r="D24" s="399">
        <v>10.893274394100001</v>
      </c>
      <c r="E24" s="399">
        <f t="shared" si="1"/>
        <v>-6.0157852389503015</v>
      </c>
      <c r="F24" s="400">
        <f>TableB1b!K24</f>
        <v>3.1714799999999999</v>
      </c>
      <c r="G24" s="407">
        <f>TableB2!G22-TableB2!C22</f>
        <v>-7.6765909009503011</v>
      </c>
      <c r="H24" s="401">
        <f>TableB1b!E24</f>
        <v>-7.7475333495706007</v>
      </c>
      <c r="I24" s="402">
        <f>TableB1b!F24</f>
        <v>7.0942448619956994E-2</v>
      </c>
      <c r="J24" s="403">
        <f>TableB1b!G24+TableB1b!J24+TableB1b!L24</f>
        <v>-1.5106743380000001</v>
      </c>
      <c r="K24" s="404">
        <v>-1.2289801084</v>
      </c>
      <c r="O24" s="758">
        <f t="shared" si="2"/>
        <v>0</v>
      </c>
      <c r="P24" s="392">
        <f t="shared" si="3"/>
        <v>0</v>
      </c>
      <c r="Q24" s="392">
        <f t="shared" si="4"/>
        <v>3.4264258097493894E-13</v>
      </c>
    </row>
    <row r="25" spans="1:17" ht="16" x14ac:dyDescent="0.2">
      <c r="A25" s="146"/>
      <c r="B25" s="1291" t="s">
        <v>42</v>
      </c>
      <c r="C25" s="406">
        <f t="shared" si="5"/>
        <v>0.87548275775753215</v>
      </c>
      <c r="D25" s="399">
        <v>1.2599254712999999</v>
      </c>
      <c r="E25" s="399">
        <f t="shared" si="1"/>
        <v>-0.10160399964246791</v>
      </c>
      <c r="F25" s="400">
        <f>TableB1b!K25</f>
        <v>0.16493099999999999</v>
      </c>
      <c r="G25" s="407">
        <f>TableB2!G23-TableB2!C23</f>
        <v>0.25365420205753203</v>
      </c>
      <c r="H25" s="401">
        <f>TableB1b!E25</f>
        <v>0.23388106244232901</v>
      </c>
      <c r="I25" s="402">
        <f>TableB1b!F25</f>
        <v>1.9773139615190019E-2</v>
      </c>
      <c r="J25" s="403">
        <f>TableB1b!G25+TableB1b!J25+TableB1b!L25</f>
        <v>-0.52018920169999994</v>
      </c>
      <c r="K25" s="404">
        <v>-0.28283871389999998</v>
      </c>
      <c r="O25" s="758">
        <f t="shared" si="2"/>
        <v>0</v>
      </c>
      <c r="P25" s="392">
        <f t="shared" si="3"/>
        <v>0</v>
      </c>
      <c r="Q25" s="392">
        <f t="shared" si="4"/>
        <v>1.3003487175922146E-14</v>
      </c>
    </row>
    <row r="26" spans="1:17" ht="16" x14ac:dyDescent="0.2">
      <c r="A26" s="146"/>
      <c r="B26" s="1291" t="s">
        <v>43</v>
      </c>
      <c r="C26" s="406">
        <f t="shared" si="5"/>
        <v>24.787732492359986</v>
      </c>
      <c r="D26" s="399">
        <v>90.068905246899988</v>
      </c>
      <c r="E26" s="399">
        <f t="shared" si="1"/>
        <v>-61.798868747440004</v>
      </c>
      <c r="F26" s="400">
        <f>TableB1b!K26</f>
        <v>-0.101033</v>
      </c>
      <c r="G26" s="407">
        <f>TableB2!G24-TableB2!C24</f>
        <v>-52.939545202440002</v>
      </c>
      <c r="H26" s="401">
        <f>TableB1b!E26</f>
        <v>-50.441486411536403</v>
      </c>
      <c r="I26" s="402">
        <f>TableB1b!F26</f>
        <v>-2.4980587909040999</v>
      </c>
      <c r="J26" s="403">
        <f>TableB1b!G26+TableB1b!J26+TableB1b!L26</f>
        <v>-8.7582905450000013</v>
      </c>
      <c r="K26" s="404">
        <v>-3.4823040070999998</v>
      </c>
      <c r="O26" s="758">
        <f t="shared" si="2"/>
        <v>8.8817841970012523E-15</v>
      </c>
      <c r="P26" s="392">
        <f t="shared" si="3"/>
        <v>0</v>
      </c>
      <c r="Q26" s="392">
        <f t="shared" si="4"/>
        <v>5.0093262871087063E-13</v>
      </c>
    </row>
    <row r="27" spans="1:17" ht="16" x14ac:dyDescent="0.2">
      <c r="A27" s="146"/>
      <c r="B27" s="1291" t="s">
        <v>44</v>
      </c>
      <c r="C27" s="406">
        <f t="shared" si="5"/>
        <v>15.092500000000001</v>
      </c>
      <c r="D27" s="399">
        <v>8.9740000000000002</v>
      </c>
      <c r="E27" s="399">
        <f t="shared" si="1"/>
        <v>-3.0516999999999994</v>
      </c>
      <c r="F27" s="400">
        <f>TableB1b!K27</f>
        <v>-4.0746000000000002</v>
      </c>
      <c r="G27" s="407">
        <f>TableB2!G25-TableB2!C25</f>
        <v>1.3800000000000008</v>
      </c>
      <c r="H27" s="401">
        <f>TableB1b!E27</f>
        <v>1.3544</v>
      </c>
      <c r="I27" s="402">
        <f>TableB1b!F27</f>
        <v>2.5600000000000733E-2</v>
      </c>
      <c r="J27" s="403">
        <f>TableB1b!G27+TableB1b!J27+TableB1b!L27</f>
        <v>-0.35709999999999997</v>
      </c>
      <c r="K27" s="404">
        <v>9.1701999999999995</v>
      </c>
      <c r="O27" s="758">
        <f t="shared" si="2"/>
        <v>0</v>
      </c>
      <c r="P27" s="392">
        <f t="shared" si="3"/>
        <v>0</v>
      </c>
      <c r="Q27" s="392">
        <f t="shared" si="4"/>
        <v>0</v>
      </c>
    </row>
    <row r="28" spans="1:17" ht="16" x14ac:dyDescent="0.2">
      <c r="A28" s="146"/>
      <c r="B28" s="1291" t="s">
        <v>45</v>
      </c>
      <c r="C28" s="406">
        <f t="shared" si="5"/>
        <v>25.151834301675002</v>
      </c>
      <c r="D28" s="399">
        <v>53.088411933899998</v>
      </c>
      <c r="E28" s="399">
        <f t="shared" si="1"/>
        <v>-11.188730909324995</v>
      </c>
      <c r="F28" s="400">
        <f>TableB1b!K28</f>
        <v>4.75448</v>
      </c>
      <c r="G28" s="407">
        <f>TableB2!G26-TableB2!C26</f>
        <v>0.48626289517500254</v>
      </c>
      <c r="H28" s="401">
        <f>TableB1b!E28</f>
        <v>1.5988386023293986</v>
      </c>
      <c r="I28" s="402">
        <f>TableB1b!F28</f>
        <v>-1.11257570715474</v>
      </c>
      <c r="J28" s="403">
        <f>TableB1b!G28+TableB1b!J28+TableB1b!L28</f>
        <v>-16.429473804499999</v>
      </c>
      <c r="K28" s="404">
        <v>-16.7478467229</v>
      </c>
      <c r="O28" s="758">
        <f t="shared" si="2"/>
        <v>0</v>
      </c>
      <c r="P28" s="392">
        <f t="shared" si="3"/>
        <v>0</v>
      </c>
      <c r="Q28" s="392">
        <f t="shared" si="4"/>
        <v>3.439470930288735E-13</v>
      </c>
    </row>
    <row r="29" spans="1:17" ht="16" x14ac:dyDescent="0.2">
      <c r="A29" s="146"/>
      <c r="B29" s="1291" t="s">
        <v>46</v>
      </c>
      <c r="C29" s="406">
        <f t="shared" si="5"/>
        <v>134.86390135182299</v>
      </c>
      <c r="D29" s="399">
        <v>-23.275907631199999</v>
      </c>
      <c r="E29" s="399">
        <f t="shared" si="1"/>
        <v>174.40935293412298</v>
      </c>
      <c r="F29" s="400">
        <f>TableB1b!K29</f>
        <v>-9.51264E-2</v>
      </c>
      <c r="G29" s="407">
        <f>TableB2!G27-TableB2!C27</f>
        <v>70.150732672022997</v>
      </c>
      <c r="H29" s="401">
        <f>TableB1b!E29</f>
        <v>69.291244877162995</v>
      </c>
      <c r="I29" s="402">
        <f>TableB1b!F29</f>
        <v>0.86031422543211022</v>
      </c>
      <c r="J29" s="403">
        <f>TableB1b!G29+TableB1b!J29+TableB1b!L29</f>
        <v>104.35374666209999</v>
      </c>
      <c r="K29" s="404">
        <v>-16.269543951100001</v>
      </c>
      <c r="O29" s="758">
        <f t="shared" si="2"/>
        <v>0</v>
      </c>
      <c r="P29" s="392">
        <f t="shared" si="3"/>
        <v>0</v>
      </c>
      <c r="Q29" s="392">
        <f t="shared" si="4"/>
        <v>-8.2643057210873838E-4</v>
      </c>
    </row>
    <row r="30" spans="1:17" ht="16" x14ac:dyDescent="0.2">
      <c r="A30" s="1000" t="s">
        <v>308</v>
      </c>
      <c r="B30" s="1291" t="s">
        <v>47</v>
      </c>
      <c r="C30" s="406">
        <f t="shared" si="5"/>
        <v>99.982259627982302</v>
      </c>
      <c r="D30" s="399">
        <v>107.3524</v>
      </c>
      <c r="E30" s="399">
        <f t="shared" si="1"/>
        <v>-2.3849403720177</v>
      </c>
      <c r="F30" s="400">
        <f>TableB1b!K30</f>
        <v>0</v>
      </c>
      <c r="G30" s="407">
        <f>TableB2!G28-TableB2!C28</f>
        <v>-2.3849403720177</v>
      </c>
      <c r="H30" s="401">
        <f>TableB1b!E30</f>
        <v>-2.6293595946325299</v>
      </c>
      <c r="I30" s="402">
        <f>TableB1b!F30</f>
        <v>0.24441922261483998</v>
      </c>
      <c r="J30" s="403">
        <f>TableB1b!G30+TableB1b!J30+TableB1b!L30</f>
        <v>0</v>
      </c>
      <c r="K30" s="404">
        <v>-4.9851999999999999</v>
      </c>
      <c r="O30" s="758">
        <f t="shared" si="2"/>
        <v>0</v>
      </c>
      <c r="P30" s="392">
        <f t="shared" si="3"/>
        <v>0</v>
      </c>
      <c r="Q30" s="392">
        <f t="shared" si="4"/>
        <v>-1.0130785099704553E-14</v>
      </c>
    </row>
    <row r="31" spans="1:17" ht="16" x14ac:dyDescent="0.2">
      <c r="A31" s="146"/>
      <c r="B31" s="1291" t="s">
        <v>48</v>
      </c>
      <c r="C31" s="406">
        <f t="shared" si="5"/>
        <v>-0.27511606188919002</v>
      </c>
      <c r="D31" s="399">
        <v>-0.30946332460000003</v>
      </c>
      <c r="E31" s="399">
        <f t="shared" si="1"/>
        <v>-0.12541684718918999</v>
      </c>
      <c r="F31" s="400">
        <f>TableB1b!K31</f>
        <v>0.70552400000000004</v>
      </c>
      <c r="G31" s="407">
        <f>TableB2!G29-TableB2!C29</f>
        <v>-0.99833610648919002</v>
      </c>
      <c r="H31" s="401">
        <f>TableB1b!E31</f>
        <v>-0.951747088186362</v>
      </c>
      <c r="I31" s="402">
        <f>TableB1b!F31</f>
        <v>-4.6589018302828807E-2</v>
      </c>
      <c r="J31" s="403">
        <f>TableB1b!G31+TableB1b!J31+TableB1b!L31</f>
        <v>0.16739525929999999</v>
      </c>
      <c r="K31" s="404">
        <v>0.15976410990000001</v>
      </c>
      <c r="O31" s="758">
        <f t="shared" si="2"/>
        <v>0</v>
      </c>
      <c r="P31" s="392">
        <f t="shared" si="3"/>
        <v>0</v>
      </c>
      <c r="Q31" s="392">
        <f t="shared" si="4"/>
        <v>7.8409501114151681E-16</v>
      </c>
    </row>
    <row r="32" spans="1:17" ht="16" x14ac:dyDescent="0.2">
      <c r="A32" s="146"/>
      <c r="B32" s="1291" t="s">
        <v>49</v>
      </c>
      <c r="C32" s="406">
        <f t="shared" si="5"/>
        <v>5.6533274492640047</v>
      </c>
      <c r="D32" s="399">
        <v>19.656265059400003</v>
      </c>
      <c r="E32" s="399">
        <f t="shared" si="1"/>
        <v>-14.977610578835998</v>
      </c>
      <c r="F32" s="400">
        <f>TableB1b!K32</f>
        <v>-9.6544399999999992</v>
      </c>
      <c r="G32" s="407">
        <f>TableB2!G30-TableB2!C30</f>
        <v>25.640599001664</v>
      </c>
      <c r="H32" s="401">
        <f>TableB1b!E32</f>
        <v>10.52911813643999</v>
      </c>
      <c r="I32" s="402">
        <f>TableB1b!F32</f>
        <v>15.111480865224303</v>
      </c>
      <c r="J32" s="403">
        <f>TableB1b!G32+TableB1b!J32+TableB1b!L32</f>
        <v>-30.963769580499999</v>
      </c>
      <c r="K32" s="404">
        <v>0.97467296870000009</v>
      </c>
      <c r="O32" s="758">
        <f t="shared" si="2"/>
        <v>0</v>
      </c>
      <c r="P32" s="392">
        <f t="shared" si="3"/>
        <v>0</v>
      </c>
      <c r="Q32" s="392">
        <f t="shared" si="4"/>
        <v>-2.9309887850104133E-13</v>
      </c>
    </row>
    <row r="33" spans="1:17" ht="16" x14ac:dyDescent="0.2">
      <c r="A33" s="146"/>
      <c r="B33" s="1291" t="s">
        <v>50</v>
      </c>
      <c r="C33" s="406">
        <f t="shared" si="5"/>
        <v>-29.221343168899992</v>
      </c>
      <c r="D33" s="399">
        <v>-24.351929606799999</v>
      </c>
      <c r="E33" s="399">
        <f t="shared" si="1"/>
        <v>-29.0000770895</v>
      </c>
      <c r="F33" s="400">
        <f>TableB1b!K33</f>
        <v>1.4483999999999999</v>
      </c>
      <c r="G33" s="407">
        <f>TableB2!G31-TableB2!C31</f>
        <v>-11.75</v>
      </c>
      <c r="H33" s="401">
        <f>TableB1b!E33</f>
        <v>-12.151103767799999</v>
      </c>
      <c r="I33" s="402">
        <f>TableB1b!F33</f>
        <v>0.40110376779999646</v>
      </c>
      <c r="J33" s="403">
        <f>TableB1b!G33+TableB1b!J33+TableB1b!L33</f>
        <v>-18.698477089499999</v>
      </c>
      <c r="K33" s="404">
        <v>24.130663527400003</v>
      </c>
      <c r="O33" s="758">
        <f t="shared" si="2"/>
        <v>0</v>
      </c>
      <c r="P33" s="392">
        <f t="shared" si="3"/>
        <v>0</v>
      </c>
      <c r="Q33" s="392">
        <f t="shared" si="4"/>
        <v>2.2204460492503131E-15</v>
      </c>
    </row>
    <row r="34" spans="1:17" ht="16" x14ac:dyDescent="0.2">
      <c r="A34" s="146"/>
      <c r="B34" s="1291" t="s">
        <v>51</v>
      </c>
      <c r="C34" s="406">
        <f t="shared" si="5"/>
        <v>70.094385151309993</v>
      </c>
      <c r="D34" s="399">
        <v>80.05690781780001</v>
      </c>
      <c r="E34" s="399">
        <f t="shared" si="1"/>
        <v>3.0772612948099898</v>
      </c>
      <c r="F34" s="400">
        <f>TableB1b!K34</f>
        <v>-5.4400599999999999</v>
      </c>
      <c r="G34" s="407">
        <f>TableB2!G32-TableB2!C32</f>
        <v>32.227398779809988</v>
      </c>
      <c r="H34" s="401">
        <f>TableB1b!E34</f>
        <v>10.998336106487443</v>
      </c>
      <c r="I34" s="402">
        <f>TableB1b!F34</f>
        <v>21.230171935662998</v>
      </c>
      <c r="J34" s="403">
        <f>TableB1b!G34+TableB1b!J34+TableB1b!L34</f>
        <v>-23.710077484999999</v>
      </c>
      <c r="K34" s="404">
        <v>-13.0397839613</v>
      </c>
      <c r="O34" s="758">
        <f t="shared" si="2"/>
        <v>0</v>
      </c>
      <c r="P34" s="392">
        <f t="shared" si="3"/>
        <v>0</v>
      </c>
      <c r="Q34" s="392">
        <f t="shared" si="4"/>
        <v>-1.1092623404529434E-3</v>
      </c>
    </row>
    <row r="35" spans="1:17" ht="16" x14ac:dyDescent="0.2">
      <c r="A35" s="146"/>
      <c r="B35" s="1291" t="s">
        <v>52</v>
      </c>
      <c r="C35" s="406">
        <f t="shared" si="5"/>
        <v>-5.1786588190918996</v>
      </c>
      <c r="D35" s="399">
        <v>1.3633438012999999</v>
      </c>
      <c r="E35" s="399">
        <f t="shared" si="1"/>
        <v>-6.2872922682918997</v>
      </c>
      <c r="F35" s="400">
        <f>TableB1b!K35</f>
        <v>-0.160082</v>
      </c>
      <c r="G35" s="407">
        <f>TableB2!G33-TableB2!C33</f>
        <v>-5.3765165248918994</v>
      </c>
      <c r="H35" s="401">
        <f>TableB1b!E35</f>
        <v>-4.7496862362292553</v>
      </c>
      <c r="I35" s="402">
        <f>TableB1b!F35</f>
        <v>-0.62752754148654288</v>
      </c>
      <c r="J35" s="403">
        <f>TableB1b!G35+TableB1b!J35+TableB1b!L35</f>
        <v>-0.75069374340000017</v>
      </c>
      <c r="K35" s="404">
        <v>-0.25471035209999998</v>
      </c>
      <c r="O35" s="758">
        <f t="shared" si="2"/>
        <v>0</v>
      </c>
      <c r="P35" s="392">
        <f t="shared" si="3"/>
        <v>0</v>
      </c>
      <c r="Q35" s="392">
        <f t="shared" si="4"/>
        <v>6.9725282389887511E-4</v>
      </c>
    </row>
    <row r="36" spans="1:17" ht="16" x14ac:dyDescent="0.2">
      <c r="A36" s="146"/>
      <c r="B36" s="1097" t="s">
        <v>53</v>
      </c>
      <c r="C36" s="406">
        <f t="shared" si="5"/>
        <v>32.069760378401298</v>
      </c>
      <c r="D36" s="399">
        <v>21.086789962599997</v>
      </c>
      <c r="E36" s="399">
        <f t="shared" si="1"/>
        <v>17.896533121601298</v>
      </c>
      <c r="F36" s="400">
        <f>TableB1b!K36</f>
        <v>-3.8540199999999998</v>
      </c>
      <c r="G36" s="407">
        <f>TableB2!G34-TableB2!C34</f>
        <v>3.0403134804013003</v>
      </c>
      <c r="H36" s="401">
        <f>TableB1b!E36</f>
        <v>4.7785920662673007</v>
      </c>
      <c r="I36" s="402">
        <f>TableB1b!F36</f>
        <v>-1.7384025891893802</v>
      </c>
      <c r="J36" s="403">
        <f>TableB1b!G36+TableB1b!J36+TableB1b!L36</f>
        <v>18.710239641199998</v>
      </c>
      <c r="K36" s="404">
        <v>-6.9135627058000004</v>
      </c>
      <c r="O36" s="758">
        <f t="shared" si="2"/>
        <v>0</v>
      </c>
      <c r="P36" s="392">
        <f t="shared" si="3"/>
        <v>0</v>
      </c>
      <c r="Q36" s="392">
        <f t="shared" si="4"/>
        <v>1.2400332337980657E-4</v>
      </c>
    </row>
    <row r="37" spans="1:17" ht="16" x14ac:dyDescent="0.2">
      <c r="A37" s="146"/>
      <c r="B37" s="1291" t="s">
        <v>54</v>
      </c>
      <c r="C37" s="406">
        <f t="shared" si="5"/>
        <v>-4.6353125033156983</v>
      </c>
      <c r="D37" s="399">
        <v>14.577</v>
      </c>
      <c r="E37" s="399">
        <f t="shared" si="1"/>
        <v>-18.262312503315698</v>
      </c>
      <c r="F37" s="400">
        <f>TableB1b!K37</f>
        <v>0.92800000000000005</v>
      </c>
      <c r="G37" s="407">
        <f>TableB2!G35-TableB2!C35</f>
        <v>-17.459312503315701</v>
      </c>
      <c r="H37" s="401">
        <f>TableB1b!E37</f>
        <v>-15.362580234470316</v>
      </c>
      <c r="I37" s="402">
        <f>TableB1b!F37</f>
        <v>-2.0967322688451793</v>
      </c>
      <c r="J37" s="403">
        <f>TableB1b!G37+TableB1b!J37+TableB1b!L37</f>
        <v>-1.7309999999999999</v>
      </c>
      <c r="K37" s="404">
        <v>-0.95</v>
      </c>
      <c r="O37" s="758">
        <f t="shared" si="2"/>
        <v>0</v>
      </c>
      <c r="P37" s="392">
        <f t="shared" si="3"/>
        <v>1.7763568394002505E-15</v>
      </c>
      <c r="Q37" s="392">
        <f t="shared" si="4"/>
        <v>-2.0516921495072893E-13</v>
      </c>
    </row>
    <row r="38" spans="1:17" ht="16" x14ac:dyDescent="0.2">
      <c r="A38" s="146"/>
      <c r="B38" s="1291" t="s">
        <v>55</v>
      </c>
      <c r="C38" s="406">
        <f t="shared" si="5"/>
        <v>6.2101720256900528E-2</v>
      </c>
      <c r="D38" s="399">
        <v>3.5112692421</v>
      </c>
      <c r="E38" s="399">
        <f t="shared" si="1"/>
        <v>-5.1143602359430993</v>
      </c>
      <c r="F38" s="400">
        <f>TableB1b!K38</f>
        <v>0.13298699999999999</v>
      </c>
      <c r="G38" s="407">
        <f>TableB2!G36-TableB2!C36</f>
        <v>-2.9450915141430998</v>
      </c>
      <c r="H38" s="401">
        <f>TableB1b!E38</f>
        <v>-2.0610094287299101</v>
      </c>
      <c r="I38" s="402">
        <f>TableB1b!F38</f>
        <v>-0.88408208541319999</v>
      </c>
      <c r="J38" s="403">
        <f>TableB1b!G38+TableB1b!J38+TableB1b!L38</f>
        <v>-2.3022557217999999</v>
      </c>
      <c r="K38" s="404">
        <v>1.6651927140999998</v>
      </c>
      <c r="O38" s="758">
        <f t="shared" si="2"/>
        <v>0</v>
      </c>
      <c r="P38" s="392">
        <f t="shared" si="3"/>
        <v>0</v>
      </c>
      <c r="Q38" s="392">
        <f t="shared" si="4"/>
        <v>1.0325074129013956E-14</v>
      </c>
    </row>
    <row r="39" spans="1:17" ht="16" x14ac:dyDescent="0.2">
      <c r="A39" s="146"/>
      <c r="B39" s="1291" t="s">
        <v>336</v>
      </c>
      <c r="C39" s="406">
        <f t="shared" si="5"/>
        <v>-0.46455140495939951</v>
      </c>
      <c r="D39" s="399">
        <v>2.4223451886999996</v>
      </c>
      <c r="E39" s="399">
        <f t="shared" si="1"/>
        <v>-1.5203485240593992</v>
      </c>
      <c r="F39" s="400">
        <f>TableB1b!K39</f>
        <v>1.6504700000000001</v>
      </c>
      <c r="G39" s="407">
        <f>TableB2!G37-TableB2!C37</f>
        <v>-4.0705713843593996</v>
      </c>
      <c r="H39" s="401">
        <f>TableB1b!E39</f>
        <v>-3.7777937914586763</v>
      </c>
      <c r="I39" s="402">
        <f>TableB1b!F39</f>
        <v>-0.29277759290072503</v>
      </c>
      <c r="J39" s="403">
        <f>TableB1b!G39+TableB1b!J39+TableB1b!L39</f>
        <v>0.89975286030000001</v>
      </c>
      <c r="K39" s="404">
        <v>-1.3665480695999999</v>
      </c>
      <c r="O39" s="758">
        <f t="shared" si="2"/>
        <v>0</v>
      </c>
      <c r="P39" s="392">
        <f t="shared" si="3"/>
        <v>0</v>
      </c>
      <c r="Q39" s="392">
        <f t="shared" si="4"/>
        <v>1.7763568394002505E-15</v>
      </c>
    </row>
    <row r="40" spans="1:17" ht="16" x14ac:dyDescent="0.2">
      <c r="A40" s="146"/>
      <c r="B40" s="1097" t="s">
        <v>57</v>
      </c>
      <c r="C40" s="406">
        <f t="shared" si="5"/>
        <v>1.8669149447324922</v>
      </c>
      <c r="D40" s="399">
        <v>3.6988828380999998</v>
      </c>
      <c r="E40" s="399">
        <f t="shared" si="1"/>
        <v>-1.4149578055675078</v>
      </c>
      <c r="F40" s="400">
        <f>TableB1b!K40</f>
        <v>0.22276299999999999</v>
      </c>
      <c r="G40" s="407">
        <f>TableB2!G38-TableB2!C38</f>
        <v>-1.0230083194675079</v>
      </c>
      <c r="H40" s="401">
        <f>TableB1b!E40</f>
        <v>-0.99966389351080898</v>
      </c>
      <c r="I40" s="402">
        <f>TableB1b!F40</f>
        <v>-2.3344425956739003E-2</v>
      </c>
      <c r="J40" s="403">
        <f>TableB1b!G40+TableB1b!J40+TableB1b!L40</f>
        <v>-0.61471248609999996</v>
      </c>
      <c r="K40" s="404">
        <v>-0.41701008779999998</v>
      </c>
      <c r="O40" s="758">
        <f t="shared" si="2"/>
        <v>0</v>
      </c>
      <c r="P40" s="392">
        <f t="shared" si="3"/>
        <v>0</v>
      </c>
      <c r="Q40" s="392">
        <f t="shared" si="4"/>
        <v>4.0058234507256429E-14</v>
      </c>
    </row>
    <row r="41" spans="1:17" ht="16" x14ac:dyDescent="0.2">
      <c r="A41" s="146"/>
      <c r="B41" s="1291" t="s">
        <v>58</v>
      </c>
      <c r="C41" s="406">
        <f t="shared" si="5"/>
        <v>19.095024122486002</v>
      </c>
      <c r="D41" s="399">
        <v>29.088750019199999</v>
      </c>
      <c r="E41" s="399">
        <f t="shared" si="1"/>
        <v>2.0812292535860042</v>
      </c>
      <c r="F41" s="400">
        <f>TableB1b!K41</f>
        <v>2.3014299999999999</v>
      </c>
      <c r="G41" s="407">
        <f>TableB2!G39-TableB2!C39</f>
        <v>8.869661674986002</v>
      </c>
      <c r="H41" s="401">
        <f>TableB1b!E41</f>
        <v>13.300055463116902</v>
      </c>
      <c r="I41" s="402">
        <f>TableB1b!F41</f>
        <v>-4.4303937881308997</v>
      </c>
      <c r="J41" s="403">
        <f>TableB1b!G41+TableB1b!J41+TableB1b!L41</f>
        <v>-9.0898624213999977</v>
      </c>
      <c r="K41" s="404">
        <v>-12.074955150299999</v>
      </c>
      <c r="O41" s="758">
        <f t="shared" si="2"/>
        <v>0</v>
      </c>
      <c r="P41" s="392">
        <f t="shared" si="3"/>
        <v>0</v>
      </c>
      <c r="Q41" s="392">
        <f t="shared" si="4"/>
        <v>0</v>
      </c>
    </row>
    <row r="42" spans="1:17" ht="16" x14ac:dyDescent="0.2">
      <c r="A42" s="146"/>
      <c r="B42" s="1291" t="s">
        <v>59</v>
      </c>
      <c r="C42" s="406">
        <f t="shared" si="5"/>
        <v>22.801183079806002</v>
      </c>
      <c r="D42" s="399">
        <v>24.546649288000001</v>
      </c>
      <c r="E42" s="399">
        <f t="shared" si="1"/>
        <v>6.4959621662059996</v>
      </c>
      <c r="F42" s="400">
        <f>TableB1b!K42</f>
        <v>2.0425800000000001</v>
      </c>
      <c r="G42" s="407">
        <f>TableB2!G40-TableB2!C40</f>
        <v>7.8616255205059993</v>
      </c>
      <c r="H42" s="401">
        <f>TableB1b!E42</f>
        <v>8.014069970222403</v>
      </c>
      <c r="I42" s="402">
        <f>TableB1b!F42</f>
        <v>-0.15256308353010017</v>
      </c>
      <c r="J42" s="403">
        <f>TableB1b!G42+TableB1b!J42+TableB1b!L42</f>
        <v>-3.4082433543000006</v>
      </c>
      <c r="K42" s="404">
        <v>-8.2414283743999999</v>
      </c>
      <c r="O42" s="758">
        <f t="shared" si="2"/>
        <v>0</v>
      </c>
      <c r="P42" s="392">
        <f t="shared" si="3"/>
        <v>0</v>
      </c>
      <c r="Q42" s="392">
        <f t="shared" si="4"/>
        <v>1.1863381369647819E-4</v>
      </c>
    </row>
    <row r="43" spans="1:17" ht="16" x14ac:dyDescent="0.2">
      <c r="A43" s="146"/>
      <c r="B43" s="1291" t="s">
        <v>60</v>
      </c>
      <c r="C43" s="406">
        <f t="shared" si="5"/>
        <v>75.743675341047009</v>
      </c>
      <c r="D43" s="399">
        <v>72.236173587100012</v>
      </c>
      <c r="E43" s="399">
        <f t="shared" si="1"/>
        <v>16.765160490646998</v>
      </c>
      <c r="F43" s="400">
        <f>TableB1b!K43</f>
        <v>-21.828399999999998</v>
      </c>
      <c r="G43" s="407">
        <f>TableB2!G41-TableB2!C41</f>
        <v>30.368160490646993</v>
      </c>
      <c r="H43" s="401">
        <f>TableB1b!E43</f>
        <v>26.818145302579005</v>
      </c>
      <c r="I43" s="402">
        <f>TableB1b!F43</f>
        <v>3.5500151880690005</v>
      </c>
      <c r="J43" s="403">
        <f>TableB1b!G43+TableB1b!J43+TableB1b!L43</f>
        <v>8.2254000000000023</v>
      </c>
      <c r="K43" s="404">
        <v>-13.257658736700002</v>
      </c>
      <c r="O43" s="758">
        <f t="shared" si="2"/>
        <v>0</v>
      </c>
      <c r="P43" s="392">
        <f t="shared" si="3"/>
        <v>0</v>
      </c>
      <c r="Q43" s="392">
        <f t="shared" si="4"/>
        <v>-1.0125233984581428E-12</v>
      </c>
    </row>
    <row r="44" spans="1:17" ht="16" x14ac:dyDescent="0.2">
      <c r="A44" s="146"/>
      <c r="B44" s="1291" t="s">
        <v>61</v>
      </c>
      <c r="C44" s="406">
        <f t="shared" si="5"/>
        <v>-32.119169999999997</v>
      </c>
      <c r="D44" s="399">
        <v>-23.905999999999999</v>
      </c>
      <c r="E44" s="399">
        <f t="shared" si="1"/>
        <v>-9.6431699999999996</v>
      </c>
      <c r="F44" s="400">
        <f>TableB1b!K44</f>
        <v>-0.40699999999999997</v>
      </c>
      <c r="G44" s="407">
        <f>TableB2!G42-TableB2!C42</f>
        <v>-3.3191699999999997</v>
      </c>
      <c r="H44" s="401">
        <f>TableB1b!E44</f>
        <v>-3.1791100000000001</v>
      </c>
      <c r="I44" s="402">
        <f>TableB1b!F44</f>
        <v>-0.14006000000000002</v>
      </c>
      <c r="J44" s="403">
        <f>TableB1b!G44+TableB1b!J44+TableB1b!L44</f>
        <v>-5.9169999999999998</v>
      </c>
      <c r="K44" s="404">
        <v>1.43</v>
      </c>
      <c r="O44" s="758">
        <f t="shared" ref="O44:O64" si="6">C44-D44-E44-K44</f>
        <v>0</v>
      </c>
      <c r="P44" s="392">
        <f t="shared" ref="P44:P64" si="7">E44-F44-G44-J44</f>
        <v>0</v>
      </c>
      <c r="Q44" s="392">
        <f t="shared" ref="Q44:Q64" si="8">G44-H44-I44</f>
        <v>3.8857805861880479E-16</v>
      </c>
    </row>
    <row r="45" spans="1:17" ht="16" x14ac:dyDescent="0.2">
      <c r="A45" s="146"/>
      <c r="B45" s="1291" t="s">
        <v>62</v>
      </c>
      <c r="C45" s="406">
        <f t="shared" si="5"/>
        <v>-122.385052442757</v>
      </c>
      <c r="D45" s="399">
        <v>-45.693501871400002</v>
      </c>
      <c r="E45" s="399">
        <f t="shared" si="1"/>
        <v>-39.030639648157006</v>
      </c>
      <c r="F45" s="400">
        <f>TableB1b!K45</f>
        <v>-0.13176399999999999</v>
      </c>
      <c r="G45" s="407">
        <f>TableB2!G43-TableB2!C43</f>
        <v>13.893048128342997</v>
      </c>
      <c r="H45" s="401">
        <f>TableB1b!E45</f>
        <v>24.846827878169748</v>
      </c>
      <c r="I45" s="402">
        <f>TableB1b!F45</f>
        <v>-10.953779749826746</v>
      </c>
      <c r="J45" s="403">
        <f>TableB1b!G45+TableB1b!J45+TableB1b!L45</f>
        <v>-52.791923776499999</v>
      </c>
      <c r="K45" s="404">
        <v>-37.660910923199999</v>
      </c>
      <c r="O45" s="758">
        <f t="shared" si="6"/>
        <v>0</v>
      </c>
      <c r="P45" s="392">
        <f t="shared" si="7"/>
        <v>0</v>
      </c>
      <c r="Q45" s="392">
        <f t="shared" si="8"/>
        <v>0</v>
      </c>
    </row>
    <row r="46" spans="1:17" ht="16" x14ac:dyDescent="0.2">
      <c r="A46" s="146"/>
      <c r="B46" s="1291" t="s">
        <v>63</v>
      </c>
      <c r="C46" s="406">
        <f t="shared" si="5"/>
        <v>-449.73400000000004</v>
      </c>
      <c r="D46" s="399">
        <v>-500</v>
      </c>
      <c r="E46" s="399">
        <f t="shared" si="1"/>
        <v>170.26599999999999</v>
      </c>
      <c r="F46" s="400">
        <f>TableB1b!K46</f>
        <v>-11.734999999999999</v>
      </c>
      <c r="G46" s="407">
        <f>TableB2!G44-TableB2!C44</f>
        <v>266.529</v>
      </c>
      <c r="H46" s="401">
        <f>TableB1b!E46</f>
        <v>285.185</v>
      </c>
      <c r="I46" s="402">
        <f>TableB1b!F46</f>
        <v>-18.655999999999999</v>
      </c>
      <c r="J46" s="403">
        <f>TableB1b!G46+TableB1b!J46+TableB1b!L46</f>
        <v>-84.527999999999992</v>
      </c>
      <c r="K46" s="404">
        <v>-120</v>
      </c>
      <c r="O46" s="758">
        <f t="shared" si="6"/>
        <v>0</v>
      </c>
      <c r="P46" s="392">
        <f t="shared" si="7"/>
        <v>0</v>
      </c>
      <c r="Q46" s="392">
        <f t="shared" si="8"/>
        <v>0</v>
      </c>
    </row>
    <row r="47" spans="1:17" ht="40" customHeight="1" x14ac:dyDescent="0.15">
      <c r="A47" s="146"/>
      <c r="B47" s="7" t="s">
        <v>64</v>
      </c>
      <c r="C47" s="766"/>
      <c r="D47" s="767"/>
      <c r="E47" s="767"/>
      <c r="F47" s="768"/>
      <c r="G47" s="767"/>
      <c r="H47" s="769"/>
      <c r="I47" s="770"/>
      <c r="J47" s="771"/>
      <c r="K47" s="772"/>
      <c r="O47" s="758"/>
      <c r="P47" s="392"/>
      <c r="Q47" s="392"/>
    </row>
    <row r="48" spans="1:17" ht="16" x14ac:dyDescent="0.2">
      <c r="A48" s="146" t="s">
        <v>65</v>
      </c>
      <c r="B48" s="1291" t="s">
        <v>65</v>
      </c>
      <c r="C48" s="406">
        <f t="shared" si="5"/>
        <v>-62.042500438999994</v>
      </c>
      <c r="D48" s="399">
        <v>-19.248507289099997</v>
      </c>
      <c r="E48" s="399">
        <f t="shared" ref="E48:E54" si="9">F48+G48+J48</f>
        <v>-45.517752664400007</v>
      </c>
      <c r="F48" s="400">
        <f>TableB1b!K48</f>
        <v>0.34923399999999999</v>
      </c>
      <c r="G48" s="407">
        <f>TableB2!G46-TableB2!C46</f>
        <v>-21.310946850500002</v>
      </c>
      <c r="H48" s="401">
        <f>TableB1b!E48</f>
        <v>-16.685762936409997</v>
      </c>
      <c r="I48" s="402">
        <f>TableB1b!F48</f>
        <v>-4.58980803627</v>
      </c>
      <c r="J48" s="403">
        <f>TableB1b!G48+TableB1b!J48+TableB1b!L48</f>
        <v>-24.5560398139</v>
      </c>
      <c r="K48" s="404">
        <v>2.7237595145000002</v>
      </c>
      <c r="O48" s="758">
        <f t="shared" si="6"/>
        <v>9.7699626167013776E-15</v>
      </c>
      <c r="P48" s="392">
        <f t="shared" si="7"/>
        <v>0</v>
      </c>
      <c r="Q48" s="392">
        <f t="shared" si="8"/>
        <v>-3.5375877820005286E-2</v>
      </c>
    </row>
    <row r="49" spans="1:17" ht="16" x14ac:dyDescent="0.2">
      <c r="A49" s="1000" t="s">
        <v>337</v>
      </c>
      <c r="B49" s="1291" t="s">
        <v>66</v>
      </c>
      <c r="C49" s="406">
        <f t="shared" si="5"/>
        <v>304.16446188040561</v>
      </c>
      <c r="D49" s="399">
        <v>357.87076428130001</v>
      </c>
      <c r="E49" s="399">
        <f t="shared" si="9"/>
        <v>-41.05697396009441</v>
      </c>
      <c r="F49" s="400">
        <f>TableB1b!K49</f>
        <v>27.386500000000002</v>
      </c>
      <c r="G49" s="407">
        <f>TableB2!G47-TableB2!C47</f>
        <v>-34.555951026594414</v>
      </c>
      <c r="H49" s="401">
        <f>TableB1b!E49</f>
        <v>-34.555951026594414</v>
      </c>
      <c r="I49" s="402">
        <f>TableB1b!F49</f>
        <v>0</v>
      </c>
      <c r="J49" s="403">
        <f>TableB1b!G49+TableB1b!J49+TableB1b!L49</f>
        <v>-33.887522933500001</v>
      </c>
      <c r="K49" s="404">
        <v>-12.6493284408</v>
      </c>
      <c r="O49" s="758">
        <f t="shared" si="6"/>
        <v>0</v>
      </c>
      <c r="P49" s="392">
        <f t="shared" si="7"/>
        <v>0</v>
      </c>
      <c r="Q49" s="392">
        <f t="shared" si="8"/>
        <v>0</v>
      </c>
    </row>
    <row r="50" spans="1:17" ht="16" x14ac:dyDescent="0.2">
      <c r="A50" s="146"/>
      <c r="B50" s="1291" t="s">
        <v>67</v>
      </c>
      <c r="C50" s="406">
        <f t="shared" si="5"/>
        <v>-19.083277812800006</v>
      </c>
      <c r="D50" s="399">
        <v>-18.543288431700002</v>
      </c>
      <c r="E50" s="399">
        <f t="shared" si="9"/>
        <v>-5.9697216002999998</v>
      </c>
      <c r="F50" s="400">
        <f>TableB1b!K50</f>
        <v>-3.4732199999999998E-2</v>
      </c>
      <c r="G50" s="407">
        <f>TableB2!G48-TableB2!C48</f>
        <v>-1.7484193972999997</v>
      </c>
      <c r="H50" s="401">
        <f>TableB1b!E50</f>
        <v>-1.2611379088999999</v>
      </c>
      <c r="I50" s="402">
        <f>TableB1b!F50</f>
        <v>-0.48728148839999996</v>
      </c>
      <c r="J50" s="403">
        <f>TableB1b!G50+TableB1b!J50+TableB1b!L50</f>
        <v>-4.1865700029999999</v>
      </c>
      <c r="K50" s="404">
        <v>5.4297322191999999</v>
      </c>
      <c r="O50" s="758">
        <f t="shared" si="6"/>
        <v>0</v>
      </c>
      <c r="P50" s="392">
        <f t="shared" si="7"/>
        <v>0</v>
      </c>
      <c r="Q50" s="392">
        <f t="shared" si="8"/>
        <v>0</v>
      </c>
    </row>
    <row r="51" spans="1:17" ht="16" x14ac:dyDescent="0.2">
      <c r="A51" s="146"/>
      <c r="B51" s="1291" t="s">
        <v>68</v>
      </c>
      <c r="C51" s="406">
        <f t="shared" si="5"/>
        <v>-2.1082263101000001</v>
      </c>
      <c r="D51" s="399">
        <v>-1.8108003000000001E-2</v>
      </c>
      <c r="E51" s="399">
        <f t="shared" si="9"/>
        <v>-2.5472001676999998</v>
      </c>
      <c r="F51" s="400">
        <f>TableB1b!K51</f>
        <v>-6.08671E-2</v>
      </c>
      <c r="G51" s="407">
        <f>TableB2!G49-TableB2!C49</f>
        <v>-1.9651139597</v>
      </c>
      <c r="H51" s="401">
        <f>TableB1b!E51</f>
        <v>-0.89792523350000009</v>
      </c>
      <c r="I51" s="402">
        <f>TableB1b!F51</f>
        <v>-1.0671887261999999</v>
      </c>
      <c r="J51" s="403">
        <f>TableB1b!G51+TableB1b!J51+TableB1b!L51</f>
        <v>-0.52121910799999993</v>
      </c>
      <c r="K51" s="404">
        <v>0.4570818606</v>
      </c>
      <c r="O51" s="758">
        <f t="shared" si="6"/>
        <v>0</v>
      </c>
      <c r="P51" s="392">
        <f t="shared" si="7"/>
        <v>0</v>
      </c>
      <c r="Q51" s="392">
        <f t="shared" si="8"/>
        <v>0</v>
      </c>
    </row>
    <row r="52" spans="1:17" ht="16" x14ac:dyDescent="0.2">
      <c r="A52" s="146"/>
      <c r="B52" s="1291" t="s">
        <v>69</v>
      </c>
      <c r="C52" s="406">
        <f t="shared" si="5"/>
        <v>-25.787330963999992</v>
      </c>
      <c r="D52" s="399">
        <v>-63.249171394800001</v>
      </c>
      <c r="E52" s="399">
        <f t="shared" si="9"/>
        <v>-26.690869753999998</v>
      </c>
      <c r="F52" s="400">
        <f>TableB1b!K52</f>
        <v>1.31857</v>
      </c>
      <c r="G52" s="407">
        <f>TableB2!G50-TableB2!C50</f>
        <v>-8.6814563184999987</v>
      </c>
      <c r="H52" s="401">
        <f>TableB1b!E52</f>
        <v>-1.9692084181999983</v>
      </c>
      <c r="I52" s="402">
        <f>TableB1b!F52</f>
        <v>-6.7122479003000004</v>
      </c>
      <c r="J52" s="403">
        <f>TableB1b!G52+TableB1b!J52+TableB1b!L52</f>
        <v>-19.327983435499998</v>
      </c>
      <c r="K52" s="404">
        <v>64.1527101848</v>
      </c>
      <c r="O52" s="758">
        <f t="shared" si="6"/>
        <v>0</v>
      </c>
      <c r="P52" s="392">
        <f t="shared" si="7"/>
        <v>0</v>
      </c>
      <c r="Q52" s="392">
        <f t="shared" si="8"/>
        <v>0</v>
      </c>
    </row>
    <row r="53" spans="1:17" ht="16" x14ac:dyDescent="0.2">
      <c r="A53" s="146"/>
      <c r="B53" s="1291" t="s">
        <v>338</v>
      </c>
      <c r="C53" s="406">
        <f t="shared" si="5"/>
        <v>67.858109999999996</v>
      </c>
      <c r="D53" s="399">
        <v>111.47775</v>
      </c>
      <c r="E53" s="399">
        <f t="shared" si="9"/>
        <v>-37.899680000000004</v>
      </c>
      <c r="F53" s="400">
        <f>TableB1b!K53</f>
        <v>-5.1038699999999997</v>
      </c>
      <c r="G53" s="407">
        <f>TableB2!G51-TableB2!C51</f>
        <v>-23.717169999999999</v>
      </c>
      <c r="H53" s="401">
        <f>TableB1b!E53</f>
        <v>-18.431759999999997</v>
      </c>
      <c r="I53" s="402">
        <f>TableB1b!F53</f>
        <v>-5.2854099999999997</v>
      </c>
      <c r="J53" s="403">
        <f>TableB1b!G53+TableB1b!J53+TableB1b!L53</f>
        <v>-9.0786400000000018</v>
      </c>
      <c r="K53" s="404">
        <v>-5.7199600000000004</v>
      </c>
      <c r="O53" s="758">
        <f t="shared" si="6"/>
        <v>0</v>
      </c>
      <c r="P53" s="392">
        <f t="shared" si="7"/>
        <v>0</v>
      </c>
      <c r="Q53" s="392">
        <f t="shared" si="8"/>
        <v>0</v>
      </c>
    </row>
    <row r="54" spans="1:17" ht="16" x14ac:dyDescent="0.2">
      <c r="A54" s="146"/>
      <c r="B54" s="1291" t="s">
        <v>71</v>
      </c>
      <c r="C54" s="406">
        <f t="shared" si="5"/>
        <v>-13.9090694671</v>
      </c>
      <c r="D54" s="399">
        <v>-3.4638944553000002</v>
      </c>
      <c r="E54" s="399">
        <f t="shared" si="9"/>
        <v>-7.7994050636000001</v>
      </c>
      <c r="F54" s="400">
        <f>TableB1b!K54</f>
        <v>-0.15484400000000001</v>
      </c>
      <c r="G54" s="407">
        <f>TableB2!G52-TableB2!C52</f>
        <v>-3.7332209097</v>
      </c>
      <c r="H54" s="401">
        <f>TableB1b!E54</f>
        <v>-3.7332209096999995</v>
      </c>
      <c r="I54" s="402">
        <f>TableB1b!F54</f>
        <v>0</v>
      </c>
      <c r="J54" s="403">
        <f>TableB1b!G54+TableB1b!J54+TableB1b!L54</f>
        <v>-3.9113401538999999</v>
      </c>
      <c r="K54" s="404">
        <v>-2.6457699481999999</v>
      </c>
      <c r="O54" s="758">
        <f t="shared" si="6"/>
        <v>0</v>
      </c>
      <c r="P54" s="392">
        <f t="shared" si="7"/>
        <v>0</v>
      </c>
      <c r="Q54" s="392">
        <f t="shared" si="8"/>
        <v>-4.4408920985006262E-16</v>
      </c>
    </row>
    <row r="55" spans="1:17" ht="40" customHeight="1" x14ac:dyDescent="0.2">
      <c r="A55" s="146"/>
      <c r="B55" s="7" t="s">
        <v>72</v>
      </c>
      <c r="C55" s="406"/>
      <c r="D55" s="399"/>
      <c r="E55" s="399" t="e">
        <v>#REF!</v>
      </c>
      <c r="F55" s="400"/>
      <c r="G55" s="407"/>
      <c r="H55" s="401"/>
      <c r="I55" s="402"/>
      <c r="J55" s="403"/>
      <c r="K55" s="405"/>
      <c r="O55" s="758"/>
      <c r="P55" s="392"/>
      <c r="Q55" s="392"/>
    </row>
    <row r="56" spans="1:17" ht="16" x14ac:dyDescent="0.2">
      <c r="A56" s="146"/>
      <c r="B56" s="1291" t="s">
        <v>73</v>
      </c>
      <c r="C56" s="406" t="e">
        <f t="shared" si="5"/>
        <v>#N/A</v>
      </c>
      <c r="D56" s="399" t="e">
        <v>#N/A</v>
      </c>
      <c r="E56" s="399">
        <f t="shared" ref="E56:E91" si="10">F56+G56+J56</f>
        <v>3.27E-2</v>
      </c>
      <c r="F56" s="400">
        <f>TableB1b!K56</f>
        <v>0</v>
      </c>
      <c r="G56" s="407">
        <f>TableB2!G54-TableB2!C54</f>
        <v>3.27E-2</v>
      </c>
      <c r="H56" s="401">
        <f>TableB2!H54+TableB2!J54-TableB2!D54-TableB2!F54</f>
        <v>3.27E-2</v>
      </c>
      <c r="I56" s="402">
        <f>TableB2!I54-TableB2!E54</f>
        <v>0</v>
      </c>
      <c r="J56" s="403">
        <f>TableB1b!G56+TableB1b!J56+TableB1b!L56</f>
        <v>0</v>
      </c>
      <c r="K56" s="404" t="e">
        <v>#N/A</v>
      </c>
      <c r="O56" s="758" t="e">
        <f t="shared" si="6"/>
        <v>#N/A</v>
      </c>
      <c r="P56" s="392">
        <f t="shared" si="7"/>
        <v>0</v>
      </c>
      <c r="Q56" s="392">
        <f t="shared" si="8"/>
        <v>0</v>
      </c>
    </row>
    <row r="57" spans="1:17" ht="16" x14ac:dyDescent="0.2">
      <c r="A57" s="146"/>
      <c r="B57" s="1291" t="s">
        <v>74</v>
      </c>
      <c r="C57" s="406">
        <f t="shared" si="5"/>
        <v>-0.1027</v>
      </c>
      <c r="D57" s="399">
        <v>0</v>
      </c>
      <c r="E57" s="399">
        <f t="shared" si="10"/>
        <v>-0.1027</v>
      </c>
      <c r="F57" s="400">
        <f>TableB1b!K57</f>
        <v>0</v>
      </c>
      <c r="G57" s="407">
        <f>TableB2!G55-TableB2!C55</f>
        <v>-0.1027</v>
      </c>
      <c r="H57" s="401">
        <f>TableB2!H55+TableB2!J55-TableB2!D55-TableB2!F55</f>
        <v>-0.1027</v>
      </c>
      <c r="I57" s="402">
        <f>TableB2!I55-TableB2!E55</f>
        <v>0</v>
      </c>
      <c r="J57" s="403">
        <f>TableB1b!G57+TableB1b!J57+TableB1b!L57</f>
        <v>0</v>
      </c>
      <c r="K57" s="404">
        <v>0</v>
      </c>
      <c r="O57" s="758">
        <f t="shared" si="6"/>
        <v>0</v>
      </c>
      <c r="P57" s="392">
        <f t="shared" si="7"/>
        <v>0</v>
      </c>
      <c r="Q57" s="392">
        <f t="shared" si="8"/>
        <v>0</v>
      </c>
    </row>
    <row r="58" spans="1:17" ht="16" x14ac:dyDescent="0.2">
      <c r="A58" s="146"/>
      <c r="B58" s="1291" t="s">
        <v>75</v>
      </c>
      <c r="C58" s="406">
        <f t="shared" si="5"/>
        <v>-7.690000000000001E-2</v>
      </c>
      <c r="D58" s="399">
        <v>0</v>
      </c>
      <c r="E58" s="399">
        <f t="shared" si="10"/>
        <v>-7.690000000000001E-2</v>
      </c>
      <c r="F58" s="400">
        <f>TableB1b!K58</f>
        <v>0</v>
      </c>
      <c r="G58" s="407">
        <f>TableB2!G56-TableB2!C56</f>
        <v>-7.690000000000001E-2</v>
      </c>
      <c r="H58" s="401">
        <f>TableB2!H56+TableB2!J56-TableB2!D56-TableB2!F56</f>
        <v>-7.690000000000001E-2</v>
      </c>
      <c r="I58" s="402">
        <f>TableB2!I56-TableB2!E56</f>
        <v>0</v>
      </c>
      <c r="J58" s="403">
        <f>TableB1b!G58+TableB1b!J58+TableB1b!L58</f>
        <v>0</v>
      </c>
      <c r="K58" s="404">
        <v>0</v>
      </c>
      <c r="O58" s="758">
        <f t="shared" si="6"/>
        <v>0</v>
      </c>
      <c r="P58" s="392">
        <f t="shared" si="7"/>
        <v>0</v>
      </c>
      <c r="Q58" s="392">
        <f t="shared" si="8"/>
        <v>0</v>
      </c>
    </row>
    <row r="59" spans="1:17" ht="16" x14ac:dyDescent="0.2">
      <c r="A59" s="146"/>
      <c r="B59" s="1291" t="s">
        <v>76</v>
      </c>
      <c r="C59" s="406">
        <f t="shared" si="5"/>
        <v>0.13945810064916003</v>
      </c>
      <c r="D59" s="399">
        <v>0.28709497210000001</v>
      </c>
      <c r="E59" s="399">
        <f t="shared" si="10"/>
        <v>-8.115642455083999E-2</v>
      </c>
      <c r="F59" s="400">
        <f>TableB1b!K59</f>
        <v>-3.4636871508399998E-3</v>
      </c>
      <c r="G59" s="407">
        <f>TableB2!G57-TableB2!C57</f>
        <v>-4.1715083800000004E-2</v>
      </c>
      <c r="H59" s="401">
        <f>TableB2!H57+TableB2!J57-TableB2!D57-TableB2!F57</f>
        <v>-4.1715083799999997E-2</v>
      </c>
      <c r="I59" s="402">
        <f>TableB2!I57-TableB2!E57</f>
        <v>0</v>
      </c>
      <c r="J59" s="403">
        <f>TableB1b!G59+TableB1b!J59+TableB1b!L59</f>
        <v>-3.5977653599999992E-2</v>
      </c>
      <c r="K59" s="404">
        <v>-6.6480446900000004E-2</v>
      </c>
      <c r="O59" s="758">
        <f t="shared" si="6"/>
        <v>0</v>
      </c>
      <c r="P59" s="392">
        <f t="shared" si="7"/>
        <v>0</v>
      </c>
      <c r="Q59" s="392">
        <f t="shared" si="8"/>
        <v>-6.9388939039072284E-18</v>
      </c>
    </row>
    <row r="60" spans="1:17" ht="16" x14ac:dyDescent="0.2">
      <c r="A60" s="146" t="s">
        <v>339</v>
      </c>
      <c r="B60" s="1291" t="s">
        <v>152</v>
      </c>
      <c r="C60" s="406" t="e">
        <f t="shared" si="5"/>
        <v>#N/A</v>
      </c>
      <c r="D60" s="399" t="e">
        <v>#N/A</v>
      </c>
      <c r="E60" s="399">
        <f t="shared" si="10"/>
        <v>-1.1414548391967188</v>
      </c>
      <c r="F60" s="400">
        <f>TableB1b!K60</f>
        <v>-6.64965E-2</v>
      </c>
      <c r="G60" s="407">
        <f>TableB2!G58-TableB2!C58</f>
        <v>-0.73882524149671891</v>
      </c>
      <c r="H60" s="401">
        <f>TableB2!H58+TableB2!J58-TableB2!D58-TableB2!F58</f>
        <v>-0.73882524149671902</v>
      </c>
      <c r="I60" s="402">
        <f>TableB2!I58-TableB2!E58</f>
        <v>0</v>
      </c>
      <c r="J60" s="403">
        <f>TableB1b!G60+TableB1b!J60+TableB1b!L60</f>
        <v>-0.33613309769999999</v>
      </c>
      <c r="K60" s="404">
        <v>1.5321789000000001E-2</v>
      </c>
      <c r="O60" s="758" t="e">
        <f t="shared" si="6"/>
        <v>#N/A</v>
      </c>
      <c r="P60" s="392">
        <f t="shared" si="7"/>
        <v>0</v>
      </c>
      <c r="Q60" s="392">
        <f t="shared" si="8"/>
        <v>1.1102230246251565E-16</v>
      </c>
    </row>
    <row r="61" spans="1:17" ht="16" x14ac:dyDescent="0.2">
      <c r="A61" s="1000" t="s">
        <v>340</v>
      </c>
      <c r="B61" s="1291" t="s">
        <v>78</v>
      </c>
      <c r="C61" s="406" t="e">
        <f t="shared" si="5"/>
        <v>#N/A</v>
      </c>
      <c r="D61" s="399" t="e">
        <v>#N/A</v>
      </c>
      <c r="E61" s="399">
        <f t="shared" si="10"/>
        <v>-0.64260805649591413</v>
      </c>
      <c r="F61" s="400">
        <f>TableB1b!K61</f>
        <v>0</v>
      </c>
      <c r="G61" s="407">
        <f>TableB2!G59-TableB2!C59</f>
        <v>-0.64260805649591413</v>
      </c>
      <c r="H61" s="401">
        <f>TableB2!H59+TableB2!J59-TableB2!D59-TableB2!F59</f>
        <v>-0.64260805649591413</v>
      </c>
      <c r="I61" s="402">
        <f>TableB2!I59-TableB2!E59</f>
        <v>0</v>
      </c>
      <c r="J61" s="403">
        <f>TableB1b!G61+TableB1b!J61+TableB1b!L61</f>
        <v>0</v>
      </c>
      <c r="K61" s="404">
        <v>0</v>
      </c>
      <c r="O61" s="758" t="e">
        <f t="shared" si="6"/>
        <v>#N/A</v>
      </c>
      <c r="P61" s="392">
        <f t="shared" si="7"/>
        <v>0</v>
      </c>
      <c r="Q61" s="392">
        <f t="shared" si="8"/>
        <v>0</v>
      </c>
    </row>
    <row r="62" spans="1:17" ht="16" x14ac:dyDescent="0.2">
      <c r="A62" s="146"/>
      <c r="B62" s="1291" t="s">
        <v>79</v>
      </c>
      <c r="C62" s="406">
        <f t="shared" si="5"/>
        <v>-1.8957898653382528</v>
      </c>
      <c r="D62" s="399">
        <v>0</v>
      </c>
      <c r="E62" s="399">
        <f t="shared" si="10"/>
        <v>-1.8957898653382528</v>
      </c>
      <c r="F62" s="400">
        <f>TableB1b!K62</f>
        <v>0</v>
      </c>
      <c r="G62" s="407">
        <f>TableB2!G60-TableB2!C60</f>
        <v>-1.8957898653382528</v>
      </c>
      <c r="H62" s="401">
        <f>TableB2!H60+TableB2!J60-TableB2!D60-TableB2!F60</f>
        <v>-1.8957898653382528</v>
      </c>
      <c r="I62" s="402">
        <f>TableB2!I60-TableB2!E60</f>
        <v>0</v>
      </c>
      <c r="J62" s="403">
        <f>TableB1b!G62+TableB1b!J62+TableB1b!L62</f>
        <v>0</v>
      </c>
      <c r="K62" s="404">
        <v>0</v>
      </c>
      <c r="O62" s="758">
        <f t="shared" si="6"/>
        <v>0</v>
      </c>
      <c r="P62" s="392">
        <f t="shared" si="7"/>
        <v>0</v>
      </c>
      <c r="Q62" s="392">
        <f t="shared" si="8"/>
        <v>0</v>
      </c>
    </row>
    <row r="63" spans="1:17" ht="16" x14ac:dyDescent="0.2">
      <c r="A63" s="146"/>
      <c r="B63" s="1291" t="s">
        <v>80</v>
      </c>
      <c r="C63" s="406">
        <f t="shared" si="5"/>
        <v>-0.18947414577512001</v>
      </c>
      <c r="D63" s="399">
        <v>-0.14897820119999999</v>
      </c>
      <c r="E63" s="399">
        <f t="shared" si="10"/>
        <v>-0.11020450537512001</v>
      </c>
      <c r="F63" s="400">
        <f>TableB1b!K63</f>
        <v>-4.26969227512E-3</v>
      </c>
      <c r="G63" s="407">
        <f>TableB2!G61-TableB2!C61</f>
        <v>-6.4989477700000006E-2</v>
      </c>
      <c r="H63" s="401">
        <f>TableB2!H61+TableB2!J61-TableB2!D61-TableB2!F61</f>
        <v>-6.4989477700000006E-2</v>
      </c>
      <c r="I63" s="402">
        <f>TableB2!I61-TableB2!E61</f>
        <v>0</v>
      </c>
      <c r="J63" s="403">
        <f>TableB1b!G63+TableB1b!J63+TableB1b!L63</f>
        <v>-4.0945335400000005E-2</v>
      </c>
      <c r="K63" s="404">
        <v>6.97085608E-2</v>
      </c>
      <c r="O63" s="758">
        <f t="shared" si="6"/>
        <v>0</v>
      </c>
      <c r="P63" s="392">
        <f t="shared" si="7"/>
        <v>0</v>
      </c>
      <c r="Q63" s="392">
        <f t="shared" si="8"/>
        <v>0</v>
      </c>
    </row>
    <row r="64" spans="1:17" ht="16" x14ac:dyDescent="0.2">
      <c r="A64" s="146"/>
      <c r="B64" s="1291" t="s">
        <v>81</v>
      </c>
      <c r="C64" s="406">
        <f t="shared" si="5"/>
        <v>-14.589563351836661</v>
      </c>
      <c r="D64" s="399">
        <v>-0.61723925479999997</v>
      </c>
      <c r="E64" s="399">
        <f t="shared" si="10"/>
        <v>-13.834507059336662</v>
      </c>
      <c r="F64" s="400">
        <f>TableB1b!K64</f>
        <v>1.37815</v>
      </c>
      <c r="G64" s="407">
        <f>TableB2!G62-TableB2!C62</f>
        <v>-15.447398527436661</v>
      </c>
      <c r="H64" s="401">
        <f>TableB2!H62+TableB2!J62-TableB2!D62-TableB2!F62</f>
        <v>-15.447398527436663</v>
      </c>
      <c r="I64" s="402">
        <f>TableB2!I62-TableB2!E62</f>
        <v>0</v>
      </c>
      <c r="J64" s="403">
        <f>TableB1b!G64+TableB1b!J64+TableB1b!L64</f>
        <v>0.23474146810000002</v>
      </c>
      <c r="K64" s="404">
        <v>-0.13781703769999998</v>
      </c>
      <c r="O64" s="758">
        <f t="shared" si="6"/>
        <v>3.3306690738754696E-16</v>
      </c>
      <c r="P64" s="392">
        <f t="shared" si="7"/>
        <v>-7.2164496600635175E-16</v>
      </c>
      <c r="Q64" s="392">
        <f t="shared" si="8"/>
        <v>1.7763568394002505E-15</v>
      </c>
    </row>
    <row r="65" spans="1:17" ht="16" x14ac:dyDescent="0.2">
      <c r="A65" s="146"/>
      <c r="B65" s="1291" t="s">
        <v>82</v>
      </c>
      <c r="C65" s="406" t="e">
        <f t="shared" si="5"/>
        <v>#N/A</v>
      </c>
      <c r="D65" s="399" t="e">
        <v>#N/A</v>
      </c>
      <c r="E65" s="399">
        <f t="shared" si="10"/>
        <v>9.4000000000000004E-3</v>
      </c>
      <c r="F65" s="400">
        <f>TableB1b!K65</f>
        <v>0</v>
      </c>
      <c r="G65" s="407">
        <f>TableB2!G63-TableB2!C63</f>
        <v>9.4000000000000004E-3</v>
      </c>
      <c r="H65" s="401">
        <f>TableB2!H63+TableB2!J63-TableB2!D63-TableB2!F63</f>
        <v>9.3999999999999986E-3</v>
      </c>
      <c r="I65" s="402">
        <f>TableB2!I63-TableB2!E63</f>
        <v>0</v>
      </c>
      <c r="J65" s="403">
        <f>TableB1b!G65+TableB1b!J65+TableB1b!L65</f>
        <v>0</v>
      </c>
      <c r="K65" s="404" t="e">
        <v>#N/A</v>
      </c>
      <c r="O65" s="758"/>
      <c r="P65" s="392"/>
      <c r="Q65" s="392"/>
    </row>
    <row r="66" spans="1:17" ht="16" x14ac:dyDescent="0.2">
      <c r="A66" s="146"/>
      <c r="B66" s="1291" t="s">
        <v>153</v>
      </c>
      <c r="C66" s="406" t="e">
        <f t="shared" si="5"/>
        <v>#N/A</v>
      </c>
      <c r="D66" s="399" t="e">
        <v>#N/A</v>
      </c>
      <c r="E66" s="399">
        <f t="shared" si="10"/>
        <v>4.0091023290772432</v>
      </c>
      <c r="F66" s="400">
        <f>TableB1b!K66</f>
        <v>0</v>
      </c>
      <c r="G66" s="407">
        <f>TableB2!G64-TableB2!C64</f>
        <v>4.0091023290772432</v>
      </c>
      <c r="H66" s="401">
        <f>TableB2!H64+TableB2!J64-TableB2!D64-TableB2!F64</f>
        <v>4.0091023290772432</v>
      </c>
      <c r="I66" s="402">
        <f>TableB2!I64-TableB2!E64</f>
        <v>0</v>
      </c>
      <c r="J66" s="403">
        <f>TableB1b!G66+TableB1b!J66+TableB1b!L66</f>
        <v>0</v>
      </c>
      <c r="K66" s="404" t="e">
        <v>#N/A</v>
      </c>
      <c r="O66" s="758"/>
      <c r="P66" s="392"/>
      <c r="Q66" s="392"/>
    </row>
    <row r="67" spans="1:17" ht="16" x14ac:dyDescent="0.2">
      <c r="A67" s="146"/>
      <c r="B67" s="113" t="s">
        <v>84</v>
      </c>
      <c r="C67" s="406" t="e">
        <f t="shared" si="5"/>
        <v>#N/A</v>
      </c>
      <c r="D67" s="399" t="e">
        <v>#N/A</v>
      </c>
      <c r="E67" s="399">
        <f t="shared" si="10"/>
        <v>-16.042018175138416</v>
      </c>
      <c r="F67" s="400">
        <f>TableB1b!K67</f>
        <v>0</v>
      </c>
      <c r="G67" s="407">
        <f>TableB2!G65-TableB2!C65</f>
        <v>-16.042018175138416</v>
      </c>
      <c r="H67" s="401">
        <f>TableB2!H65+TableB2!J65-TableB2!D65-TableB2!F65</f>
        <v>-16.042018175138416</v>
      </c>
      <c r="I67" s="402">
        <f>TableB2!I65-TableB2!E65</f>
        <v>0</v>
      </c>
      <c r="J67" s="403">
        <f>TableB1b!G67+TableB1b!J67+TableB1b!L67</f>
        <v>0</v>
      </c>
      <c r="K67" s="404" t="e">
        <v>#N/A</v>
      </c>
      <c r="O67" s="758"/>
      <c r="P67" s="392"/>
      <c r="Q67" s="392"/>
    </row>
    <row r="68" spans="1:17" ht="16" x14ac:dyDescent="0.2">
      <c r="A68" s="146"/>
      <c r="B68" s="1291" t="s">
        <v>85</v>
      </c>
      <c r="C68" s="406">
        <f t="shared" si="5"/>
        <v>1.7145125548400937</v>
      </c>
      <c r="D68" s="399">
        <v>-0.47401675980000002</v>
      </c>
      <c r="E68" s="399">
        <f t="shared" si="10"/>
        <v>2.2305740073400937</v>
      </c>
      <c r="F68" s="400">
        <f>TableB1b!K68</f>
        <v>4.2642458100559999E-2</v>
      </c>
      <c r="G68" s="407">
        <f>TableB2!G66-TableB2!C66</f>
        <v>2.1990097615395339</v>
      </c>
      <c r="H68" s="401">
        <f>TableB2!H66+TableB2!J66-TableB2!D66-TableB2!F66</f>
        <v>2.1990097615395339</v>
      </c>
      <c r="I68" s="402">
        <f>TableB2!I66-TableB2!E66</f>
        <v>0</v>
      </c>
      <c r="J68" s="403">
        <f>TableB1b!G68+TableB1b!J68+TableB1b!L68</f>
        <v>-1.1078212299999999E-2</v>
      </c>
      <c r="K68" s="404">
        <v>-4.2044692700000004E-2</v>
      </c>
      <c r="O68" s="758">
        <f>C68-D68-E68-K68</f>
        <v>-2.1510571102112408E-16</v>
      </c>
      <c r="P68" s="392">
        <f>E68-F68-G68-J68</f>
        <v>-1.6826817716975029E-16</v>
      </c>
      <c r="Q68" s="392">
        <f>G68-H68-I68</f>
        <v>0</v>
      </c>
    </row>
    <row r="69" spans="1:17" ht="16" x14ac:dyDescent="0.2">
      <c r="A69" s="146"/>
      <c r="B69" s="1291" t="s">
        <v>86</v>
      </c>
      <c r="C69" s="406">
        <f t="shared" si="5"/>
        <v>-3.3735185330952282</v>
      </c>
      <c r="D69" s="399">
        <v>5.94995044E-2</v>
      </c>
      <c r="E69" s="399">
        <f t="shared" si="10"/>
        <v>-2.8674717586952285</v>
      </c>
      <c r="F69" s="400">
        <f>TableB1b!K69</f>
        <v>-1.04276E-2</v>
      </c>
      <c r="G69" s="407">
        <f>TableB2!G67-TableB2!C67</f>
        <v>-2.2882870559952284</v>
      </c>
      <c r="H69" s="401">
        <f>TableB2!H67+TableB2!J67-TableB2!D67-TableB2!F67</f>
        <v>-2.2882870559952284</v>
      </c>
      <c r="I69" s="402">
        <f>TableB2!I67-TableB2!E67</f>
        <v>0</v>
      </c>
      <c r="J69" s="403">
        <f>TableB1b!G69+TableB1b!J69+TableB1b!L69</f>
        <v>-0.56875710270000002</v>
      </c>
      <c r="K69" s="404">
        <v>-0.56554627879999997</v>
      </c>
      <c r="O69" s="758">
        <f>C69-D69-E69-K69</f>
        <v>0</v>
      </c>
      <c r="P69" s="392">
        <f>E69-F69-G69-J69</f>
        <v>0</v>
      </c>
      <c r="Q69" s="392">
        <f>G69-H69-I69</f>
        <v>0</v>
      </c>
    </row>
    <row r="70" spans="1:17" ht="16" x14ac:dyDescent="0.2">
      <c r="A70" s="146"/>
      <c r="B70" s="1291" t="s">
        <v>87</v>
      </c>
      <c r="C70" s="406" t="e">
        <f t="shared" si="5"/>
        <v>#N/A</v>
      </c>
      <c r="D70" s="399" t="e">
        <v>#N/A</v>
      </c>
      <c r="E70" s="399">
        <f t="shared" si="10"/>
        <v>-2.0350376390608886</v>
      </c>
      <c r="F70" s="400">
        <f>TableB1b!K70</f>
        <v>0</v>
      </c>
      <c r="G70" s="407">
        <f>TableB2!G68-TableB2!C68</f>
        <v>-2.0350376390608886</v>
      </c>
      <c r="H70" s="401">
        <f>TableB2!H68+TableB2!J68-TableB2!D68-TableB2!F68</f>
        <v>-2.0350376390608886</v>
      </c>
      <c r="I70" s="402">
        <f>TableB2!I68-TableB2!E68</f>
        <v>0</v>
      </c>
      <c r="J70" s="403">
        <f>TableB1b!G70+TableB1b!J70+TableB1b!L70</f>
        <v>0</v>
      </c>
      <c r="K70" s="404" t="e">
        <v>#N/A</v>
      </c>
      <c r="O70" s="758"/>
      <c r="P70" s="392"/>
      <c r="Q70" s="392"/>
    </row>
    <row r="71" spans="1:17" ht="16" x14ac:dyDescent="0.2">
      <c r="A71" s="146"/>
      <c r="B71" s="1291" t="s">
        <v>88</v>
      </c>
      <c r="C71" s="406">
        <f t="shared" si="5"/>
        <v>-1.52E-2</v>
      </c>
      <c r="D71" s="399">
        <v>0</v>
      </c>
      <c r="E71" s="399">
        <f t="shared" si="10"/>
        <v>-1.52E-2</v>
      </c>
      <c r="F71" s="400">
        <f>TableB1b!K71</f>
        <v>0</v>
      </c>
      <c r="G71" s="407">
        <f>TableB2!G69-TableB2!C69</f>
        <v>-1.52E-2</v>
      </c>
      <c r="H71" s="401">
        <f>TableB2!H69+TableB2!J69-TableB2!D69-TableB2!F69</f>
        <v>-1.52E-2</v>
      </c>
      <c r="I71" s="402">
        <f>TableB2!I69-TableB2!E69</f>
        <v>0</v>
      </c>
      <c r="J71" s="403">
        <f>TableB1b!G71+TableB1b!J71+TableB1b!L71</f>
        <v>0</v>
      </c>
      <c r="K71" s="404">
        <v>0</v>
      </c>
      <c r="O71" s="758">
        <f>C71-D71-E71-K71</f>
        <v>0</v>
      </c>
      <c r="P71" s="392">
        <f>E71-F71-G71-J71</f>
        <v>0</v>
      </c>
      <c r="Q71" s="392">
        <f>G71-H71-I71</f>
        <v>0</v>
      </c>
    </row>
    <row r="72" spans="1:17" ht="16" x14ac:dyDescent="0.2">
      <c r="A72" s="146"/>
      <c r="B72" s="1291" t="s">
        <v>89</v>
      </c>
      <c r="C72" s="406" t="e">
        <f t="shared" si="5"/>
        <v>#N/A</v>
      </c>
      <c r="D72" s="399" t="e">
        <v>#N/A</v>
      </c>
      <c r="E72" s="399">
        <f t="shared" si="10"/>
        <v>1.9626714972368675</v>
      </c>
      <c r="F72" s="400">
        <f>TableB1b!K72</f>
        <v>0</v>
      </c>
      <c r="G72" s="407">
        <f>TableB2!G70-TableB2!C70</f>
        <v>1.9626714972368675</v>
      </c>
      <c r="H72" s="401">
        <f>TableB2!H70+TableB2!J70-TableB2!D70-TableB2!F70</f>
        <v>1.9626714972368675</v>
      </c>
      <c r="I72" s="402">
        <f>TableB2!I70-TableB2!E70</f>
        <v>0</v>
      </c>
      <c r="J72" s="403">
        <f>TableB1b!G72+TableB1b!J72+TableB1b!L72</f>
        <v>0</v>
      </c>
      <c r="K72" s="404" t="e">
        <v>#N/A</v>
      </c>
      <c r="O72" s="758"/>
      <c r="P72" s="392"/>
      <c r="Q72" s="392"/>
    </row>
    <row r="73" spans="1:17" ht="16" x14ac:dyDescent="0.2">
      <c r="A73" s="146"/>
      <c r="B73" s="1291" t="s">
        <v>90</v>
      </c>
      <c r="C73" s="406" t="e">
        <f t="shared" si="5"/>
        <v>#N/A</v>
      </c>
      <c r="D73" s="399" t="e">
        <v>#N/A</v>
      </c>
      <c r="E73" s="399">
        <f t="shared" si="10"/>
        <v>2.7822519102711953</v>
      </c>
      <c r="F73" s="400">
        <f>TableB1b!K73</f>
        <v>0</v>
      </c>
      <c r="G73" s="407">
        <f>TableB2!G71-TableB2!C71</f>
        <v>2.7822519102711953</v>
      </c>
      <c r="H73" s="401">
        <f>TableB2!H71+TableB2!J71-TableB2!D71-TableB2!F71</f>
        <v>2.7822519102711953</v>
      </c>
      <c r="I73" s="402">
        <f>TableB2!I71-TableB2!E71</f>
        <v>0</v>
      </c>
      <c r="J73" s="403">
        <f>TableB1b!G73+TableB1b!J73+TableB1b!L73</f>
        <v>0</v>
      </c>
      <c r="K73" s="404" t="e">
        <v>#N/A</v>
      </c>
      <c r="O73" s="758"/>
      <c r="P73" s="392"/>
      <c r="Q73" s="392"/>
    </row>
    <row r="74" spans="1:17" ht="16" x14ac:dyDescent="0.2">
      <c r="A74" s="1000" t="s">
        <v>341</v>
      </c>
      <c r="B74" s="1291" t="s">
        <v>91</v>
      </c>
      <c r="C74" s="406" t="e">
        <f t="shared" si="5"/>
        <v>#N/A</v>
      </c>
      <c r="D74" s="399" t="e">
        <v>#N/A</v>
      </c>
      <c r="E74" s="399">
        <f t="shared" si="10"/>
        <v>5.2383283873000064</v>
      </c>
      <c r="F74" s="400">
        <f>TableB1b!K74</f>
        <v>-0.37179099999999998</v>
      </c>
      <c r="G74" s="407">
        <f>TableB2!G72-TableB2!C72</f>
        <v>-15.315460612699994</v>
      </c>
      <c r="H74" s="401">
        <f>TableB2!H72+TableB2!J72-TableB2!D72-TableB2!F72</f>
        <v>-15.315460612700001</v>
      </c>
      <c r="I74" s="402">
        <f>TableB2!I72-TableB2!E72</f>
        <v>0</v>
      </c>
      <c r="J74" s="403">
        <f>TableB1b!G74+TableB1b!J74+TableB1b!L74</f>
        <v>20.92558</v>
      </c>
      <c r="K74" s="404">
        <v>-2.8540231194000003</v>
      </c>
      <c r="O74" s="758" t="e">
        <f>C74-D74-E74-K74</f>
        <v>#N/A</v>
      </c>
      <c r="P74" s="392">
        <f>E74-F74-G74-J74</f>
        <v>0</v>
      </c>
      <c r="Q74" s="392">
        <f>G74-H74-I74</f>
        <v>7.1054273576010019E-15</v>
      </c>
    </row>
    <row r="75" spans="1:17" ht="16" x14ac:dyDescent="0.2">
      <c r="A75" s="146"/>
      <c r="B75" s="1291" t="s">
        <v>92</v>
      </c>
      <c r="C75" s="406" t="e">
        <f t="shared" si="5"/>
        <v>#N/A</v>
      </c>
      <c r="D75" s="399" t="e">
        <v>#N/A</v>
      </c>
      <c r="E75" s="399">
        <f t="shared" si="10"/>
        <v>-0.57979007685009587</v>
      </c>
      <c r="F75" s="400">
        <f>TableB1b!K75</f>
        <v>0</v>
      </c>
      <c r="G75" s="407">
        <f>TableB2!G73-TableB2!C73</f>
        <v>-0.57979007685009587</v>
      </c>
      <c r="H75" s="401">
        <f>TableB2!H73+TableB2!J73-TableB2!D73-TableB2!F73</f>
        <v>-0.57979007685009587</v>
      </c>
      <c r="I75" s="402">
        <f>TableB2!I73-TableB2!E73</f>
        <v>0</v>
      </c>
      <c r="J75" s="403">
        <f>TableB1b!G75+TableB1b!J75+TableB1b!L75</f>
        <v>0</v>
      </c>
      <c r="K75" s="404" t="e">
        <v>#N/A</v>
      </c>
      <c r="O75" s="758"/>
      <c r="P75" s="392"/>
      <c r="Q75" s="392"/>
    </row>
    <row r="76" spans="1:17" ht="16" x14ac:dyDescent="0.2">
      <c r="A76" s="146"/>
      <c r="B76" s="1291" t="s">
        <v>93</v>
      </c>
      <c r="C76" s="406">
        <f t="shared" si="5"/>
        <v>-8.0513607922000006</v>
      </c>
      <c r="D76" s="399">
        <v>-10.9004712246</v>
      </c>
      <c r="E76" s="399">
        <f t="shared" si="10"/>
        <v>-0.53632502799999993</v>
      </c>
      <c r="F76" s="400">
        <f>TableB1b!K76</f>
        <v>0.22838600000000001</v>
      </c>
      <c r="G76" s="407">
        <f>TableB2!G74-TableB2!C74</f>
        <v>5.1541391299999961E-2</v>
      </c>
      <c r="H76" s="401">
        <f>TableB2!H74+TableB2!J74-TableB2!D74-TableB2!F74</f>
        <v>5.1541391299999934E-2</v>
      </c>
      <c r="I76" s="402">
        <f>TableB2!I74-TableB2!E74</f>
        <v>0</v>
      </c>
      <c r="J76" s="403">
        <f>TableB1b!G76+TableB1b!J76+TableB1b!L76</f>
        <v>-0.81625241929999992</v>
      </c>
      <c r="K76" s="404">
        <v>3.3854354604000001</v>
      </c>
      <c r="O76" s="758">
        <f>C76-D76-E76-K76</f>
        <v>0</v>
      </c>
      <c r="P76" s="392">
        <f>E76-F76-G76-J76</f>
        <v>0</v>
      </c>
      <c r="Q76" s="392">
        <f>G76-H76-I76</f>
        <v>2.7755575615628914E-17</v>
      </c>
    </row>
    <row r="77" spans="1:17" ht="16" x14ac:dyDescent="0.2">
      <c r="A77" s="146"/>
      <c r="B77" s="1291" t="s">
        <v>94</v>
      </c>
      <c r="C77" s="406" t="e">
        <f t="shared" ref="C77:C91" si="11">D77+E77+K77</f>
        <v>#N/A</v>
      </c>
      <c r="D77" s="399" t="e">
        <v>#N/A</v>
      </c>
      <c r="E77" s="399">
        <f t="shared" si="10"/>
        <v>1.7876512367491164</v>
      </c>
      <c r="F77" s="400">
        <f>TableB1b!K77</f>
        <v>0</v>
      </c>
      <c r="G77" s="407">
        <f>TableB2!G75-TableB2!C75</f>
        <v>1.7876512367491164</v>
      </c>
      <c r="H77" s="401">
        <f>TableB2!H75+TableB2!J75-TableB2!D75-TableB2!F75</f>
        <v>1.7876512367491164</v>
      </c>
      <c r="I77" s="402">
        <f>TableB2!I75-TableB2!E75</f>
        <v>0</v>
      </c>
      <c r="J77" s="403">
        <f>TableB1b!G77+TableB1b!J77+TableB1b!L77</f>
        <v>0</v>
      </c>
      <c r="K77" s="404" t="e">
        <v>#N/A</v>
      </c>
      <c r="O77" s="758"/>
      <c r="P77" s="392"/>
      <c r="Q77" s="392"/>
    </row>
    <row r="78" spans="1:17" ht="16" x14ac:dyDescent="0.2">
      <c r="A78" s="1000" t="s">
        <v>342</v>
      </c>
      <c r="B78" s="1291" t="s">
        <v>95</v>
      </c>
      <c r="C78" s="406" t="e">
        <f t="shared" si="11"/>
        <v>#N/A</v>
      </c>
      <c r="D78" s="399" t="e">
        <v>#N/A</v>
      </c>
      <c r="E78" s="399">
        <f t="shared" si="10"/>
        <v>-3.7243811860999996</v>
      </c>
      <c r="F78" s="400">
        <f>TableB1b!K78</f>
        <v>-0.24190600000000001</v>
      </c>
      <c r="G78" s="407">
        <f>TableB2!G76-TableB2!C76</f>
        <v>-6.3523999999999994</v>
      </c>
      <c r="H78" s="401">
        <f>TableB2!H76+TableB2!J76-TableB2!D76-TableB2!F76</f>
        <v>-6.3523999999999994</v>
      </c>
      <c r="I78" s="402">
        <f>TableB2!I76-TableB2!E76</f>
        <v>0</v>
      </c>
      <c r="J78" s="403">
        <f>TableB1b!G78+TableB1b!J78+TableB1b!L78</f>
        <v>2.8699248139</v>
      </c>
      <c r="K78" s="404">
        <v>-2.6313869786999997</v>
      </c>
      <c r="O78" s="758" t="e">
        <f>C78-D78-E78-K78</f>
        <v>#N/A</v>
      </c>
      <c r="P78" s="392">
        <f>E78-F78-G78-J78</f>
        <v>0</v>
      </c>
      <c r="Q78" s="392">
        <f>G78-H78-I78</f>
        <v>0</v>
      </c>
    </row>
    <row r="79" spans="1:17" ht="16" x14ac:dyDescent="0.2">
      <c r="A79" s="146"/>
      <c r="B79" s="1291" t="s">
        <v>96</v>
      </c>
      <c r="C79" s="406">
        <f t="shared" si="11"/>
        <v>1.3078159852703561</v>
      </c>
      <c r="D79" s="399">
        <v>0.82165718189999992</v>
      </c>
      <c r="E79" s="399">
        <f t="shared" si="10"/>
        <v>0.25530257497035613</v>
      </c>
      <c r="F79" s="400">
        <f>TableB1b!K79</f>
        <v>-3.8364299999999997E-2</v>
      </c>
      <c r="G79" s="407">
        <f>TableB2!G77-TableB2!C77</f>
        <v>-9.2496091507296434</v>
      </c>
      <c r="H79" s="401">
        <f>TableB2!H77+TableB2!J77-TableB2!D77-TableB2!F77</f>
        <v>-9.2496091507296434</v>
      </c>
      <c r="I79" s="402">
        <f>TableB2!I77-TableB2!E77</f>
        <v>0</v>
      </c>
      <c r="J79" s="403">
        <f>TableB1b!G79+TableB1b!J79+TableB1b!L79</f>
        <v>9.5432760256999991</v>
      </c>
      <c r="K79" s="404">
        <v>0.2308562284</v>
      </c>
      <c r="O79" s="758">
        <f>C79-D79-E79-K79</f>
        <v>0</v>
      </c>
      <c r="P79" s="392">
        <f>E79-F79-G79-J79</f>
        <v>0</v>
      </c>
      <c r="Q79" s="392">
        <f>G79-H79-I79</f>
        <v>0</v>
      </c>
    </row>
    <row r="80" spans="1:17" ht="16" x14ac:dyDescent="0.2">
      <c r="A80" s="146"/>
      <c r="B80" s="1291" t="s">
        <v>97</v>
      </c>
      <c r="C80" s="406" t="e">
        <f t="shared" si="11"/>
        <v>#N/A</v>
      </c>
      <c r="D80" s="399" t="e">
        <v>#N/A</v>
      </c>
      <c r="E80" s="399">
        <f t="shared" si="10"/>
        <v>0.28108196978038985</v>
      </c>
      <c r="F80" s="400">
        <f>TableB1b!K80</f>
        <v>0</v>
      </c>
      <c r="G80" s="407">
        <f>TableB2!G78-TableB2!C78</f>
        <v>0.28108196978038985</v>
      </c>
      <c r="H80" s="401">
        <f>TableB2!H78+TableB2!J78-TableB2!D78-TableB2!F78</f>
        <v>0.28108196978038985</v>
      </c>
      <c r="I80" s="402">
        <f>TableB2!I78-TableB2!E78</f>
        <v>0</v>
      </c>
      <c r="J80" s="403">
        <f>TableB1b!G80+TableB1b!J80+TableB1b!L80</f>
        <v>0</v>
      </c>
      <c r="K80" s="404" t="e">
        <v>#N/A</v>
      </c>
      <c r="O80" s="758"/>
      <c r="P80" s="392"/>
      <c r="Q80" s="392"/>
    </row>
    <row r="81" spans="1:17" ht="16" x14ac:dyDescent="0.2">
      <c r="A81" s="146"/>
      <c r="B81" s="1291" t="s">
        <v>98</v>
      </c>
      <c r="C81" s="406" t="e">
        <f t="shared" si="11"/>
        <v>#N/A</v>
      </c>
      <c r="D81" s="399" t="e">
        <v>#N/A</v>
      </c>
      <c r="E81" s="399">
        <f t="shared" si="10"/>
        <v>0</v>
      </c>
      <c r="F81" s="400">
        <f>TableB1b!K81</f>
        <v>0</v>
      </c>
      <c r="G81" s="407">
        <f>TableB2!G79-TableB2!C79</f>
        <v>0</v>
      </c>
      <c r="H81" s="401">
        <f>TableB2!H79+TableB2!J79-TableB2!D79-TableB2!F79</f>
        <v>0</v>
      </c>
      <c r="I81" s="402">
        <f>TableB2!I79-TableB2!E79</f>
        <v>0</v>
      </c>
      <c r="J81" s="403">
        <f>TableB1b!G81+TableB1b!J81+TableB1b!L81</f>
        <v>0</v>
      </c>
      <c r="K81" s="404" t="e">
        <v>#N/A</v>
      </c>
      <c r="O81" s="758"/>
      <c r="P81" s="392"/>
      <c r="Q81" s="392"/>
    </row>
    <row r="82" spans="1:17" ht="16" x14ac:dyDescent="0.2">
      <c r="A82" s="146"/>
      <c r="B82" s="1291" t="s">
        <v>99</v>
      </c>
      <c r="C82" s="406">
        <f t="shared" si="11"/>
        <v>1.1265953600000003E-2</v>
      </c>
      <c r="D82" s="399">
        <v>8.2435754200000003E-2</v>
      </c>
      <c r="E82" s="399">
        <f t="shared" si="10"/>
        <v>-1.6376504499999996E-2</v>
      </c>
      <c r="F82" s="400">
        <f>TableB1b!K82</f>
        <v>-3.6111699999999997E-2</v>
      </c>
      <c r="G82" s="407">
        <f>TableB2!G80-TableB2!C80</f>
        <v>-3.5217877E-3</v>
      </c>
      <c r="H82" s="401">
        <f>TableB2!H80+TableB2!J80-TableB2!D80-TableB2!F80</f>
        <v>-3.5217877E-3</v>
      </c>
      <c r="I82" s="402">
        <f>TableB2!I80-TableB2!E80</f>
        <v>0</v>
      </c>
      <c r="J82" s="403">
        <f>TableB1b!G82+TableB1b!J82+TableB1b!L82</f>
        <v>2.3256983200000001E-2</v>
      </c>
      <c r="K82" s="404">
        <v>-5.47932961E-2</v>
      </c>
      <c r="O82" s="758">
        <f t="shared" ref="O82:O88" si="12">C82-D82-E82-K82</f>
        <v>0</v>
      </c>
      <c r="P82" s="392">
        <f t="shared" ref="P82:P88" si="13">E82-F82-G82-J82</f>
        <v>0</v>
      </c>
      <c r="Q82" s="392">
        <f t="shared" ref="Q82:Q88" si="14">G82-H82-I82</f>
        <v>0</v>
      </c>
    </row>
    <row r="83" spans="1:17" ht="16" x14ac:dyDescent="0.2">
      <c r="A83" s="146"/>
      <c r="B83" s="1291" t="s">
        <v>100</v>
      </c>
      <c r="C83" s="406">
        <f t="shared" si="11"/>
        <v>-0.58751640589025933</v>
      </c>
      <c r="D83" s="399">
        <v>-1.2604900272000001</v>
      </c>
      <c r="E83" s="399">
        <f t="shared" si="10"/>
        <v>0.89874964850974082</v>
      </c>
      <c r="F83" s="400">
        <f>TableB1b!K83</f>
        <v>-5.8143641902599994E-3</v>
      </c>
      <c r="G83" s="407">
        <f>TableB2!G81-TableB2!C81</f>
        <v>-0.31856366779999945</v>
      </c>
      <c r="H83" s="401">
        <f>TableB2!H81+TableB2!J81-TableB2!D81-TableB2!F81</f>
        <v>-0.31856366779999967</v>
      </c>
      <c r="I83" s="402">
        <f>TableB2!I81-TableB2!E81</f>
        <v>0</v>
      </c>
      <c r="J83" s="403">
        <f>TableB1b!G83+TableB1b!J83+TableB1b!L83</f>
        <v>1.2231276805000002</v>
      </c>
      <c r="K83" s="404">
        <v>-0.22577602719999998</v>
      </c>
      <c r="O83" s="758">
        <f t="shared" si="12"/>
        <v>0</v>
      </c>
      <c r="P83" s="392">
        <f t="shared" si="13"/>
        <v>0</v>
      </c>
      <c r="Q83" s="392">
        <f t="shared" si="14"/>
        <v>2.2204460492503131E-16</v>
      </c>
    </row>
    <row r="84" spans="1:17" ht="16" x14ac:dyDescent="0.2">
      <c r="A84" s="146"/>
      <c r="B84" s="1291" t="s">
        <v>101</v>
      </c>
      <c r="C84" s="406">
        <f t="shared" si="11"/>
        <v>-0.25760984858000002</v>
      </c>
      <c r="D84" s="399">
        <v>-0.12379804920000001</v>
      </c>
      <c r="E84" s="399">
        <f t="shared" si="10"/>
        <v>-0.10680721618</v>
      </c>
      <c r="F84" s="400">
        <f>TableB1b!K84</f>
        <v>-1.50898E-2</v>
      </c>
      <c r="G84" s="407">
        <f>TableB2!G82-TableB2!C82</f>
        <v>-6.8115529979999992E-2</v>
      </c>
      <c r="H84" s="401">
        <f>TableB2!H82+TableB2!J82-TableB2!D82-TableB2!F82</f>
        <v>-6.8115529979999992E-2</v>
      </c>
      <c r="I84" s="402">
        <f>TableB2!I82-TableB2!E82</f>
        <v>0</v>
      </c>
      <c r="J84" s="403">
        <f>TableB1b!G84+TableB1b!J84+TableB1b!L84</f>
        <v>-2.3601886200000002E-2</v>
      </c>
      <c r="K84" s="404">
        <v>-2.7004583199999998E-2</v>
      </c>
      <c r="O84" s="758">
        <f t="shared" si="12"/>
        <v>0</v>
      </c>
      <c r="P84" s="392">
        <f t="shared" si="13"/>
        <v>0</v>
      </c>
      <c r="Q84" s="392">
        <f t="shared" si="14"/>
        <v>0</v>
      </c>
    </row>
    <row r="85" spans="1:17" ht="16" x14ac:dyDescent="0.2">
      <c r="A85" s="146"/>
      <c r="B85" s="1291" t="s">
        <v>102</v>
      </c>
      <c r="C85" s="406">
        <f t="shared" si="11"/>
        <v>54.266346320696478</v>
      </c>
      <c r="D85" s="399">
        <v>76.94164711869999</v>
      </c>
      <c r="E85" s="399">
        <f t="shared" si="10"/>
        <v>-12.696503496503503</v>
      </c>
      <c r="F85" s="400">
        <f>TableB1b!K85</f>
        <v>0</v>
      </c>
      <c r="G85" s="407">
        <f>TableB2!G83-TableB2!C83</f>
        <v>-45.636512043373877</v>
      </c>
      <c r="H85" s="401">
        <f>TableB2!H83+TableB2!J83-TableB2!D83-TableB2!F83</f>
        <v>-45.63651204337387</v>
      </c>
      <c r="I85" s="402">
        <f>TableB2!I83-TableB2!E83</f>
        <v>0</v>
      </c>
      <c r="J85" s="403">
        <f>TableB1b!G85+TableB1b!J85+TableB1b!L85</f>
        <v>32.940008546870374</v>
      </c>
      <c r="K85" s="404">
        <v>-9.9787973015000002</v>
      </c>
      <c r="O85" s="758">
        <f t="shared" si="12"/>
        <v>0</v>
      </c>
      <c r="P85" s="392">
        <f t="shared" si="13"/>
        <v>0</v>
      </c>
      <c r="Q85" s="392">
        <f t="shared" si="14"/>
        <v>-7.1054273576010019E-15</v>
      </c>
    </row>
    <row r="86" spans="1:17" ht="16" x14ac:dyDescent="0.2">
      <c r="A86" s="146"/>
      <c r="B86" s="1291" t="s">
        <v>103</v>
      </c>
      <c r="C86" s="406">
        <f t="shared" si="11"/>
        <v>-3.0000000000000003E-4</v>
      </c>
      <c r="D86" s="399">
        <v>0</v>
      </c>
      <c r="E86" s="399">
        <f t="shared" si="10"/>
        <v>-3.0000000000000003E-4</v>
      </c>
      <c r="F86" s="400">
        <f>TableB1b!K86</f>
        <v>0</v>
      </c>
      <c r="G86" s="407">
        <f>TableB2!G84-TableB2!C84</f>
        <v>-3.0000000000000003E-4</v>
      </c>
      <c r="H86" s="401">
        <f>TableB2!H84+TableB2!J84-TableB2!D84-TableB2!F84</f>
        <v>-3.0000000000000003E-4</v>
      </c>
      <c r="I86" s="402">
        <f>TableB2!I84-TableB2!E84</f>
        <v>0</v>
      </c>
      <c r="J86" s="403">
        <f>TableB1b!G86+TableB1b!J86+TableB1b!L86</f>
        <v>0</v>
      </c>
      <c r="K86" s="404">
        <v>0</v>
      </c>
      <c r="O86" s="758">
        <f t="shared" si="12"/>
        <v>0</v>
      </c>
      <c r="P86" s="392">
        <f t="shared" si="13"/>
        <v>0</v>
      </c>
      <c r="Q86" s="392">
        <f t="shared" si="14"/>
        <v>0</v>
      </c>
    </row>
    <row r="87" spans="1:17" ht="16" x14ac:dyDescent="0.2">
      <c r="A87" s="146"/>
      <c r="B87" s="1291" t="s">
        <v>104</v>
      </c>
      <c r="C87" s="406">
        <f t="shared" si="11"/>
        <v>-6.9400000000000003E-2</v>
      </c>
      <c r="D87" s="399">
        <v>0</v>
      </c>
      <c r="E87" s="399">
        <f t="shared" si="10"/>
        <v>-6.9400000000000003E-2</v>
      </c>
      <c r="F87" s="400">
        <f>TableB1b!K87</f>
        <v>0</v>
      </c>
      <c r="G87" s="407">
        <f>TableB2!G85-TableB2!C85</f>
        <v>-6.9400000000000003E-2</v>
      </c>
      <c r="H87" s="401">
        <f>TableB2!H85+TableB2!J85-TableB2!D85-TableB2!F85</f>
        <v>-6.9400000000000003E-2</v>
      </c>
      <c r="I87" s="402">
        <f>TableB2!I85-TableB2!E85</f>
        <v>0</v>
      </c>
      <c r="J87" s="403">
        <f>TableB1b!G87+TableB1b!J87+TableB1b!L87</f>
        <v>0</v>
      </c>
      <c r="K87" s="404">
        <v>0</v>
      </c>
      <c r="O87" s="758">
        <f t="shared" si="12"/>
        <v>0</v>
      </c>
      <c r="P87" s="392">
        <f t="shared" si="13"/>
        <v>0</v>
      </c>
      <c r="Q87" s="392">
        <f t="shared" si="14"/>
        <v>0</v>
      </c>
    </row>
    <row r="88" spans="1:17" ht="16" x14ac:dyDescent="0.2">
      <c r="A88" s="146"/>
      <c r="B88" s="1291" t="s">
        <v>105</v>
      </c>
      <c r="C88" s="406">
        <f t="shared" si="11"/>
        <v>-1.6300000000000002E-2</v>
      </c>
      <c r="D88" s="399">
        <v>0</v>
      </c>
      <c r="E88" s="399">
        <f t="shared" si="10"/>
        <v>-1.6300000000000002E-2</v>
      </c>
      <c r="F88" s="400">
        <f>TableB1b!K88</f>
        <v>0</v>
      </c>
      <c r="G88" s="407">
        <f>TableB2!G86-TableB2!C86</f>
        <v>-1.6300000000000002E-2</v>
      </c>
      <c r="H88" s="401">
        <f>TableB2!H86+TableB2!J86-TableB2!D86-TableB2!F86</f>
        <v>-1.6300000000000002E-2</v>
      </c>
      <c r="I88" s="402">
        <f>TableB2!I86-TableB2!E86</f>
        <v>0</v>
      </c>
      <c r="J88" s="403">
        <f>TableB1b!G88+TableB1b!J88+TableB1b!L88</f>
        <v>0</v>
      </c>
      <c r="K88" s="404">
        <v>0</v>
      </c>
      <c r="O88" s="758">
        <f t="shared" si="12"/>
        <v>0</v>
      </c>
      <c r="P88" s="392">
        <f t="shared" si="13"/>
        <v>0</v>
      </c>
      <c r="Q88" s="392">
        <f t="shared" si="14"/>
        <v>0</v>
      </c>
    </row>
    <row r="89" spans="1:17" ht="16" x14ac:dyDescent="0.2">
      <c r="A89" s="146"/>
      <c r="B89" s="1291" t="s">
        <v>106</v>
      </c>
      <c r="C89" s="406" t="e">
        <f t="shared" si="11"/>
        <v>#N/A</v>
      </c>
      <c r="D89" s="399" t="e">
        <v>#N/A</v>
      </c>
      <c r="E89" s="399">
        <f t="shared" si="10"/>
        <v>0</v>
      </c>
      <c r="F89" s="400">
        <f>TableB1b!K89</f>
        <v>0</v>
      </c>
      <c r="G89" s="407">
        <f>TableB2!G87-TableB2!C87</f>
        <v>0</v>
      </c>
      <c r="H89" s="401">
        <f>TableB2!H87+TableB2!J87-TableB2!D87-TableB2!F87</f>
        <v>0</v>
      </c>
      <c r="I89" s="402">
        <f>TableB2!I87-TableB2!E87</f>
        <v>0</v>
      </c>
      <c r="J89" s="403">
        <f>TableB1b!G89+TableB1b!J89+TableB1b!L89</f>
        <v>0</v>
      </c>
      <c r="K89" s="404" t="e">
        <v>#N/A</v>
      </c>
      <c r="O89" s="758"/>
      <c r="P89" s="392"/>
      <c r="Q89" s="392"/>
    </row>
    <row r="90" spans="1:17" ht="16" x14ac:dyDescent="0.2">
      <c r="A90" s="146"/>
      <c r="B90" s="1291" t="s">
        <v>107</v>
      </c>
      <c r="C90" s="406">
        <f t="shared" si="11"/>
        <v>-3.2609818939811026</v>
      </c>
      <c r="D90" s="399">
        <v>0.95050000000000001</v>
      </c>
      <c r="E90" s="399">
        <f t="shared" si="10"/>
        <v>-4.1054818939811026</v>
      </c>
      <c r="F90" s="400">
        <f>TableB1b!K90</f>
        <v>8.4199999999999997E-2</v>
      </c>
      <c r="G90" s="407">
        <f>TableB2!G88-TableB2!C88</f>
        <v>-3.3522818939811025</v>
      </c>
      <c r="H90" s="401">
        <f>TableB2!H88+TableB2!J88-TableB2!D88-TableB2!F88</f>
        <v>-3.352281893981103</v>
      </c>
      <c r="I90" s="402">
        <f>TableB2!I88-TableB2!E88</f>
        <v>0</v>
      </c>
      <c r="J90" s="403">
        <f>TableB1b!G90+TableB1b!J90+TableB1b!L90</f>
        <v>-0.83739999999999992</v>
      </c>
      <c r="K90" s="404">
        <v>-0.106</v>
      </c>
      <c r="O90" s="758">
        <f>C90-D90-E90-K90</f>
        <v>1.2490009027033011E-16</v>
      </c>
      <c r="P90" s="392">
        <f>E90-F90-G90-J90</f>
        <v>0</v>
      </c>
      <c r="Q90" s="392">
        <f>G90-H90-I90</f>
        <v>4.4408920985006262E-16</v>
      </c>
    </row>
    <row r="91" spans="1:17" ht="16" x14ac:dyDescent="0.2">
      <c r="A91" s="146"/>
      <c r="B91" s="1291" t="s">
        <v>108</v>
      </c>
      <c r="C91" s="406" t="e">
        <f t="shared" si="11"/>
        <v>#N/A</v>
      </c>
      <c r="D91" s="399">
        <v>24.823500000000013</v>
      </c>
      <c r="E91" s="399">
        <f t="shared" si="10"/>
        <v>-34.773400000000002</v>
      </c>
      <c r="F91" s="400">
        <f>TableB1b!K91</f>
        <v>0</v>
      </c>
      <c r="G91" s="407">
        <f>TableB2!G89-TableB2!C89</f>
        <v>-34.773400000000002</v>
      </c>
      <c r="H91" s="401">
        <f>TableB2!H89+TableB2!J89-TableB2!D89-TableB2!F89</f>
        <v>-34.773400000000002</v>
      </c>
      <c r="I91" s="402">
        <f>TableB2!I89-TableB2!E89</f>
        <v>0</v>
      </c>
      <c r="J91" s="403">
        <f>TableB1b!G91+TableB1b!J91+TableB1b!L91</f>
        <v>0</v>
      </c>
      <c r="K91" s="404" t="e">
        <v>#N/A</v>
      </c>
      <c r="O91" s="758" t="e">
        <f>C91-D91-E91-K91</f>
        <v>#N/A</v>
      </c>
      <c r="P91" s="392">
        <f>E91-F91-G91-J91</f>
        <v>0</v>
      </c>
      <c r="Q91" s="392">
        <f>G91-H91-I91</f>
        <v>0</v>
      </c>
    </row>
    <row r="92" spans="1:17" ht="40" customHeight="1" x14ac:dyDescent="0.15">
      <c r="B92" s="1294" t="s">
        <v>343</v>
      </c>
      <c r="C92" s="1295">
        <f t="shared" ref="C92:J92" si="15">C93-SUMIF(C12:C91,"&gt;-999999999")</f>
        <v>-76.541550216678445</v>
      </c>
      <c r="D92" s="1296">
        <f t="shared" si="15"/>
        <v>-112.86052783530079</v>
      </c>
      <c r="E92" s="1296">
        <f t="shared" si="15"/>
        <v>-69.507708022451141</v>
      </c>
      <c r="F92" s="1297">
        <f t="shared" si="15"/>
        <v>39.321214885515658</v>
      </c>
      <c r="G92" s="1296">
        <f t="shared" si="15"/>
        <v>7.7908401738035309</v>
      </c>
      <c r="H92" s="1794">
        <f t="shared" si="15"/>
        <v>-5.4151202705692754</v>
      </c>
      <c r="I92" s="1298">
        <f t="shared" si="15"/>
        <v>13.168994003441536</v>
      </c>
      <c r="J92" s="1299">
        <f t="shared" si="15"/>
        <v>-116.61976308177037</v>
      </c>
      <c r="K92" s="1300">
        <f>+C92-D92-E92</f>
        <v>105.82668564107348</v>
      </c>
      <c r="O92" s="758">
        <f>C92-D92-E92-K92</f>
        <v>0</v>
      </c>
      <c r="P92" s="392">
        <f>E92-F92-G92-J92</f>
        <v>0</v>
      </c>
      <c r="Q92" s="392">
        <f>G92-H92-I92</f>
        <v>3.6966440931269773E-2</v>
      </c>
    </row>
    <row r="93" spans="1:17" ht="40" customHeight="1" thickBot="1" x14ac:dyDescent="0.2">
      <c r="B93" s="263" t="s">
        <v>344</v>
      </c>
      <c r="C93" s="773">
        <f>+TableB9!N54</f>
        <v>280.09199999999998</v>
      </c>
      <c r="D93" s="774">
        <f>+TableB9!O54+TableB9!P54</f>
        <v>511.7559999999994</v>
      </c>
      <c r="E93" s="774">
        <f>+TableB9!Q54</f>
        <v>-64.93100000000004</v>
      </c>
      <c r="F93" s="775">
        <f>+TableB9!R54</f>
        <v>47.7</v>
      </c>
      <c r="G93" s="774">
        <f>+TableB9!S54</f>
        <v>187.024</v>
      </c>
      <c r="H93" s="776">
        <f>+TableB9!T54</f>
        <v>203.279</v>
      </c>
      <c r="I93" s="777">
        <f>+G93-H93</f>
        <v>-16.254999999999995</v>
      </c>
      <c r="J93" s="778">
        <f>+E93-G93-F93</f>
        <v>-299.65500000000003</v>
      </c>
      <c r="K93" s="779">
        <f>+C93-D93-E93</f>
        <v>-166.73299999999938</v>
      </c>
      <c r="O93" s="758">
        <f>C93-D93-E93-K93</f>
        <v>0</v>
      </c>
      <c r="P93" s="392">
        <f>E93-F93-G93-J93</f>
        <v>0</v>
      </c>
      <c r="Q93" s="392">
        <f>G93-H93-I93</f>
        <v>0</v>
      </c>
    </row>
    <row r="94" spans="1:17" ht="14" thickTop="1" x14ac:dyDescent="0.15"/>
    <row r="95" spans="1:17" ht="14" thickBot="1" x14ac:dyDescent="0.2">
      <c r="J95" s="392"/>
      <c r="K95" s="392"/>
    </row>
    <row r="96" spans="1:17" x14ac:dyDescent="0.15">
      <c r="B96" s="2145" t="s">
        <v>345</v>
      </c>
      <c r="C96" s="2146"/>
      <c r="D96" s="2146"/>
      <c r="E96" s="2146"/>
      <c r="F96" s="2146"/>
      <c r="G96" s="2146"/>
      <c r="H96" s="2146"/>
      <c r="I96" s="2146"/>
      <c r="J96" s="2146"/>
      <c r="K96" s="2147"/>
    </row>
    <row r="97" spans="2:11" ht="14" thickBot="1" x14ac:dyDescent="0.2">
      <c r="B97" s="2148"/>
      <c r="C97" s="2149"/>
      <c r="D97" s="2149"/>
      <c r="E97" s="2149"/>
      <c r="F97" s="2149"/>
      <c r="G97" s="2149"/>
      <c r="H97" s="2149"/>
      <c r="I97" s="2149"/>
      <c r="J97" s="2149"/>
      <c r="K97" s="2150"/>
    </row>
  </sheetData>
  <mergeCells count="10">
    <mergeCell ref="B96:K97"/>
    <mergeCell ref="B4:K4"/>
    <mergeCell ref="C8:C10"/>
    <mergeCell ref="D8:D10"/>
    <mergeCell ref="E8:E10"/>
    <mergeCell ref="K8:K10"/>
    <mergeCell ref="F9:F10"/>
    <mergeCell ref="G9:G10"/>
    <mergeCell ref="J9:J10"/>
    <mergeCell ref="C7:K7"/>
  </mergeCells>
  <phoneticPr fontId="37" type="noConversion"/>
  <conditionalFormatting sqref="C12:K91">
    <cfRule type="cellIs" dxfId="22" priority="7" operator="greaterThan">
      <formula>-999999999999999000</formula>
    </cfRule>
  </conditionalFormatting>
  <conditionalFormatting sqref="C93:H93">
    <cfRule type="cellIs" dxfId="21" priority="6" operator="greaterThan">
      <formula>-999999999999999000</formula>
    </cfRule>
  </conditionalFormatting>
  <conditionalFormatting sqref="K93">
    <cfRule type="cellIs" dxfId="20" priority="5" operator="greaterThan">
      <formula>-999999999999999000</formula>
    </cfRule>
  </conditionalFormatting>
  <conditionalFormatting sqref="J93">
    <cfRule type="cellIs" dxfId="19" priority="4" operator="greaterThan">
      <formula>-999999999999999000</formula>
    </cfRule>
  </conditionalFormatting>
  <conditionalFormatting sqref="I93">
    <cfRule type="cellIs" dxfId="18" priority="3" operator="greaterThan">
      <formula>-999999999999999000</formula>
    </cfRule>
  </conditionalFormatting>
  <conditionalFormatting sqref="C92:J92">
    <cfRule type="cellIs" dxfId="17" priority="2" operator="greaterThan">
      <formula>-999999999999999000</formula>
    </cfRule>
  </conditionalFormatting>
  <conditionalFormatting sqref="K92">
    <cfRule type="cellIs" dxfId="16" priority="1" operator="greaterThan">
      <formula>-999999999999999000</formula>
    </cfRule>
  </conditionalFormatting>
  <hyperlinks>
    <hyperlink ref="B48" r:id="rId1" display="  Brazil" xr:uid="{00000000-0004-0000-0F00-000000000000}"/>
    <hyperlink ref="B54" r:id="rId2" tooltip="Click once to display linked information. Click and hold to select this cell." display="  South Africa" xr:uid="{00000000-0004-0000-0F00-000001000000}"/>
    <hyperlink ref="B53" r:id="rId3" tooltip="Click once to display linked information. Click and hold to select this cell." display="  Russia" xr:uid="{00000000-0004-0000-0F00-000002000000}"/>
    <hyperlink ref="B52" r:id="rId4" tooltip="Click once to display linked information. Click and hold to select this cell." display="  India" xr:uid="{00000000-0004-0000-0F00-000003000000}"/>
  </hyperlinks>
  <pageMargins left="0.7" right="0.7" top="0.75" bottom="0.75" header="0.3" footer="0.3"/>
  <pageSetup scale="63" fitToHeight="2" orientation="portrait" horizontalDpi="4294967292" verticalDpi="4294967292"/>
  <extLst>
    <ext xmlns:mx="http://schemas.microsoft.com/office/mac/excel/2008/main" uri="{64002731-A6B0-56B0-2670-7721B7C09600}">
      <mx:PLV Mode="0" OnePage="0" WScale="10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Q92"/>
  <sheetViews>
    <sheetView workbookViewId="0">
      <pane xSplit="1" ySplit="11" topLeftCell="B12" activePane="bottomRight" state="frozen"/>
      <selection pane="topRight" activeCell="B1" sqref="B1"/>
      <selection pane="bottomLeft" activeCell="A13" sqref="A13"/>
      <selection pane="bottomRight" activeCell="A4" sqref="A4:P4"/>
    </sheetView>
  </sheetViews>
  <sheetFormatPr baseColWidth="10" defaultColWidth="7.6640625" defaultRowHeight="15" x14ac:dyDescent="0.2"/>
  <cols>
    <col min="1" max="1" width="19.83203125" style="434" customWidth="1"/>
    <col min="2" max="17" width="11.6640625" style="434" customWidth="1"/>
    <col min="18" max="26" width="7.6640625" style="434"/>
    <col min="27" max="27" width="16.5" style="434" bestFit="1" customWidth="1"/>
    <col min="28" max="28" width="17.33203125" style="434" bestFit="1" customWidth="1"/>
    <col min="29" max="29" width="16.5" style="434" bestFit="1" customWidth="1"/>
    <col min="30" max="16384" width="7.6640625" style="434"/>
  </cols>
  <sheetData>
    <row r="1" spans="1:17" x14ac:dyDescent="0.2">
      <c r="G1" s="494"/>
    </row>
    <row r="3" spans="1:17" ht="16" thickBot="1" x14ac:dyDescent="0.25"/>
    <row r="4" spans="1:17" ht="33" customHeight="1" thickTop="1" x14ac:dyDescent="0.2">
      <c r="A4" s="1951" t="s">
        <v>346</v>
      </c>
      <c r="B4" s="1952"/>
      <c r="C4" s="1952"/>
      <c r="D4" s="1952"/>
      <c r="E4" s="1952"/>
      <c r="F4" s="1952"/>
      <c r="G4" s="1952"/>
      <c r="H4" s="1952"/>
      <c r="I4" s="1952"/>
      <c r="J4" s="1952"/>
      <c r="K4" s="1952"/>
      <c r="L4" s="1952"/>
      <c r="M4" s="1952"/>
      <c r="N4" s="1952"/>
      <c r="O4" s="1952"/>
      <c r="P4" s="1952"/>
      <c r="Q4" s="498"/>
    </row>
    <row r="5" spans="1:17" ht="20" x14ac:dyDescent="0.2">
      <c r="A5" s="4"/>
      <c r="B5" s="620"/>
      <c r="C5" s="620"/>
      <c r="D5" s="620"/>
      <c r="E5" s="620"/>
      <c r="F5" s="620"/>
      <c r="G5" s="620"/>
      <c r="H5" s="620"/>
      <c r="I5" s="620"/>
      <c r="J5" s="620"/>
      <c r="K5" s="620"/>
      <c r="L5" s="620"/>
      <c r="M5" s="620"/>
      <c r="N5" s="620"/>
      <c r="O5" s="620"/>
      <c r="P5" s="620"/>
      <c r="Q5" s="454"/>
    </row>
    <row r="6" spans="1:17" ht="20" x14ac:dyDescent="0.2">
      <c r="A6" s="4"/>
      <c r="B6" s="1301" t="s">
        <v>1</v>
      </c>
      <c r="C6" s="1301" t="s">
        <v>2</v>
      </c>
      <c r="D6" s="1301" t="s">
        <v>3</v>
      </c>
      <c r="E6" s="1301" t="s">
        <v>4</v>
      </c>
      <c r="F6" s="1301" t="s">
        <v>5</v>
      </c>
      <c r="G6" s="1301" t="s">
        <v>6</v>
      </c>
      <c r="H6" s="1301" t="s">
        <v>7</v>
      </c>
      <c r="I6" s="1301" t="s">
        <v>8</v>
      </c>
      <c r="J6" s="1301" t="s">
        <v>9</v>
      </c>
      <c r="K6" s="1301" t="s">
        <v>10</v>
      </c>
      <c r="L6" s="1301" t="s">
        <v>11</v>
      </c>
      <c r="M6" s="1301" t="s">
        <v>12</v>
      </c>
      <c r="N6" s="3" t="s">
        <v>13</v>
      </c>
      <c r="O6" s="3" t="s">
        <v>177</v>
      </c>
      <c r="P6" s="3" t="s">
        <v>178</v>
      </c>
      <c r="Q6" s="499" t="s">
        <v>179</v>
      </c>
    </row>
    <row r="7" spans="1:17" ht="16" x14ac:dyDescent="0.2">
      <c r="A7" s="1291"/>
      <c r="B7" s="2171" t="s">
        <v>136</v>
      </c>
      <c r="C7" s="2172"/>
      <c r="D7" s="2172"/>
      <c r="E7" s="2172"/>
      <c r="F7" s="2172"/>
      <c r="G7" s="2172"/>
      <c r="H7" s="2172"/>
      <c r="I7" s="2172"/>
      <c r="J7" s="2172"/>
      <c r="K7" s="2172"/>
      <c r="L7" s="2172"/>
      <c r="M7" s="2173"/>
      <c r="N7" s="2171" t="s">
        <v>347</v>
      </c>
      <c r="O7" s="2172"/>
      <c r="P7" s="2172"/>
      <c r="Q7" s="2190"/>
    </row>
    <row r="8" spans="1:17" ht="15" customHeight="1" x14ac:dyDescent="0.2">
      <c r="A8" s="1291"/>
      <c r="B8" s="2185" t="s">
        <v>348</v>
      </c>
      <c r="C8" s="2187" t="s">
        <v>349</v>
      </c>
      <c r="D8" s="462"/>
      <c r="E8" s="450"/>
      <c r="F8" s="450"/>
      <c r="G8" s="450"/>
      <c r="H8" s="450"/>
      <c r="I8" s="450"/>
      <c r="J8" s="450"/>
      <c r="K8" s="2180" t="s">
        <v>125</v>
      </c>
      <c r="L8" s="2182" t="s">
        <v>350</v>
      </c>
      <c r="M8" s="2184" t="s">
        <v>351</v>
      </c>
      <c r="N8" s="2174" t="s">
        <v>352</v>
      </c>
      <c r="O8" s="2154" t="s">
        <v>353</v>
      </c>
      <c r="P8" s="2154" t="s">
        <v>354</v>
      </c>
      <c r="Q8" s="2189" t="s">
        <v>355</v>
      </c>
    </row>
    <row r="9" spans="1:17" ht="15" customHeight="1" thickBot="1" x14ac:dyDescent="0.25">
      <c r="A9" s="395"/>
      <c r="B9" s="2186"/>
      <c r="C9" s="2188"/>
      <c r="D9" s="2154" t="s">
        <v>356</v>
      </c>
      <c r="E9" s="1838"/>
      <c r="F9" s="1838"/>
      <c r="G9" s="2175" t="s">
        <v>357</v>
      </c>
      <c r="H9" s="1838"/>
      <c r="I9" s="1838"/>
      <c r="J9" s="2154" t="s">
        <v>358</v>
      </c>
      <c r="K9" s="2181"/>
      <c r="L9" s="2183"/>
      <c r="M9" s="2184"/>
      <c r="N9" s="2174"/>
      <c r="O9" s="2154"/>
      <c r="P9" s="2154"/>
      <c r="Q9" s="2189"/>
    </row>
    <row r="10" spans="1:17" ht="16" customHeight="1" x14ac:dyDescent="0.2">
      <c r="A10" s="396"/>
      <c r="B10" s="2186"/>
      <c r="C10" s="2188"/>
      <c r="D10" s="2166"/>
      <c r="E10" s="2167" t="s">
        <v>334</v>
      </c>
      <c r="F10" s="2169" t="s">
        <v>335</v>
      </c>
      <c r="G10" s="2175"/>
      <c r="H10" s="2176" t="s">
        <v>359</v>
      </c>
      <c r="I10" s="2178" t="s">
        <v>360</v>
      </c>
      <c r="J10" s="2154"/>
      <c r="K10" s="2181"/>
      <c r="L10" s="2183"/>
      <c r="M10" s="2184"/>
      <c r="N10" s="2174"/>
      <c r="O10" s="2154"/>
      <c r="P10" s="2154"/>
      <c r="Q10" s="2189"/>
    </row>
    <row r="11" spans="1:17" ht="46" customHeight="1" x14ac:dyDescent="0.2">
      <c r="A11" s="395"/>
      <c r="B11" s="2186"/>
      <c r="C11" s="2188"/>
      <c r="D11" s="2166"/>
      <c r="E11" s="2168"/>
      <c r="F11" s="2170"/>
      <c r="G11" s="2175"/>
      <c r="H11" s="2177"/>
      <c r="I11" s="2179"/>
      <c r="J11" s="2154"/>
      <c r="K11" s="2181"/>
      <c r="L11" s="2183"/>
      <c r="M11" s="2184"/>
      <c r="N11" s="2174"/>
      <c r="O11" s="2154"/>
      <c r="P11" s="2154"/>
      <c r="Q11" s="2189"/>
    </row>
    <row r="12" spans="1:17" ht="16" x14ac:dyDescent="0.2">
      <c r="A12" s="1302" t="s">
        <v>29</v>
      </c>
      <c r="B12" s="467">
        <f t="shared" ref="B12:B46" si="0">C12+K12+L12</f>
        <v>-29.518415384082896</v>
      </c>
      <c r="C12" s="468">
        <f t="shared" ref="C12:C46" si="1">D12+G12+J12</f>
        <v>-26.959686351682898</v>
      </c>
      <c r="D12" s="469">
        <f>E12+F12</f>
        <v>-10.5875723194829</v>
      </c>
      <c r="E12" s="470">
        <f>TableB2!H10+TableB2!J10-TableB2!D10-TableB2!F10</f>
        <v>-6.7292809377112004</v>
      </c>
      <c r="F12" s="469">
        <f>TableB2!I10-TableB2!E10</f>
        <v>-3.8582913817716999</v>
      </c>
      <c r="G12" s="500">
        <f>IFERROR(H12+I12,0)</f>
        <v>-14.591359642199999</v>
      </c>
      <c r="H12" s="470">
        <v>-2.5402093093000002</v>
      </c>
      <c r="I12" s="471">
        <v>-12.051150332899999</v>
      </c>
      <c r="J12" s="472">
        <v>-1.78075439</v>
      </c>
      <c r="K12" s="473">
        <v>-2.8967800000000001</v>
      </c>
      <c r="L12" s="474">
        <v>0.33805096760000003</v>
      </c>
      <c r="M12" s="475">
        <f>TableA1!B10-TableA1!M10+B12</f>
        <v>975.05377733015882</v>
      </c>
      <c r="N12" s="476">
        <f>(F12)/M12</f>
        <v>-3.9570036765933783E-3</v>
      </c>
      <c r="O12" s="477">
        <f>(E12)/M12</f>
        <v>-6.9014459449990182E-3</v>
      </c>
      <c r="P12" s="477">
        <f>TableB1!D12/M12</f>
        <v>-2.8190875515671721E-2</v>
      </c>
      <c r="Q12" s="1303">
        <f t="shared" ref="Q12:Q46" si="2">B12/M12</f>
        <v>-3.0273628050453458E-2</v>
      </c>
    </row>
    <row r="13" spans="1:17" ht="16" x14ac:dyDescent="0.2">
      <c r="A13" s="1291" t="s">
        <v>30</v>
      </c>
      <c r="B13" s="458">
        <f t="shared" si="0"/>
        <v>-2.6726777348455593</v>
      </c>
      <c r="C13" s="1304">
        <f t="shared" si="1"/>
        <v>-2.7307609181455592</v>
      </c>
      <c r="D13" s="451">
        <f t="shared" ref="D13:D46" si="3">E13+F13</f>
        <v>1.0904048807544413</v>
      </c>
      <c r="E13" s="401">
        <f>TableB2!H11+TableB2!J11-TableB2!D11-TableB2!F11</f>
        <v>1.1558513588465011</v>
      </c>
      <c r="F13" s="451">
        <f>TableB2!I11-TableB2!E11</f>
        <v>-6.5446478092059945E-2</v>
      </c>
      <c r="G13" s="400">
        <f t="shared" ref="G13:G54" si="4">IFERROR(H13+I13,0)</f>
        <v>-3.6269865039000004</v>
      </c>
      <c r="H13" s="401">
        <v>1.0610486473</v>
      </c>
      <c r="I13" s="461">
        <v>-4.6880351512000003</v>
      </c>
      <c r="J13" s="399">
        <v>-0.194179295</v>
      </c>
      <c r="K13" s="463">
        <v>-0.48529899999999998</v>
      </c>
      <c r="L13" s="464">
        <v>0.54338218329999999</v>
      </c>
      <c r="M13" s="452">
        <f>TableA1!B11-TableA1!M11+B13</f>
        <v>310.85072745492135</v>
      </c>
      <c r="N13" s="455">
        <f t="shared" ref="N13:N76" si="5">(F13)/M13</f>
        <v>-2.1053989040945964E-4</v>
      </c>
      <c r="O13" s="453">
        <f t="shared" ref="O13:O76" si="6">(E13)/M13</f>
        <v>3.7183485729951177E-3</v>
      </c>
      <c r="P13" s="453">
        <f>TableB1!D13/M13</f>
        <v>4.1304807969484214E-2</v>
      </c>
      <c r="Q13" s="1305">
        <f t="shared" si="2"/>
        <v>-8.5979458910326757E-3</v>
      </c>
    </row>
    <row r="14" spans="1:17" ht="16" x14ac:dyDescent="0.2">
      <c r="A14" s="1291" t="s">
        <v>31</v>
      </c>
      <c r="B14" s="458">
        <f t="shared" si="0"/>
        <v>4.3240763362043189E-2</v>
      </c>
      <c r="C14" s="1304">
        <f t="shared" si="1"/>
        <v>-5.7951812021379565</v>
      </c>
      <c r="D14" s="451">
        <f t="shared" si="3"/>
        <v>-6.8108707709379566</v>
      </c>
      <c r="E14" s="401">
        <f>TableB2!H12+TableB2!J12-TableB2!D12-TableB2!F12</f>
        <v>-12.627842484748356</v>
      </c>
      <c r="F14" s="451">
        <f>TableB2!I12-TableB2!E12</f>
        <v>5.8169717138103998</v>
      </c>
      <c r="G14" s="400">
        <f t="shared" si="4"/>
        <v>1.5217639961</v>
      </c>
      <c r="H14" s="401">
        <v>1.2458868175</v>
      </c>
      <c r="I14" s="461">
        <v>0.27587717860000005</v>
      </c>
      <c r="J14" s="399">
        <v>-0.50607442729999996</v>
      </c>
      <c r="K14" s="463">
        <v>6.4764299999999997</v>
      </c>
      <c r="L14" s="464">
        <v>-0.63800803449999999</v>
      </c>
      <c r="M14" s="452">
        <f>TableA1!B12-TableA1!M12+B14</f>
        <v>367.156417696105</v>
      </c>
      <c r="N14" s="455">
        <f t="shared" si="5"/>
        <v>1.5843306649279659E-2</v>
      </c>
      <c r="O14" s="453">
        <f t="shared" si="6"/>
        <v>-3.4393631368308017E-2</v>
      </c>
      <c r="P14" s="453">
        <f>TableB1!D14/M14</f>
        <v>2.8052915120838608E-2</v>
      </c>
      <c r="Q14" s="1305">
        <f t="shared" si="2"/>
        <v>1.1777204830948515E-4</v>
      </c>
    </row>
    <row r="15" spans="1:17" ht="16" x14ac:dyDescent="0.2">
      <c r="A15" s="1291" t="s">
        <v>32</v>
      </c>
      <c r="B15" s="458">
        <f t="shared" si="0"/>
        <v>-14.143957122551599</v>
      </c>
      <c r="C15" s="1304">
        <f t="shared" si="1"/>
        <v>-12.608767122551599</v>
      </c>
      <c r="D15" s="451">
        <f t="shared" si="3"/>
        <v>5.5487757177484003</v>
      </c>
      <c r="E15" s="401">
        <f>TableB2!H13+TableB2!J13-TableB2!D13-TableB2!F13</f>
        <v>5.3641555190470012</v>
      </c>
      <c r="F15" s="451">
        <f>TableB2!I13-TableB2!E13</f>
        <v>0.18462019870139956</v>
      </c>
      <c r="G15" s="400">
        <f t="shared" si="4"/>
        <v>-17.4844449406</v>
      </c>
      <c r="H15" s="401">
        <v>4.8758243471</v>
      </c>
      <c r="I15" s="461">
        <v>-22.3602692877</v>
      </c>
      <c r="J15" s="399">
        <v>-0.6730978997</v>
      </c>
      <c r="K15" s="463">
        <v>-1.5351900000000001</v>
      </c>
      <c r="L15" s="464">
        <v>0</v>
      </c>
      <c r="M15" s="452">
        <f>TableA1!B13-TableA1!M13+B15</f>
        <v>1278.741341736488</v>
      </c>
      <c r="N15" s="455">
        <f t="shared" si="5"/>
        <v>1.4437649951216209E-4</v>
      </c>
      <c r="O15" s="453">
        <f t="shared" si="6"/>
        <v>4.194871428621098E-3</v>
      </c>
      <c r="P15" s="453">
        <f>TableB1!D15/M15</f>
        <v>-2.9185777172824681E-2</v>
      </c>
      <c r="Q15" s="1305">
        <f t="shared" si="2"/>
        <v>-1.1060842924922236E-2</v>
      </c>
    </row>
    <row r="16" spans="1:17" ht="16" x14ac:dyDescent="0.2">
      <c r="A16" s="1291" t="s">
        <v>33</v>
      </c>
      <c r="B16" s="458">
        <f t="shared" si="0"/>
        <v>-6.5757078686947308</v>
      </c>
      <c r="C16" s="1304">
        <f t="shared" si="1"/>
        <v>-6.3847368686947306</v>
      </c>
      <c r="D16" s="451">
        <f t="shared" si="3"/>
        <v>-6.3508948686947297</v>
      </c>
      <c r="E16" s="401">
        <f>TableB2!H14+TableB2!J14-TableB2!D14-TableB2!F14</f>
        <v>-4.7134820799641899</v>
      </c>
      <c r="F16" s="451">
        <f>TableB2!I14-TableB2!E14</f>
        <v>-1.6374127887305399</v>
      </c>
      <c r="G16" s="400">
        <f t="shared" si="4"/>
        <v>0.17790501599999997</v>
      </c>
      <c r="H16" s="401">
        <v>1.7092656159999999</v>
      </c>
      <c r="I16" s="461">
        <v>-1.5313606</v>
      </c>
      <c r="J16" s="399">
        <v>-0.21174701600000001</v>
      </c>
      <c r="K16" s="463">
        <v>-0.190971</v>
      </c>
      <c r="L16" s="464">
        <v>0</v>
      </c>
      <c r="M16" s="452">
        <f>TableA1!B14-TableA1!M14+B16</f>
        <v>187.47361197091911</v>
      </c>
      <c r="N16" s="455">
        <f t="shared" si="5"/>
        <v>-8.7340974098505941E-3</v>
      </c>
      <c r="O16" s="453">
        <f t="shared" si="6"/>
        <v>-2.5142109496964004E-2</v>
      </c>
      <c r="P16" s="453">
        <f>TableB1!D16/M16</f>
        <v>2.5319558417300435E-4</v>
      </c>
      <c r="Q16" s="1305">
        <f t="shared" si="2"/>
        <v>-3.5075378340258118E-2</v>
      </c>
    </row>
    <row r="17" spans="1:17" ht="16" x14ac:dyDescent="0.2">
      <c r="A17" s="1291" t="s">
        <v>34</v>
      </c>
      <c r="B17" s="458">
        <f t="shared" si="0"/>
        <v>-11.05827771126047</v>
      </c>
      <c r="C17" s="1304">
        <f t="shared" si="1"/>
        <v>-13.264963967360471</v>
      </c>
      <c r="D17" s="451">
        <f t="shared" si="3"/>
        <v>-12.612613345260471</v>
      </c>
      <c r="E17" s="401">
        <f>TableB2!H15+TableB2!J15-TableB2!D15-TableB2!F15</f>
        <v>-12.141259708046629</v>
      </c>
      <c r="F17" s="451">
        <f>TableB2!I15-TableB2!E15</f>
        <v>-0.47135363721384216</v>
      </c>
      <c r="G17" s="400">
        <f t="shared" si="4"/>
        <v>-0.9642354756</v>
      </c>
      <c r="H17" s="401">
        <v>-0.34563953010000004</v>
      </c>
      <c r="I17" s="461">
        <v>-0.61859594549999997</v>
      </c>
      <c r="J17" s="399">
        <v>0.3118848535</v>
      </c>
      <c r="K17" s="463">
        <v>1.1957899999999999</v>
      </c>
      <c r="L17" s="464">
        <v>1.0108962561000001</v>
      </c>
      <c r="M17" s="452">
        <f>TableA1!B15-TableA1!M15+B17</f>
        <v>136.38848279486282</v>
      </c>
      <c r="N17" s="455">
        <f t="shared" si="5"/>
        <v>-3.4559636382405453E-3</v>
      </c>
      <c r="O17" s="453">
        <f t="shared" si="6"/>
        <v>-8.9019684501570967E-2</v>
      </c>
      <c r="P17" s="453">
        <f>TableB1!D17/M17</f>
        <v>7.931038452835866E-2</v>
      </c>
      <c r="Q17" s="1305">
        <f t="shared" si="2"/>
        <v>-8.1079263326749085E-2</v>
      </c>
    </row>
    <row r="18" spans="1:17" ht="16" x14ac:dyDescent="0.2">
      <c r="A18" s="1291" t="s">
        <v>35</v>
      </c>
      <c r="B18" s="458">
        <f t="shared" si="0"/>
        <v>9.6772210492983799</v>
      </c>
      <c r="C18" s="1304">
        <f t="shared" si="1"/>
        <v>10.58797707559838</v>
      </c>
      <c r="D18" s="451">
        <f t="shared" si="3"/>
        <v>7.5999940523983796</v>
      </c>
      <c r="E18" s="401">
        <f>TableB2!H16+TableB2!J16-TableB2!D16-TableB2!F16</f>
        <v>6.8885122074523499</v>
      </c>
      <c r="F18" s="451">
        <f>TableB2!I16-TableB2!E16</f>
        <v>0.71148184494603006</v>
      </c>
      <c r="G18" s="400">
        <f t="shared" si="4"/>
        <v>1.6641586606000001</v>
      </c>
      <c r="H18" s="401">
        <v>0.76818408660000004</v>
      </c>
      <c r="I18" s="461">
        <v>0.89597457400000002</v>
      </c>
      <c r="J18" s="399">
        <v>1.3238243625999999</v>
      </c>
      <c r="K18" s="463">
        <v>-1.51902</v>
      </c>
      <c r="L18" s="464">
        <v>0.60826397370000007</v>
      </c>
      <c r="M18" s="452">
        <f>TableA1!B16-TableA1!M16+B18</f>
        <v>260.92430279403715</v>
      </c>
      <c r="N18" s="455">
        <f t="shared" si="5"/>
        <v>2.7267749202635385E-3</v>
      </c>
      <c r="O18" s="453">
        <f t="shared" si="6"/>
        <v>2.6400423930191954E-2</v>
      </c>
      <c r="P18" s="453">
        <f>TableB1!D18/M18</f>
        <v>8.5537487109115878E-2</v>
      </c>
      <c r="Q18" s="1305">
        <f t="shared" si="2"/>
        <v>3.708823189588889E-2</v>
      </c>
    </row>
    <row r="19" spans="1:17" ht="16" x14ac:dyDescent="0.2">
      <c r="A19" s="1291" t="s">
        <v>36</v>
      </c>
      <c r="B19" s="458">
        <f t="shared" si="0"/>
        <v>-0.45929482925379417</v>
      </c>
      <c r="C19" s="1304">
        <f t="shared" si="1"/>
        <v>-0.91381544065379416</v>
      </c>
      <c r="D19" s="451">
        <f t="shared" si="3"/>
        <v>-0.98771270105379416</v>
      </c>
      <c r="E19" s="401">
        <f>TableB2!H17+TableB2!J17-TableB2!D17-TableB2!F17</f>
        <v>-1.0265546311702671</v>
      </c>
      <c r="F19" s="451">
        <f>TableB2!I17-TableB2!E17</f>
        <v>3.8841930116473002E-2</v>
      </c>
      <c r="G19" s="400">
        <f t="shared" si="4"/>
        <v>6.0501559400000002E-2</v>
      </c>
      <c r="H19" s="401">
        <v>2.70224082E-2</v>
      </c>
      <c r="I19" s="461">
        <v>3.3479151200000001E-2</v>
      </c>
      <c r="J19" s="399">
        <v>1.3395700999999999E-2</v>
      </c>
      <c r="K19" s="463">
        <v>0.283752</v>
      </c>
      <c r="L19" s="464">
        <v>0.17076861139999999</v>
      </c>
      <c r="M19" s="452">
        <f>TableA1!B17-TableA1!M17+B19</f>
        <v>18.384636191231781</v>
      </c>
      <c r="N19" s="455">
        <f t="shared" si="5"/>
        <v>2.1127385776063363E-3</v>
      </c>
      <c r="O19" s="453">
        <f t="shared" si="6"/>
        <v>-5.5837636409681236E-2</v>
      </c>
      <c r="P19" s="453">
        <f>TableB1!D19/M19</f>
        <v>5.0646509406810002E-2</v>
      </c>
      <c r="Q19" s="1305">
        <f t="shared" si="2"/>
        <v>-2.4982535660555878E-2</v>
      </c>
    </row>
    <row r="20" spans="1:17" ht="16" x14ac:dyDescent="0.2">
      <c r="A20" s="1291" t="s">
        <v>37</v>
      </c>
      <c r="B20" s="458">
        <f t="shared" si="0"/>
        <v>1.2160564745679392</v>
      </c>
      <c r="C20" s="1304">
        <f t="shared" si="1"/>
        <v>0.70209723166793936</v>
      </c>
      <c r="D20" s="451">
        <f t="shared" si="3"/>
        <v>3.2823072656679395</v>
      </c>
      <c r="E20" s="401">
        <f>TableB2!H18+TableB2!J18-TableB2!D18-TableB2!F18</f>
        <v>3.5463117027172997</v>
      </c>
      <c r="F20" s="451">
        <f>TableB2!I18-TableB2!E18</f>
        <v>-0.26400443704936</v>
      </c>
      <c r="G20" s="400">
        <f t="shared" si="4"/>
        <v>-2.1497130635000001</v>
      </c>
      <c r="H20" s="401">
        <v>-0.75080875670000002</v>
      </c>
      <c r="I20" s="461">
        <v>-1.3989043068</v>
      </c>
      <c r="J20" s="399">
        <v>-0.43049697050000002</v>
      </c>
      <c r="K20" s="463">
        <v>0.17037099999999999</v>
      </c>
      <c r="L20" s="464">
        <v>0.34358824289999995</v>
      </c>
      <c r="M20" s="452">
        <f>TableA1!B18-TableA1!M18+B20</f>
        <v>189.63429441152635</v>
      </c>
      <c r="N20" s="455">
        <f t="shared" si="5"/>
        <v>-1.3921766517423406E-3</v>
      </c>
      <c r="O20" s="453">
        <f t="shared" si="6"/>
        <v>1.870079309083952E-2</v>
      </c>
      <c r="P20" s="453">
        <f>TableB1!D20/M20</f>
        <v>-5.4084495854651708E-4</v>
      </c>
      <c r="Q20" s="1305">
        <f t="shared" si="2"/>
        <v>6.412640067776817E-3</v>
      </c>
    </row>
    <row r="21" spans="1:17" ht="16" x14ac:dyDescent="0.2">
      <c r="A21" s="1291" t="s">
        <v>38</v>
      </c>
      <c r="B21" s="458">
        <f t="shared" si="0"/>
        <v>56.3453561333369</v>
      </c>
      <c r="C21" s="1304">
        <f t="shared" si="1"/>
        <v>23.916729885736899</v>
      </c>
      <c r="D21" s="451">
        <f t="shared" si="3"/>
        <v>44.8159711181369</v>
      </c>
      <c r="E21" s="401">
        <f>TableB2!H19+TableB2!J19-TableB2!D19-TableB2!F19</f>
        <v>45.529564059900203</v>
      </c>
      <c r="F21" s="451">
        <f>TableB2!I19-TableB2!E19</f>
        <v>-0.71359294176330001</v>
      </c>
      <c r="G21" s="400">
        <f t="shared" si="4"/>
        <v>-19.8282231982</v>
      </c>
      <c r="H21" s="401">
        <v>-9.2975558635999995</v>
      </c>
      <c r="I21" s="461">
        <v>-10.5306673346</v>
      </c>
      <c r="J21" s="399">
        <v>-1.0710180342</v>
      </c>
      <c r="K21" s="463">
        <v>21.572399999999998</v>
      </c>
      <c r="L21" s="464">
        <v>10.8562262476</v>
      </c>
      <c r="M21" s="452">
        <f>TableA1!B19-TableA1!M19+B21</f>
        <v>2054.3745445515747</v>
      </c>
      <c r="N21" s="455">
        <f t="shared" si="5"/>
        <v>-3.4735289319848045E-4</v>
      </c>
      <c r="O21" s="453">
        <f t="shared" si="6"/>
        <v>2.2162250881003938E-2</v>
      </c>
      <c r="P21" s="453">
        <f>TableB1!D21/M21</f>
        <v>-8.7478599580403001E-3</v>
      </c>
      <c r="Q21" s="1305">
        <f t="shared" si="2"/>
        <v>2.7427012412498456E-2</v>
      </c>
    </row>
    <row r="22" spans="1:17" ht="16" x14ac:dyDescent="0.2">
      <c r="A22" s="1291" t="s">
        <v>39</v>
      </c>
      <c r="B22" s="458">
        <f t="shared" si="0"/>
        <v>63.653237855858208</v>
      </c>
      <c r="C22" s="1304">
        <f t="shared" si="1"/>
        <v>63.235658190258206</v>
      </c>
      <c r="D22" s="451">
        <f t="shared" si="3"/>
        <v>40.567942318358206</v>
      </c>
      <c r="E22" s="401">
        <f>TableB2!H20+TableB2!J20-TableB2!D20-TableB2!F20</f>
        <v>49.392124237382006</v>
      </c>
      <c r="F22" s="451">
        <f>TableB2!I20-TableB2!E20</f>
        <v>-8.8241819190237987</v>
      </c>
      <c r="G22" s="400">
        <f t="shared" si="4"/>
        <v>7.5559022102000011</v>
      </c>
      <c r="H22" s="401">
        <v>-9.2704448577999994</v>
      </c>
      <c r="I22" s="461">
        <v>16.826347068</v>
      </c>
      <c r="J22" s="399">
        <v>15.111813661700001</v>
      </c>
      <c r="K22" s="463">
        <v>0.87762899999999999</v>
      </c>
      <c r="L22" s="464">
        <v>-0.46004933439999995</v>
      </c>
      <c r="M22" s="452">
        <f>TableA1!B20-TableA1!M20+B22</f>
        <v>2844.671338933982</v>
      </c>
      <c r="N22" s="455">
        <f t="shared" si="5"/>
        <v>-3.102004016509897E-3</v>
      </c>
      <c r="O22" s="453">
        <f t="shared" si="6"/>
        <v>1.7363033669784613E-2</v>
      </c>
      <c r="P22" s="453">
        <f>TableB1!D22/M22</f>
        <v>9.4554160793772546E-2</v>
      </c>
      <c r="Q22" s="1305">
        <f t="shared" si="2"/>
        <v>2.2376306529566171E-2</v>
      </c>
    </row>
    <row r="23" spans="1:17" ht="16" x14ac:dyDescent="0.2">
      <c r="A23" s="1291" t="s">
        <v>40</v>
      </c>
      <c r="B23" s="458">
        <f t="shared" si="0"/>
        <v>0.46074003830043342</v>
      </c>
      <c r="C23" s="1304">
        <f t="shared" si="1"/>
        <v>-2.4806423845995664</v>
      </c>
      <c r="D23" s="451">
        <f t="shared" si="3"/>
        <v>0.6446414731004334</v>
      </c>
      <c r="E23" s="401">
        <f>TableB2!H21+TableB2!J21-TableB2!D21-TableB2!F21</f>
        <v>0.70526558069888012</v>
      </c>
      <c r="F23" s="451">
        <f>TableB2!I21-TableB2!E21</f>
        <v>-6.0624107598446692E-2</v>
      </c>
      <c r="G23" s="400">
        <f t="shared" si="4"/>
        <v>-0.42426810629999995</v>
      </c>
      <c r="H23" s="401">
        <v>-0.35629227469999997</v>
      </c>
      <c r="I23" s="461">
        <v>-6.7975831599999995E-2</v>
      </c>
      <c r="J23" s="399">
        <v>-2.7010157513999999</v>
      </c>
      <c r="K23" s="463">
        <v>-0.25148100000000001</v>
      </c>
      <c r="L23" s="464">
        <v>3.1928634228999999</v>
      </c>
      <c r="M23" s="452">
        <f>TableA1!B21-TableA1!M21+B23</f>
        <v>157.17664228072243</v>
      </c>
      <c r="N23" s="455">
        <f t="shared" si="5"/>
        <v>-3.8570685006853708E-4</v>
      </c>
      <c r="O23" s="453">
        <f t="shared" si="6"/>
        <v>4.4870889876833832E-3</v>
      </c>
      <c r="P23" s="453">
        <f>TableB1!D23/M23</f>
        <v>-2.1733011078701229E-3</v>
      </c>
      <c r="Q23" s="1305">
        <f t="shared" si="2"/>
        <v>2.9313518320205441E-3</v>
      </c>
    </row>
    <row r="24" spans="1:17" ht="16" x14ac:dyDescent="0.2">
      <c r="A24" s="1291" t="s">
        <v>41</v>
      </c>
      <c r="B24" s="458">
        <f t="shared" si="0"/>
        <v>-6.0157852389506434</v>
      </c>
      <c r="C24" s="1304">
        <f t="shared" si="1"/>
        <v>-10.571598893050643</v>
      </c>
      <c r="D24" s="451">
        <f t="shared" si="3"/>
        <v>-7.6765909009506439</v>
      </c>
      <c r="E24" s="401">
        <f>TableB2!H22+TableB2!J22-TableB2!D22-TableB2!F22</f>
        <v>-7.7475333495706007</v>
      </c>
      <c r="F24" s="451">
        <f>TableB2!I22-TableB2!E22</f>
        <v>7.0942448619956994E-2</v>
      </c>
      <c r="G24" s="400">
        <f t="shared" si="4"/>
        <v>-2.3047368414</v>
      </c>
      <c r="H24" s="401">
        <v>-0.1349522544</v>
      </c>
      <c r="I24" s="461">
        <v>-2.1697845870000001</v>
      </c>
      <c r="J24" s="399">
        <v>-0.59027115070000002</v>
      </c>
      <c r="K24" s="463">
        <v>3.1714799999999999</v>
      </c>
      <c r="L24" s="464">
        <v>1.3843336541</v>
      </c>
      <c r="M24" s="452">
        <f>TableA1!B22-TableA1!M22+B24</f>
        <v>94.887768769265378</v>
      </c>
      <c r="N24" s="455">
        <f t="shared" si="5"/>
        <v>7.476458719612723E-4</v>
      </c>
      <c r="O24" s="453">
        <f t="shared" si="6"/>
        <v>-8.1649441756923943E-2</v>
      </c>
      <c r="P24" s="453">
        <f>TableB1!D24/M24</f>
        <v>0.11480167080952995</v>
      </c>
      <c r="Q24" s="1305">
        <f t="shared" si="2"/>
        <v>-6.3398953489769344E-2</v>
      </c>
    </row>
    <row r="25" spans="1:17" ht="16" x14ac:dyDescent="0.2">
      <c r="A25" s="1291" t="s">
        <v>42</v>
      </c>
      <c r="B25" s="458">
        <f t="shared" si="0"/>
        <v>-0.1016039996424809</v>
      </c>
      <c r="C25" s="1304">
        <f t="shared" si="1"/>
        <v>-0.2665349996424809</v>
      </c>
      <c r="D25" s="451">
        <f t="shared" si="3"/>
        <v>0.25365420205751904</v>
      </c>
      <c r="E25" s="401">
        <f>TableB2!H23+TableB2!J23-TableB2!D23-TableB2!F23</f>
        <v>0.23388106244232901</v>
      </c>
      <c r="F25" s="451">
        <f>TableB2!I23-TableB2!E23</f>
        <v>1.9773139615190019E-2</v>
      </c>
      <c r="G25" s="400">
        <f t="shared" si="4"/>
        <v>-0.44490653449999995</v>
      </c>
      <c r="H25" s="401">
        <v>1.85242145E-2</v>
      </c>
      <c r="I25" s="461">
        <v>-0.46343074899999998</v>
      </c>
      <c r="J25" s="399">
        <v>-7.52826672E-2</v>
      </c>
      <c r="K25" s="463">
        <v>0.16493099999999999</v>
      </c>
      <c r="L25" s="464">
        <v>0</v>
      </c>
      <c r="M25" s="452">
        <f>TableA1!B23-TableA1!M23+B25</f>
        <v>14.224749086284451</v>
      </c>
      <c r="N25" s="455">
        <f t="shared" si="5"/>
        <v>1.390051908490628E-3</v>
      </c>
      <c r="O25" s="453">
        <f t="shared" si="6"/>
        <v>1.6441840978962355E-2</v>
      </c>
      <c r="P25" s="453">
        <f>TableB1!D25/M25</f>
        <v>8.8572772964749455E-2</v>
      </c>
      <c r="Q25" s="1305">
        <f t="shared" si="2"/>
        <v>-7.1427621693832058E-3</v>
      </c>
    </row>
    <row r="26" spans="1:17" ht="16" x14ac:dyDescent="0.2">
      <c r="A26" s="1291" t="s">
        <v>43</v>
      </c>
      <c r="B26" s="458">
        <f t="shared" si="0"/>
        <v>-61.798868747440494</v>
      </c>
      <c r="C26" s="1304">
        <f t="shared" si="1"/>
        <v>-63.079668018440493</v>
      </c>
      <c r="D26" s="451">
        <f t="shared" si="3"/>
        <v>-52.939545202440499</v>
      </c>
      <c r="E26" s="401">
        <f>TableB2!H24+TableB2!J24-TableB2!D24-TableB2!F24</f>
        <v>-50.441486411536403</v>
      </c>
      <c r="F26" s="451">
        <f>TableB2!I24-TableB2!E24</f>
        <v>-2.4980587909040999</v>
      </c>
      <c r="G26" s="400">
        <f t="shared" si="4"/>
        <v>-9.1713707749000015</v>
      </c>
      <c r="H26" s="401">
        <v>-28.180499168000001</v>
      </c>
      <c r="I26" s="461">
        <v>19.009128393099999</v>
      </c>
      <c r="J26" s="399">
        <v>-0.96875204110000002</v>
      </c>
      <c r="K26" s="463">
        <v>-0.101033</v>
      </c>
      <c r="L26" s="464">
        <v>1.3818322709999999</v>
      </c>
      <c r="M26" s="452">
        <f>TableA1!B24-TableA1!M24+B26</f>
        <v>165.84391327991131</v>
      </c>
      <c r="N26" s="455">
        <f t="shared" si="5"/>
        <v>-1.5062710120014335E-2</v>
      </c>
      <c r="O26" s="453">
        <f t="shared" si="6"/>
        <v>-0.30415036291625175</v>
      </c>
      <c r="P26" s="453">
        <f>TableB1!D26/M26</f>
        <v>0.54309442816198938</v>
      </c>
      <c r="Q26" s="1305">
        <f t="shared" si="2"/>
        <v>-0.37263272148635557</v>
      </c>
    </row>
    <row r="27" spans="1:17" ht="16" x14ac:dyDescent="0.2">
      <c r="A27" s="1291" t="s">
        <v>44</v>
      </c>
      <c r="B27" s="458">
        <f t="shared" si="0"/>
        <v>-3.0516999999999994</v>
      </c>
      <c r="C27" s="1304">
        <f t="shared" si="1"/>
        <v>1.0229000000000008</v>
      </c>
      <c r="D27" s="451">
        <f t="shared" si="3"/>
        <v>1.3800000000000008</v>
      </c>
      <c r="E27" s="401">
        <f>TableB2!H25+TableB2!J25-TableB2!D25-TableB2!F25</f>
        <v>1.3544</v>
      </c>
      <c r="F27" s="451">
        <f>TableB2!I25-TableB2!E25</f>
        <v>2.5600000000000733E-2</v>
      </c>
      <c r="G27" s="400">
        <f t="shared" si="4"/>
        <v>-0.9022</v>
      </c>
      <c r="H27" s="401">
        <v>-0.22770000000000001</v>
      </c>
      <c r="I27" s="461">
        <v>-0.67449999999999999</v>
      </c>
      <c r="J27" s="399">
        <v>0.54510000000000003</v>
      </c>
      <c r="K27" s="463">
        <v>-4.0746000000000002</v>
      </c>
      <c r="L27" s="464">
        <v>0</v>
      </c>
      <c r="M27" s="452">
        <f>TableA1!B25-TableA1!M25+B27</f>
        <v>257.07202378746399</v>
      </c>
      <c r="N27" s="455">
        <f t="shared" si="5"/>
        <v>9.958298698875808E-5</v>
      </c>
      <c r="O27" s="453">
        <f t="shared" si="6"/>
        <v>5.2685624053738309E-3</v>
      </c>
      <c r="P27" s="453">
        <f>TableB1!D27/M27</f>
        <v>3.4908504892073804E-2</v>
      </c>
      <c r="Q27" s="1305">
        <f t="shared" si="2"/>
        <v>-1.1870992241936886E-2</v>
      </c>
    </row>
    <row r="28" spans="1:17" ht="16" x14ac:dyDescent="0.2">
      <c r="A28" s="1291" t="s">
        <v>45</v>
      </c>
      <c r="B28" s="458">
        <f t="shared" si="0"/>
        <v>-11.188730909325342</v>
      </c>
      <c r="C28" s="1304">
        <f t="shared" si="1"/>
        <v>-18.329270259025343</v>
      </c>
      <c r="D28" s="451">
        <f t="shared" si="3"/>
        <v>0.48626289517465859</v>
      </c>
      <c r="E28" s="401">
        <f>TableB2!H26+TableB2!J26-TableB2!D26-TableB2!F26</f>
        <v>1.5988386023293986</v>
      </c>
      <c r="F28" s="451">
        <f>TableB2!I26-TableB2!E26</f>
        <v>-1.11257570715474</v>
      </c>
      <c r="G28" s="400">
        <f t="shared" si="4"/>
        <v>-18.460144010100002</v>
      </c>
      <c r="H28" s="401">
        <v>4.0070257603000003</v>
      </c>
      <c r="I28" s="461">
        <v>-22.467169770400002</v>
      </c>
      <c r="J28" s="399">
        <v>-0.3553891441</v>
      </c>
      <c r="K28" s="463">
        <v>4.75448</v>
      </c>
      <c r="L28" s="464">
        <v>2.3860593497</v>
      </c>
      <c r="M28" s="452">
        <f>TableA1!B26-TableA1!M26+B28</f>
        <v>1490.1723157834931</v>
      </c>
      <c r="N28" s="455">
        <f t="shared" si="5"/>
        <v>-7.4660876153089526E-4</v>
      </c>
      <c r="O28" s="453">
        <f t="shared" si="6"/>
        <v>1.0729219603632025E-3</v>
      </c>
      <c r="P28" s="453">
        <f>TableB1!D28/M28</f>
        <v>3.562568662134051E-2</v>
      </c>
      <c r="Q28" s="1305">
        <f t="shared" si="2"/>
        <v>-7.5083470487388596E-3</v>
      </c>
    </row>
    <row r="29" spans="1:17" ht="16" x14ac:dyDescent="0.2">
      <c r="A29" s="1291" t="s">
        <v>46</v>
      </c>
      <c r="B29" s="458">
        <f t="shared" si="0"/>
        <v>174.41017936469513</v>
      </c>
      <c r="C29" s="1304">
        <f t="shared" si="1"/>
        <v>175.24238456279511</v>
      </c>
      <c r="D29" s="451">
        <f t="shared" si="3"/>
        <v>70.151559102595101</v>
      </c>
      <c r="E29" s="401">
        <f>TableB2!H27+TableB2!J27-TableB2!D27-TableB2!F27</f>
        <v>69.291244877162995</v>
      </c>
      <c r="F29" s="451">
        <f>TableB2!I27-TableB2!E27</f>
        <v>0.86031422543211022</v>
      </c>
      <c r="G29" s="400">
        <f t="shared" si="4"/>
        <v>100.1103292298</v>
      </c>
      <c r="H29" s="401">
        <v>25.025492990900002</v>
      </c>
      <c r="I29" s="461">
        <v>75.084836238899996</v>
      </c>
      <c r="J29" s="399">
        <v>4.9804962304</v>
      </c>
      <c r="K29" s="463">
        <v>-9.51264E-2</v>
      </c>
      <c r="L29" s="464">
        <v>-0.73707879809999999</v>
      </c>
      <c r="M29" s="452">
        <f>TableA1!B27-TableA1!M27+B29</f>
        <v>3551.1310304467343</v>
      </c>
      <c r="N29" s="455">
        <f t="shared" si="5"/>
        <v>2.4226484972138081E-4</v>
      </c>
      <c r="O29" s="453">
        <f t="shared" si="6"/>
        <v>1.9512443861708511E-2</v>
      </c>
      <c r="P29" s="453">
        <f>TableB1!D29/M29</f>
        <v>-6.5545054326739041E-3</v>
      </c>
      <c r="Q29" s="1305">
        <f t="shared" si="2"/>
        <v>4.9113980269760486E-2</v>
      </c>
    </row>
    <row r="30" spans="1:17" ht="16" x14ac:dyDescent="0.2">
      <c r="A30" s="1291" t="s">
        <v>47</v>
      </c>
      <c r="B30" s="458">
        <f t="shared" si="0"/>
        <v>-2.3849403720176898</v>
      </c>
      <c r="C30" s="1304">
        <f t="shared" si="1"/>
        <v>-2.3849403720176898</v>
      </c>
      <c r="D30" s="451">
        <f t="shared" si="3"/>
        <v>-2.3849403720176898</v>
      </c>
      <c r="E30" s="401">
        <f>TableB2!H28+TableB2!J28-TableB2!D28-TableB2!F28</f>
        <v>-2.6293595946325299</v>
      </c>
      <c r="F30" s="451">
        <f>TableB2!I28-TableB2!E28</f>
        <v>0.24441922261483998</v>
      </c>
      <c r="G30" s="400">
        <f t="shared" si="4"/>
        <v>0</v>
      </c>
      <c r="H30" s="401" t="e">
        <v>#N/A</v>
      </c>
      <c r="I30" s="461" t="e">
        <v>#N/A</v>
      </c>
      <c r="J30" s="399">
        <v>0</v>
      </c>
      <c r="K30" s="463">
        <v>0</v>
      </c>
      <c r="L30" s="464">
        <v>0</v>
      </c>
      <c r="M30" s="452">
        <f>TableA1!B28-TableA1!M28+B30</f>
        <v>1110.1422717978173</v>
      </c>
      <c r="N30" s="455">
        <f t="shared" si="5"/>
        <v>2.201692781403737E-4</v>
      </c>
      <c r="O30" s="453">
        <f t="shared" si="6"/>
        <v>-2.368488851770701E-3</v>
      </c>
      <c r="P30" s="453">
        <f>TableB1!D30/M30</f>
        <v>9.6701479375385285E-2</v>
      </c>
      <c r="Q30" s="1305">
        <f t="shared" si="2"/>
        <v>-2.1483195736303274E-3</v>
      </c>
    </row>
    <row r="31" spans="1:17" ht="16" x14ac:dyDescent="0.2">
      <c r="A31" s="1291" t="s">
        <v>48</v>
      </c>
      <c r="B31" s="458">
        <f t="shared" si="0"/>
        <v>-0.12541684718919069</v>
      </c>
      <c r="C31" s="1304">
        <f t="shared" si="1"/>
        <v>-1.0551275116891907</v>
      </c>
      <c r="D31" s="451">
        <f t="shared" si="3"/>
        <v>-0.9983361064891908</v>
      </c>
      <c r="E31" s="401">
        <f>TableB2!H29+TableB2!J29-TableB2!D29-TableB2!F29</f>
        <v>-0.951747088186362</v>
      </c>
      <c r="F31" s="451">
        <f>TableB2!I29-TableB2!E29</f>
        <v>-4.6589018302828807E-2</v>
      </c>
      <c r="G31" s="400">
        <f t="shared" si="4"/>
        <v>7.5380401999999994E-3</v>
      </c>
      <c r="H31" s="401">
        <v>-2.3552427000000003E-3</v>
      </c>
      <c r="I31" s="461">
        <v>9.8932828999999996E-3</v>
      </c>
      <c r="J31" s="399">
        <v>-6.4329445400000004E-2</v>
      </c>
      <c r="K31" s="463">
        <v>0.70552400000000004</v>
      </c>
      <c r="L31" s="464">
        <v>0.22418666449999999</v>
      </c>
      <c r="M31" s="452">
        <f>TableA1!B29-TableA1!M29+B31</f>
        <v>20.674424334454866</v>
      </c>
      <c r="N31" s="455">
        <f t="shared" si="5"/>
        <v>-2.2534614531049407E-3</v>
      </c>
      <c r="O31" s="453">
        <f t="shared" si="6"/>
        <v>-4.6034998256286742E-2</v>
      </c>
      <c r="P31" s="453">
        <f>TableB1!D31/M31</f>
        <v>-1.4968413126950547E-2</v>
      </c>
      <c r="Q31" s="1305">
        <f t="shared" si="2"/>
        <v>-6.0662800163280885E-3</v>
      </c>
    </row>
    <row r="32" spans="1:17" ht="16" x14ac:dyDescent="0.2">
      <c r="A32" s="1291" t="s">
        <v>49</v>
      </c>
      <c r="B32" s="458">
        <f t="shared" si="0"/>
        <v>-14.977610578835707</v>
      </c>
      <c r="C32" s="1304">
        <f t="shared" si="1"/>
        <v>-5.8471417645357082</v>
      </c>
      <c r="D32" s="451">
        <f t="shared" si="3"/>
        <v>25.640599001664292</v>
      </c>
      <c r="E32" s="401">
        <f>TableB2!H30+TableB2!J30-TableB2!D30-TableB2!F30</f>
        <v>10.52911813643999</v>
      </c>
      <c r="F32" s="451">
        <f>TableB2!I30-TableB2!E30</f>
        <v>15.111480865224303</v>
      </c>
      <c r="G32" s="400">
        <f t="shared" si="4"/>
        <v>-33.591651887899999</v>
      </c>
      <c r="H32" s="401">
        <v>-59.774582981499996</v>
      </c>
      <c r="I32" s="461">
        <v>26.182931093599997</v>
      </c>
      <c r="J32" s="399">
        <v>2.1039111216999999</v>
      </c>
      <c r="K32" s="463">
        <v>-9.6544399999999992</v>
      </c>
      <c r="L32" s="464">
        <v>0.52397118570000001</v>
      </c>
      <c r="M32" s="452">
        <f>TableA1!B30-TableA1!M30+B32</f>
        <v>35.921121646983586</v>
      </c>
      <c r="N32" s="455">
        <f t="shared" si="5"/>
        <v>0.4206851059310745</v>
      </c>
      <c r="O32" s="453">
        <f t="shared" si="6"/>
        <v>0.29311774392557577</v>
      </c>
      <c r="P32" s="453">
        <f>TableB1!D32/M32</f>
        <v>0.54720632759112642</v>
      </c>
      <c r="Q32" s="1305">
        <f t="shared" si="2"/>
        <v>-0.4169583212358689</v>
      </c>
    </row>
    <row r="33" spans="1:17" ht="16" x14ac:dyDescent="0.2">
      <c r="A33" s="1291" t="s">
        <v>50</v>
      </c>
      <c r="B33" s="458">
        <f t="shared" si="0"/>
        <v>-29.000077089500003</v>
      </c>
      <c r="C33" s="1304">
        <f t="shared" si="1"/>
        <v>-30.449025612200003</v>
      </c>
      <c r="D33" s="451">
        <f t="shared" si="3"/>
        <v>-11.750000000000002</v>
      </c>
      <c r="E33" s="401">
        <f>TableB2!H31+TableB2!J31-TableB2!D31-TableB2!F31</f>
        <v>-12.151103767799999</v>
      </c>
      <c r="F33" s="451">
        <f>TableB2!I31-TableB2!E31</f>
        <v>0.40110376779999646</v>
      </c>
      <c r="G33" s="400">
        <f t="shared" si="4"/>
        <v>-16.830543761600001</v>
      </c>
      <c r="H33" s="401">
        <v>0</v>
      </c>
      <c r="I33" s="461">
        <v>-16.830543761600001</v>
      </c>
      <c r="J33" s="399">
        <v>-1.8684818505999998</v>
      </c>
      <c r="K33" s="463">
        <v>1.4483999999999999</v>
      </c>
      <c r="L33" s="464">
        <v>5.4852269999999999E-4</v>
      </c>
      <c r="M33" s="452">
        <f>TableA1!B31-TableA1!M31+B33</f>
        <v>976.95476958237907</v>
      </c>
      <c r="N33" s="455">
        <f t="shared" si="5"/>
        <v>4.1056534067739607E-4</v>
      </c>
      <c r="O33" s="453">
        <f t="shared" si="6"/>
        <v>-1.2437734218744084E-2</v>
      </c>
      <c r="P33" s="453">
        <f>TableB1!D33/M33</f>
        <v>-2.4926363394704311E-2</v>
      </c>
      <c r="Q33" s="1305">
        <f t="shared" si="2"/>
        <v>-2.9684155287861204E-2</v>
      </c>
    </row>
    <row r="34" spans="1:17" ht="16" x14ac:dyDescent="0.2">
      <c r="A34" s="1291" t="s">
        <v>51</v>
      </c>
      <c r="B34" s="458">
        <f t="shared" si="0"/>
        <v>3.0783705571504383</v>
      </c>
      <c r="C34" s="1304">
        <f t="shared" si="1"/>
        <v>10.400022025650438</v>
      </c>
      <c r="D34" s="451">
        <f t="shared" si="3"/>
        <v>32.228508042150438</v>
      </c>
      <c r="E34" s="401">
        <f>TableB2!H32+TableB2!J32-TableB2!D32-TableB2!F32</f>
        <v>10.998336106487443</v>
      </c>
      <c r="F34" s="451">
        <f>TableB2!I32-TableB2!E32</f>
        <v>21.230171935662998</v>
      </c>
      <c r="G34" s="400">
        <f t="shared" si="4"/>
        <v>-20.0607634102</v>
      </c>
      <c r="H34" s="401">
        <v>-5.39039497</v>
      </c>
      <c r="I34" s="461">
        <v>-14.670368440200001</v>
      </c>
      <c r="J34" s="399">
        <v>-1.7677226063</v>
      </c>
      <c r="K34" s="463">
        <v>-5.4400599999999999</v>
      </c>
      <c r="L34" s="464">
        <v>-1.8815914684999999</v>
      </c>
      <c r="M34" s="452">
        <f>TableA1!B32-TableA1!M32+B34</f>
        <v>637.13403905266819</v>
      </c>
      <c r="N34" s="455">
        <f t="shared" si="5"/>
        <v>3.3321358826204579E-2</v>
      </c>
      <c r="O34" s="453">
        <f t="shared" si="6"/>
        <v>1.7262201408734142E-2</v>
      </c>
      <c r="P34" s="453">
        <f>TableB1!D34/M34</f>
        <v>0.12565159434399983</v>
      </c>
      <c r="Q34" s="1305">
        <f t="shared" si="2"/>
        <v>4.8315901654345092E-3</v>
      </c>
    </row>
    <row r="35" spans="1:17" ht="16" x14ac:dyDescent="0.2">
      <c r="A35" s="1291" t="s">
        <v>52</v>
      </c>
      <c r="B35" s="458">
        <f t="shared" si="0"/>
        <v>-6.287989521115799</v>
      </c>
      <c r="C35" s="1304">
        <f t="shared" si="1"/>
        <v>-6.127907521115799</v>
      </c>
      <c r="D35" s="451">
        <f t="shared" si="3"/>
        <v>-5.3772137777157987</v>
      </c>
      <c r="E35" s="401">
        <f>TableB2!H33+TableB2!J33-TableB2!D33-TableB2!F33</f>
        <v>-4.7496862362292553</v>
      </c>
      <c r="F35" s="451">
        <f>TableB2!I33-TableB2!E33</f>
        <v>-0.62752754148654288</v>
      </c>
      <c r="G35" s="400">
        <f t="shared" si="4"/>
        <v>-0.75069374340000017</v>
      </c>
      <c r="H35" s="401">
        <v>0.32062624419999997</v>
      </c>
      <c r="I35" s="461">
        <v>-1.0713199876000001</v>
      </c>
      <c r="J35" s="399">
        <v>0</v>
      </c>
      <c r="K35" s="463">
        <v>-0.160082</v>
      </c>
      <c r="L35" s="464">
        <v>0</v>
      </c>
      <c r="M35" s="452">
        <f>TableA1!B33-TableA1!M33+B35</f>
        <v>147.36698286079505</v>
      </c>
      <c r="N35" s="455">
        <f t="shared" si="5"/>
        <v>-4.2582641600209343E-3</v>
      </c>
      <c r="O35" s="453">
        <f t="shared" si="6"/>
        <v>-3.2230328286736228E-2</v>
      </c>
      <c r="P35" s="453">
        <f>TableB1!D35/M35</f>
        <v>9.2513517942335415E-3</v>
      </c>
      <c r="Q35" s="1305">
        <f t="shared" si="2"/>
        <v>-4.2668916734595316E-2</v>
      </c>
    </row>
    <row r="36" spans="1:17" ht="16" x14ac:dyDescent="0.2">
      <c r="A36" s="1097" t="s">
        <v>53</v>
      </c>
      <c r="B36" s="458">
        <f t="shared" si="0"/>
        <v>17.896409118277923</v>
      </c>
      <c r="C36" s="1304">
        <f t="shared" si="1"/>
        <v>21.750429118277921</v>
      </c>
      <c r="D36" s="451">
        <f t="shared" si="3"/>
        <v>3.0401894770779205</v>
      </c>
      <c r="E36" s="401">
        <f>TableB2!H34+TableB2!J34-TableB2!D34-TableB2!F34</f>
        <v>4.7785920662673007</v>
      </c>
      <c r="F36" s="451">
        <f>TableB2!I34-TableB2!E34</f>
        <v>-1.7384025891893802</v>
      </c>
      <c r="G36" s="400">
        <f t="shared" si="4"/>
        <v>12.4307526628</v>
      </c>
      <c r="H36" s="401">
        <v>12.4307526628</v>
      </c>
      <c r="I36" s="461">
        <v>0</v>
      </c>
      <c r="J36" s="399">
        <v>6.2794869783999996</v>
      </c>
      <c r="K36" s="463">
        <v>-3.8540199999999998</v>
      </c>
      <c r="L36" s="464">
        <v>0</v>
      </c>
      <c r="M36" s="452">
        <f>TableA1!B34-TableA1!M34+B36</f>
        <v>336.05537085604954</v>
      </c>
      <c r="N36" s="455">
        <f t="shared" si="5"/>
        <v>-5.1729647550671966E-3</v>
      </c>
      <c r="O36" s="453">
        <f t="shared" si="6"/>
        <v>1.4219656880039054E-2</v>
      </c>
      <c r="P36" s="453">
        <f>TableB1!D36/M36</f>
        <v>6.2747962958855957E-2</v>
      </c>
      <c r="Q36" s="1305">
        <f t="shared" si="2"/>
        <v>5.325434636765234E-2</v>
      </c>
    </row>
    <row r="37" spans="1:17" ht="16" x14ac:dyDescent="0.2">
      <c r="A37" s="1291" t="s">
        <v>54</v>
      </c>
      <c r="B37" s="458">
        <f t="shared" si="0"/>
        <v>-18.262312503315496</v>
      </c>
      <c r="C37" s="1304">
        <f t="shared" si="1"/>
        <v>-24.041312503315496</v>
      </c>
      <c r="D37" s="451">
        <f t="shared" si="3"/>
        <v>-17.459312503315495</v>
      </c>
      <c r="E37" s="401">
        <f>TableB2!H35+TableB2!J35-TableB2!D35-TableB2!F35</f>
        <v>-15.362580234470316</v>
      </c>
      <c r="F37" s="451">
        <f>TableB2!I35-TableB2!E35</f>
        <v>-2.0967322688451793</v>
      </c>
      <c r="G37" s="400">
        <f t="shared" si="4"/>
        <v>-4.87</v>
      </c>
      <c r="H37" s="401">
        <v>-0.82499999999999996</v>
      </c>
      <c r="I37" s="461">
        <v>-4.0449999999999999</v>
      </c>
      <c r="J37" s="399">
        <v>-1.712</v>
      </c>
      <c r="K37" s="463">
        <v>0.92800000000000005</v>
      </c>
      <c r="L37" s="464">
        <v>4.851</v>
      </c>
      <c r="M37" s="452">
        <f>TableA1!B35-TableA1!M35+B37</f>
        <v>404.14569916932015</v>
      </c>
      <c r="N37" s="455">
        <f t="shared" si="5"/>
        <v>-5.1880603286260287E-3</v>
      </c>
      <c r="O37" s="453">
        <f t="shared" si="6"/>
        <v>-3.8012479821130145E-2</v>
      </c>
      <c r="P37" s="453">
        <f>TableB1!D37/M37</f>
        <v>3.6068675306854737E-2</v>
      </c>
      <c r="Q37" s="1305">
        <f t="shared" si="2"/>
        <v>-4.5187447350922692E-2</v>
      </c>
    </row>
    <row r="38" spans="1:17" ht="16" x14ac:dyDescent="0.2">
      <c r="A38" s="1291" t="s">
        <v>55</v>
      </c>
      <c r="B38" s="458">
        <f t="shared" si="0"/>
        <v>-5.11436023594311</v>
      </c>
      <c r="C38" s="1304">
        <f t="shared" si="1"/>
        <v>-6.9098013014431094</v>
      </c>
      <c r="D38" s="451">
        <f t="shared" si="3"/>
        <v>-2.94509151414311</v>
      </c>
      <c r="E38" s="401">
        <f>TableB2!H36+TableB2!J36-TableB2!D36-TableB2!F36</f>
        <v>-2.0610094287299101</v>
      </c>
      <c r="F38" s="451">
        <f>TableB2!I36-TableB2!E36</f>
        <v>-0.88408208541319999</v>
      </c>
      <c r="G38" s="400">
        <f t="shared" si="4"/>
        <v>-1.5951980593999999</v>
      </c>
      <c r="H38" s="401">
        <v>-0.4827625337</v>
      </c>
      <c r="I38" s="461">
        <v>-1.1124355257</v>
      </c>
      <c r="J38" s="399">
        <v>-2.3695117279</v>
      </c>
      <c r="K38" s="463">
        <v>0.13298699999999999</v>
      </c>
      <c r="L38" s="464">
        <v>1.6624540655</v>
      </c>
      <c r="M38" s="452">
        <f>TableA1!B36-TableA1!M36+B38</f>
        <v>159.91084330552877</v>
      </c>
      <c r="N38" s="455">
        <f t="shared" si="5"/>
        <v>-5.5285937284694046E-3</v>
      </c>
      <c r="O38" s="453">
        <f t="shared" si="6"/>
        <v>-1.2888490774775701E-2</v>
      </c>
      <c r="P38" s="453">
        <f>TableB1!D38/M38</f>
        <v>2.1957668220105003E-2</v>
      </c>
      <c r="Q38" s="1305">
        <f t="shared" si="2"/>
        <v>-3.1982573102760231E-2</v>
      </c>
    </row>
    <row r="39" spans="1:17" ht="16" x14ac:dyDescent="0.2">
      <c r="A39" s="1291" t="s">
        <v>336</v>
      </c>
      <c r="B39" s="458">
        <f t="shared" si="0"/>
        <v>-1.5203485240594012</v>
      </c>
      <c r="C39" s="1304">
        <f t="shared" si="1"/>
        <v>-4.3520693866594016</v>
      </c>
      <c r="D39" s="451">
        <f t="shared" si="3"/>
        <v>-4.0705713843594014</v>
      </c>
      <c r="E39" s="401">
        <f>TableB2!H37+TableB2!J37-TableB2!D37-TableB2!F37</f>
        <v>-3.7777937914586763</v>
      </c>
      <c r="F39" s="451">
        <f>TableB2!I37-TableB2!E37</f>
        <v>-0.29277759290072503</v>
      </c>
      <c r="G39" s="400">
        <f t="shared" si="4"/>
        <v>-0.3070000376</v>
      </c>
      <c r="H39" s="401">
        <v>5.1116562999999997E-3</v>
      </c>
      <c r="I39" s="461">
        <v>-0.31211169389999999</v>
      </c>
      <c r="J39" s="399">
        <v>2.55020353E-2</v>
      </c>
      <c r="K39" s="463">
        <v>1.6504700000000001</v>
      </c>
      <c r="L39" s="464">
        <v>1.1812508626</v>
      </c>
      <c r="M39" s="452">
        <f>TableA1!B37-TableA1!M37+B39</f>
        <v>68.34592797293115</v>
      </c>
      <c r="N39" s="455">
        <f t="shared" si="5"/>
        <v>-4.2837605923893738E-3</v>
      </c>
      <c r="O39" s="453">
        <f t="shared" si="6"/>
        <v>-5.5274599431218437E-2</v>
      </c>
      <c r="P39" s="453">
        <f>TableB1!D39/M39</f>
        <v>3.5442421524503775E-2</v>
      </c>
      <c r="Q39" s="1305">
        <f t="shared" si="2"/>
        <v>-2.2244902793060989E-2</v>
      </c>
    </row>
    <row r="40" spans="1:17" ht="16" x14ac:dyDescent="0.2">
      <c r="A40" s="1097" t="s">
        <v>57</v>
      </c>
      <c r="B40" s="458">
        <f t="shared" si="0"/>
        <v>-1.4149578055675478</v>
      </c>
      <c r="C40" s="1304">
        <f t="shared" si="1"/>
        <v>-1.7425808899675479</v>
      </c>
      <c r="D40" s="451">
        <f t="shared" si="3"/>
        <v>-1.0230083194675479</v>
      </c>
      <c r="E40" s="401">
        <f>TableB2!H38+TableB2!J38-TableB2!D38-TableB2!F38</f>
        <v>-0.99966389351080898</v>
      </c>
      <c r="F40" s="451">
        <f>TableB2!I38-TableB2!E38</f>
        <v>-2.3344425956739003E-2</v>
      </c>
      <c r="G40" s="400">
        <f t="shared" si="4"/>
        <v>-0.64969845999999998</v>
      </c>
      <c r="H40" s="401">
        <v>4.1249311399999995E-2</v>
      </c>
      <c r="I40" s="461">
        <v>-0.69094777139999997</v>
      </c>
      <c r="J40" s="399">
        <v>-6.9874110500000003E-2</v>
      </c>
      <c r="K40" s="463">
        <v>0.22276299999999999</v>
      </c>
      <c r="L40" s="464">
        <v>0.10486008440000001</v>
      </c>
      <c r="M40" s="452">
        <f>TableA1!B38-TableA1!M38+B40</f>
        <v>32.494690187742563</v>
      </c>
      <c r="N40" s="455">
        <f t="shared" si="5"/>
        <v>-7.1840740200516929E-4</v>
      </c>
      <c r="O40" s="453">
        <f t="shared" si="6"/>
        <v>-3.0763915203841388E-2</v>
      </c>
      <c r="P40" s="453">
        <f>TableB1!D40/M40</f>
        <v>0.11383037710866585</v>
      </c>
      <c r="Q40" s="1305">
        <f t="shared" si="2"/>
        <v>-4.3544277461715547E-2</v>
      </c>
    </row>
    <row r="41" spans="1:17" ht="16" x14ac:dyDescent="0.2">
      <c r="A41" s="1291" t="s">
        <v>58</v>
      </c>
      <c r="B41" s="458">
        <f t="shared" si="0"/>
        <v>2.0812292535860042</v>
      </c>
      <c r="C41" s="1304">
        <f t="shared" si="1"/>
        <v>-3.3073130343139958</v>
      </c>
      <c r="D41" s="451">
        <f t="shared" si="3"/>
        <v>8.869661674986002</v>
      </c>
      <c r="E41" s="401">
        <f>TableB2!H39+TableB2!J39-TableB2!D39-TableB2!F39</f>
        <v>13.300055463116902</v>
      </c>
      <c r="F41" s="451">
        <f>TableB2!I39-TableB2!E39</f>
        <v>-4.4303937881308997</v>
      </c>
      <c r="G41" s="400">
        <f t="shared" si="4"/>
        <v>-12.176974709299998</v>
      </c>
      <c r="H41" s="401">
        <v>0.87793564400000002</v>
      </c>
      <c r="I41" s="461">
        <v>-13.054910353299999</v>
      </c>
      <c r="J41" s="399">
        <v>0</v>
      </c>
      <c r="K41" s="463">
        <v>2.3014299999999999</v>
      </c>
      <c r="L41" s="464">
        <v>3.0871122879000001</v>
      </c>
      <c r="M41" s="452">
        <f>TableA1!B39-TableA1!M39+B41</f>
        <v>990.06449121847527</v>
      </c>
      <c r="N41" s="455">
        <f t="shared" si="5"/>
        <v>-4.4748537367282019E-3</v>
      </c>
      <c r="O41" s="453">
        <f t="shared" si="6"/>
        <v>1.3433524362386217E-2</v>
      </c>
      <c r="P41" s="453">
        <f>TableB1!D41/M41</f>
        <v>2.9380661842947613E-2</v>
      </c>
      <c r="Q41" s="1305">
        <f t="shared" si="2"/>
        <v>2.1021148339787736E-3</v>
      </c>
    </row>
    <row r="42" spans="1:17" ht="16" x14ac:dyDescent="0.2">
      <c r="A42" s="1291" t="s">
        <v>59</v>
      </c>
      <c r="B42" s="458">
        <f t="shared" si="0"/>
        <v>6.4958435323923025</v>
      </c>
      <c r="C42" s="1304">
        <f t="shared" si="1"/>
        <v>4.2268231626923027</v>
      </c>
      <c r="D42" s="451">
        <f t="shared" si="3"/>
        <v>7.861506886692303</v>
      </c>
      <c r="E42" s="401">
        <f>TableB2!H40+TableB2!J40-TableB2!D40-TableB2!F40</f>
        <v>8.014069970222403</v>
      </c>
      <c r="F42" s="451">
        <f>TableB2!I40-TableB2!E40</f>
        <v>-0.15256308353010017</v>
      </c>
      <c r="G42" s="400">
        <f t="shared" si="4"/>
        <v>-4.0301339594000005</v>
      </c>
      <c r="H42" s="401">
        <v>1.4510839307999999</v>
      </c>
      <c r="I42" s="461">
        <v>-5.4812178901999999</v>
      </c>
      <c r="J42" s="399">
        <v>0.39545023539999996</v>
      </c>
      <c r="K42" s="463">
        <v>2.0425800000000001</v>
      </c>
      <c r="L42" s="464">
        <v>0.22644036969999998</v>
      </c>
      <c r="M42" s="452">
        <f>TableA1!B40-TableA1!M40+B42</f>
        <v>422.84571900722341</v>
      </c>
      <c r="N42" s="455">
        <f t="shared" si="5"/>
        <v>-3.6080082326077416E-4</v>
      </c>
      <c r="O42" s="453">
        <f t="shared" si="6"/>
        <v>1.8952704520784094E-2</v>
      </c>
      <c r="P42" s="453">
        <f>TableB1!D42/M42</f>
        <v>5.8051076751188944E-2</v>
      </c>
      <c r="Q42" s="1305">
        <f t="shared" si="2"/>
        <v>1.5362207160672083E-2</v>
      </c>
    </row>
    <row r="43" spans="1:17" ht="16" x14ac:dyDescent="0.2">
      <c r="A43" s="1291" t="s">
        <v>60</v>
      </c>
      <c r="B43" s="458">
        <f t="shared" si="0"/>
        <v>16.765160490648011</v>
      </c>
      <c r="C43" s="1304">
        <f t="shared" si="1"/>
        <v>38.593560490648009</v>
      </c>
      <c r="D43" s="451">
        <f t="shared" si="3"/>
        <v>30.368160490648005</v>
      </c>
      <c r="E43" s="401">
        <f>TableB2!H41+TableB2!J41-TableB2!D41-TableB2!F41</f>
        <v>26.818145302579005</v>
      </c>
      <c r="F43" s="451">
        <f>TableB2!I41-TableB2!E41</f>
        <v>3.5500151880690005</v>
      </c>
      <c r="G43" s="400">
        <f t="shared" si="4"/>
        <v>-2.4536814018000008</v>
      </c>
      <c r="H43" s="401">
        <v>-15.7207335086</v>
      </c>
      <c r="I43" s="461">
        <v>13.2670521068</v>
      </c>
      <c r="J43" s="399">
        <v>10.679081401800003</v>
      </c>
      <c r="K43" s="463">
        <v>-21.828399999999998</v>
      </c>
      <c r="L43" s="464">
        <v>0</v>
      </c>
      <c r="M43" s="452">
        <f>TableA1!B41-TableA1!M41+B43</f>
        <v>555.75724242077763</v>
      </c>
      <c r="N43" s="455">
        <f t="shared" si="5"/>
        <v>6.3877083681460976E-3</v>
      </c>
      <c r="O43" s="453">
        <f t="shared" si="6"/>
        <v>4.8255143173238792E-2</v>
      </c>
      <c r="P43" s="453">
        <f>TableB1!D43/M43</f>
        <v>0.12997792574407552</v>
      </c>
      <c r="Q43" s="1305">
        <f t="shared" si="2"/>
        <v>3.0166337405918484E-2</v>
      </c>
    </row>
    <row r="44" spans="1:17" ht="16" x14ac:dyDescent="0.2">
      <c r="A44" s="1291" t="s">
        <v>61</v>
      </c>
      <c r="B44" s="458">
        <f t="shared" si="0"/>
        <v>-9.6431700000000014</v>
      </c>
      <c r="C44" s="1304">
        <f t="shared" si="1"/>
        <v>-9.2361700000000013</v>
      </c>
      <c r="D44" s="451">
        <f t="shared" si="3"/>
        <v>-3.3191700000000002</v>
      </c>
      <c r="E44" s="401">
        <f>TableB2!H42+TableB2!J42-TableB2!D42-TableB2!F42</f>
        <v>-3.1791100000000001</v>
      </c>
      <c r="F44" s="451">
        <f>TableB2!I42-TableB2!E42</f>
        <v>-0.14006000000000002</v>
      </c>
      <c r="G44" s="400">
        <f t="shared" si="4"/>
        <v>-2.4790000000000001</v>
      </c>
      <c r="H44" s="401">
        <v>-0.13</v>
      </c>
      <c r="I44" s="461">
        <v>-2.3490000000000002</v>
      </c>
      <c r="J44" s="399">
        <v>-3.4380000000000002</v>
      </c>
      <c r="K44" s="463">
        <v>-0.40699999999999997</v>
      </c>
      <c r="L44" s="464">
        <v>0</v>
      </c>
      <c r="M44" s="452">
        <f>TableA1!B42-TableA1!M42+B44</f>
        <v>723.59100279133986</v>
      </c>
      <c r="N44" s="455">
        <f t="shared" si="5"/>
        <v>-1.9356238463400129E-4</v>
      </c>
      <c r="O44" s="453">
        <f t="shared" si="6"/>
        <v>-4.3935178681550743E-3</v>
      </c>
      <c r="P44" s="453">
        <f>TableB1!D44/M44</f>
        <v>-3.3038000621593844E-2</v>
      </c>
      <c r="Q44" s="1305">
        <f t="shared" si="2"/>
        <v>-1.3326824079901914E-2</v>
      </c>
    </row>
    <row r="45" spans="1:17" ht="16" x14ac:dyDescent="0.2">
      <c r="A45" s="1291" t="s">
        <v>62</v>
      </c>
      <c r="B45" s="458">
        <f t="shared" si="0"/>
        <v>-39.030639648156992</v>
      </c>
      <c r="C45" s="1304">
        <f t="shared" si="1"/>
        <v>-37.176745587956994</v>
      </c>
      <c r="D45" s="451">
        <f t="shared" si="3"/>
        <v>13.893048128343002</v>
      </c>
      <c r="E45" s="401">
        <f>TableB2!H43+TableB2!J43-TableB2!D43-TableB2!F43</f>
        <v>24.846827878169748</v>
      </c>
      <c r="F45" s="451">
        <f>TableB2!I43-TableB2!E43</f>
        <v>-10.953779749826746</v>
      </c>
      <c r="G45" s="400">
        <f t="shared" si="4"/>
        <v>-36.571395419799998</v>
      </c>
      <c r="H45" s="401">
        <v>-15.101116887</v>
      </c>
      <c r="I45" s="461">
        <v>-21.470278532799998</v>
      </c>
      <c r="J45" s="399">
        <v>-14.4983982965</v>
      </c>
      <c r="K45" s="463">
        <v>-0.13176399999999999</v>
      </c>
      <c r="L45" s="464">
        <v>-1.7221300602</v>
      </c>
      <c r="M45" s="452">
        <f>TableA1!B43-TableA1!M43+B45</f>
        <v>2447.6188649695541</v>
      </c>
      <c r="N45" s="455">
        <f t="shared" si="5"/>
        <v>-4.4752799982864157E-3</v>
      </c>
      <c r="O45" s="453">
        <f t="shared" si="6"/>
        <v>1.01514284898596E-2</v>
      </c>
      <c r="P45" s="453">
        <f>TableB1!D45/M45</f>
        <v>-1.8668552741346999E-2</v>
      </c>
      <c r="Q45" s="1305">
        <f t="shared" si="2"/>
        <v>-1.5946371474237879E-2</v>
      </c>
    </row>
    <row r="46" spans="1:17" ht="16" x14ac:dyDescent="0.2">
      <c r="A46" s="1291" t="s">
        <v>63</v>
      </c>
      <c r="B46" s="458">
        <f t="shared" si="0"/>
        <v>170.26600000000002</v>
      </c>
      <c r="C46" s="1304">
        <f t="shared" si="1"/>
        <v>182.001</v>
      </c>
      <c r="D46" s="451">
        <f t="shared" si="3"/>
        <v>266.529</v>
      </c>
      <c r="E46" s="401">
        <f>TableB2!H44+TableB2!J44-TableB2!D44-TableB2!F44</f>
        <v>285.185</v>
      </c>
      <c r="F46" s="451">
        <f>TableB2!I44-TableB2!E44</f>
        <v>-18.655999999999999</v>
      </c>
      <c r="G46" s="400">
        <f t="shared" si="4"/>
        <v>-93.713999999999999</v>
      </c>
      <c r="H46" s="401">
        <v>66.286000000000001</v>
      </c>
      <c r="I46" s="461">
        <v>-160</v>
      </c>
      <c r="J46" s="399">
        <v>9.1859999999999999</v>
      </c>
      <c r="K46" s="463">
        <v>-11.734999999999999</v>
      </c>
      <c r="L46" s="464">
        <v>0</v>
      </c>
      <c r="M46" s="452">
        <f>TableA1!B44-TableA1!M44+B46</f>
        <v>15449.4339</v>
      </c>
      <c r="N46" s="455">
        <f t="shared" si="5"/>
        <v>-1.2075523362703924E-3</v>
      </c>
      <c r="O46" s="453">
        <f t="shared" si="6"/>
        <v>1.8459252413125637E-2</v>
      </c>
      <c r="P46" s="453">
        <f>TableB1!D46/M46</f>
        <v>-3.2363645376028954E-2</v>
      </c>
      <c r="Q46" s="1305">
        <f t="shared" si="2"/>
        <v>1.1020856887189893E-2</v>
      </c>
    </row>
    <row r="47" spans="1:17" ht="40" customHeight="1" x14ac:dyDescent="0.2">
      <c r="A47" s="7" t="s">
        <v>64</v>
      </c>
      <c r="B47" s="459"/>
      <c r="C47" s="1306"/>
      <c r="D47" s="450"/>
      <c r="E47" s="460"/>
      <c r="F47" s="450"/>
      <c r="G47" s="400" t="e">
        <f>H47+I47</f>
        <v>#N/A</v>
      </c>
      <c r="H47" s="401" t="e">
        <v>#N/A</v>
      </c>
      <c r="I47" s="461" t="e">
        <v>#N/A</v>
      </c>
      <c r="J47" s="399" t="e">
        <v>#N/A</v>
      </c>
      <c r="K47" s="463"/>
      <c r="L47" s="464">
        <v>0</v>
      </c>
      <c r="M47" s="407"/>
      <c r="N47" s="456" t="e">
        <f t="shared" si="5"/>
        <v>#DIV/0!</v>
      </c>
      <c r="O47" s="453" t="e">
        <f t="shared" si="6"/>
        <v>#DIV/0!</v>
      </c>
      <c r="P47" s="450"/>
      <c r="Q47" s="1305"/>
    </row>
    <row r="48" spans="1:17" ht="16" x14ac:dyDescent="0.2">
      <c r="A48" s="1291" t="s">
        <v>65</v>
      </c>
      <c r="B48" s="458">
        <f t="shared" ref="B48:B54" si="7">C48+K48+L48</f>
        <v>-45.482376786579998</v>
      </c>
      <c r="C48" s="1304">
        <f t="shared" ref="C48:C54" si="8">D48+G48+J48</f>
        <v>-45.831610786580001</v>
      </c>
      <c r="D48" s="451">
        <f t="shared" ref="D48" si="9">E48+F48</f>
        <v>-21.275570972679997</v>
      </c>
      <c r="E48" s="401">
        <f>TableB2!H46+TableB2!J46-TableB2!D46-TableB2!F46</f>
        <v>-16.685762936409997</v>
      </c>
      <c r="F48" s="451">
        <f>TableB2!I46-TableB2!E46</f>
        <v>-4.58980803627</v>
      </c>
      <c r="G48" s="504">
        <f t="shared" si="4"/>
        <v>-18.623718009800001</v>
      </c>
      <c r="H48" s="401">
        <v>-4.1282420920999998</v>
      </c>
      <c r="I48" s="461">
        <v>-14.4954759177</v>
      </c>
      <c r="J48" s="399">
        <v>-5.9323218041000008</v>
      </c>
      <c r="K48" s="463">
        <v>0.34923399999999999</v>
      </c>
      <c r="L48" s="464">
        <v>0</v>
      </c>
      <c r="M48" s="452">
        <f>TableA1!B46-TableA1!M46+B48+(TableB10!I46-TableB10!R46)/1000</f>
        <v>2032.467181138315</v>
      </c>
      <c r="N48" s="455">
        <f t="shared" si="5"/>
        <v>-2.2582445998952888E-3</v>
      </c>
      <c r="O48" s="453">
        <f t="shared" si="6"/>
        <v>-8.2096100204013499E-3</v>
      </c>
      <c r="P48" s="453">
        <f>TableB1!D48/M48</f>
        <v>-9.4705132106091723E-3</v>
      </c>
      <c r="Q48" s="1305">
        <f t="shared" ref="Q48:Q54" si="10">B48/M48</f>
        <v>-2.2377914491641081E-2</v>
      </c>
    </row>
    <row r="49" spans="1:17" ht="16" x14ac:dyDescent="0.2">
      <c r="A49" s="1291" t="s">
        <v>66</v>
      </c>
      <c r="B49" s="458">
        <f t="shared" si="7"/>
        <v>-41.05697396009441</v>
      </c>
      <c r="C49" s="1304">
        <f t="shared" si="8"/>
        <v>-69.11190102659441</v>
      </c>
      <c r="D49" s="451">
        <f t="shared" ref="D49" si="11">E49+F49</f>
        <v>-34.555951026594414</v>
      </c>
      <c r="E49" s="401">
        <f>TableB2!H47+TableB2!J47-TableB2!D47-TableB2!F47</f>
        <v>-34.555951026594414</v>
      </c>
      <c r="F49" s="451">
        <f>TableB2!I47-TableB2!E47</f>
        <v>0</v>
      </c>
      <c r="G49" s="400">
        <v>-34.555950000000003</v>
      </c>
      <c r="H49" s="401"/>
      <c r="I49" s="461">
        <v>0</v>
      </c>
      <c r="J49" s="399">
        <v>0</v>
      </c>
      <c r="K49" s="463">
        <v>27.386500000000002</v>
      </c>
      <c r="L49" s="464">
        <v>0.66842706649999994</v>
      </c>
      <c r="M49" s="452">
        <f>TableA1!B47-TableA1!M47+B49+(TableB10!I47-TableB10!R47)/1000</f>
        <v>9542.7014074727304</v>
      </c>
      <c r="N49" s="455">
        <f t="shared" si="5"/>
        <v>0</v>
      </c>
      <c r="O49" s="453">
        <f t="shared" si="6"/>
        <v>-3.6211916889209409E-3</v>
      </c>
      <c r="P49" s="453">
        <f>TableB1!D49/M49</f>
        <v>3.7502039412137256E-2</v>
      </c>
      <c r="Q49" s="1305">
        <f t="shared" si="10"/>
        <v>-4.3024477249118762E-3</v>
      </c>
    </row>
    <row r="50" spans="1:17" ht="16" x14ac:dyDescent="0.2">
      <c r="A50" s="1291" t="s">
        <v>67</v>
      </c>
      <c r="B50" s="458">
        <f t="shared" si="7"/>
        <v>-5.9697216002999998</v>
      </c>
      <c r="C50" s="1304">
        <f t="shared" si="8"/>
        <v>-5.9349894003000001</v>
      </c>
      <c r="D50" s="451">
        <f>E50+F50</f>
        <v>-1.7484193972999997</v>
      </c>
      <c r="E50" s="401">
        <f>TableB2!H48+TableB2!J48-TableB2!D48-TableB2!F48</f>
        <v>-1.2611379088999999</v>
      </c>
      <c r="F50" s="451">
        <f>TableB2!I48-TableB2!E48</f>
        <v>-0.48728148839999996</v>
      </c>
      <c r="G50" s="400">
        <f t="shared" si="4"/>
        <v>-2.9548247790000004</v>
      </c>
      <c r="H50" s="401">
        <v>-0.34961508669999997</v>
      </c>
      <c r="I50" s="461">
        <v>-2.6052096923000003</v>
      </c>
      <c r="J50" s="399">
        <v>-1.231745224</v>
      </c>
      <c r="K50" s="463">
        <v>-3.4732199999999998E-2</v>
      </c>
      <c r="L50" s="464">
        <v>0</v>
      </c>
      <c r="M50" s="452">
        <f>TableA1!B48-TableA1!M48+B50+(TableB10!I48-TableB10!R48)/1000</f>
        <v>252.25768406694951</v>
      </c>
      <c r="N50" s="455">
        <f t="shared" si="5"/>
        <v>-1.9316814478907006E-3</v>
      </c>
      <c r="O50" s="453">
        <f t="shared" si="6"/>
        <v>-4.9994033425173768E-3</v>
      </c>
      <c r="P50" s="453">
        <f>TableB1!D50/M50</f>
        <v>-7.3509310530174343E-2</v>
      </c>
      <c r="Q50" s="1305">
        <f t="shared" si="10"/>
        <v>-2.3665172469892446E-2</v>
      </c>
    </row>
    <row r="51" spans="1:17" ht="16" x14ac:dyDescent="0.2">
      <c r="A51" s="1291" t="s">
        <v>68</v>
      </c>
      <c r="B51" s="458">
        <f t="shared" si="7"/>
        <v>-2.5472001676999998</v>
      </c>
      <c r="C51" s="1304">
        <f t="shared" si="8"/>
        <v>-2.4863330677</v>
      </c>
      <c r="D51" s="451">
        <f>E51+F51</f>
        <v>-1.9651139597</v>
      </c>
      <c r="E51" s="401">
        <f>TableB2!H49+TableB2!J49-TableB2!D49-TableB2!F49</f>
        <v>-0.89792523350000009</v>
      </c>
      <c r="F51" s="451">
        <f>TableB2!I49-TableB2!E49</f>
        <v>-1.0671887261999999</v>
      </c>
      <c r="G51" s="400">
        <f t="shared" si="4"/>
        <v>-0.25257986430000001</v>
      </c>
      <c r="H51" s="401">
        <v>-3.4342103999999997E-3</v>
      </c>
      <c r="I51" s="461">
        <v>-0.24914565390000001</v>
      </c>
      <c r="J51" s="399">
        <v>-0.26863924369999997</v>
      </c>
      <c r="K51" s="463">
        <v>-6.08671E-2</v>
      </c>
      <c r="L51" s="464">
        <v>0</v>
      </c>
      <c r="M51" s="452">
        <f>TableA1!B49-TableA1!M49+B51+(TableB10!I49-TableB10!R49)/1000</f>
        <v>49.283690160911952</v>
      </c>
      <c r="N51" s="455">
        <f t="shared" si="5"/>
        <v>-2.1653993901747486E-2</v>
      </c>
      <c r="O51" s="453">
        <f t="shared" si="6"/>
        <v>-1.8219521114759496E-2</v>
      </c>
      <c r="P51" s="453">
        <f>TableB1!D51/M51</f>
        <v>-3.6742384632476002E-4</v>
      </c>
      <c r="Q51" s="1305">
        <f t="shared" si="10"/>
        <v>-5.1684444881934667E-2</v>
      </c>
    </row>
    <row r="52" spans="1:17" ht="16" x14ac:dyDescent="0.2">
      <c r="A52" s="1291" t="s">
        <v>69</v>
      </c>
      <c r="B52" s="458">
        <f t="shared" si="7"/>
        <v>-26.690869753999994</v>
      </c>
      <c r="C52" s="1304">
        <f t="shared" si="8"/>
        <v>-29.068055135099996</v>
      </c>
      <c r="D52" s="451">
        <f>E52+F52</f>
        <v>-8.6814563184999987</v>
      </c>
      <c r="E52" s="401">
        <f>TableB2!H50+TableB2!J50-TableB2!D50-TableB2!F50</f>
        <v>-1.9692084181999983</v>
      </c>
      <c r="F52" s="451">
        <f>TableB2!I50-TableB2!E50</f>
        <v>-6.7122479003000004</v>
      </c>
      <c r="G52" s="400">
        <f t="shared" si="4"/>
        <v>-8.6422302068000008</v>
      </c>
      <c r="H52" s="401">
        <v>-3.6736434021999997</v>
      </c>
      <c r="I52" s="461">
        <v>-4.9685868046000001</v>
      </c>
      <c r="J52" s="399">
        <v>-11.744368609799999</v>
      </c>
      <c r="K52" s="463">
        <v>1.31857</v>
      </c>
      <c r="L52" s="464">
        <v>1.0586153811000001</v>
      </c>
      <c r="M52" s="452">
        <f>TableA1!B50-TableA1!M50+B52+(TableB10!I50-TableB10!R50)/1000</f>
        <v>1666.0116851860782</v>
      </c>
      <c r="N52" s="455">
        <f t="shared" si="5"/>
        <v>-4.0289320657137554E-3</v>
      </c>
      <c r="O52" s="453">
        <f t="shared" si="6"/>
        <v>-1.1819895596831037E-3</v>
      </c>
      <c r="P52" s="453">
        <f>TableB1!D52/M52</f>
        <v>-3.7964422433048928E-2</v>
      </c>
      <c r="Q52" s="1305">
        <f t="shared" si="10"/>
        <v>-1.6020817855799653E-2</v>
      </c>
    </row>
    <row r="53" spans="1:17" ht="16" x14ac:dyDescent="0.2">
      <c r="A53" s="1291" t="s">
        <v>338</v>
      </c>
      <c r="B53" s="458">
        <f t="shared" si="7"/>
        <v>-37.899679999999996</v>
      </c>
      <c r="C53" s="1304">
        <f t="shared" si="8"/>
        <v>-32.812439999999995</v>
      </c>
      <c r="D53" s="451">
        <f>E53+F53</f>
        <v>-23.717169999999996</v>
      </c>
      <c r="E53" s="401">
        <f>TableB2!H51+TableB2!J51-TableB2!D51-TableB2!F51</f>
        <v>-18.431759999999997</v>
      </c>
      <c r="F53" s="451">
        <f>TableB2!I51-TableB2!E51</f>
        <v>-5.2854099999999997</v>
      </c>
      <c r="G53" s="400">
        <f t="shared" si="4"/>
        <v>-6.0481500000000006</v>
      </c>
      <c r="H53" s="401">
        <v>-8.2625100000000007</v>
      </c>
      <c r="I53" s="461">
        <v>2.2143600000000001</v>
      </c>
      <c r="J53" s="399">
        <v>-3.0471200000000001</v>
      </c>
      <c r="K53" s="463">
        <v>-5.1038699999999997</v>
      </c>
      <c r="L53" s="464">
        <v>1.6629999999999999E-2</v>
      </c>
      <c r="M53" s="452">
        <f>TableA1!B51-TableA1!M51+B53+(TableB10!I51-TableB10!R51)/1000</f>
        <v>1166.1366423721297</v>
      </c>
      <c r="N53" s="455">
        <f t="shared" si="5"/>
        <v>-4.5324105323099476E-3</v>
      </c>
      <c r="O53" s="453">
        <f t="shared" si="6"/>
        <v>-1.5805832121445488E-2</v>
      </c>
      <c r="P53" s="453">
        <f>TableB1!D53/M53</f>
        <v>9.5595786933883153E-2</v>
      </c>
      <c r="Q53" s="1305">
        <f t="shared" si="10"/>
        <v>-3.2500205055648788E-2</v>
      </c>
    </row>
    <row r="54" spans="1:17" ht="16" x14ac:dyDescent="0.2">
      <c r="A54" s="1291" t="s">
        <v>71</v>
      </c>
      <c r="B54" s="458">
        <f t="shared" si="7"/>
        <v>-7.7994050635999992</v>
      </c>
      <c r="C54" s="1304">
        <f t="shared" si="8"/>
        <v>-7.6445610635999994</v>
      </c>
      <c r="D54" s="451">
        <f>E54+F54</f>
        <v>-3.7332209096999995</v>
      </c>
      <c r="E54" s="401">
        <f>TableB2!H52+TableB2!J52-TableB2!D52-TableB2!F52</f>
        <v>-3.7332209096999995</v>
      </c>
      <c r="F54" s="451">
        <f>TableB2!I52-TableB2!E52</f>
        <v>0</v>
      </c>
      <c r="G54" s="400">
        <f t="shared" si="4"/>
        <v>-3.9113401538999999</v>
      </c>
      <c r="H54" s="401">
        <v>0.56292104679999999</v>
      </c>
      <c r="I54" s="461">
        <v>-4.4742612007</v>
      </c>
      <c r="J54" s="399">
        <v>0</v>
      </c>
      <c r="K54" s="463">
        <v>-0.15484400000000001</v>
      </c>
      <c r="L54" s="464">
        <v>0</v>
      </c>
      <c r="M54" s="452">
        <f>TableA1!B52-TableA1!M52+B54+(TableB10!I52-TableB10!R52)/1000</f>
        <v>284.65241492723413</v>
      </c>
      <c r="N54" s="455">
        <f t="shared" si="5"/>
        <v>0</v>
      </c>
      <c r="O54" s="453">
        <f t="shared" si="6"/>
        <v>-1.3115015766349023E-2</v>
      </c>
      <c r="P54" s="453">
        <f>TableB1!D54/M54</f>
        <v>-1.2168856730709549E-2</v>
      </c>
      <c r="Q54" s="1305">
        <f t="shared" si="10"/>
        <v>-2.7399750202694629E-2</v>
      </c>
    </row>
    <row r="55" spans="1:17" ht="40" customHeight="1" x14ac:dyDescent="0.2">
      <c r="A55" s="7" t="s">
        <v>72</v>
      </c>
      <c r="B55" s="459"/>
      <c r="C55" s="1306"/>
      <c r="D55" s="450"/>
      <c r="E55" s="460"/>
      <c r="F55" s="450"/>
      <c r="G55" s="400" t="e">
        <f>H55+I55</f>
        <v>#N/A</v>
      </c>
      <c r="H55" s="401" t="e">
        <v>#N/A</v>
      </c>
      <c r="I55" s="461" t="e">
        <v>#N/A</v>
      </c>
      <c r="J55" s="399" t="e">
        <v>#N/A</v>
      </c>
      <c r="K55" s="463"/>
      <c r="L55" s="464"/>
      <c r="M55" s="407"/>
      <c r="N55" s="456" t="e">
        <f t="shared" si="5"/>
        <v>#DIV/0!</v>
      </c>
      <c r="O55" s="453" t="e">
        <f t="shared" si="6"/>
        <v>#DIV/0!</v>
      </c>
      <c r="P55" s="450"/>
      <c r="Q55" s="1305"/>
    </row>
    <row r="56" spans="1:17" ht="16" x14ac:dyDescent="0.2">
      <c r="A56" s="1291" t="s">
        <v>73</v>
      </c>
      <c r="B56" s="458">
        <f t="shared" ref="B56:B91" si="12">C56+K56+L56</f>
        <v>3.27E-2</v>
      </c>
      <c r="C56" s="1304">
        <f t="shared" ref="C56:C91" si="13">D56+G56+J56</f>
        <v>3.27E-2</v>
      </c>
      <c r="D56" s="451">
        <f t="shared" ref="D56:D91" si="14">E56+F56</f>
        <v>3.27E-2</v>
      </c>
      <c r="E56" s="401">
        <f>TableB2!H54+TableB2!J54-TableB2!D54-TableB2!F54</f>
        <v>3.27E-2</v>
      </c>
      <c r="F56" s="451">
        <f>TableB2!I54-TableB2!E54</f>
        <v>0</v>
      </c>
      <c r="G56" s="400">
        <f>IFERROR(H56+I56,0)</f>
        <v>0</v>
      </c>
      <c r="H56" s="401" t="e">
        <v>#N/A</v>
      </c>
      <c r="I56" s="461" t="e">
        <v>#N/A</v>
      </c>
      <c r="J56" s="399">
        <v>0</v>
      </c>
      <c r="K56" s="463">
        <v>0</v>
      </c>
      <c r="L56" s="464">
        <v>0</v>
      </c>
      <c r="M56" s="452">
        <f>TableA1!B54-TableA1!M54+B56+(TableB10!I54-TableB10!R54)/1000</f>
        <v>2.472283347091313</v>
      </c>
      <c r="N56" s="455">
        <f t="shared" si="5"/>
        <v>0</v>
      </c>
      <c r="O56" s="453">
        <f t="shared" si="6"/>
        <v>1.3226639267894658E-2</v>
      </c>
      <c r="P56" s="453" t="e">
        <f>TableB1!D56/M56</f>
        <v>#N/A</v>
      </c>
      <c r="Q56" s="1305">
        <f>B56/M56</f>
        <v>1.3226639267894658E-2</v>
      </c>
    </row>
    <row r="57" spans="1:17" ht="16" x14ac:dyDescent="0.2">
      <c r="A57" s="1291" t="s">
        <v>74</v>
      </c>
      <c r="B57" s="458">
        <f t="shared" si="12"/>
        <v>-0.1027</v>
      </c>
      <c r="C57" s="1304">
        <f t="shared" si="13"/>
        <v>-0.1027</v>
      </c>
      <c r="D57" s="451">
        <f t="shared" si="14"/>
        <v>-0.1027</v>
      </c>
      <c r="E57" s="401">
        <f>TableB2!H55+TableB2!J55-TableB2!D55-TableB2!F55</f>
        <v>-0.1027</v>
      </c>
      <c r="F57" s="451">
        <f>TableB2!I55-TableB2!E55</f>
        <v>0</v>
      </c>
      <c r="G57" s="400">
        <f t="shared" ref="G57:G91" si="15">IFERROR(H57+I57,0)</f>
        <v>0</v>
      </c>
      <c r="H57" s="401">
        <v>0</v>
      </c>
      <c r="I57" s="461">
        <v>0</v>
      </c>
      <c r="J57" s="399">
        <v>0</v>
      </c>
      <c r="K57" s="463">
        <v>0</v>
      </c>
      <c r="L57" s="464">
        <v>0</v>
      </c>
      <c r="M57" s="452">
        <f>TableA1!B55-TableA1!M55+B57+(TableB10!I55-TableB10!R55)/1000</f>
        <v>0.25094872313484867</v>
      </c>
      <c r="N57" s="455">
        <f t="shared" si="5"/>
        <v>0</v>
      </c>
      <c r="O57" s="453">
        <f t="shared" si="6"/>
        <v>-0.40924695179585985</v>
      </c>
      <c r="P57" s="453">
        <f>TableB1!D57/M57</f>
        <v>0</v>
      </c>
      <c r="Q57" s="1305">
        <f t="shared" ref="Q57:Q91" si="16">B57/M57</f>
        <v>-0.40924695179585985</v>
      </c>
    </row>
    <row r="58" spans="1:17" ht="16" x14ac:dyDescent="0.2">
      <c r="A58" s="1291" t="s">
        <v>75</v>
      </c>
      <c r="B58" s="458">
        <f t="shared" si="12"/>
        <v>-7.690000000000001E-2</v>
      </c>
      <c r="C58" s="1304">
        <f t="shared" si="13"/>
        <v>-7.690000000000001E-2</v>
      </c>
      <c r="D58" s="451">
        <f t="shared" si="14"/>
        <v>-7.690000000000001E-2</v>
      </c>
      <c r="E58" s="401">
        <f>TableB2!H56+TableB2!J56-TableB2!D56-TableB2!F56</f>
        <v>-7.690000000000001E-2</v>
      </c>
      <c r="F58" s="451">
        <f>TableB2!I56-TableB2!E56</f>
        <v>0</v>
      </c>
      <c r="G58" s="400">
        <f t="shared" si="15"/>
        <v>0</v>
      </c>
      <c r="H58" s="401">
        <v>0</v>
      </c>
      <c r="I58" s="461">
        <v>0</v>
      </c>
      <c r="J58" s="399">
        <v>0</v>
      </c>
      <c r="K58" s="463">
        <v>0</v>
      </c>
      <c r="L58" s="464">
        <v>0</v>
      </c>
      <c r="M58" s="452">
        <f>TableA1!B56-TableA1!M56+B58+(TableB10!I56-TableB10!R56)/1000</f>
        <v>1.2001899986900824</v>
      </c>
      <c r="N58" s="455">
        <f t="shared" si="5"/>
        <v>0</v>
      </c>
      <c r="O58" s="453">
        <f t="shared" si="6"/>
        <v>-6.4073188481765894E-2</v>
      </c>
      <c r="P58" s="453">
        <f>TableB1!D58/M58</f>
        <v>0</v>
      </c>
      <c r="Q58" s="1305">
        <f t="shared" si="16"/>
        <v>-6.4073188481765894E-2</v>
      </c>
    </row>
    <row r="59" spans="1:17" ht="16" x14ac:dyDescent="0.2">
      <c r="A59" s="1291" t="s">
        <v>76</v>
      </c>
      <c r="B59" s="458">
        <f t="shared" si="12"/>
        <v>-8.115642455083999E-2</v>
      </c>
      <c r="C59" s="1304">
        <f t="shared" si="13"/>
        <v>-7.7692737399999989E-2</v>
      </c>
      <c r="D59" s="451">
        <f t="shared" si="14"/>
        <v>-4.1715083799999997E-2</v>
      </c>
      <c r="E59" s="401">
        <f>TableB2!H57+TableB2!J57-TableB2!D57-TableB2!F57</f>
        <v>-4.1715083799999997E-2</v>
      </c>
      <c r="F59" s="451">
        <f>TableB2!I57-TableB2!E57</f>
        <v>0</v>
      </c>
      <c r="G59" s="400">
        <f t="shared" si="15"/>
        <v>-3.2234636799999994E-2</v>
      </c>
      <c r="H59" s="401">
        <v>1.0167597800000001E-2</v>
      </c>
      <c r="I59" s="461">
        <v>-4.2402234599999998E-2</v>
      </c>
      <c r="J59" s="399">
        <v>-3.7430167999999999E-3</v>
      </c>
      <c r="K59" s="463">
        <v>-3.4636871508399998E-3</v>
      </c>
      <c r="L59" s="464">
        <v>0</v>
      </c>
      <c r="M59" s="452">
        <f>TableA1!B57-TableA1!M57+B59+(TableB10!I57-TableB10!R57)/1000</f>
        <v>2.0602171613152462</v>
      </c>
      <c r="N59" s="455">
        <f t="shared" si="5"/>
        <v>0</v>
      </c>
      <c r="O59" s="453">
        <f t="shared" si="6"/>
        <v>-2.024790618352534E-2</v>
      </c>
      <c r="P59" s="453">
        <f>TableB1!D59/M59</f>
        <v>0.13935180110659698</v>
      </c>
      <c r="Q59" s="1305">
        <f t="shared" si="16"/>
        <v>-3.939216994922496E-2</v>
      </c>
    </row>
    <row r="60" spans="1:17" ht="16" x14ac:dyDescent="0.2">
      <c r="A60" s="1291" t="s">
        <v>152</v>
      </c>
      <c r="B60" s="458">
        <f t="shared" si="12"/>
        <v>-1.141454839196719</v>
      </c>
      <c r="C60" s="1304">
        <f t="shared" si="13"/>
        <v>-1.074958339196719</v>
      </c>
      <c r="D60" s="451">
        <f t="shared" si="14"/>
        <v>-0.73882524149671902</v>
      </c>
      <c r="E60" s="401">
        <f>TableB2!H58+TableB2!J58-TableB2!D58-TableB2!F58</f>
        <v>-0.73882524149671902</v>
      </c>
      <c r="F60" s="451">
        <f>TableB2!I58-TableB2!E58</f>
        <v>0</v>
      </c>
      <c r="G60" s="400">
        <f t="shared" si="15"/>
        <v>0</v>
      </c>
      <c r="H60" s="401">
        <v>0</v>
      </c>
      <c r="I60" s="461">
        <v>0</v>
      </c>
      <c r="J60" s="399">
        <v>-0.33613309769999999</v>
      </c>
      <c r="K60" s="463">
        <v>-6.64965E-2</v>
      </c>
      <c r="L60" s="464">
        <v>0</v>
      </c>
      <c r="M60" s="452">
        <f>TableA1!B58-TableA1!M58+B60+(TableB10!I58-TableB10!R58)/1000</f>
        <v>9.4812570036479258</v>
      </c>
      <c r="N60" s="455">
        <f t="shared" si="5"/>
        <v>0</v>
      </c>
      <c r="O60" s="453">
        <f t="shared" si="6"/>
        <v>-7.7924819590108677E-2</v>
      </c>
      <c r="P60" s="453" t="e">
        <f>TableB1!D60/M60</f>
        <v>#N/A</v>
      </c>
      <c r="Q60" s="1305">
        <f t="shared" si="16"/>
        <v>-0.12039066536826738</v>
      </c>
    </row>
    <row r="61" spans="1:17" ht="16" x14ac:dyDescent="0.2">
      <c r="A61" s="1291" t="s">
        <v>78</v>
      </c>
      <c r="B61" s="458">
        <f t="shared" si="12"/>
        <v>-0.64260805649591413</v>
      </c>
      <c r="C61" s="1304">
        <f t="shared" si="13"/>
        <v>-0.64260805649591413</v>
      </c>
      <c r="D61" s="451">
        <f t="shared" si="14"/>
        <v>-0.64260805649591413</v>
      </c>
      <c r="E61" s="401">
        <f>TableB2!H59+TableB2!J59-TableB2!D59-TableB2!F59</f>
        <v>-0.64260805649591413</v>
      </c>
      <c r="F61" s="451">
        <f>TableB2!I59-TableB2!E59</f>
        <v>0</v>
      </c>
      <c r="G61" s="400">
        <f t="shared" si="15"/>
        <v>0</v>
      </c>
      <c r="H61" s="401">
        <v>0</v>
      </c>
      <c r="I61" s="461">
        <v>0</v>
      </c>
      <c r="J61" s="399">
        <v>0</v>
      </c>
      <c r="K61" s="463">
        <v>0</v>
      </c>
      <c r="L61" s="464">
        <v>0</v>
      </c>
      <c r="M61" s="452">
        <f>TableA1!B59-TableA1!M59+B61+(TableB10!I59-TableB10!R59)/1000</f>
        <v>29.814439960067279</v>
      </c>
      <c r="N61" s="455">
        <f t="shared" si="5"/>
        <v>0</v>
      </c>
      <c r="O61" s="453">
        <f t="shared" si="6"/>
        <v>-2.1553584684354542E-2</v>
      </c>
      <c r="P61" s="453" t="e">
        <f>TableB1!D61/M61</f>
        <v>#N/A</v>
      </c>
      <c r="Q61" s="1305">
        <f t="shared" si="16"/>
        <v>-2.1553584684354542E-2</v>
      </c>
    </row>
    <row r="62" spans="1:17" ht="16" x14ac:dyDescent="0.2">
      <c r="A62" s="1291" t="s">
        <v>79</v>
      </c>
      <c r="B62" s="458">
        <f t="shared" si="12"/>
        <v>-1.8957898653382528</v>
      </c>
      <c r="C62" s="1304">
        <f t="shared" si="13"/>
        <v>-1.8957898653382528</v>
      </c>
      <c r="D62" s="451">
        <f t="shared" si="14"/>
        <v>-1.8957898653382528</v>
      </c>
      <c r="E62" s="401">
        <f>TableB2!H60+TableB2!J60-TableB2!D60-TableB2!F60</f>
        <v>-1.8957898653382528</v>
      </c>
      <c r="F62" s="451">
        <f>TableB2!I60-TableB2!E60</f>
        <v>0</v>
      </c>
      <c r="G62" s="400">
        <f t="shared" si="15"/>
        <v>0</v>
      </c>
      <c r="H62" s="401">
        <v>0</v>
      </c>
      <c r="I62" s="461">
        <v>0</v>
      </c>
      <c r="J62" s="399">
        <v>0</v>
      </c>
      <c r="K62" s="463">
        <v>0</v>
      </c>
      <c r="L62" s="464">
        <v>0</v>
      </c>
      <c r="M62" s="452">
        <f>TableA1!B60-TableA1!M60+B62+(TableB10!I60-TableB10!R60)/1000</f>
        <v>4.0310706226305815</v>
      </c>
      <c r="N62" s="455">
        <f t="shared" si="5"/>
        <v>0</v>
      </c>
      <c r="O62" s="453">
        <f t="shared" si="6"/>
        <v>-0.47029438152118136</v>
      </c>
      <c r="P62" s="453">
        <f>TableB1!D62/M62</f>
        <v>0</v>
      </c>
      <c r="Q62" s="1305">
        <f t="shared" si="16"/>
        <v>-0.47029438152118136</v>
      </c>
    </row>
    <row r="63" spans="1:17" ht="16" x14ac:dyDescent="0.2">
      <c r="A63" s="1291" t="s">
        <v>80</v>
      </c>
      <c r="B63" s="458">
        <f t="shared" si="12"/>
        <v>-0.11020450537512001</v>
      </c>
      <c r="C63" s="1304">
        <f t="shared" si="13"/>
        <v>-0.10593481310000001</v>
      </c>
      <c r="D63" s="451">
        <f t="shared" si="14"/>
        <v>-6.4989477700000006E-2</v>
      </c>
      <c r="E63" s="401">
        <f>TableB2!H61+TableB2!J61-TableB2!D61-TableB2!F61</f>
        <v>-6.4989477700000006E-2</v>
      </c>
      <c r="F63" s="451">
        <f>TableB2!I61-TableB2!E61</f>
        <v>0</v>
      </c>
      <c r="G63" s="400">
        <f t="shared" si="15"/>
        <v>-2.4430825E-2</v>
      </c>
      <c r="H63" s="401">
        <v>0</v>
      </c>
      <c r="I63" s="461">
        <v>-2.4430825E-2</v>
      </c>
      <c r="J63" s="399">
        <v>-1.6514510400000001E-2</v>
      </c>
      <c r="K63" s="463">
        <v>-4.26969227512E-3</v>
      </c>
      <c r="L63" s="464">
        <v>0</v>
      </c>
      <c r="M63" s="452">
        <f>TableA1!B61-TableA1!M61+B63+(TableB10!I61-TableB10!R61)/1000</f>
        <v>1.4368455753337859</v>
      </c>
      <c r="N63" s="455">
        <f t="shared" si="5"/>
        <v>0</v>
      </c>
      <c r="O63" s="453">
        <f t="shared" si="6"/>
        <v>-4.5230662790538674E-2</v>
      </c>
      <c r="P63" s="453">
        <f>TableB1!D63/M63</f>
        <v>-0.10368421196925889</v>
      </c>
      <c r="Q63" s="1305">
        <f t="shared" si="16"/>
        <v>-7.6698921071959317E-2</v>
      </c>
    </row>
    <row r="64" spans="1:17" ht="16" x14ac:dyDescent="0.2">
      <c r="A64" s="1291" t="s">
        <v>81</v>
      </c>
      <c r="B64" s="458">
        <f t="shared" si="12"/>
        <v>-13.834507059336662</v>
      </c>
      <c r="C64" s="1304">
        <f t="shared" si="13"/>
        <v>-15.366738824636663</v>
      </c>
      <c r="D64" s="451">
        <f t="shared" si="14"/>
        <v>-15.447398527436663</v>
      </c>
      <c r="E64" s="401">
        <f>TableB2!H62+TableB2!J62-TableB2!D62-TableB2!F62</f>
        <v>-15.447398527436663</v>
      </c>
      <c r="F64" s="451">
        <f>TableB2!I62-TableB2!E62</f>
        <v>0</v>
      </c>
      <c r="G64" s="400">
        <f t="shared" si="15"/>
        <v>0.1605242995</v>
      </c>
      <c r="H64" s="401">
        <v>2.6829983000000002E-2</v>
      </c>
      <c r="I64" s="461">
        <v>0.13369431649999999</v>
      </c>
      <c r="J64" s="399">
        <v>-7.9864596699999998E-2</v>
      </c>
      <c r="K64" s="463">
        <v>1.37815</v>
      </c>
      <c r="L64" s="464">
        <v>0.15408176530000001</v>
      </c>
      <c r="M64" s="452">
        <f>TableA1!B62-TableA1!M62+B64+(TableB10!I62-TableB10!R62)/1000</f>
        <v>7.333309392284173</v>
      </c>
      <c r="N64" s="455">
        <f t="shared" si="5"/>
        <v>0</v>
      </c>
      <c r="O64" s="453">
        <f t="shared" si="6"/>
        <v>-2.1064703125289959</v>
      </c>
      <c r="P64" s="453">
        <f>TableB1!D64/M64</f>
        <v>-8.416926407733942E-2</v>
      </c>
      <c r="Q64" s="1305">
        <f t="shared" si="16"/>
        <v>-1.8865298488418885</v>
      </c>
    </row>
    <row r="65" spans="1:17" ht="16" x14ac:dyDescent="0.2">
      <c r="A65" s="1291" t="s">
        <v>82</v>
      </c>
      <c r="B65" s="458">
        <f t="shared" si="12"/>
        <v>9.3999999999999986E-3</v>
      </c>
      <c r="C65" s="1304">
        <f t="shared" si="13"/>
        <v>9.3999999999999986E-3</v>
      </c>
      <c r="D65" s="451">
        <f t="shared" si="14"/>
        <v>9.3999999999999986E-3</v>
      </c>
      <c r="E65" s="401">
        <f>TableB2!H63+TableB2!J63-TableB2!D63-TableB2!F63</f>
        <v>9.3999999999999986E-3</v>
      </c>
      <c r="F65" s="451">
        <f>TableB2!I63-TableB2!E63</f>
        <v>0</v>
      </c>
      <c r="G65" s="400">
        <f t="shared" si="15"/>
        <v>0</v>
      </c>
      <c r="H65" s="401" t="e">
        <v>#N/A</v>
      </c>
      <c r="I65" s="461" t="e">
        <v>#N/A</v>
      </c>
      <c r="J65" s="399">
        <v>0</v>
      </c>
      <c r="K65" s="463">
        <v>0</v>
      </c>
      <c r="L65" s="464">
        <v>0</v>
      </c>
      <c r="M65" s="452">
        <f>TableA1!B63-TableA1!M63+B65+(TableB10!I63-TableB10!R63)/1000</f>
        <v>0.35471805944617224</v>
      </c>
      <c r="N65" s="455">
        <f t="shared" si="5"/>
        <v>0</v>
      </c>
      <c r="O65" s="453">
        <f t="shared" si="6"/>
        <v>2.6499919442151861E-2</v>
      </c>
      <c r="P65" s="453" t="e">
        <f>TableB1!D65/M65</f>
        <v>#N/A</v>
      </c>
      <c r="Q65" s="1305">
        <f t="shared" si="16"/>
        <v>2.6499919442151861E-2</v>
      </c>
    </row>
    <row r="66" spans="1:17" s="512" customFormat="1" ht="16" x14ac:dyDescent="0.2">
      <c r="A66" s="1097" t="s">
        <v>153</v>
      </c>
      <c r="B66" s="501">
        <f t="shared" si="12"/>
        <v>4.0091023290772432</v>
      </c>
      <c r="C66" s="1307">
        <f t="shared" si="13"/>
        <v>4.0091023290772432</v>
      </c>
      <c r="D66" s="502">
        <f t="shared" si="14"/>
        <v>4.0091023290772432</v>
      </c>
      <c r="E66" s="503">
        <f>TableB2!H64+TableB2!J64-TableB2!D64-TableB2!F64</f>
        <v>4.0091023290772432</v>
      </c>
      <c r="F66" s="502">
        <f>TableB2!I64-TableB2!E64</f>
        <v>0</v>
      </c>
      <c r="G66" s="504">
        <f t="shared" si="15"/>
        <v>0</v>
      </c>
      <c r="H66" s="503" t="e">
        <v>#N/A</v>
      </c>
      <c r="I66" s="505" t="e">
        <v>#N/A</v>
      </c>
      <c r="J66" s="506">
        <v>0</v>
      </c>
      <c r="K66" s="507">
        <v>0</v>
      </c>
      <c r="L66" s="508">
        <v>0</v>
      </c>
      <c r="M66" s="509">
        <f>TableA1!B64-TableA1!M64+B66+(TableB10!I64-TableB10!R64)/1000</f>
        <v>0.79141469991593816</v>
      </c>
      <c r="N66" s="510">
        <f t="shared" si="5"/>
        <v>0</v>
      </c>
      <c r="O66" s="511">
        <f t="shared" si="6"/>
        <v>5.0657415505462291</v>
      </c>
      <c r="P66" s="511" t="e">
        <f>TableB1!D66/M66</f>
        <v>#N/A</v>
      </c>
      <c r="Q66" s="1308">
        <f t="shared" si="16"/>
        <v>5.0657415505462291</v>
      </c>
    </row>
    <row r="67" spans="1:17" s="512" customFormat="1" ht="16" x14ac:dyDescent="0.2">
      <c r="A67" s="513" t="s">
        <v>84</v>
      </c>
      <c r="B67" s="501">
        <f t="shared" si="12"/>
        <v>-16.042018175138416</v>
      </c>
      <c r="C67" s="1307">
        <f t="shared" si="13"/>
        <v>-16.042018175138416</v>
      </c>
      <c r="D67" s="502">
        <f t="shared" si="14"/>
        <v>-16.042018175138416</v>
      </c>
      <c r="E67" s="503">
        <f>TableB2!H65+TableB2!J65-TableB2!D65-TableB2!F65</f>
        <v>-16.042018175138416</v>
      </c>
      <c r="F67" s="502">
        <f>TableB2!I65-TableB2!E65</f>
        <v>0</v>
      </c>
      <c r="G67" s="504">
        <f t="shared" si="15"/>
        <v>0</v>
      </c>
      <c r="H67" s="503" t="e">
        <v>#N/A</v>
      </c>
      <c r="I67" s="505" t="e">
        <v>#N/A</v>
      </c>
      <c r="J67" s="506">
        <v>0</v>
      </c>
      <c r="K67" s="507">
        <v>0</v>
      </c>
      <c r="L67" s="508">
        <v>0</v>
      </c>
      <c r="M67" s="509">
        <f>TableA1!B65-TableA1!M65+B67+(TableB10!I65-TableB10!R65)/1000</f>
        <v>3.2593377369734728</v>
      </c>
      <c r="N67" s="510">
        <f t="shared" si="5"/>
        <v>0</v>
      </c>
      <c r="O67" s="511">
        <f t="shared" si="6"/>
        <v>-4.9218643386231502</v>
      </c>
      <c r="P67" s="511" t="e">
        <f>TableB1!D67/M67</f>
        <v>#N/A</v>
      </c>
      <c r="Q67" s="1308">
        <f t="shared" si="16"/>
        <v>-4.9218643386231502</v>
      </c>
    </row>
    <row r="68" spans="1:17" s="512" customFormat="1" ht="16" x14ac:dyDescent="0.2">
      <c r="A68" s="1097" t="s">
        <v>85</v>
      </c>
      <c r="B68" s="501">
        <f t="shared" si="12"/>
        <v>2.2305740073400941</v>
      </c>
      <c r="C68" s="1307">
        <f t="shared" si="13"/>
        <v>2.1909483090395341</v>
      </c>
      <c r="D68" s="502">
        <f t="shared" si="14"/>
        <v>2.1990097615395339</v>
      </c>
      <c r="E68" s="503">
        <f>TableB2!H66+TableB2!J66-TableB2!D66-TableB2!F66</f>
        <v>2.1990097615395339</v>
      </c>
      <c r="F68" s="502">
        <f>TableB2!I66-TableB2!E66</f>
        <v>0</v>
      </c>
      <c r="G68" s="504">
        <f t="shared" si="15"/>
        <v>-1.2268156400000001E-2</v>
      </c>
      <c r="H68" s="503">
        <v>-8.2067039000000008E-3</v>
      </c>
      <c r="I68" s="505">
        <v>-4.0614524999999999E-3</v>
      </c>
      <c r="J68" s="506">
        <v>4.2067039000000007E-3</v>
      </c>
      <c r="K68" s="507">
        <v>4.2642458100559999E-2</v>
      </c>
      <c r="L68" s="508">
        <v>-3.0167597999999998E-3</v>
      </c>
      <c r="M68" s="509">
        <f>TableA1!B66-TableA1!M66+B68+(TableB10!I66-TableB10!R66)/1000</f>
        <v>2.4748769924524794</v>
      </c>
      <c r="N68" s="510">
        <f t="shared" si="5"/>
        <v>0</v>
      </c>
      <c r="O68" s="511">
        <f t="shared" si="6"/>
        <v>0.88853295264603238</v>
      </c>
      <c r="P68" s="511">
        <f>TableB1!D68/M68</f>
        <v>-0.19153144226787333</v>
      </c>
      <c r="Q68" s="1308">
        <f t="shared" si="16"/>
        <v>0.90128681713983161</v>
      </c>
    </row>
    <row r="69" spans="1:17" s="512" customFormat="1" ht="16" x14ac:dyDescent="0.2">
      <c r="A69" s="1097" t="s">
        <v>86</v>
      </c>
      <c r="B69" s="501">
        <f t="shared" si="12"/>
        <v>-2.8674717586952285</v>
      </c>
      <c r="C69" s="1307">
        <f t="shared" si="13"/>
        <v>-2.9203411463952285</v>
      </c>
      <c r="D69" s="502">
        <f t="shared" si="14"/>
        <v>-2.2882870559952284</v>
      </c>
      <c r="E69" s="503">
        <f>TableB2!H67+TableB2!J67-TableB2!D67-TableB2!F67</f>
        <v>-2.2882870559952284</v>
      </c>
      <c r="F69" s="502">
        <f>TableB2!I67-TableB2!E67</f>
        <v>0</v>
      </c>
      <c r="G69" s="504">
        <f t="shared" si="15"/>
        <v>1.1075343800000026E-2</v>
      </c>
      <c r="H69" s="503">
        <v>0.28301673380000003</v>
      </c>
      <c r="I69" s="505">
        <v>-0.27194139000000001</v>
      </c>
      <c r="J69" s="506">
        <v>-0.64312943420000002</v>
      </c>
      <c r="K69" s="507">
        <v>-1.04276E-2</v>
      </c>
      <c r="L69" s="508">
        <v>6.3296987700000001E-2</v>
      </c>
      <c r="M69" s="509">
        <f>TableA1!B67-TableA1!M67+B69+(TableB10!I67-TableB10!R67)/1000</f>
        <v>17.313380320371792</v>
      </c>
      <c r="N69" s="510">
        <f t="shared" si="5"/>
        <v>0</v>
      </c>
      <c r="O69" s="511">
        <f t="shared" si="6"/>
        <v>-0.13216870499302294</v>
      </c>
      <c r="P69" s="511">
        <f>TableB1!D69/M69</f>
        <v>3.43661972988544E-3</v>
      </c>
      <c r="Q69" s="1308">
        <f t="shared" si="16"/>
        <v>-0.16562171601586187</v>
      </c>
    </row>
    <row r="70" spans="1:17" s="512" customFormat="1" ht="16" x14ac:dyDescent="0.2">
      <c r="A70" s="1097" t="s">
        <v>87</v>
      </c>
      <c r="B70" s="501">
        <f t="shared" si="12"/>
        <v>-2.0350376390608886</v>
      </c>
      <c r="C70" s="1307">
        <f t="shared" si="13"/>
        <v>-2.0350376390608886</v>
      </c>
      <c r="D70" s="502">
        <f t="shared" si="14"/>
        <v>-2.0350376390608886</v>
      </c>
      <c r="E70" s="503">
        <f>TableB2!H68+TableB2!J68-TableB2!D68-TableB2!F68</f>
        <v>-2.0350376390608886</v>
      </c>
      <c r="F70" s="502">
        <f>TableB2!I68-TableB2!E68</f>
        <v>0</v>
      </c>
      <c r="G70" s="504">
        <f t="shared" si="15"/>
        <v>0</v>
      </c>
      <c r="H70" s="503" t="e">
        <v>#N/A</v>
      </c>
      <c r="I70" s="505" t="e">
        <v>#N/A</v>
      </c>
      <c r="J70" s="506">
        <v>0</v>
      </c>
      <c r="K70" s="507">
        <v>0</v>
      </c>
      <c r="L70" s="508">
        <v>0</v>
      </c>
      <c r="M70" s="509">
        <f>TableA1!B68-TableA1!M68+B70+(TableB10!I68-TableB10!R68)/1000</f>
        <v>5.3254059595000705</v>
      </c>
      <c r="N70" s="510">
        <f t="shared" si="5"/>
        <v>0</v>
      </c>
      <c r="O70" s="511">
        <f t="shared" si="6"/>
        <v>-0.38213755994142662</v>
      </c>
      <c r="P70" s="511" t="e">
        <f>TableB1!D70/M70</f>
        <v>#N/A</v>
      </c>
      <c r="Q70" s="1308">
        <f t="shared" si="16"/>
        <v>-0.38213755994142662</v>
      </c>
    </row>
    <row r="71" spans="1:17" s="512" customFormat="1" ht="16" x14ac:dyDescent="0.2">
      <c r="A71" s="1097" t="s">
        <v>88</v>
      </c>
      <c r="B71" s="501">
        <f t="shared" si="12"/>
        <v>-1.52E-2</v>
      </c>
      <c r="C71" s="1307">
        <f t="shared" si="13"/>
        <v>-1.52E-2</v>
      </c>
      <c r="D71" s="502">
        <f t="shared" si="14"/>
        <v>-1.52E-2</v>
      </c>
      <c r="E71" s="503">
        <f>TableB2!H69+TableB2!J69-TableB2!D69-TableB2!F69</f>
        <v>-1.52E-2</v>
      </c>
      <c r="F71" s="502">
        <f>TableB2!I69-TableB2!E69</f>
        <v>0</v>
      </c>
      <c r="G71" s="504">
        <f t="shared" si="15"/>
        <v>0</v>
      </c>
      <c r="H71" s="503">
        <v>0</v>
      </c>
      <c r="I71" s="505">
        <v>0</v>
      </c>
      <c r="J71" s="506">
        <v>0</v>
      </c>
      <c r="K71" s="507">
        <v>0</v>
      </c>
      <c r="L71" s="508">
        <v>0</v>
      </c>
      <c r="M71" s="509">
        <f>TableA1!B69-TableA1!M69+B71+(TableB10!I69-TableB10!R69)/1000</f>
        <v>0.86626234229196941</v>
      </c>
      <c r="N71" s="510">
        <f t="shared" si="5"/>
        <v>0</v>
      </c>
      <c r="O71" s="511">
        <f t="shared" si="6"/>
        <v>-1.7546647543033696E-2</v>
      </c>
      <c r="P71" s="511">
        <f>TableB1!D71/M71</f>
        <v>0</v>
      </c>
      <c r="Q71" s="1308">
        <f t="shared" si="16"/>
        <v>-1.7546647543033696E-2</v>
      </c>
    </row>
    <row r="72" spans="1:17" s="512" customFormat="1" ht="16" x14ac:dyDescent="0.2">
      <c r="A72" s="1097" t="s">
        <v>89</v>
      </c>
      <c r="B72" s="501">
        <f t="shared" si="12"/>
        <v>1.9626714972368675</v>
      </c>
      <c r="C72" s="1307">
        <f t="shared" si="13"/>
        <v>1.9626714972368675</v>
      </c>
      <c r="D72" s="502">
        <f t="shared" si="14"/>
        <v>1.9626714972368675</v>
      </c>
      <c r="E72" s="503">
        <f>TableB2!H70+TableB2!J70-TableB2!D70-TableB2!F70</f>
        <v>1.9626714972368675</v>
      </c>
      <c r="F72" s="502">
        <f>TableB2!I70-TableB2!E70</f>
        <v>0</v>
      </c>
      <c r="G72" s="504">
        <f t="shared" si="15"/>
        <v>0</v>
      </c>
      <c r="H72" s="503" t="e">
        <v>#N/A</v>
      </c>
      <c r="I72" s="505" t="e">
        <v>#N/A</v>
      </c>
      <c r="J72" s="506">
        <v>0</v>
      </c>
      <c r="K72" s="507">
        <v>0</v>
      </c>
      <c r="L72" s="508">
        <v>0</v>
      </c>
      <c r="M72" s="509">
        <f>TableA1!B70-TableA1!M70+B72+(TableB10!I70-TableB10!R70)/1000</f>
        <v>3.7024881449618121</v>
      </c>
      <c r="N72" s="510">
        <f t="shared" si="5"/>
        <v>0</v>
      </c>
      <c r="O72" s="511">
        <f t="shared" si="6"/>
        <v>0.53009528198154721</v>
      </c>
      <c r="P72" s="511" t="e">
        <f>TableB1!D72/M72</f>
        <v>#N/A</v>
      </c>
      <c r="Q72" s="1308">
        <f t="shared" si="16"/>
        <v>0.53009528198154721</v>
      </c>
    </row>
    <row r="73" spans="1:17" s="512" customFormat="1" ht="16" x14ac:dyDescent="0.2">
      <c r="A73" s="1097" t="s">
        <v>90</v>
      </c>
      <c r="B73" s="501">
        <f t="shared" si="12"/>
        <v>2.7822519102711953</v>
      </c>
      <c r="C73" s="1307">
        <f t="shared" si="13"/>
        <v>2.7822519102711953</v>
      </c>
      <c r="D73" s="502">
        <f t="shared" si="14"/>
        <v>2.7822519102711953</v>
      </c>
      <c r="E73" s="503">
        <f>TableB2!H71+TableB2!J71-TableB2!D71-TableB2!F71</f>
        <v>2.7822519102711953</v>
      </c>
      <c r="F73" s="502">
        <f>TableB2!I71-TableB2!E71</f>
        <v>0</v>
      </c>
      <c r="G73" s="504">
        <f t="shared" si="15"/>
        <v>0</v>
      </c>
      <c r="H73" s="503" t="e">
        <v>#N/A</v>
      </c>
      <c r="I73" s="505" t="e">
        <v>#N/A</v>
      </c>
      <c r="J73" s="506">
        <v>0</v>
      </c>
      <c r="K73" s="507">
        <v>0</v>
      </c>
      <c r="L73" s="508">
        <v>0</v>
      </c>
      <c r="M73" s="509">
        <f>TableA1!B71-TableA1!M71+B73+(TableB10!I71-TableB10!R71)/1000</f>
        <v>2.2071667262121482</v>
      </c>
      <c r="N73" s="510">
        <f t="shared" si="5"/>
        <v>0</v>
      </c>
      <c r="O73" s="511">
        <f t="shared" si="6"/>
        <v>1.2605535763245153</v>
      </c>
      <c r="P73" s="511" t="e">
        <f>TableB1!D73/M73</f>
        <v>#N/A</v>
      </c>
      <c r="Q73" s="1308">
        <f t="shared" si="16"/>
        <v>1.2605535763245153</v>
      </c>
    </row>
    <row r="74" spans="1:17" s="512" customFormat="1" ht="16" x14ac:dyDescent="0.2">
      <c r="A74" s="1097" t="s">
        <v>91</v>
      </c>
      <c r="B74" s="501">
        <f t="shared" si="12"/>
        <v>5.2383283872999993</v>
      </c>
      <c r="C74" s="1307">
        <f t="shared" si="13"/>
        <v>5.6101193872999993</v>
      </c>
      <c r="D74" s="502">
        <f t="shared" si="14"/>
        <v>-15.315460612700001</v>
      </c>
      <c r="E74" s="503">
        <f>TableB2!H72+TableB2!J72-TableB2!D72-TableB2!F72</f>
        <v>-15.315460612700001</v>
      </c>
      <c r="F74" s="502">
        <f>TableB2!I72-TableB2!E72</f>
        <v>0</v>
      </c>
      <c r="G74" s="504">
        <f t="shared" si="15"/>
        <v>16.1962192403</v>
      </c>
      <c r="H74" s="503">
        <v>6.7826281376999997</v>
      </c>
      <c r="I74" s="505">
        <v>9.4135911025999999</v>
      </c>
      <c r="J74" s="506">
        <v>4.7293607597000005</v>
      </c>
      <c r="K74" s="507">
        <v>-0.37179099999999998</v>
      </c>
      <c r="L74" s="508">
        <v>0</v>
      </c>
      <c r="M74" s="509">
        <f>TableA1!B72-TableA1!M72+B74+(TableB10!I72-TableB10!R72)/1000</f>
        <v>275.32309900507698</v>
      </c>
      <c r="N74" s="510">
        <f t="shared" si="5"/>
        <v>0</v>
      </c>
      <c r="O74" s="511">
        <f t="shared" si="6"/>
        <v>-5.5627227312364309E-2</v>
      </c>
      <c r="P74" s="511" t="e">
        <f>TableB1!D74/M74</f>
        <v>#N/A</v>
      </c>
      <c r="Q74" s="1308">
        <f t="shared" si="16"/>
        <v>1.902611297864043E-2</v>
      </c>
    </row>
    <row r="75" spans="1:17" s="512" customFormat="1" ht="16" x14ac:dyDescent="0.2">
      <c r="A75" s="1097" t="s">
        <v>92</v>
      </c>
      <c r="B75" s="501">
        <f t="shared" si="12"/>
        <v>-0.57979007685009587</v>
      </c>
      <c r="C75" s="1307">
        <f t="shared" si="13"/>
        <v>-0.57979007685009587</v>
      </c>
      <c r="D75" s="502">
        <f t="shared" si="14"/>
        <v>-0.57979007685009587</v>
      </c>
      <c r="E75" s="503">
        <f>TableB2!H73+TableB2!J73-TableB2!D73-TableB2!F73</f>
        <v>-0.57979007685009587</v>
      </c>
      <c r="F75" s="502">
        <f>TableB2!I73-TableB2!E73</f>
        <v>0</v>
      </c>
      <c r="G75" s="504">
        <f t="shared" si="15"/>
        <v>0</v>
      </c>
      <c r="H75" s="503" t="e">
        <v>#N/A</v>
      </c>
      <c r="I75" s="505" t="e">
        <v>#N/A</v>
      </c>
      <c r="J75" s="506">
        <v>0</v>
      </c>
      <c r="K75" s="507">
        <v>0</v>
      </c>
      <c r="L75" s="508">
        <v>0</v>
      </c>
      <c r="M75" s="509">
        <f>TableA1!B73-TableA1!M73+B75+(TableB10!I73-TableB10!R73)/1000</f>
        <v>5.9729132708255319</v>
      </c>
      <c r="N75" s="510">
        <f t="shared" si="5"/>
        <v>0</v>
      </c>
      <c r="O75" s="511">
        <f t="shared" si="6"/>
        <v>-9.706989714417226E-2</v>
      </c>
      <c r="P75" s="511" t="e">
        <f>TableB1!D75/M75</f>
        <v>#N/A</v>
      </c>
      <c r="Q75" s="1308">
        <f t="shared" si="16"/>
        <v>-9.706989714417226E-2</v>
      </c>
    </row>
    <row r="76" spans="1:17" s="512" customFormat="1" ht="16" x14ac:dyDescent="0.2">
      <c r="A76" s="1097" t="s">
        <v>93</v>
      </c>
      <c r="B76" s="501">
        <f t="shared" si="12"/>
        <v>-0.53632502800000004</v>
      </c>
      <c r="C76" s="1307">
        <f t="shared" si="13"/>
        <v>-0.76471102800000001</v>
      </c>
      <c r="D76" s="502">
        <f t="shared" si="14"/>
        <v>5.1541391299999934E-2</v>
      </c>
      <c r="E76" s="503">
        <f>TableB2!H74+TableB2!J74-TableB2!D74-TableB2!F74</f>
        <v>5.1541391299999934E-2</v>
      </c>
      <c r="F76" s="502">
        <f>TableB2!I74-TableB2!E74</f>
        <v>0</v>
      </c>
      <c r="G76" s="504">
        <f t="shared" si="15"/>
        <v>-3.4749963799999992E-2</v>
      </c>
      <c r="H76" s="503">
        <v>2.9951687500000001E-2</v>
      </c>
      <c r="I76" s="505">
        <v>-6.4701651299999996E-2</v>
      </c>
      <c r="J76" s="506">
        <v>-0.78150245549999997</v>
      </c>
      <c r="K76" s="507">
        <v>0.22838600000000001</v>
      </c>
      <c r="L76" s="508">
        <v>0</v>
      </c>
      <c r="M76" s="509">
        <f>TableA1!B74-TableA1!M74+B76+(TableB10!I74-TableB10!R74)/1000</f>
        <v>42.955689514828869</v>
      </c>
      <c r="N76" s="510">
        <f t="shared" si="5"/>
        <v>0</v>
      </c>
      <c r="O76" s="511">
        <f t="shared" si="6"/>
        <v>1.1998734482473426E-3</v>
      </c>
      <c r="P76" s="511">
        <f>TableB1!D76/M76</f>
        <v>-0.25376082534624461</v>
      </c>
      <c r="Q76" s="1308">
        <f t="shared" si="16"/>
        <v>-1.248554112522984E-2</v>
      </c>
    </row>
    <row r="77" spans="1:17" s="512" customFormat="1" ht="16" x14ac:dyDescent="0.2">
      <c r="A77" s="1097" t="s">
        <v>94</v>
      </c>
      <c r="B77" s="501">
        <f t="shared" si="12"/>
        <v>1.7876512367491164</v>
      </c>
      <c r="C77" s="1307">
        <f t="shared" si="13"/>
        <v>1.7876512367491164</v>
      </c>
      <c r="D77" s="502">
        <f t="shared" si="14"/>
        <v>1.7876512367491164</v>
      </c>
      <c r="E77" s="503">
        <f>TableB2!H75+TableB2!J75-TableB2!D75-TableB2!F75</f>
        <v>1.7876512367491164</v>
      </c>
      <c r="F77" s="502">
        <f>TableB2!I75-TableB2!E75</f>
        <v>0</v>
      </c>
      <c r="G77" s="504">
        <f t="shared" si="15"/>
        <v>0</v>
      </c>
      <c r="H77" s="503" t="e">
        <v>#N/A</v>
      </c>
      <c r="I77" s="505" t="e">
        <v>#N/A</v>
      </c>
      <c r="J77" s="506">
        <v>0</v>
      </c>
      <c r="K77" s="507">
        <v>0</v>
      </c>
      <c r="L77" s="508">
        <v>0</v>
      </c>
      <c r="M77" s="509">
        <f>TableA1!B75-TableA1!M75+B77+(TableB10!I75-TableB10!R75)/1000</f>
        <v>5.4987517933034953</v>
      </c>
      <c r="N77" s="510">
        <f t="shared" ref="N77:N91" si="17">(F77)/M77</f>
        <v>0</v>
      </c>
      <c r="O77" s="511">
        <f t="shared" ref="O77:O91" si="18">(E77)/M77</f>
        <v>0.3251012782439387</v>
      </c>
      <c r="P77" s="511" t="e">
        <f>TableB1!D77/M77</f>
        <v>#N/A</v>
      </c>
      <c r="Q77" s="1308">
        <f t="shared" si="16"/>
        <v>0.3251012782439387</v>
      </c>
    </row>
    <row r="78" spans="1:17" s="512" customFormat="1" ht="16" x14ac:dyDescent="0.2">
      <c r="A78" s="1097" t="s">
        <v>95</v>
      </c>
      <c r="B78" s="501">
        <f t="shared" si="12"/>
        <v>-3.7243811860999996</v>
      </c>
      <c r="C78" s="1307">
        <f t="shared" si="13"/>
        <v>-3.4824751860999994</v>
      </c>
      <c r="D78" s="502">
        <f t="shared" si="14"/>
        <v>-6.3523999999999994</v>
      </c>
      <c r="E78" s="503">
        <f>TableB2!H76+TableB2!J76-TableB2!D76-TableB2!F76</f>
        <v>-6.3523999999999994</v>
      </c>
      <c r="F78" s="502">
        <f>TableB2!I76-TableB2!E76</f>
        <v>0</v>
      </c>
      <c r="G78" s="504">
        <f t="shared" si="15"/>
        <v>1.6818003725000001</v>
      </c>
      <c r="H78" s="503">
        <v>0.56666373870000009</v>
      </c>
      <c r="I78" s="505">
        <v>1.1151366337999999</v>
      </c>
      <c r="J78" s="506">
        <v>1.1881244414000001</v>
      </c>
      <c r="K78" s="507">
        <v>-0.24190600000000001</v>
      </c>
      <c r="L78" s="508">
        <v>0</v>
      </c>
      <c r="M78" s="509">
        <f>TableA1!B76-TableA1!M76+B78+(TableB10!I76-TableB10!R76)/1000</f>
        <v>37.088087758640761</v>
      </c>
      <c r="N78" s="510">
        <f t="shared" si="17"/>
        <v>0</v>
      </c>
      <c r="O78" s="511">
        <f t="shared" si="18"/>
        <v>-0.17127871464659217</v>
      </c>
      <c r="P78" s="511" t="e">
        <f>TableB1!D78/M78</f>
        <v>#N/A</v>
      </c>
      <c r="Q78" s="1308">
        <f t="shared" si="16"/>
        <v>-0.10041987633164763</v>
      </c>
    </row>
    <row r="79" spans="1:17" s="512" customFormat="1" ht="16" x14ac:dyDescent="0.2">
      <c r="A79" s="1097" t="s">
        <v>96</v>
      </c>
      <c r="B79" s="501">
        <f t="shared" si="12"/>
        <v>0.25530257497035636</v>
      </c>
      <c r="C79" s="1307">
        <f t="shared" si="13"/>
        <v>0.38682656187035641</v>
      </c>
      <c r="D79" s="502">
        <f t="shared" si="14"/>
        <v>-9.2496091507296434</v>
      </c>
      <c r="E79" s="503">
        <f>TableB2!H77+TableB2!J77-TableB2!D77-TableB2!F77</f>
        <v>-9.2496091507296434</v>
      </c>
      <c r="F79" s="502">
        <f>TableB2!I77-TableB2!E77</f>
        <v>0</v>
      </c>
      <c r="G79" s="504">
        <f t="shared" si="15"/>
        <v>9.3518768472999998</v>
      </c>
      <c r="H79" s="503">
        <v>8.2261775245000006</v>
      </c>
      <c r="I79" s="505">
        <v>1.1256993227999998</v>
      </c>
      <c r="J79" s="506">
        <v>0.28455886530000002</v>
      </c>
      <c r="K79" s="507">
        <v>-3.8364299999999997E-2</v>
      </c>
      <c r="L79" s="508">
        <v>-9.3159686900000011E-2</v>
      </c>
      <c r="M79" s="509">
        <f>TableA1!B77-TableA1!M77+B79+(TableB10!I77-TableB10!R77)/1000</f>
        <v>8.0329894691828354</v>
      </c>
      <c r="N79" s="510">
        <f t="shared" si="17"/>
        <v>0</v>
      </c>
      <c r="O79" s="511">
        <f t="shared" si="18"/>
        <v>-1.1514529162790712</v>
      </c>
      <c r="P79" s="511">
        <f>TableB1!D79/M79</f>
        <v>0.10228535529047368</v>
      </c>
      <c r="Q79" s="1308">
        <f t="shared" si="16"/>
        <v>3.1781763931072016E-2</v>
      </c>
    </row>
    <row r="80" spans="1:17" s="512" customFormat="1" ht="16" x14ac:dyDescent="0.2">
      <c r="A80" s="1097" t="s">
        <v>97</v>
      </c>
      <c r="B80" s="501">
        <f t="shared" si="12"/>
        <v>0.28108196978038985</v>
      </c>
      <c r="C80" s="1307">
        <f t="shared" si="13"/>
        <v>0.28108196978038985</v>
      </c>
      <c r="D80" s="502">
        <f t="shared" si="14"/>
        <v>0.28108196978038985</v>
      </c>
      <c r="E80" s="503">
        <f>TableB2!H78+TableB2!J78-TableB2!D78-TableB2!F78</f>
        <v>0.28108196978038985</v>
      </c>
      <c r="F80" s="502">
        <f>TableB2!I78-TableB2!E78</f>
        <v>0</v>
      </c>
      <c r="G80" s="504">
        <f t="shared" si="15"/>
        <v>0</v>
      </c>
      <c r="H80" s="503" t="e">
        <v>#N/A</v>
      </c>
      <c r="I80" s="505" t="e">
        <v>#N/A</v>
      </c>
      <c r="J80" s="506">
        <v>0</v>
      </c>
      <c r="K80" s="507">
        <v>0</v>
      </c>
      <c r="L80" s="508">
        <v>0</v>
      </c>
      <c r="M80" s="509">
        <f>TableA1!B78-TableA1!M78+B80+(TableB10!I78-TableB10!R78)/1000</f>
        <v>0.15629275994494929</v>
      </c>
      <c r="N80" s="510">
        <f t="shared" si="17"/>
        <v>0</v>
      </c>
      <c r="O80" s="511">
        <f t="shared" si="18"/>
        <v>1.7984324410125896</v>
      </c>
      <c r="P80" s="511" t="e">
        <f>TableB1!D80/M80</f>
        <v>#N/A</v>
      </c>
      <c r="Q80" s="1308">
        <f t="shared" si="16"/>
        <v>1.7984324410125896</v>
      </c>
    </row>
    <row r="81" spans="1:17" ht="16" x14ac:dyDescent="0.2">
      <c r="A81" s="1291" t="s">
        <v>98</v>
      </c>
      <c r="B81" s="458">
        <f t="shared" si="12"/>
        <v>0</v>
      </c>
      <c r="C81" s="1304">
        <f t="shared" si="13"/>
        <v>0</v>
      </c>
      <c r="D81" s="451">
        <f t="shared" si="14"/>
        <v>0</v>
      </c>
      <c r="E81" s="401">
        <f>TableB2!H79+TableB2!J79-TableB2!D79-TableB2!F79</f>
        <v>0</v>
      </c>
      <c r="F81" s="451">
        <f>TableB2!I79-TableB2!E79</f>
        <v>0</v>
      </c>
      <c r="G81" s="400">
        <f t="shared" si="15"/>
        <v>0</v>
      </c>
      <c r="H81" s="401" t="e">
        <v>#N/A</v>
      </c>
      <c r="I81" s="461" t="e">
        <v>#N/A</v>
      </c>
      <c r="J81" s="399">
        <v>0</v>
      </c>
      <c r="K81" s="463">
        <v>0</v>
      </c>
      <c r="L81" s="464">
        <v>0</v>
      </c>
      <c r="M81" s="452">
        <f>TableA1!B79-TableA1!M79+B81+(TableB10!I79-TableB10!R79)/1000</f>
        <v>5.0474669953517299</v>
      </c>
      <c r="N81" s="455">
        <f t="shared" si="17"/>
        <v>0</v>
      </c>
      <c r="O81" s="453">
        <f t="shared" si="18"/>
        <v>0</v>
      </c>
      <c r="P81" s="453" t="e">
        <f>TableB1!D81/M81</f>
        <v>#N/A</v>
      </c>
      <c r="Q81" s="1305">
        <f t="shared" si="16"/>
        <v>0</v>
      </c>
    </row>
    <row r="82" spans="1:17" ht="16" x14ac:dyDescent="0.2">
      <c r="A82" s="1291" t="s">
        <v>99</v>
      </c>
      <c r="B82" s="458">
        <f t="shared" si="12"/>
        <v>-1.63765045E-2</v>
      </c>
      <c r="C82" s="1304">
        <f t="shared" si="13"/>
        <v>-2.1739664799999999E-2</v>
      </c>
      <c r="D82" s="451">
        <f t="shared" si="14"/>
        <v>-3.5217877E-3</v>
      </c>
      <c r="E82" s="401">
        <f>TableB2!H80+TableB2!J80-TableB2!D80-TableB2!F80</f>
        <v>-3.5217877E-3</v>
      </c>
      <c r="F82" s="451">
        <f>TableB2!I80-TableB2!E80</f>
        <v>0</v>
      </c>
      <c r="G82" s="400">
        <f t="shared" si="15"/>
        <v>-6.5698323999999995E-3</v>
      </c>
      <c r="H82" s="401">
        <v>2.1564246000000003E-3</v>
      </c>
      <c r="I82" s="461">
        <v>-8.7262569999999994E-3</v>
      </c>
      <c r="J82" s="399">
        <v>-1.1648044699999999E-2</v>
      </c>
      <c r="K82" s="463">
        <v>-3.6111699999999997E-2</v>
      </c>
      <c r="L82" s="464">
        <v>4.1474860299999999E-2</v>
      </c>
      <c r="M82" s="452">
        <f>TableA1!B80-TableA1!M80+B82+(TableB10!I80-TableB10!R80)/1000</f>
        <v>0.68569080212522648</v>
      </c>
      <c r="N82" s="455">
        <f t="shared" si="17"/>
        <v>0</v>
      </c>
      <c r="O82" s="453">
        <f t="shared" si="18"/>
        <v>-5.1361162918980244E-3</v>
      </c>
      <c r="P82" s="453">
        <f>TableB1!D82/M82</f>
        <v>0.12022292547092517</v>
      </c>
      <c r="Q82" s="1305">
        <f t="shared" si="16"/>
        <v>-2.3883220322108371E-2</v>
      </c>
    </row>
    <row r="83" spans="1:17" ht="16" x14ac:dyDescent="0.2">
      <c r="A83" s="1291" t="s">
        <v>100</v>
      </c>
      <c r="B83" s="458">
        <f t="shared" si="12"/>
        <v>0.89874964850974048</v>
      </c>
      <c r="C83" s="1304">
        <f t="shared" si="13"/>
        <v>0.90456401270000053</v>
      </c>
      <c r="D83" s="451">
        <f t="shared" si="14"/>
        <v>-0.31856366779999967</v>
      </c>
      <c r="E83" s="401">
        <f>TableB2!H81+TableB2!J81-TableB2!D81-TableB2!F81</f>
        <v>-0.31856366779999967</v>
      </c>
      <c r="F83" s="451">
        <f>TableB2!I81-TableB2!E81</f>
        <v>0</v>
      </c>
      <c r="G83" s="400">
        <f t="shared" si="15"/>
        <v>1.2849709337000002</v>
      </c>
      <c r="H83" s="401">
        <v>1.2849709337000002</v>
      </c>
      <c r="I83" s="461">
        <v>0</v>
      </c>
      <c r="J83" s="399">
        <v>-6.1843253200000003E-2</v>
      </c>
      <c r="K83" s="463">
        <v>-5.8143641902599994E-3</v>
      </c>
      <c r="L83" s="464">
        <v>0</v>
      </c>
      <c r="M83" s="452">
        <f>TableA1!B81-TableA1!M81+B83+(TableB10!I81-TableB10!R81)/1000</f>
        <v>11.18036516331917</v>
      </c>
      <c r="N83" s="455">
        <f t="shared" si="17"/>
        <v>0</v>
      </c>
      <c r="O83" s="453">
        <f t="shared" si="18"/>
        <v>-2.849313623898006E-2</v>
      </c>
      <c r="P83" s="453">
        <f>TableB1!D83/M83</f>
        <v>-0.11274140055241204</v>
      </c>
      <c r="Q83" s="1305">
        <f t="shared" si="16"/>
        <v>8.0386430620207422E-2</v>
      </c>
    </row>
    <row r="84" spans="1:17" ht="16" x14ac:dyDescent="0.2">
      <c r="A84" s="1291" t="s">
        <v>101</v>
      </c>
      <c r="B84" s="458">
        <f t="shared" si="12"/>
        <v>-0.10680721618</v>
      </c>
      <c r="C84" s="1304">
        <f t="shared" si="13"/>
        <v>-9.1717416179999997E-2</v>
      </c>
      <c r="D84" s="451">
        <f t="shared" si="14"/>
        <v>-6.8115529979999992E-2</v>
      </c>
      <c r="E84" s="401">
        <f>TableB2!H82+TableB2!J82-TableB2!D82-TableB2!F82</f>
        <v>-6.8115529979999992E-2</v>
      </c>
      <c r="F84" s="451">
        <f>TableB2!I82-TableB2!E82</f>
        <v>0</v>
      </c>
      <c r="G84" s="400">
        <f t="shared" si="15"/>
        <v>-5.9113074999999999E-3</v>
      </c>
      <c r="H84" s="401">
        <v>0</v>
      </c>
      <c r="I84" s="461">
        <v>-5.9113074999999999E-3</v>
      </c>
      <c r="J84" s="399">
        <v>-1.7690578700000001E-2</v>
      </c>
      <c r="K84" s="463">
        <v>-1.50898E-2</v>
      </c>
      <c r="L84" s="464">
        <v>0</v>
      </c>
      <c r="M84" s="452">
        <f>TableA1!B82-TableA1!M82+B84+(TableB10!I82-TableB10!R82)/1000</f>
        <v>1.1574518917768675</v>
      </c>
      <c r="N84" s="455">
        <f t="shared" si="17"/>
        <v>0</v>
      </c>
      <c r="O84" s="453">
        <f t="shared" si="18"/>
        <v>-5.8849556049739682E-2</v>
      </c>
      <c r="P84" s="453">
        <f>TableB1!D84/M84</f>
        <v>-0.10695740365498119</v>
      </c>
      <c r="Q84" s="1305">
        <f t="shared" si="16"/>
        <v>-9.2277888125470525E-2</v>
      </c>
    </row>
    <row r="85" spans="1:17" s="512" customFormat="1" ht="16" x14ac:dyDescent="0.2">
      <c r="A85" s="1097" t="s">
        <v>102</v>
      </c>
      <c r="B85" s="501">
        <f t="shared" si="12"/>
        <v>-12.696503496503496</v>
      </c>
      <c r="C85" s="1307">
        <f>-18.156/1.43</f>
        <v>-12.696503496503496</v>
      </c>
      <c r="D85" s="502">
        <f t="shared" si="14"/>
        <v>-45.63651204337387</v>
      </c>
      <c r="E85" s="503">
        <f>TableB2!H83+TableB2!J83-TableB2!D83-TableB2!F83</f>
        <v>-45.63651204337387</v>
      </c>
      <c r="F85" s="502">
        <f>TableB2!I83-TableB2!E83</f>
        <v>0</v>
      </c>
      <c r="G85" s="504">
        <f>C85-D85-J85</f>
        <v>32.940008546870374</v>
      </c>
      <c r="H85" s="503">
        <v>0</v>
      </c>
      <c r="I85" s="505">
        <v>0</v>
      </c>
      <c r="J85" s="506">
        <v>0</v>
      </c>
      <c r="K85" s="507">
        <v>0</v>
      </c>
      <c r="L85" s="508">
        <v>0</v>
      </c>
      <c r="M85" s="509">
        <f>TableA1!B83-TableA1!M83+B85+(TableB10!I83-TableB10!R83)/1000</f>
        <v>272.01336035492153</v>
      </c>
      <c r="N85" s="510">
        <f t="shared" si="17"/>
        <v>0</v>
      </c>
      <c r="O85" s="511">
        <f t="shared" si="18"/>
        <v>-0.16777305344056484</v>
      </c>
      <c r="P85" s="511">
        <f>TableB1!D85/M85</f>
        <v>0.2828598088649284</v>
      </c>
      <c r="Q85" s="1308">
        <f t="shared" si="16"/>
        <v>-4.6676029000697498E-2</v>
      </c>
    </row>
    <row r="86" spans="1:17" ht="16" x14ac:dyDescent="0.2">
      <c r="A86" s="1291" t="s">
        <v>103</v>
      </c>
      <c r="B86" s="458">
        <f t="shared" si="12"/>
        <v>-3.0000000000000003E-4</v>
      </c>
      <c r="C86" s="1304">
        <f t="shared" si="13"/>
        <v>-3.0000000000000003E-4</v>
      </c>
      <c r="D86" s="451">
        <f t="shared" si="14"/>
        <v>-3.0000000000000003E-4</v>
      </c>
      <c r="E86" s="401">
        <f>TableB2!H84+TableB2!J84-TableB2!D84-TableB2!F84</f>
        <v>-3.0000000000000003E-4</v>
      </c>
      <c r="F86" s="451">
        <f>TableB2!I84-TableB2!E84</f>
        <v>0</v>
      </c>
      <c r="G86" s="400">
        <f t="shared" si="15"/>
        <v>0</v>
      </c>
      <c r="H86" s="401">
        <v>0</v>
      </c>
      <c r="I86" s="461">
        <v>0</v>
      </c>
      <c r="J86" s="399">
        <v>0</v>
      </c>
      <c r="K86" s="463">
        <v>0</v>
      </c>
      <c r="L86" s="464">
        <v>0</v>
      </c>
      <c r="M86" s="452">
        <f>TableA1!B84-TableA1!M84+B86+(TableB10!I84-TableB10!R84)/1000</f>
        <v>0.77231708647206965</v>
      </c>
      <c r="N86" s="455">
        <f t="shared" si="17"/>
        <v>0</v>
      </c>
      <c r="O86" s="453">
        <f t="shared" si="18"/>
        <v>-3.8844149023090313E-4</v>
      </c>
      <c r="P86" s="453">
        <f>TableB1!D86/M86</f>
        <v>0</v>
      </c>
      <c r="Q86" s="1305">
        <f t="shared" si="16"/>
        <v>-3.8844149023090313E-4</v>
      </c>
    </row>
    <row r="87" spans="1:17" ht="16" x14ac:dyDescent="0.2">
      <c r="A87" s="1291" t="s">
        <v>104</v>
      </c>
      <c r="B87" s="458">
        <f t="shared" si="12"/>
        <v>-6.9400000000000003E-2</v>
      </c>
      <c r="C87" s="1304">
        <f t="shared" si="13"/>
        <v>-6.9400000000000003E-2</v>
      </c>
      <c r="D87" s="451">
        <f t="shared" si="14"/>
        <v>-6.9400000000000003E-2</v>
      </c>
      <c r="E87" s="401">
        <f>TableB2!H85+TableB2!J85-TableB2!D85-TableB2!F85</f>
        <v>-6.9400000000000003E-2</v>
      </c>
      <c r="F87" s="451">
        <f>TableB2!I85-TableB2!E85</f>
        <v>0</v>
      </c>
      <c r="G87" s="400">
        <f t="shared" si="15"/>
        <v>0</v>
      </c>
      <c r="H87" s="401">
        <v>0</v>
      </c>
      <c r="I87" s="461">
        <v>0</v>
      </c>
      <c r="J87" s="399">
        <v>0</v>
      </c>
      <c r="K87" s="463">
        <v>0</v>
      </c>
      <c r="L87" s="464">
        <v>0</v>
      </c>
      <c r="M87" s="452">
        <f>TableA1!B85-TableA1!M85+B87+(TableB10!I85-TableB10!R85)/1000</f>
        <v>1.4501713679519095</v>
      </c>
      <c r="N87" s="455">
        <f t="shared" si="17"/>
        <v>0</v>
      </c>
      <c r="O87" s="453">
        <f t="shared" si="18"/>
        <v>-4.785641306517744E-2</v>
      </c>
      <c r="P87" s="453">
        <f>TableB1!D87/M87</f>
        <v>0</v>
      </c>
      <c r="Q87" s="1305">
        <f t="shared" si="16"/>
        <v>-4.785641306517744E-2</v>
      </c>
    </row>
    <row r="88" spans="1:17" ht="16" x14ac:dyDescent="0.2">
      <c r="A88" s="1291" t="s">
        <v>105</v>
      </c>
      <c r="B88" s="458">
        <f t="shared" si="12"/>
        <v>-1.6300000000000002E-2</v>
      </c>
      <c r="C88" s="1304">
        <f t="shared" si="13"/>
        <v>-1.6300000000000002E-2</v>
      </c>
      <c r="D88" s="451">
        <f t="shared" si="14"/>
        <v>-1.6300000000000002E-2</v>
      </c>
      <c r="E88" s="401">
        <f>TableB2!H86+TableB2!J86-TableB2!D86-TableB2!F86</f>
        <v>-1.6300000000000002E-2</v>
      </c>
      <c r="F88" s="451">
        <f>TableB2!I86-TableB2!E86</f>
        <v>0</v>
      </c>
      <c r="G88" s="400">
        <f t="shared" si="15"/>
        <v>0</v>
      </c>
      <c r="H88" s="401">
        <v>0</v>
      </c>
      <c r="I88" s="461">
        <v>0</v>
      </c>
      <c r="J88" s="399">
        <v>0</v>
      </c>
      <c r="K88" s="463">
        <v>0</v>
      </c>
      <c r="L88" s="464">
        <v>0</v>
      </c>
      <c r="M88" s="452">
        <f>TableA1!B86-TableA1!M86+B88+(TableB10!I86-TableB10!R86)/1000</f>
        <v>0.66409012774462228</v>
      </c>
      <c r="N88" s="455">
        <f t="shared" si="17"/>
        <v>0</v>
      </c>
      <c r="O88" s="453">
        <f t="shared" si="18"/>
        <v>-2.454486118527004E-2</v>
      </c>
      <c r="P88" s="453">
        <f>TableB1!D88/M88</f>
        <v>0</v>
      </c>
      <c r="Q88" s="1305">
        <f t="shared" si="16"/>
        <v>-2.454486118527004E-2</v>
      </c>
    </row>
    <row r="89" spans="1:17" ht="16" x14ac:dyDescent="0.2">
      <c r="A89" s="1291" t="s">
        <v>106</v>
      </c>
      <c r="B89" s="458">
        <f t="shared" si="12"/>
        <v>0</v>
      </c>
      <c r="C89" s="1304">
        <f t="shared" si="13"/>
        <v>0</v>
      </c>
      <c r="D89" s="451">
        <f t="shared" si="14"/>
        <v>0</v>
      </c>
      <c r="E89" s="401">
        <f>TableB2!H87+TableB2!J87-TableB2!D87-TableB2!F87</f>
        <v>0</v>
      </c>
      <c r="F89" s="451">
        <f>TableB2!I87-TableB2!E87</f>
        <v>0</v>
      </c>
      <c r="G89" s="400">
        <f t="shared" si="15"/>
        <v>0</v>
      </c>
      <c r="H89" s="401" t="e">
        <v>#N/A</v>
      </c>
      <c r="I89" s="461" t="e">
        <v>#N/A</v>
      </c>
      <c r="J89" s="399">
        <v>0</v>
      </c>
      <c r="K89" s="463">
        <v>0</v>
      </c>
      <c r="L89" s="464">
        <v>0</v>
      </c>
      <c r="M89" s="452">
        <f>TableA1!B87-TableA1!M87+B89+(TableB10!I87-TableB10!R87)/1000</f>
        <v>0.55574911235330438</v>
      </c>
      <c r="N89" s="455">
        <f t="shared" si="17"/>
        <v>0</v>
      </c>
      <c r="O89" s="453">
        <f t="shared" si="18"/>
        <v>0</v>
      </c>
      <c r="P89" s="453" t="e">
        <f>TableB1!D89/M89</f>
        <v>#N/A</v>
      </c>
      <c r="Q89" s="1305">
        <f t="shared" si="16"/>
        <v>0</v>
      </c>
    </row>
    <row r="90" spans="1:17" ht="16" x14ac:dyDescent="0.2">
      <c r="A90" s="1291" t="s">
        <v>107</v>
      </c>
      <c r="B90" s="458">
        <f t="shared" si="12"/>
        <v>-4.1054818939811026</v>
      </c>
      <c r="C90" s="1304">
        <f t="shared" si="13"/>
        <v>-4.1896818939811027</v>
      </c>
      <c r="D90" s="451">
        <f t="shared" si="14"/>
        <v>-3.352281893981103</v>
      </c>
      <c r="E90" s="401">
        <f>TableB2!H88+TableB2!J88-TableB2!D88-TableB2!F88</f>
        <v>-3.352281893981103</v>
      </c>
      <c r="F90" s="451">
        <f>TableB2!I88-TableB2!E88</f>
        <v>0</v>
      </c>
      <c r="G90" s="400">
        <f t="shared" si="15"/>
        <v>-0.45519999999999999</v>
      </c>
      <c r="H90" s="401">
        <v>5.3E-3</v>
      </c>
      <c r="I90" s="461">
        <v>-0.46050000000000002</v>
      </c>
      <c r="J90" s="399">
        <v>-0.38219999999999998</v>
      </c>
      <c r="K90" s="463">
        <v>8.4199999999999997E-2</v>
      </c>
      <c r="L90" s="464">
        <v>0</v>
      </c>
      <c r="M90" s="452">
        <f>TableA1!B88-TableA1!M88+B90+(TableB10!I88-TableB10!R88)/1000</f>
        <v>41.192120219217557</v>
      </c>
      <c r="N90" s="455">
        <f t="shared" si="17"/>
        <v>0</v>
      </c>
      <c r="O90" s="453">
        <f t="shared" si="18"/>
        <v>-8.138163017928722E-2</v>
      </c>
      <c r="P90" s="453">
        <f>TableB1!D90/M90</f>
        <v>2.3074801562570666E-2</v>
      </c>
      <c r="Q90" s="1305">
        <f t="shared" si="16"/>
        <v>-9.9666680717875558E-2</v>
      </c>
    </row>
    <row r="91" spans="1:17" ht="17" thickBot="1" x14ac:dyDescent="0.25">
      <c r="A91" s="1309" t="s">
        <v>108</v>
      </c>
      <c r="B91" s="483">
        <f t="shared" si="12"/>
        <v>-34.773400000000002</v>
      </c>
      <c r="C91" s="484">
        <f t="shared" si="13"/>
        <v>-34.773400000000002</v>
      </c>
      <c r="D91" s="485">
        <f t="shared" si="14"/>
        <v>-34.773400000000002</v>
      </c>
      <c r="E91" s="486">
        <f>TableB2!H89+TableB2!J89-(TableB2!D89+TableB2!F89)</f>
        <v>-34.773400000000002</v>
      </c>
      <c r="F91" s="485">
        <f>TableB2!I89-TableB2!E89</f>
        <v>0</v>
      </c>
      <c r="G91" s="457">
        <f t="shared" si="15"/>
        <v>0</v>
      </c>
      <c r="H91" s="486" t="e">
        <v>#N/A</v>
      </c>
      <c r="I91" s="487" t="e">
        <v>#N/A</v>
      </c>
      <c r="J91" s="488">
        <v>0</v>
      </c>
      <c r="K91" s="489">
        <v>0</v>
      </c>
      <c r="L91" s="490">
        <v>0</v>
      </c>
      <c r="M91" s="491">
        <f>TableA1!B89-TableA1!M89+B91+(TableB10!I89-TableB10!R89)/1000</f>
        <v>60.500361133885896</v>
      </c>
      <c r="N91" s="492">
        <f t="shared" si="17"/>
        <v>0</v>
      </c>
      <c r="O91" s="493">
        <f t="shared" si="18"/>
        <v>-0.5747635112961933</v>
      </c>
      <c r="P91" s="493">
        <f>TableB1!D91/M91</f>
        <v>0.41030333595970087</v>
      </c>
      <c r="Q91" s="1310">
        <f t="shared" si="16"/>
        <v>-0.5747635112961933</v>
      </c>
    </row>
    <row r="92" spans="1:17" ht="16" thickTop="1" x14ac:dyDescent="0.2"/>
  </sheetData>
  <mergeCells count="19">
    <mergeCell ref="Q8:Q11"/>
    <mergeCell ref="N7:Q7"/>
    <mergeCell ref="O8:O11"/>
    <mergeCell ref="P8:P11"/>
    <mergeCell ref="A4:P4"/>
    <mergeCell ref="D9:D11"/>
    <mergeCell ref="E10:E11"/>
    <mergeCell ref="F10:F11"/>
    <mergeCell ref="B7:M7"/>
    <mergeCell ref="N8:N11"/>
    <mergeCell ref="G9:G11"/>
    <mergeCell ref="H10:H11"/>
    <mergeCell ref="I10:I11"/>
    <mergeCell ref="J9:J11"/>
    <mergeCell ref="K8:K11"/>
    <mergeCell ref="L8:L11"/>
    <mergeCell ref="M8:M11"/>
    <mergeCell ref="B8:B11"/>
    <mergeCell ref="C8:C11"/>
  </mergeCells>
  <phoneticPr fontId="37" type="noConversion"/>
  <conditionalFormatting sqref="D13:F46 P44:P46 O44:O91 J55:N55 J13:P43 J44:N47 D12:P12 G13:I91 J48:M54 J56:M91">
    <cfRule type="cellIs" dxfId="15" priority="29" operator="greaterThan">
      <formula>-999999999999999000</formula>
    </cfRule>
  </conditionalFormatting>
  <conditionalFormatting sqref="C12:C46">
    <cfRule type="cellIs" dxfId="14" priority="28" operator="greaterThan">
      <formula>-999999999999999000</formula>
    </cfRule>
  </conditionalFormatting>
  <conditionalFormatting sqref="D91:F91 D56:D90">
    <cfRule type="cellIs" dxfId="13" priority="19" operator="greaterThan">
      <formula>-999999999999999000</formula>
    </cfRule>
  </conditionalFormatting>
  <conditionalFormatting sqref="C56:C91">
    <cfRule type="cellIs" dxfId="12" priority="15" operator="greaterThan">
      <formula>-999999999999999000</formula>
    </cfRule>
  </conditionalFormatting>
  <conditionalFormatting sqref="D48:F54">
    <cfRule type="cellIs" dxfId="11" priority="20" operator="greaterThan">
      <formula>-999999999999999000</formula>
    </cfRule>
  </conditionalFormatting>
  <conditionalFormatting sqref="B12:B46">
    <cfRule type="cellIs" dxfId="10" priority="14" operator="greaterThan">
      <formula>-999999999999999000</formula>
    </cfRule>
  </conditionalFormatting>
  <conditionalFormatting sqref="C48:C54">
    <cfRule type="cellIs" dxfId="9" priority="16" operator="greaterThan">
      <formula>-999999999999999000</formula>
    </cfRule>
  </conditionalFormatting>
  <conditionalFormatting sqref="B56:B91">
    <cfRule type="cellIs" dxfId="8" priority="10" operator="greaterThan">
      <formula>-999999999999999000</formula>
    </cfRule>
  </conditionalFormatting>
  <conditionalFormatting sqref="B48:B54">
    <cfRule type="cellIs" dxfId="7" priority="11" operator="greaterThan">
      <formula>-999999999999999000</formula>
    </cfRule>
  </conditionalFormatting>
  <conditionalFormatting sqref="E56:F90">
    <cfRule type="cellIs" dxfId="6" priority="7" operator="greaterThan">
      <formula>-999999999999999000</formula>
    </cfRule>
  </conditionalFormatting>
  <conditionalFormatting sqref="N48:N54 P48:P54">
    <cfRule type="cellIs" dxfId="5" priority="5" operator="greaterThan">
      <formula>-999999999999999000</formula>
    </cfRule>
  </conditionalFormatting>
  <conditionalFormatting sqref="N56:N91">
    <cfRule type="cellIs" dxfId="4" priority="4" operator="greaterThan">
      <formula>-999999999999999000</formula>
    </cfRule>
  </conditionalFormatting>
  <conditionalFormatting sqref="P56:P91">
    <cfRule type="cellIs" dxfId="3" priority="1" operator="greaterThan">
      <formula>-999999999999999000</formula>
    </cfRule>
  </conditionalFormatting>
  <hyperlinks>
    <hyperlink ref="A48" r:id="rId1" display="  Brazil" xr:uid="{00000000-0004-0000-1000-000000000000}"/>
    <hyperlink ref="A54" r:id="rId2" tooltip="Click once to display linked information. Click and hold to select this cell." display="  South Africa" xr:uid="{00000000-0004-0000-1000-000001000000}"/>
    <hyperlink ref="A53" r:id="rId3" tooltip="Click once to display linked information. Click and hold to select this cell." display="  Russia" xr:uid="{00000000-0004-0000-1000-000002000000}"/>
    <hyperlink ref="A52" r:id="rId4" tooltip="Click once to display linked information. Click and hold to select this cell." display="  India" xr:uid="{00000000-0004-0000-1000-000003000000}"/>
  </hyperlinks>
  <pageMargins left="0.7" right="0.7" top="0.75" bottom="0.75" header="0.3" footer="0.3"/>
  <pageSetup paperSize="9" scale="39" fitToHeight="0" orientation="portrait"/>
  <extLst>
    <ext xmlns:mx="http://schemas.microsoft.com/office/mac/excel/2008/main" uri="{64002731-A6B0-56B0-2670-7721B7C09600}">
      <mx:PLV Mode="0" OnePage="0" WScale="10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X97"/>
  <sheetViews>
    <sheetView workbookViewId="0">
      <pane xSplit="2" ySplit="9" topLeftCell="C13" activePane="bottomRight" state="frozen"/>
      <selection pane="topRight" activeCell="K93" sqref="B4:K93"/>
      <selection pane="bottomLeft" activeCell="K93" sqref="B4:K93"/>
      <selection pane="bottomRight" activeCell="R5" sqref="R5"/>
    </sheetView>
  </sheetViews>
  <sheetFormatPr baseColWidth="10" defaultColWidth="10.83203125" defaultRowHeight="16" x14ac:dyDescent="0.2"/>
  <cols>
    <col min="1" max="1" width="10.83203125" style="1" hidden="1" customWidth="1"/>
    <col min="2" max="2" width="16.6640625" style="1" customWidth="1"/>
    <col min="3" max="3" width="12.5" style="1" customWidth="1"/>
    <col min="4" max="4" width="11.83203125" style="1" customWidth="1"/>
    <col min="5" max="6" width="11.33203125" style="1" customWidth="1"/>
    <col min="7" max="7" width="11.83203125" style="1" customWidth="1"/>
    <col min="8" max="10" width="11.33203125" style="1" customWidth="1"/>
    <col min="11" max="11" width="15.1640625" style="1" customWidth="1"/>
    <col min="12" max="16" width="11.83203125" style="1" customWidth="1"/>
    <col min="17" max="18" width="10.83203125" style="1"/>
    <col min="19" max="21" width="10.83203125" style="10"/>
    <col min="22" max="22" width="10.83203125" style="478"/>
    <col min="23" max="24" width="10.83203125" style="10"/>
    <col min="25" max="16384" width="10.83203125" style="1"/>
  </cols>
  <sheetData>
    <row r="2" spans="2:24" ht="17" thickBot="1" x14ac:dyDescent="0.25">
      <c r="B2" s="954"/>
      <c r="C2" s="954"/>
      <c r="D2" s="954"/>
      <c r="E2" s="954"/>
      <c r="F2" s="954"/>
      <c r="G2" s="954"/>
      <c r="H2" s="954"/>
      <c r="I2" s="954"/>
      <c r="J2" s="954"/>
      <c r="K2" s="954"/>
      <c r="L2" s="954"/>
      <c r="M2" s="954"/>
      <c r="N2" s="954"/>
      <c r="O2" s="954"/>
      <c r="P2" s="954"/>
      <c r="Q2" s="954"/>
      <c r="R2" s="954"/>
    </row>
    <row r="3" spans="2:24" ht="32.25" customHeight="1" thickTop="1" x14ac:dyDescent="0.2">
      <c r="B3" s="1951" t="s">
        <v>361</v>
      </c>
      <c r="C3" s="1952"/>
      <c r="D3" s="1952"/>
      <c r="E3" s="1952"/>
      <c r="F3" s="1952"/>
      <c r="G3" s="1952"/>
      <c r="H3" s="1952"/>
      <c r="I3" s="1952"/>
      <c r="J3" s="1952"/>
      <c r="K3" s="1952"/>
      <c r="L3" s="1952"/>
      <c r="M3" s="1952"/>
      <c r="N3" s="1952"/>
      <c r="O3" s="1952"/>
      <c r="P3" s="1953"/>
      <c r="Q3" s="954"/>
      <c r="R3" s="954"/>
    </row>
    <row r="4" spans="2:24" ht="12" customHeight="1" x14ac:dyDescent="0.2">
      <c r="B4" s="4"/>
      <c r="C4" s="620"/>
      <c r="D4" s="620"/>
      <c r="E4" s="620"/>
      <c r="F4" s="620"/>
      <c r="G4" s="620"/>
      <c r="H4" s="620"/>
      <c r="I4" s="620"/>
      <c r="J4" s="620"/>
      <c r="K4" s="620"/>
      <c r="L4" s="620"/>
      <c r="M4" s="620"/>
      <c r="N4" s="620"/>
      <c r="O4" s="1027"/>
      <c r="P4" s="1073"/>
      <c r="Q4" s="954"/>
      <c r="R4" s="954"/>
    </row>
    <row r="5" spans="2:24" ht="17" thickBot="1" x14ac:dyDescent="0.25">
      <c r="B5" s="1148"/>
      <c r="C5" s="3" t="s">
        <v>1</v>
      </c>
      <c r="D5" s="3" t="s">
        <v>2</v>
      </c>
      <c r="E5" s="3" t="s">
        <v>3</v>
      </c>
      <c r="F5" s="3" t="s">
        <v>4</v>
      </c>
      <c r="G5" s="3" t="s">
        <v>5</v>
      </c>
      <c r="H5" s="3" t="s">
        <v>6</v>
      </c>
      <c r="I5" s="3" t="s">
        <v>7</v>
      </c>
      <c r="J5" s="3" t="s">
        <v>8</v>
      </c>
      <c r="K5" s="3" t="s">
        <v>9</v>
      </c>
      <c r="L5" s="3" t="s">
        <v>10</v>
      </c>
      <c r="M5" s="3" t="s">
        <v>11</v>
      </c>
      <c r="N5" s="3" t="s">
        <v>12</v>
      </c>
      <c r="O5" s="3" t="s">
        <v>13</v>
      </c>
      <c r="P5" s="6" t="s">
        <v>177</v>
      </c>
      <c r="Q5" s="954"/>
      <c r="R5" s="954"/>
    </row>
    <row r="6" spans="2:24" ht="21" customHeight="1" x14ac:dyDescent="0.2">
      <c r="B6" s="1148"/>
      <c r="C6" s="2021" t="s">
        <v>362</v>
      </c>
      <c r="D6" s="2022"/>
      <c r="E6" s="2022"/>
      <c r="F6" s="2022"/>
      <c r="G6" s="2022"/>
      <c r="H6" s="2022"/>
      <c r="I6" s="2022"/>
      <c r="J6" s="2022"/>
      <c r="K6" s="2022"/>
      <c r="L6" s="2022"/>
      <c r="M6" s="2022"/>
      <c r="N6" s="2022"/>
      <c r="O6" s="2022"/>
      <c r="P6" s="2191"/>
      <c r="Q6" s="954"/>
      <c r="R6" s="954"/>
    </row>
    <row r="7" spans="2:24" ht="21" customHeight="1" x14ac:dyDescent="0.2">
      <c r="B7" s="1148"/>
      <c r="C7" s="2115" t="s">
        <v>312</v>
      </c>
      <c r="D7" s="2116"/>
      <c r="E7" s="2116"/>
      <c r="F7" s="2116"/>
      <c r="G7" s="2116"/>
      <c r="H7" s="2116"/>
      <c r="I7" s="2116"/>
      <c r="J7" s="2117"/>
      <c r="K7" s="2116" t="s">
        <v>363</v>
      </c>
      <c r="L7" s="2116"/>
      <c r="M7" s="2116"/>
      <c r="N7" s="2116"/>
      <c r="O7" s="2116"/>
      <c r="P7" s="2192"/>
      <c r="Q7" s="954"/>
      <c r="R7" s="954"/>
    </row>
    <row r="8" spans="2:24" ht="85" customHeight="1" x14ac:dyDescent="0.2">
      <c r="B8" s="1148"/>
      <c r="C8" s="2072" t="s">
        <v>364</v>
      </c>
      <c r="D8" s="1818" t="s">
        <v>365</v>
      </c>
      <c r="E8" s="1819" t="s">
        <v>366</v>
      </c>
      <c r="F8" s="1819" t="s">
        <v>367</v>
      </c>
      <c r="G8" s="2049" t="s">
        <v>368</v>
      </c>
      <c r="H8" s="1819" t="s">
        <v>365</v>
      </c>
      <c r="I8" s="1819" t="s">
        <v>366</v>
      </c>
      <c r="J8" s="1819" t="s">
        <v>367</v>
      </c>
      <c r="K8" s="2049" t="s">
        <v>364</v>
      </c>
      <c r="L8" s="1827" t="s">
        <v>369</v>
      </c>
      <c r="M8" s="1827" t="s">
        <v>370</v>
      </c>
      <c r="N8" s="2049" t="s">
        <v>368</v>
      </c>
      <c r="O8" s="1827" t="s">
        <v>369</v>
      </c>
      <c r="P8" s="1311" t="s">
        <v>370</v>
      </c>
      <c r="Q8" s="954"/>
      <c r="R8" s="954"/>
    </row>
    <row r="9" spans="2:24" ht="33" customHeight="1" x14ac:dyDescent="0.2">
      <c r="B9" s="1148"/>
      <c r="C9" s="2028"/>
      <c r="D9" s="1312"/>
      <c r="E9" s="1313"/>
      <c r="F9" s="1313"/>
      <c r="G9" s="2067"/>
      <c r="H9" s="1313"/>
      <c r="I9" s="1313"/>
      <c r="J9" s="1313"/>
      <c r="K9" s="2067"/>
      <c r="L9" s="1314"/>
      <c r="M9" s="1314"/>
      <c r="N9" s="2067"/>
      <c r="O9" s="1314"/>
      <c r="P9" s="1315"/>
      <c r="Q9" s="954"/>
      <c r="R9" s="954"/>
      <c r="S9" s="10" t="s">
        <v>26</v>
      </c>
    </row>
    <row r="10" spans="2:24" x14ac:dyDescent="0.2">
      <c r="B10" s="1316" t="s">
        <v>29</v>
      </c>
      <c r="C10" s="408">
        <v>23.973251183409999</v>
      </c>
      <c r="D10" s="1317">
        <v>8.7955518821850003</v>
      </c>
      <c r="E10" s="1318">
        <v>4.0739349312495001</v>
      </c>
      <c r="F10" s="1318">
        <v>11.103764369975</v>
      </c>
      <c r="G10" s="1319">
        <v>13.385678863927</v>
      </c>
      <c r="H10" s="1320">
        <v>9.1652265384326004</v>
      </c>
      <c r="I10" s="1321">
        <v>0.21564354947780001</v>
      </c>
      <c r="J10" s="1318">
        <v>4.0048087760162003</v>
      </c>
      <c r="K10" s="1200">
        <v>535.93336742895008</v>
      </c>
      <c r="L10" s="1153">
        <v>388.58698034630999</v>
      </c>
      <c r="M10" s="1153">
        <v>147.34638708263</v>
      </c>
      <c r="N10" s="1200">
        <v>390.27763571271998</v>
      </c>
      <c r="O10" s="1153">
        <v>392.86257032220004</v>
      </c>
      <c r="P10" s="1186">
        <v>-2.5849346094835002</v>
      </c>
      <c r="Q10" s="954"/>
      <c r="R10" s="954"/>
      <c r="S10" s="479">
        <f>C10-D10-E10-F10</f>
        <v>4.9915627187147038E-13</v>
      </c>
      <c r="T10" s="479">
        <f>G10-H10-I10-J10</f>
        <v>3.9879211044535623E-13</v>
      </c>
      <c r="U10" s="479">
        <f>G10-C10-(TableB3!B10-TableB4!B10)</f>
        <v>5.3347358929999089E-2</v>
      </c>
      <c r="V10" s="480">
        <f>G10-C10-TableB1!G12</f>
        <v>0</v>
      </c>
      <c r="W10" s="268">
        <f>K10-L10-M10</f>
        <v>1.0089706847793423E-11</v>
      </c>
      <c r="X10" s="268">
        <f>N10-O10-P10</f>
        <v>3.4421354655478353E-12</v>
      </c>
    </row>
    <row r="11" spans="2:24" x14ac:dyDescent="0.2">
      <c r="B11" s="1148" t="s">
        <v>30</v>
      </c>
      <c r="C11" s="408">
        <v>0.60676650027732004</v>
      </c>
      <c r="D11" s="1317">
        <v>8.8086522462561998</v>
      </c>
      <c r="E11" s="1318">
        <v>0.56572379367719994</v>
      </c>
      <c r="F11" s="1318">
        <v>-8.7676095396560996</v>
      </c>
      <c r="G11" s="1319">
        <v>1.6971713810316</v>
      </c>
      <c r="H11" s="1320">
        <v>10.214087631725</v>
      </c>
      <c r="I11" s="1321">
        <v>0.50027731558513999</v>
      </c>
      <c r="J11" s="1318">
        <v>-9.0171935662783991</v>
      </c>
      <c r="K11" s="1200">
        <v>243.40337506805</v>
      </c>
      <c r="L11" s="1153">
        <v>235.68209036472999</v>
      </c>
      <c r="M11" s="1153">
        <v>7.7212847033205998</v>
      </c>
      <c r="N11" s="1200">
        <v>291.06804572673002</v>
      </c>
      <c r="O11" s="1153">
        <v>262.63908546543001</v>
      </c>
      <c r="P11" s="1186">
        <v>28.428960261296002</v>
      </c>
      <c r="Q11" s="954"/>
      <c r="R11" s="954"/>
      <c r="S11" s="479">
        <f t="shared" ref="S11:S44" si="0">C11-D11-E11-F11</f>
        <v>1.9539925233402755E-14</v>
      </c>
      <c r="T11" s="479">
        <f t="shared" ref="T11:T44" si="1">G11-H11-I11-J11</f>
        <v>-1.4210854715202004E-13</v>
      </c>
      <c r="U11" s="479">
        <f>G11-C11-(TableB3!B11-TableB4!B11)</f>
        <v>-1.1092623405202229E-3</v>
      </c>
      <c r="V11" s="480">
        <f>G11-C11-TableB1!G13</f>
        <v>0</v>
      </c>
      <c r="W11" s="268">
        <f t="shared" ref="W11:W74" si="2">K11-L11-M11</f>
        <v>-5.9063864910058328E-13</v>
      </c>
      <c r="X11" s="268">
        <f t="shared" ref="X11:X74" si="3">N11-O11-P11</f>
        <v>4.0039083160081645E-12</v>
      </c>
    </row>
    <row r="12" spans="2:24" x14ac:dyDescent="0.2">
      <c r="B12" s="1148" t="s">
        <v>31</v>
      </c>
      <c r="C12" s="408">
        <v>20.735440931779998</v>
      </c>
      <c r="D12" s="1320">
        <v>25.354409317803999</v>
      </c>
      <c r="E12" s="1318">
        <v>-3.8103161397670999</v>
      </c>
      <c r="F12" s="1318">
        <v>-0.80865224625623999</v>
      </c>
      <c r="G12" s="1319">
        <v>13.924570160843</v>
      </c>
      <c r="H12" s="1320">
        <v>13.474209650582001</v>
      </c>
      <c r="I12" s="1321">
        <v>2.0066555740432999</v>
      </c>
      <c r="J12" s="1318">
        <v>-1.5562950637826001</v>
      </c>
      <c r="K12" s="1200">
        <v>551.77354382144995</v>
      </c>
      <c r="L12" s="1153">
        <v>703.18889493740005</v>
      </c>
      <c r="M12" s="1153">
        <v>-151.41535111595002</v>
      </c>
      <c r="N12" s="1200">
        <v>610.21121393575993</v>
      </c>
      <c r="O12" s="1153">
        <v>569.14207947740999</v>
      </c>
      <c r="P12" s="1186">
        <v>41.069134458355997</v>
      </c>
      <c r="Q12" s="954"/>
      <c r="R12" s="954"/>
      <c r="S12" s="479">
        <f t="shared" si="0"/>
        <v>-6.610267888618182E-13</v>
      </c>
      <c r="T12" s="479">
        <f t="shared" si="1"/>
        <v>2.9976021664879227E-13</v>
      </c>
      <c r="U12" s="480">
        <f>G12-C12-(TableB3!B12-TableB4!B12)</f>
        <v>-3.3277870219947658E-3</v>
      </c>
      <c r="V12" s="480">
        <f>G12-C12-TableB1!G14</f>
        <v>0</v>
      </c>
      <c r="W12" s="268">
        <f t="shared" si="2"/>
        <v>0</v>
      </c>
      <c r="X12" s="268">
        <f t="shared" si="3"/>
        <v>-6.0609295360336546E-12</v>
      </c>
    </row>
    <row r="13" spans="2:24" x14ac:dyDescent="0.2">
      <c r="B13" s="1148" t="s">
        <v>32</v>
      </c>
      <c r="C13" s="408">
        <v>34.465305483846002</v>
      </c>
      <c r="D13" s="1320">
        <v>17.312837362122</v>
      </c>
      <c r="E13" s="1318">
        <v>3.7753266056481003</v>
      </c>
      <c r="F13" s="1318">
        <v>13.377923805054001</v>
      </c>
      <c r="G13" s="1319">
        <v>40.014081201595999</v>
      </c>
      <c r="H13" s="1320">
        <v>12.971133536728001</v>
      </c>
      <c r="I13" s="1321">
        <v>3.9599468043494999</v>
      </c>
      <c r="J13" s="1318">
        <v>23.083783149495002</v>
      </c>
      <c r="K13" s="1200">
        <v>796.65101156068999</v>
      </c>
      <c r="L13" s="1153">
        <v>684.49277456646996</v>
      </c>
      <c r="M13" s="1153">
        <v>112.15823699422</v>
      </c>
      <c r="N13" s="1200">
        <v>1097.0534682081</v>
      </c>
      <c r="O13" s="1153">
        <v>1032.6654624277</v>
      </c>
      <c r="P13" s="1186">
        <v>64.388005780347001</v>
      </c>
      <c r="Q13" s="954"/>
      <c r="R13" s="954"/>
      <c r="S13" s="479">
        <f t="shared" si="0"/>
        <v>-7.822889780992881E-4</v>
      </c>
      <c r="T13" s="479">
        <f t="shared" si="1"/>
        <v>-7.822889765023433E-4</v>
      </c>
      <c r="U13" s="480">
        <f>G13-C13-(TableB3!B13-TableB4!B13)</f>
        <v>5.5487757177499972</v>
      </c>
      <c r="V13" s="480">
        <f>G13-C13-TableB1!G15</f>
        <v>0</v>
      </c>
      <c r="W13" s="268">
        <f t="shared" si="2"/>
        <v>0</v>
      </c>
      <c r="X13" s="268">
        <f t="shared" si="3"/>
        <v>5.290701210469706E-11</v>
      </c>
    </row>
    <row r="14" spans="2:24" x14ac:dyDescent="0.2">
      <c r="B14" s="1148" t="s">
        <v>33</v>
      </c>
      <c r="C14" s="408">
        <v>10.233519814927</v>
      </c>
      <c r="D14" s="1320">
        <v>4.5824140671539997</v>
      </c>
      <c r="E14" s="1318">
        <v>1.9709003885879</v>
      </c>
      <c r="F14" s="1318">
        <v>3.6802053591849999</v>
      </c>
      <c r="G14" s="1319">
        <v>3.8826249462322</v>
      </c>
      <c r="H14" s="1320">
        <v>0.68380616694661001</v>
      </c>
      <c r="I14" s="1321">
        <v>0.33348759985735998</v>
      </c>
      <c r="J14" s="1318">
        <v>2.8653311794281997</v>
      </c>
      <c r="K14" s="1200">
        <v>231.58496436983998</v>
      </c>
      <c r="L14" s="1153">
        <v>183.38203592317998</v>
      </c>
      <c r="M14" s="1153">
        <v>48.202928446657999</v>
      </c>
      <c r="N14" s="1200">
        <v>111.38991119887</v>
      </c>
      <c r="O14" s="1153">
        <v>82.228797243963001</v>
      </c>
      <c r="P14" s="1186">
        <v>29.161113954909002</v>
      </c>
      <c r="Q14" s="954"/>
      <c r="R14" s="954"/>
      <c r="S14" s="479">
        <f t="shared" si="0"/>
        <v>1.0036416142611415E-13</v>
      </c>
      <c r="T14" s="479">
        <f t="shared" si="1"/>
        <v>3.0198066269804258E-14</v>
      </c>
      <c r="U14" s="480">
        <f>G14-C14-(TableB3!B14-TableB4!B14)</f>
        <v>0</v>
      </c>
      <c r="V14" s="480">
        <f>G14-C14-TableB1!G16</f>
        <v>0</v>
      </c>
      <c r="W14" s="268">
        <f t="shared" si="2"/>
        <v>1.9966250874858815E-12</v>
      </c>
      <c r="X14" s="268">
        <f t="shared" si="3"/>
        <v>-2.007283228522283E-12</v>
      </c>
    </row>
    <row r="15" spans="2:24" x14ac:dyDescent="0.2">
      <c r="B15" s="1148" t="s">
        <v>34</v>
      </c>
      <c r="C15" s="408">
        <v>14.473508721994</v>
      </c>
      <c r="D15" s="1320">
        <v>10.907534664335</v>
      </c>
      <c r="E15" s="1318">
        <v>0.47867279307119998</v>
      </c>
      <c r="F15" s="1318">
        <v>3.0872606026104998</v>
      </c>
      <c r="G15" s="1319">
        <v>1.8608953767331999</v>
      </c>
      <c r="H15" s="1320">
        <v>0.88073842150204995</v>
      </c>
      <c r="I15" s="1321">
        <v>7.3191558573578001E-3</v>
      </c>
      <c r="J15" s="1318">
        <v>0.97279713739681994</v>
      </c>
      <c r="K15" s="1200">
        <v>116.62781985175999</v>
      </c>
      <c r="L15" s="1153">
        <v>109.47792458911</v>
      </c>
      <c r="M15" s="1153">
        <v>7.1498952626490002</v>
      </c>
      <c r="N15" s="1200">
        <v>18.591363196906002</v>
      </c>
      <c r="O15" s="1153">
        <v>17.725950692877998</v>
      </c>
      <c r="P15" s="1186">
        <v>0.86541250402836001</v>
      </c>
      <c r="Q15" s="954"/>
      <c r="R15" s="954"/>
      <c r="S15" s="479">
        <f t="shared" si="0"/>
        <v>4.066197730034915E-5</v>
      </c>
      <c r="T15" s="479">
        <f t="shared" si="1"/>
        <v>4.0661976972278246E-5</v>
      </c>
      <c r="U15" s="480">
        <f>G15-C15-(TableB3!B15-TableB4!B15)</f>
        <v>-8.1323953798673188E-5</v>
      </c>
      <c r="V15" s="480">
        <f>G15-C15-TableB1!G17</f>
        <v>0</v>
      </c>
      <c r="W15" s="268">
        <f t="shared" si="2"/>
        <v>9.9120711638533976E-13</v>
      </c>
      <c r="X15" s="268">
        <f t="shared" si="3"/>
        <v>-3.5571545708990016E-13</v>
      </c>
    </row>
    <row r="16" spans="2:24" x14ac:dyDescent="0.2">
      <c r="B16" s="1148" t="s">
        <v>35</v>
      </c>
      <c r="C16" s="408">
        <v>5.3098700449044003</v>
      </c>
      <c r="D16" s="1320">
        <v>5.2588693609302002</v>
      </c>
      <c r="E16" s="1318">
        <v>0.27121063431171</v>
      </c>
      <c r="F16" s="1318">
        <v>-0.22065602045975002</v>
      </c>
      <c r="G16" s="1319">
        <v>12.90926933714</v>
      </c>
      <c r="H16" s="1320">
        <v>10.532310345853</v>
      </c>
      <c r="I16" s="1321">
        <v>0.98269247925774006</v>
      </c>
      <c r="J16" s="1318">
        <v>1.3944152020698</v>
      </c>
      <c r="K16" s="1200">
        <v>112.89399707174</v>
      </c>
      <c r="L16" s="1153">
        <v>99.993118594435998</v>
      </c>
      <c r="M16" s="1153">
        <v>12.900878477306</v>
      </c>
      <c r="N16" s="1200">
        <v>189.33352855051001</v>
      </c>
      <c r="O16" s="1153">
        <v>165.26500732064</v>
      </c>
      <c r="P16" s="1186">
        <v>24.068521229868001</v>
      </c>
      <c r="Q16" s="954"/>
      <c r="R16" s="954"/>
      <c r="S16" s="479">
        <f t="shared" si="0"/>
        <v>4.4607012224012754E-4</v>
      </c>
      <c r="T16" s="479">
        <f t="shared" si="1"/>
        <v>-1.4869004054074431E-4</v>
      </c>
      <c r="U16" s="480">
        <f>G16-C16-(TableB3!B16-TableB4!B16)</f>
        <v>-1.4869004100148686E-4</v>
      </c>
      <c r="V16" s="480">
        <f>G16-C16-TableB1!G18</f>
        <v>0</v>
      </c>
      <c r="W16" s="268">
        <f t="shared" si="2"/>
        <v>-1.9948487306464813E-12</v>
      </c>
      <c r="X16" s="268">
        <f t="shared" si="3"/>
        <v>2.014388655879884E-12</v>
      </c>
    </row>
    <row r="17" spans="2:24" x14ac:dyDescent="0.2">
      <c r="B17" s="1148" t="s">
        <v>36</v>
      </c>
      <c r="C17" s="408">
        <v>1.3219900166389</v>
      </c>
      <c r="D17" s="1320">
        <v>0.72318469217970005</v>
      </c>
      <c r="E17" s="1318">
        <v>1.4843039378812999E-2</v>
      </c>
      <c r="F17" s="1318">
        <v>0.58396228508042003</v>
      </c>
      <c r="G17" s="1319">
        <v>0.33427731558514001</v>
      </c>
      <c r="H17" s="1320">
        <v>0.24203549639490002</v>
      </c>
      <c r="I17" s="1321">
        <v>5.3684969495285999E-2</v>
      </c>
      <c r="J17" s="1318">
        <v>3.8556849694953002E-2</v>
      </c>
      <c r="K17" s="1200">
        <v>18.862318998367002</v>
      </c>
      <c r="L17" s="1153">
        <v>18.073254218835</v>
      </c>
      <c r="M17" s="1153">
        <v>0.78906477953185006</v>
      </c>
      <c r="N17" s="1200">
        <v>6.2183745236799002</v>
      </c>
      <c r="O17" s="1153">
        <v>4.3978943930321002</v>
      </c>
      <c r="P17" s="1186">
        <v>1.8204801306478</v>
      </c>
      <c r="Q17" s="954"/>
      <c r="R17" s="954"/>
      <c r="S17" s="479">
        <f t="shared" si="0"/>
        <v>-3.3084646133829665E-14</v>
      </c>
      <c r="T17" s="479">
        <f t="shared" si="1"/>
        <v>9.9226182825873366E-16</v>
      </c>
      <c r="U17" s="480">
        <f>G17-C17-(TableB3!B17-TableB4!B17)</f>
        <v>-2.728785357701824E-4</v>
      </c>
      <c r="V17" s="480">
        <f>G17-C17-TableB1!G19</f>
        <v>0</v>
      </c>
      <c r="W17" s="268">
        <f t="shared" si="2"/>
        <v>1.5132339825640884E-13</v>
      </c>
      <c r="X17" s="268">
        <f t="shared" si="3"/>
        <v>0</v>
      </c>
    </row>
    <row r="18" spans="2:24" x14ac:dyDescent="0.2">
      <c r="B18" s="1148" t="s">
        <v>37</v>
      </c>
      <c r="C18" s="408">
        <v>4.0898502495839999</v>
      </c>
      <c r="D18" s="1320">
        <v>5.4220743205768001</v>
      </c>
      <c r="E18" s="1318">
        <v>0.69661674986134003</v>
      </c>
      <c r="F18" s="1318">
        <v>-2.0288408208541</v>
      </c>
      <c r="G18" s="1319">
        <v>7.3721575152524004</v>
      </c>
      <c r="H18" s="1320">
        <v>10.647809206877</v>
      </c>
      <c r="I18" s="1321">
        <v>0.43261231281198004</v>
      </c>
      <c r="J18" s="1318">
        <v>-3.7082640044369999</v>
      </c>
      <c r="K18" s="1200">
        <v>81.626565051715005</v>
      </c>
      <c r="L18" s="1153">
        <v>66.060968971149009</v>
      </c>
      <c r="M18" s="1153">
        <v>15.565596080565999</v>
      </c>
      <c r="N18" s="1200">
        <v>94.545454545455001</v>
      </c>
      <c r="O18" s="1153">
        <v>107.05280348394001</v>
      </c>
      <c r="P18" s="1186">
        <v>-12.507348938487</v>
      </c>
      <c r="Q18" s="954"/>
      <c r="R18" s="954"/>
      <c r="S18" s="479">
        <f t="shared" si="0"/>
        <v>-3.9968028886505635E-14</v>
      </c>
      <c r="T18" s="479">
        <f t="shared" si="1"/>
        <v>4.205524817280093E-13</v>
      </c>
      <c r="U18" s="480">
        <f>G18-C18-(TableB3!B18-TableB4!B18)</f>
        <v>1.0036416142611415E-13</v>
      </c>
      <c r="V18" s="480">
        <f>G18-C18-TableB1!G20</f>
        <v>0</v>
      </c>
      <c r="W18" s="268">
        <f t="shared" si="2"/>
        <v>0</v>
      </c>
      <c r="X18" s="268">
        <f t="shared" si="3"/>
        <v>1.9912960169676808E-12</v>
      </c>
    </row>
    <row r="19" spans="2:24" x14ac:dyDescent="0.2">
      <c r="B19" s="1148" t="s">
        <v>38</v>
      </c>
      <c r="C19" s="408">
        <v>25.964458011464</v>
      </c>
      <c r="D19" s="1320">
        <v>15.593480865224999</v>
      </c>
      <c r="E19" s="1318">
        <v>2.8098090929952</v>
      </c>
      <c r="F19" s="1318">
        <v>7.5611680532446002</v>
      </c>
      <c r="G19" s="1319">
        <v>70.780429129601998</v>
      </c>
      <c r="H19" s="1320">
        <v>64.215373266778002</v>
      </c>
      <c r="I19" s="1321">
        <v>2.0962161512319</v>
      </c>
      <c r="J19" s="1318">
        <v>4.4688397115917997</v>
      </c>
      <c r="K19" s="1200">
        <v>688.35512451670002</v>
      </c>
      <c r="L19" s="1153">
        <v>627.55858206655</v>
      </c>
      <c r="M19" s="1153">
        <v>60.796542450151001</v>
      </c>
      <c r="N19" s="1200">
        <v>1254.2751858124</v>
      </c>
      <c r="O19" s="1153">
        <v>1171.7563896738</v>
      </c>
      <c r="P19" s="1186">
        <v>82.518796138552005</v>
      </c>
      <c r="Q19" s="954"/>
      <c r="R19" s="954"/>
      <c r="S19" s="479">
        <f t="shared" si="0"/>
        <v>-7.9936057773011271E-13</v>
      </c>
      <c r="T19" s="479">
        <f t="shared" si="1"/>
        <v>2.9665159217984183E-13</v>
      </c>
      <c r="U19" s="480">
        <f>G19-C19-(TableB3!B19-TableB4!B19)</f>
        <v>9.9475983006414026E-13</v>
      </c>
      <c r="V19" s="480">
        <f>G19-C19-TableB1!G21</f>
        <v>0</v>
      </c>
      <c r="W19" s="268">
        <f t="shared" si="2"/>
        <v>-9.8765440270653926E-13</v>
      </c>
      <c r="X19" s="268">
        <f t="shared" si="3"/>
        <v>4.8004267227952369E-11</v>
      </c>
    </row>
    <row r="20" spans="2:24" x14ac:dyDescent="0.2">
      <c r="B20" s="1148" t="s">
        <v>39</v>
      </c>
      <c r="C20" s="408">
        <v>33.633943427620999</v>
      </c>
      <c r="D20" s="1320">
        <v>21.960066555739999</v>
      </c>
      <c r="E20" s="1318">
        <v>6.8208541320021991</v>
      </c>
      <c r="F20" s="1318">
        <v>4.8530227398779999</v>
      </c>
      <c r="G20" s="1319">
        <v>74.201885745978998</v>
      </c>
      <c r="H20" s="1320">
        <v>65.433166943982002</v>
      </c>
      <c r="I20" s="1321">
        <v>-2.0033277870216</v>
      </c>
      <c r="J20" s="1318">
        <v>10.772046589018</v>
      </c>
      <c r="K20" s="1200">
        <v>789.22808927598999</v>
      </c>
      <c r="L20" s="1153">
        <v>587.67882416983991</v>
      </c>
      <c r="M20" s="1153">
        <v>201.54926510615002</v>
      </c>
      <c r="N20" s="1200">
        <v>1342.4496461622</v>
      </c>
      <c r="O20" s="1153">
        <v>1436.3777898748001</v>
      </c>
      <c r="P20" s="1186">
        <v>-93.928143712574993</v>
      </c>
      <c r="Q20" s="954"/>
      <c r="R20" s="954"/>
      <c r="S20" s="479">
        <f t="shared" si="0"/>
        <v>8.0024875614981283E-13</v>
      </c>
      <c r="T20" s="479">
        <f t="shared" si="1"/>
        <v>5.9685589803848416E-13</v>
      </c>
      <c r="U20" s="480">
        <f>G20-C20-(TableB3!B20-TableB4!B20)</f>
        <v>-1.109262341003614E-3</v>
      </c>
      <c r="V20" s="480">
        <f>G20-C20-TableB1!G22</f>
        <v>0</v>
      </c>
      <c r="W20" s="268">
        <f t="shared" si="2"/>
        <v>0</v>
      </c>
      <c r="X20" s="268">
        <f t="shared" si="3"/>
        <v>-2.5110580281761941E-11</v>
      </c>
    </row>
    <row r="21" spans="2:24" x14ac:dyDescent="0.2">
      <c r="B21" s="1148" t="s">
        <v>40</v>
      </c>
      <c r="C21" s="408">
        <v>1.1568235296728</v>
      </c>
      <c r="D21" s="1320">
        <v>0.62594856905157992</v>
      </c>
      <c r="E21" s="1318">
        <v>6.4186108707708994E-2</v>
      </c>
      <c r="F21" s="1318">
        <v>0.46668885191347997</v>
      </c>
      <c r="G21" s="1319">
        <v>1.8014650027732</v>
      </c>
      <c r="H21" s="1320">
        <v>0.24941714475873999</v>
      </c>
      <c r="I21" s="1321">
        <v>3.5620011092623001E-3</v>
      </c>
      <c r="J21" s="1318">
        <v>1.5484858569052</v>
      </c>
      <c r="K21" s="1200">
        <v>26.950778184268003</v>
      </c>
      <c r="L21" s="1153">
        <v>19.553694940935998</v>
      </c>
      <c r="M21" s="1153">
        <v>7.3970832433315001</v>
      </c>
      <c r="N21" s="1200">
        <v>27.287786076330999</v>
      </c>
      <c r="O21" s="1153">
        <v>25.277765105181999</v>
      </c>
      <c r="P21" s="1186">
        <v>2.0100209711486001</v>
      </c>
      <c r="Q21" s="954"/>
      <c r="R21" s="954"/>
      <c r="S21" s="479">
        <f t="shared" si="0"/>
        <v>3.1086244689504383E-14</v>
      </c>
      <c r="T21" s="479">
        <f t="shared" si="1"/>
        <v>-2.4424906541753444E-15</v>
      </c>
      <c r="U21" s="480">
        <f>G21-C21-(TableB3!B21-TableB4!B21)</f>
        <v>0</v>
      </c>
      <c r="V21" s="480">
        <f>G21-C21-TableB1!G23</f>
        <v>0</v>
      </c>
      <c r="W21" s="268">
        <f t="shared" si="2"/>
        <v>5.0537352080937126E-13</v>
      </c>
      <c r="X21" s="268">
        <f t="shared" si="3"/>
        <v>4.0012437807490642E-13</v>
      </c>
    </row>
    <row r="22" spans="2:24" x14ac:dyDescent="0.2">
      <c r="B22" s="1148" t="s">
        <v>41</v>
      </c>
      <c r="C22" s="408">
        <v>11.620257265557001</v>
      </c>
      <c r="D22" s="1320">
        <v>6.0308644132753999</v>
      </c>
      <c r="E22" s="1318">
        <v>-0.10981389643044</v>
      </c>
      <c r="F22" s="1318">
        <v>5.6992067487124007</v>
      </c>
      <c r="G22" s="1319">
        <v>3.9436663646066998</v>
      </c>
      <c r="H22" s="1320">
        <v>1.1560207561767</v>
      </c>
      <c r="I22" s="1321">
        <v>-3.8871447810482997E-2</v>
      </c>
      <c r="J22" s="1318">
        <v>2.8265170562405002</v>
      </c>
      <c r="K22" s="1200">
        <v>196.81426367442</v>
      </c>
      <c r="L22" s="1153">
        <v>197.45931901057</v>
      </c>
      <c r="M22" s="1153">
        <v>-0.64505533614764998</v>
      </c>
      <c r="N22" s="1200">
        <v>146.76073879217</v>
      </c>
      <c r="O22" s="1153">
        <v>146.40758730419</v>
      </c>
      <c r="P22" s="1186">
        <v>0.35315148798102003</v>
      </c>
      <c r="Q22" s="954"/>
      <c r="R22" s="954"/>
      <c r="S22" s="479">
        <f t="shared" si="0"/>
        <v>-3.5971225997855072E-13</v>
      </c>
      <c r="T22" s="479">
        <f t="shared" si="1"/>
        <v>-1.7319479184152442E-14</v>
      </c>
      <c r="U22" s="480">
        <f>G22-C22-(TableB3!B22-TableB4!B22)</f>
        <v>7.1632983988934029E-9</v>
      </c>
      <c r="V22" s="480">
        <f>G22-C22-TableB1!G24</f>
        <v>0</v>
      </c>
      <c r="W22" s="268">
        <f t="shared" si="2"/>
        <v>-2.344235916496018E-12</v>
      </c>
      <c r="X22" s="268">
        <f t="shared" si="3"/>
        <v>-1.0200729150255938E-12</v>
      </c>
    </row>
    <row r="23" spans="2:24" x14ac:dyDescent="0.2">
      <c r="B23" s="1148" t="s">
        <v>42</v>
      </c>
      <c r="C23" s="408">
        <v>3.6703132238177998E-2</v>
      </c>
      <c r="D23" s="1320">
        <v>2.2275108968346998E-2</v>
      </c>
      <c r="E23" s="1318">
        <v>0.10725866799700999</v>
      </c>
      <c r="F23" s="1318">
        <v>-9.2830644727175005E-2</v>
      </c>
      <c r="G23" s="1319">
        <v>0.29035733429571003</v>
      </c>
      <c r="H23" s="1320">
        <v>5.5285940979301E-2</v>
      </c>
      <c r="I23" s="1321">
        <v>0.12703180761220001</v>
      </c>
      <c r="J23" s="1318">
        <v>0.1080395857042</v>
      </c>
      <c r="K23" s="1200">
        <v>11.293364683512999</v>
      </c>
      <c r="L23" s="1153">
        <v>7.6595321085980004</v>
      </c>
      <c r="M23" s="1153">
        <v>3.6338325749151998</v>
      </c>
      <c r="N23" s="1200">
        <v>11.078872659058002</v>
      </c>
      <c r="O23" s="1153">
        <v>8.0560059078677995</v>
      </c>
      <c r="P23" s="1186">
        <v>3.0228667511897003</v>
      </c>
      <c r="Q23" s="954"/>
      <c r="R23" s="954"/>
      <c r="S23" s="479">
        <f t="shared" si="0"/>
        <v>-3.9829251008427491E-15</v>
      </c>
      <c r="T23" s="479">
        <f t="shared" si="1"/>
        <v>9.0205620750793969E-15</v>
      </c>
      <c r="U23" s="480">
        <f>G23-C23-(TableB3!B23-TableB4!B23)</f>
        <v>2.0539125955565396E-15</v>
      </c>
      <c r="V23" s="480">
        <f>G23-C23-TableB1!G25</f>
        <v>0</v>
      </c>
      <c r="W23" s="268">
        <f t="shared" si="2"/>
        <v>-2.007283228522283E-13</v>
      </c>
      <c r="X23" s="268">
        <f t="shared" si="3"/>
        <v>5.0182080713057076E-13</v>
      </c>
    </row>
    <row r="24" spans="2:24" x14ac:dyDescent="0.2">
      <c r="B24" s="1148" t="s">
        <v>43</v>
      </c>
      <c r="C24" s="408">
        <v>64.704381586245006</v>
      </c>
      <c r="D24" s="1320">
        <v>17.189129229062999</v>
      </c>
      <c r="E24" s="1318">
        <v>0.92734331669439996</v>
      </c>
      <c r="F24" s="1318">
        <v>46.587909040488</v>
      </c>
      <c r="G24" s="1319">
        <v>11.764836383805001</v>
      </c>
      <c r="H24" s="1320">
        <v>1.6195230171935999</v>
      </c>
      <c r="I24" s="1321">
        <v>-1.5707154742097</v>
      </c>
      <c r="J24" s="1318">
        <v>11.716028840821</v>
      </c>
      <c r="K24" s="1200">
        <v>888.22101252041</v>
      </c>
      <c r="L24" s="1153">
        <v>642.85356559607999</v>
      </c>
      <c r="M24" s="1153">
        <v>245.36744692433001</v>
      </c>
      <c r="N24" s="1200">
        <v>909.66793685357004</v>
      </c>
      <c r="O24" s="1153">
        <v>816.48775176918991</v>
      </c>
      <c r="P24" s="1186">
        <v>93.180185084376987</v>
      </c>
      <c r="Q24" s="954"/>
      <c r="R24" s="954"/>
      <c r="S24" s="479">
        <f t="shared" si="0"/>
        <v>-3.907985046680551E-13</v>
      </c>
      <c r="T24" s="479">
        <f t="shared" si="1"/>
        <v>1.0125233984581428E-13</v>
      </c>
      <c r="U24" s="480">
        <f>G24-C24-(TableB3!B24-TableB4!B24)</f>
        <v>2.2185246819930171E-3</v>
      </c>
      <c r="V24" s="480">
        <f>G24-C24-TableB1!G26</f>
        <v>0</v>
      </c>
      <c r="W24" s="268">
        <f t="shared" si="2"/>
        <v>0</v>
      </c>
      <c r="X24" s="268">
        <f t="shared" si="3"/>
        <v>3.1405988920596428E-12</v>
      </c>
    </row>
    <row r="25" spans="2:24" x14ac:dyDescent="0.2">
      <c r="B25" s="1148" t="s">
        <v>44</v>
      </c>
      <c r="C25" s="408">
        <f>+TableB10!$E$25/1000</f>
        <v>5.0199999999999996</v>
      </c>
      <c r="D25" s="1320">
        <v>1.1495</v>
      </c>
      <c r="E25" s="1318">
        <f>+C25-D25-F25</f>
        <v>0.15850000000000009</v>
      </c>
      <c r="F25" s="1318">
        <v>3.7119999999999997</v>
      </c>
      <c r="G25" s="1319">
        <f>+TableB10!$N$25/1000</f>
        <v>6.4</v>
      </c>
      <c r="H25" s="1320">
        <v>1.7479</v>
      </c>
      <c r="I25" s="1321">
        <f>+G25-H25-J25</f>
        <v>0.18410000000000082</v>
      </c>
      <c r="J25" s="1321">
        <v>4.468</v>
      </c>
      <c r="K25" s="1200">
        <v>29.5</v>
      </c>
      <c r="L25" s="1153">
        <v>17.7</v>
      </c>
      <c r="M25" s="1153">
        <f>+K25-L25</f>
        <v>11.8</v>
      </c>
      <c r="N25" s="1200">
        <v>17</v>
      </c>
      <c r="O25" s="1153">
        <v>12.8</v>
      </c>
      <c r="P25" s="1186">
        <f>+N25-O25</f>
        <v>4.1999999999999993</v>
      </c>
      <c r="Q25" s="954"/>
      <c r="R25" s="954"/>
      <c r="S25" s="479"/>
      <c r="T25" s="479"/>
      <c r="U25" s="480">
        <f>G25-C25-(TableB3!B25-TableB4!B25)</f>
        <v>1.3800000000000008</v>
      </c>
      <c r="V25" s="480">
        <f>G25-C25-TableB1!G27</f>
        <v>0</v>
      </c>
      <c r="W25" s="268">
        <f t="shared" si="2"/>
        <v>0</v>
      </c>
      <c r="X25" s="268">
        <f t="shared" si="3"/>
        <v>0</v>
      </c>
    </row>
    <row r="26" spans="2:24" x14ac:dyDescent="0.2">
      <c r="B26" s="1148" t="s">
        <v>45</v>
      </c>
      <c r="C26" s="408">
        <v>11.685326677758999</v>
      </c>
      <c r="D26" s="1320">
        <v>3.4079789240155001</v>
      </c>
      <c r="E26" s="1318">
        <v>0.80985579589572998</v>
      </c>
      <c r="F26" s="1318">
        <v>7.4674919578479999</v>
      </c>
      <c r="G26" s="1319">
        <v>12.171589572934002</v>
      </c>
      <c r="H26" s="1320">
        <v>15.558739877980999</v>
      </c>
      <c r="I26" s="1321">
        <v>-0.30271991125901004</v>
      </c>
      <c r="J26" s="1318">
        <v>-3.0844303937881001</v>
      </c>
      <c r="K26" s="1200">
        <v>340.51513445835997</v>
      </c>
      <c r="L26" s="1153">
        <v>306.00955144257</v>
      </c>
      <c r="M26" s="1153">
        <v>34.505583015787003</v>
      </c>
      <c r="N26" s="1200">
        <v>468.36628415894995</v>
      </c>
      <c r="O26" s="1153">
        <v>465.26560805661001</v>
      </c>
      <c r="P26" s="1186">
        <v>3.1006761023407998</v>
      </c>
      <c r="Q26" s="954"/>
      <c r="R26" s="954"/>
      <c r="S26" s="479">
        <f t="shared" si="0"/>
        <v>-2.3181456754173269E-13</v>
      </c>
      <c r="T26" s="479">
        <f t="shared" si="1"/>
        <v>1.127986593019159E-13</v>
      </c>
      <c r="U26" s="480">
        <f>G26-C26-(TableB3!B26-TableB4!B26)</f>
        <v>1.0036416142611415E-12</v>
      </c>
      <c r="V26" s="480">
        <f>G26-C26-TableB1!G28</f>
        <v>0</v>
      </c>
      <c r="W26" s="268">
        <f t="shared" si="2"/>
        <v>2.9629632081196178E-12</v>
      </c>
      <c r="X26" s="268">
        <f t="shared" si="3"/>
        <v>-8.5353946133182035E-13</v>
      </c>
    </row>
    <row r="27" spans="2:24" x14ac:dyDescent="0.2">
      <c r="B27" s="1149" t="s">
        <v>46</v>
      </c>
      <c r="C27" s="411">
        <f>TableB4!B27</f>
        <v>24.191275703023997</v>
      </c>
      <c r="D27" s="1322">
        <f>TableB4!C27</f>
        <v>12.265056118767999</v>
      </c>
      <c r="E27" s="1323">
        <f>TableB4!H27</f>
        <v>0.50577551005228993</v>
      </c>
      <c r="F27" s="1323">
        <f>TableB4!M27</f>
        <v>11.420444074204001</v>
      </c>
      <c r="G27" s="1324">
        <f>TableB3!B27</f>
        <v>94.342008375046987</v>
      </c>
      <c r="H27" s="1322">
        <f>TableB3!C27</f>
        <v>49.686658848633002</v>
      </c>
      <c r="I27" s="1325">
        <f>TableB3!H27</f>
        <v>1.3660897354844002</v>
      </c>
      <c r="J27" s="1323">
        <f>TableB3!M27</f>
        <v>43.290086221502001</v>
      </c>
      <c r="K27" s="1200">
        <v>205.56016597510001</v>
      </c>
      <c r="L27" s="1194">
        <v>176.20746887966999</v>
      </c>
      <c r="M27" s="1194">
        <v>29.352697095436</v>
      </c>
      <c r="N27" s="1200">
        <v>1260.1825726141001</v>
      </c>
      <c r="O27" s="1194">
        <v>1148.2074688796999</v>
      </c>
      <c r="P27" s="1326">
        <v>111.97510373444</v>
      </c>
      <c r="Q27" s="954"/>
      <c r="R27" s="954"/>
      <c r="S27" s="479">
        <f t="shared" si="0"/>
        <v>-2.9309887850104133E-13</v>
      </c>
      <c r="T27" s="479">
        <f t="shared" si="1"/>
        <v>-8.2643057241682527E-4</v>
      </c>
      <c r="U27" s="480">
        <f>G27-C27-(TableB3!B27-TableB4!B27)</f>
        <v>0</v>
      </c>
      <c r="V27" s="480">
        <f>G27-C27-TableB1!G29</f>
        <v>0</v>
      </c>
      <c r="W27" s="268">
        <f t="shared" si="2"/>
        <v>-5.9827698351000436E-12</v>
      </c>
      <c r="X27" s="268">
        <f t="shared" si="3"/>
        <v>-3.986144747614162E-11</v>
      </c>
    </row>
    <row r="28" spans="2:24" x14ac:dyDescent="0.2">
      <c r="B28" s="1148" t="s">
        <v>47</v>
      </c>
      <c r="C28" s="408">
        <v>2.2611056400176999</v>
      </c>
      <c r="D28" s="1320">
        <v>0.68829151943462996</v>
      </c>
      <c r="E28" s="1318">
        <v>0.17891077738516001</v>
      </c>
      <c r="F28" s="1318">
        <v>1.3939033431979</v>
      </c>
      <c r="G28" s="1319">
        <v>-0.123834732</v>
      </c>
      <c r="H28" s="1320">
        <v>3.7789467299999999</v>
      </c>
      <c r="I28" s="1321">
        <v>0.42332999999999998</v>
      </c>
      <c r="J28" s="1318">
        <v>-4.3261114620000001</v>
      </c>
      <c r="K28" s="1200">
        <v>169.65899999999999</v>
      </c>
      <c r="L28" s="1153">
        <v>161.56899999999999</v>
      </c>
      <c r="M28" s="1153">
        <v>8.09</v>
      </c>
      <c r="N28" s="1200">
        <v>276.15319290000002</v>
      </c>
      <c r="O28" s="1153">
        <v>237.2694137</v>
      </c>
      <c r="P28" s="1186">
        <v>38.883779260000004</v>
      </c>
      <c r="Q28" s="954"/>
      <c r="R28" s="954"/>
      <c r="S28" s="479">
        <f t="shared" si="0"/>
        <v>9.9920072216264089E-15</v>
      </c>
      <c r="T28" s="479">
        <f t="shared" si="1"/>
        <v>0</v>
      </c>
      <c r="U28" s="480">
        <f>G28-C28-(TableB3!B28-TableB4!B28)</f>
        <v>-2.577140372017698</v>
      </c>
      <c r="V28" s="480">
        <f>G28-C28-TableB1!G30</f>
        <v>0</v>
      </c>
      <c r="W28" s="268">
        <f t="shared" si="2"/>
        <v>0</v>
      </c>
      <c r="X28" s="268">
        <f t="shared" si="3"/>
        <v>-5.9999983648140187E-8</v>
      </c>
    </row>
    <row r="29" spans="2:24" x14ac:dyDescent="0.2">
      <c r="B29" s="1148" t="s">
        <v>48</v>
      </c>
      <c r="C29" s="408">
        <v>1.1514143094842</v>
      </c>
      <c r="D29" s="1320">
        <v>0.62229617304493001</v>
      </c>
      <c r="E29" s="1318">
        <v>5.3244592346090004E-2</v>
      </c>
      <c r="F29" s="1318">
        <v>0.47587354409318</v>
      </c>
      <c r="G29" s="1319">
        <v>0.15307820299501002</v>
      </c>
      <c r="H29" s="1320">
        <v>8.7631724902939995E-2</v>
      </c>
      <c r="I29" s="1321">
        <v>6.6555740432611993E-3</v>
      </c>
      <c r="J29" s="1318">
        <v>5.8790904048808004E-2</v>
      </c>
      <c r="K29" s="1200">
        <v>14.74251497006</v>
      </c>
      <c r="L29" s="1153">
        <v>11.890038105606999</v>
      </c>
      <c r="M29" s="1153">
        <v>2.8524768644528997</v>
      </c>
      <c r="N29" s="1200">
        <v>1.4240609689710999</v>
      </c>
      <c r="O29" s="1153">
        <v>1.0223189983669001</v>
      </c>
      <c r="P29" s="1186">
        <v>0.40174197060424999</v>
      </c>
      <c r="Q29" s="954"/>
      <c r="R29" s="954"/>
      <c r="S29" s="479">
        <f t="shared" si="0"/>
        <v>0</v>
      </c>
      <c r="T29" s="479">
        <f t="shared" si="1"/>
        <v>8.1878948066105295E-16</v>
      </c>
      <c r="U29" s="480">
        <f>G29-C29-(TableB3!B29-TableB4!B29)</f>
        <v>-2.2185246811400328E-3</v>
      </c>
      <c r="V29" s="480">
        <f>G29-C29-TableB1!G31</f>
        <v>0</v>
      </c>
      <c r="W29" s="268">
        <f t="shared" si="2"/>
        <v>1.0125233984581428E-13</v>
      </c>
      <c r="X29" s="268">
        <f t="shared" si="3"/>
        <v>-5.0182080713057076E-14</v>
      </c>
    </row>
    <row r="30" spans="2:24" x14ac:dyDescent="0.2">
      <c r="B30" s="1148" t="s">
        <v>49</v>
      </c>
      <c r="C30" s="408">
        <v>64.729894620077999</v>
      </c>
      <c r="D30" s="1320">
        <v>54.794231835829002</v>
      </c>
      <c r="E30" s="1318">
        <v>1.6217415418747001</v>
      </c>
      <c r="F30" s="1318">
        <v>8.3139212423738016</v>
      </c>
      <c r="G30" s="1319">
        <v>90.370493621742</v>
      </c>
      <c r="H30" s="1320">
        <v>77.974486966168001</v>
      </c>
      <c r="I30" s="1321">
        <v>16.733222407099003</v>
      </c>
      <c r="J30" s="1318">
        <v>-4.3372157515251999</v>
      </c>
      <c r="K30" s="1200">
        <v>3669.8345127926</v>
      </c>
      <c r="L30" s="1153">
        <v>3345.5405552531001</v>
      </c>
      <c r="M30" s="1153">
        <v>324.29395753947</v>
      </c>
      <c r="N30" s="1200">
        <v>4383.9096352749002</v>
      </c>
      <c r="O30" s="1153">
        <v>4126.2917800761998</v>
      </c>
      <c r="P30" s="1186">
        <v>257.61785519868999</v>
      </c>
      <c r="Q30" s="954"/>
      <c r="R30" s="954"/>
      <c r="S30" s="479">
        <f t="shared" si="0"/>
        <v>4.9560355819266988E-13</v>
      </c>
      <c r="T30" s="479">
        <f t="shared" si="1"/>
        <v>1.9539925233402755E-13</v>
      </c>
      <c r="U30" s="480">
        <f>G30-C30-(TableB3!B30-TableB4!B30)</f>
        <v>4.007461029686965E-12</v>
      </c>
      <c r="V30" s="480">
        <f>G30-C30-TableB1!G32</f>
        <v>0</v>
      </c>
      <c r="W30" s="268">
        <f t="shared" si="2"/>
        <v>2.9842794901924208E-11</v>
      </c>
      <c r="X30" s="268">
        <f t="shared" si="3"/>
        <v>1.0459189070388675E-11</v>
      </c>
    </row>
    <row r="31" spans="2:24" x14ac:dyDescent="0.2">
      <c r="B31" s="1148" t="s">
        <v>50</v>
      </c>
      <c r="C31" s="408">
        <f>+TableB10!$E$31/1000</f>
        <v>16.3</v>
      </c>
      <c r="D31" s="1320">
        <v>5.4101154658999997</v>
      </c>
      <c r="E31" s="1321">
        <f>+C31-D31-F31</f>
        <v>0.151843042200003</v>
      </c>
      <c r="F31" s="1327">
        <v>10.738041491899999</v>
      </c>
      <c r="G31" s="1319">
        <f>+TableB10!$N$31/1000</f>
        <v>4.55</v>
      </c>
      <c r="H31" s="1320">
        <v>1.7385203</v>
      </c>
      <c r="I31" s="1321">
        <f>+G31-H31-J31</f>
        <v>0.55294680999999946</v>
      </c>
      <c r="J31" s="1321">
        <v>2.2585328900000001</v>
      </c>
      <c r="K31" s="1200">
        <v>509</v>
      </c>
      <c r="L31" s="1153">
        <v>398</v>
      </c>
      <c r="M31" s="1153">
        <f>+K31-L31</f>
        <v>111</v>
      </c>
      <c r="N31" s="1200">
        <v>146</v>
      </c>
      <c r="O31" s="1153">
        <v>135</v>
      </c>
      <c r="P31" s="1186">
        <f>+N31-O31</f>
        <v>11</v>
      </c>
      <c r="Q31" s="954"/>
      <c r="R31" s="954"/>
      <c r="S31" s="479">
        <f t="shared" si="0"/>
        <v>0</v>
      </c>
      <c r="T31" s="479">
        <f t="shared" si="1"/>
        <v>0</v>
      </c>
      <c r="U31" s="480">
        <f>G31-C31-(TableB3!B31-TableB4!B31)</f>
        <v>-11.75</v>
      </c>
      <c r="V31" s="480">
        <f>G31-C31-TableB1!G33</f>
        <v>0</v>
      </c>
      <c r="W31" s="268">
        <f t="shared" si="2"/>
        <v>0</v>
      </c>
      <c r="X31" s="268">
        <f t="shared" si="3"/>
        <v>0</v>
      </c>
    </row>
    <row r="32" spans="2:24" x14ac:dyDescent="0.2">
      <c r="B32" s="1148" t="s">
        <v>51</v>
      </c>
      <c r="C32" s="408">
        <v>181.21020521353</v>
      </c>
      <c r="D32" s="1320">
        <v>118.95507487521</v>
      </c>
      <c r="E32" s="1321">
        <v>20.098724348308</v>
      </c>
      <c r="F32" s="1318">
        <v>42.155296727676003</v>
      </c>
      <c r="G32" s="1319">
        <v>213.43760399333999</v>
      </c>
      <c r="H32" s="1320">
        <v>172.83638380477001</v>
      </c>
      <c r="I32" s="1321">
        <v>41.328896283970998</v>
      </c>
      <c r="J32" s="1318">
        <v>-0.72767609539655997</v>
      </c>
      <c r="K32" s="1200">
        <v>4020.7969515514001</v>
      </c>
      <c r="L32" s="1153">
        <v>3033.1836690256</v>
      </c>
      <c r="M32" s="1153">
        <v>987.61328252585997</v>
      </c>
      <c r="N32" s="1200">
        <v>4936.9571039739003</v>
      </c>
      <c r="O32" s="1153">
        <v>3645.9225911813</v>
      </c>
      <c r="P32" s="1186">
        <v>1291.0345127926</v>
      </c>
      <c r="Q32" s="954"/>
      <c r="R32" s="954"/>
      <c r="S32" s="479">
        <f t="shared" si="0"/>
        <v>1.1092623360013931E-3</v>
      </c>
      <c r="T32" s="479">
        <f t="shared" si="1"/>
        <v>-4.4557690870306033E-12</v>
      </c>
      <c r="U32" s="480">
        <f>G32-C32-(TableB3!B32-TableB4!B32)</f>
        <v>-3.3277870002734744E-4</v>
      </c>
      <c r="V32" s="480">
        <f>G32-C32-TableB1!G34</f>
        <v>0</v>
      </c>
      <c r="W32" s="268">
        <f t="shared" si="2"/>
        <v>-5.9912963479291648E-11</v>
      </c>
      <c r="X32" s="268">
        <f t="shared" si="3"/>
        <v>0</v>
      </c>
    </row>
    <row r="33" spans="1:24" x14ac:dyDescent="0.2">
      <c r="A33" s="954"/>
      <c r="B33" s="1148" t="s">
        <v>52</v>
      </c>
      <c r="C33" s="408">
        <v>5.8876028447914992</v>
      </c>
      <c r="D33" s="1320">
        <v>4.2455724445684</v>
      </c>
      <c r="E33" s="1318">
        <v>0.64286710361176991</v>
      </c>
      <c r="F33" s="1318">
        <v>0.99846604378747994</v>
      </c>
      <c r="G33" s="1319">
        <v>0.51108631989960007</v>
      </c>
      <c r="H33" s="1320">
        <v>0.50760005578022993</v>
      </c>
      <c r="I33" s="1321">
        <v>1.5339562125227E-2</v>
      </c>
      <c r="J33" s="1318">
        <v>-1.3247803653605001E-2</v>
      </c>
      <c r="K33" s="1200">
        <v>66.604807231390993</v>
      </c>
      <c r="L33" s="1153">
        <v>44.933917688146003</v>
      </c>
      <c r="M33" s="1153">
        <v>21.670889543245</v>
      </c>
      <c r="N33" s="1200">
        <v>17.025953571184001</v>
      </c>
      <c r="O33" s="1153">
        <v>13.527357392317001</v>
      </c>
      <c r="P33" s="1186">
        <v>3.4985961788674</v>
      </c>
      <c r="Q33" s="954"/>
      <c r="R33" s="954"/>
      <c r="S33" s="479">
        <f t="shared" si="0"/>
        <v>6.9725282384935916E-4</v>
      </c>
      <c r="T33" s="479">
        <f t="shared" si="1"/>
        <v>1.3945056477481423E-3</v>
      </c>
      <c r="U33" s="479">
        <f>G33-C33-(TableB3!B33-TableB4!B33)</f>
        <v>-6.9725282387977927E-4</v>
      </c>
      <c r="V33" s="480">
        <f>G33-C33-TableB1!G35</f>
        <v>0</v>
      </c>
      <c r="W33" s="268">
        <f t="shared" si="2"/>
        <v>0</v>
      </c>
      <c r="X33" s="268">
        <f t="shared" si="3"/>
        <v>-3.9968028886505635E-13</v>
      </c>
    </row>
    <row r="34" spans="1:24" x14ac:dyDescent="0.2">
      <c r="A34" s="954"/>
      <c r="B34" s="1074" t="s">
        <v>53</v>
      </c>
      <c r="C34" s="408">
        <v>6.0380938209143995</v>
      </c>
      <c r="D34" s="1320">
        <v>5.170070557891</v>
      </c>
      <c r="E34" s="1318">
        <v>2.1895266793150001</v>
      </c>
      <c r="F34" s="1318">
        <v>-1.3215034162916</v>
      </c>
      <c r="G34" s="1319">
        <v>9.0784073013156998</v>
      </c>
      <c r="H34" s="1320">
        <v>7.1363912552856004</v>
      </c>
      <c r="I34" s="1321">
        <v>0.45112409012561999</v>
      </c>
      <c r="J34" s="1318">
        <v>1.4907679525811</v>
      </c>
      <c r="K34" s="1200">
        <v>149.47309875142</v>
      </c>
      <c r="L34" s="1153">
        <v>99.822701475595991</v>
      </c>
      <c r="M34" s="1153">
        <v>49.650397275823003</v>
      </c>
      <c r="N34" s="1200">
        <v>174.38751418842</v>
      </c>
      <c r="O34" s="1153">
        <v>178.80885357547999</v>
      </c>
      <c r="P34" s="1186">
        <v>-4.4213393870602005</v>
      </c>
      <c r="Q34" s="954"/>
      <c r="R34" s="954"/>
      <c r="S34" s="479">
        <f t="shared" si="0"/>
        <v>0</v>
      </c>
      <c r="T34" s="479">
        <f t="shared" si="1"/>
        <v>1.2400332337958453E-4</v>
      </c>
      <c r="U34" s="479">
        <f>G34-C34-(TableB3!B34-TableB4!B34)</f>
        <v>1.0230274171352018</v>
      </c>
      <c r="V34" s="480">
        <f>G34-C34-TableB1!G36</f>
        <v>0</v>
      </c>
      <c r="W34" s="268">
        <f t="shared" si="2"/>
        <v>1.0018652574217413E-12</v>
      </c>
      <c r="X34" s="268">
        <f t="shared" si="3"/>
        <v>2.1316282072803006E-13</v>
      </c>
    </row>
    <row r="35" spans="1:24" x14ac:dyDescent="0.2">
      <c r="A35" s="954"/>
      <c r="B35" s="1148" t="s">
        <v>54</v>
      </c>
      <c r="C35" s="408">
        <v>18.178345976340999</v>
      </c>
      <c r="D35" s="1320">
        <v>7.9880112460876997</v>
      </c>
      <c r="E35" s="1318">
        <v>2.1004721234948001</v>
      </c>
      <c r="F35" s="1318">
        <v>8.0898626067583006</v>
      </c>
      <c r="G35" s="1319">
        <v>0.71903347302530007</v>
      </c>
      <c r="H35" s="1320">
        <v>0.69948543843827993</v>
      </c>
      <c r="I35" s="1321">
        <v>3.7398546496207E-3</v>
      </c>
      <c r="J35" s="1318">
        <v>1.5808179937404E-2</v>
      </c>
      <c r="K35" s="1200">
        <v>185.17692445719999</v>
      </c>
      <c r="L35" s="1153">
        <v>139.13101432929</v>
      </c>
      <c r="M35" s="1153">
        <v>46.045910127912997</v>
      </c>
      <c r="N35" s="1200">
        <v>23.588628848273999</v>
      </c>
      <c r="O35" s="1153">
        <v>25.205070364769</v>
      </c>
      <c r="P35" s="1186">
        <v>-1.6164415164953001</v>
      </c>
      <c r="Q35" s="954"/>
      <c r="R35" s="954"/>
      <c r="S35" s="479">
        <f t="shared" si="0"/>
        <v>1.9895196601282805E-13</v>
      </c>
      <c r="T35" s="479">
        <f t="shared" si="1"/>
        <v>-4.5519144009631418E-15</v>
      </c>
      <c r="U35" s="479">
        <f>G35-C35-(TableB3!B35-TableB4!B35)</f>
        <v>-1.0302869668521453E-13</v>
      </c>
      <c r="V35" s="480">
        <f>G35-C35-TableB1!G37</f>
        <v>0</v>
      </c>
      <c r="W35" s="268">
        <f t="shared" si="2"/>
        <v>-3.0055957722652238E-12</v>
      </c>
      <c r="X35" s="268">
        <f t="shared" si="3"/>
        <v>2.9864999362416711E-13</v>
      </c>
    </row>
    <row r="36" spans="1:24" x14ac:dyDescent="0.2">
      <c r="A36" s="954"/>
      <c r="B36" s="1148" t="s">
        <v>55</v>
      </c>
      <c r="C36" s="408">
        <v>4.8574597892401998</v>
      </c>
      <c r="D36" s="1320">
        <v>3.1136993899057002</v>
      </c>
      <c r="E36" s="1318">
        <v>0.75873544093178003</v>
      </c>
      <c r="F36" s="1318">
        <v>0.98502495840266002</v>
      </c>
      <c r="G36" s="1319">
        <v>1.9123682750971001</v>
      </c>
      <c r="H36" s="1320">
        <v>1.3255684969495001</v>
      </c>
      <c r="I36" s="1321">
        <v>-0.12534664448141999</v>
      </c>
      <c r="J36" s="1318">
        <v>0.71214642262895</v>
      </c>
      <c r="K36" s="1200">
        <v>117.18018508438</v>
      </c>
      <c r="L36" s="1153">
        <v>104.49319542733001</v>
      </c>
      <c r="M36" s="1153">
        <v>12.686989657050001</v>
      </c>
      <c r="N36" s="1200">
        <v>56.708764289603003</v>
      </c>
      <c r="O36" s="1153">
        <v>61.250952640173999</v>
      </c>
      <c r="P36" s="1186">
        <v>-4.5421883505715996</v>
      </c>
      <c r="Q36" s="954"/>
      <c r="R36" s="954"/>
      <c r="S36" s="479">
        <f t="shared" si="0"/>
        <v>5.9618976422370906E-14</v>
      </c>
      <c r="T36" s="479">
        <f t="shared" si="1"/>
        <v>6.9944050551384862E-14</v>
      </c>
      <c r="U36" s="479">
        <f>G36-C36-(TableB3!B36-TableB4!B36)</f>
        <v>1.109262340600381E-3</v>
      </c>
      <c r="V36" s="480">
        <f>G36-C36-TableB1!G38</f>
        <v>0</v>
      </c>
      <c r="W36" s="268">
        <f t="shared" si="2"/>
        <v>0</v>
      </c>
      <c r="X36" s="268">
        <f t="shared" si="3"/>
        <v>6.0396132539608516E-13</v>
      </c>
    </row>
    <row r="37" spans="1:24" x14ac:dyDescent="0.2">
      <c r="A37" s="954"/>
      <c r="B37" s="1148" t="s">
        <v>336</v>
      </c>
      <c r="C37" s="408">
        <v>4.4209847509705993</v>
      </c>
      <c r="D37" s="1320">
        <v>3.3260375463117002</v>
      </c>
      <c r="E37" s="1318">
        <v>0.30803216860788002</v>
      </c>
      <c r="F37" s="1318">
        <v>0.78691503605103008</v>
      </c>
      <c r="G37" s="1319">
        <v>0.35041336661119998</v>
      </c>
      <c r="H37" s="1320">
        <v>0.30484747642818</v>
      </c>
      <c r="I37" s="1321">
        <v>1.5254575707155001E-2</v>
      </c>
      <c r="J37" s="1318">
        <v>3.0311314475873999E-2</v>
      </c>
      <c r="K37" s="1200">
        <v>46.015734349482997</v>
      </c>
      <c r="L37" s="1153">
        <v>39.104869896570001</v>
      </c>
      <c r="M37" s="1153">
        <v>6.9108644529124001</v>
      </c>
      <c r="N37" s="1200">
        <v>2.4622449646161999</v>
      </c>
      <c r="O37" s="1153">
        <v>1.8875068045727001</v>
      </c>
      <c r="P37" s="1186">
        <v>0.57473816004355005</v>
      </c>
      <c r="Q37" s="954"/>
      <c r="R37" s="954"/>
      <c r="S37" s="479">
        <f t="shared" si="0"/>
        <v>-1.099120794378905E-14</v>
      </c>
      <c r="T37" s="479">
        <f t="shared" si="1"/>
        <v>-9.0136231811754897E-15</v>
      </c>
      <c r="U37" s="479">
        <f>G37-C37-(TableB3!B37-TableB4!B37)</f>
        <v>2.042810365310288E-14</v>
      </c>
      <c r="V37" s="480">
        <f>G37-C37-TableB1!G39</f>
        <v>0</v>
      </c>
      <c r="W37" s="268">
        <f t="shared" si="2"/>
        <v>5.9596771961878403E-13</v>
      </c>
      <c r="X37" s="268">
        <f t="shared" si="3"/>
        <v>-5.0293103015519591E-14</v>
      </c>
    </row>
    <row r="38" spans="1:24" x14ac:dyDescent="0.2">
      <c r="A38" s="954"/>
      <c r="B38" s="1074" t="s">
        <v>57</v>
      </c>
      <c r="C38" s="408">
        <v>1.0781763727120999</v>
      </c>
      <c r="D38" s="1320">
        <v>0.53209095951191998</v>
      </c>
      <c r="E38" s="1318">
        <v>5.6714364947310004E-2</v>
      </c>
      <c r="F38" s="1318">
        <v>0.48937104825291</v>
      </c>
      <c r="G38" s="1319">
        <v>5.5168053244592001E-2</v>
      </c>
      <c r="H38" s="1320">
        <v>9.5288962839711999E-2</v>
      </c>
      <c r="I38" s="1321">
        <v>3.3369938990571002E-2</v>
      </c>
      <c r="J38" s="1318">
        <v>-7.3490848585690993E-2</v>
      </c>
      <c r="K38" s="1200">
        <v>12.642377789874999</v>
      </c>
      <c r="L38" s="1153">
        <v>10.673601524223999</v>
      </c>
      <c r="M38" s="1153">
        <v>1.9687762656504999</v>
      </c>
      <c r="N38" s="1200">
        <v>5.9971965160587999</v>
      </c>
      <c r="O38" s="1153">
        <v>4.3100827436036999</v>
      </c>
      <c r="P38" s="1186">
        <v>1.6871137724551</v>
      </c>
      <c r="Q38" s="954"/>
      <c r="R38" s="954"/>
      <c r="S38" s="479">
        <f t="shared" si="0"/>
        <v>-4.0134562340199409E-14</v>
      </c>
      <c r="T38" s="479">
        <f t="shared" si="1"/>
        <v>0</v>
      </c>
      <c r="U38" s="479">
        <f>G38-C38-(TableB3!B38-TableB4!B38)</f>
        <v>-2.2185246377759427E-6</v>
      </c>
      <c r="V38" s="480">
        <f>G38-C38-TableB1!G40</f>
        <v>0</v>
      </c>
      <c r="W38" s="268">
        <f t="shared" si="2"/>
        <v>5.0004445029117051E-13</v>
      </c>
      <c r="X38" s="268">
        <f t="shared" si="3"/>
        <v>0</v>
      </c>
    </row>
    <row r="39" spans="1:24" x14ac:dyDescent="0.2">
      <c r="A39" s="954"/>
      <c r="B39" s="1148" t="s">
        <v>58</v>
      </c>
      <c r="C39" s="408">
        <v>21.338879645035998</v>
      </c>
      <c r="D39" s="1322">
        <f>C39-E39-F39</f>
        <v>12.759955629506329</v>
      </c>
      <c r="E39" s="1323">
        <v>3.1103716028840998</v>
      </c>
      <c r="F39" s="1325">
        <f>0.3*(C39-E39)</f>
        <v>5.4685524126455691</v>
      </c>
      <c r="G39" s="1324">
        <v>30.208541320022</v>
      </c>
      <c r="H39" s="1322">
        <f>G39-I39-J39</f>
        <v>22.06999445368816</v>
      </c>
      <c r="I39" s="1325">
        <v>-1.3200221852468002</v>
      </c>
      <c r="J39" s="1325">
        <f>0.3*(G39-I39)</f>
        <v>9.4585690515806391</v>
      </c>
      <c r="K39" s="1200">
        <v>543.89874795863</v>
      </c>
      <c r="L39" s="1153">
        <v>450.21556886228001</v>
      </c>
      <c r="M39" s="1153">
        <v>93.683179096352987</v>
      </c>
      <c r="N39" s="1200">
        <v>492.51388132824997</v>
      </c>
      <c r="O39" s="1153">
        <v>532.58464888405001</v>
      </c>
      <c r="P39" s="1186">
        <v>-40.069678824169998</v>
      </c>
      <c r="Q39" s="954"/>
      <c r="R39" s="954"/>
      <c r="S39" s="479">
        <f t="shared" si="0"/>
        <v>0</v>
      </c>
      <c r="T39" s="479">
        <f t="shared" si="1"/>
        <v>0</v>
      </c>
      <c r="U39" s="479">
        <f>G39-C39-(TableB3!B39-TableB4!B39)</f>
        <v>1.109262339998196E-3</v>
      </c>
      <c r="V39" s="480">
        <f>G39-C39-TableB1!G41</f>
        <v>0</v>
      </c>
      <c r="W39" s="268">
        <f t="shared" si="2"/>
        <v>-2.9984903449076228E-12</v>
      </c>
      <c r="X39" s="268">
        <f t="shared" si="3"/>
        <v>-1.0887316300483008E-3</v>
      </c>
    </row>
    <row r="40" spans="1:24" x14ac:dyDescent="0.2">
      <c r="A40" s="954"/>
      <c r="B40" s="1148" t="s">
        <v>59</v>
      </c>
      <c r="C40" s="408">
        <v>20.771594319813001</v>
      </c>
      <c r="D40" s="1322">
        <v>13.67563142847</v>
      </c>
      <c r="E40" s="1323">
        <v>1.6201819842692</v>
      </c>
      <c r="F40" s="1323">
        <v>5.4757809070740997</v>
      </c>
      <c r="G40" s="1324">
        <v>28.633219840319001</v>
      </c>
      <c r="H40" s="1322">
        <v>20.092415740334001</v>
      </c>
      <c r="I40" s="1325">
        <v>1.4676189007390998</v>
      </c>
      <c r="J40" s="1323">
        <v>7.0730665654325007</v>
      </c>
      <c r="K40" s="1200">
        <v>302.68955549237</v>
      </c>
      <c r="L40" s="1153">
        <v>244.29817078950001</v>
      </c>
      <c r="M40" s="1153">
        <v>58.391384702871996</v>
      </c>
      <c r="N40" s="1200">
        <v>374.40183394938998</v>
      </c>
      <c r="O40" s="1153">
        <v>344.20576248697</v>
      </c>
      <c r="P40" s="1186">
        <v>30.196071462421003</v>
      </c>
      <c r="Q40" s="954"/>
      <c r="R40" s="954"/>
      <c r="S40" s="479">
        <f t="shared" si="0"/>
        <v>-2.9842794901924208E-13</v>
      </c>
      <c r="T40" s="479">
        <f t="shared" si="1"/>
        <v>1.1863381339871637E-4</v>
      </c>
      <c r="U40" s="479">
        <f>G40-C40-(TableB3!B40-TableB4!B40)</f>
        <v>0</v>
      </c>
      <c r="V40" s="480">
        <f>G40-C40-TableB1!G42</f>
        <v>0</v>
      </c>
      <c r="W40" s="268">
        <f t="shared" si="2"/>
        <v>-1.9966250874858815E-12</v>
      </c>
      <c r="X40" s="268">
        <f t="shared" si="3"/>
        <v>-1.0231815394945443E-12</v>
      </c>
    </row>
    <row r="41" spans="1:24" x14ac:dyDescent="0.2">
      <c r="A41" s="954"/>
      <c r="B41" s="1148" t="s">
        <v>60</v>
      </c>
      <c r="C41" s="408">
        <v>60.637403417950004</v>
      </c>
      <c r="D41" s="1322">
        <v>42.610408115972</v>
      </c>
      <c r="E41" s="1323">
        <v>1.2316350712808</v>
      </c>
      <c r="F41" s="1323">
        <v>16.795360230697</v>
      </c>
      <c r="G41" s="1324">
        <v>91.005563908596997</v>
      </c>
      <c r="H41" s="1322">
        <v>55.682380988169001</v>
      </c>
      <c r="I41" s="1325">
        <v>4.7816502593498003</v>
      </c>
      <c r="J41" s="1323">
        <v>30.541532661079</v>
      </c>
      <c r="K41" s="1200">
        <v>886.72579101573001</v>
      </c>
      <c r="L41" s="1153">
        <v>864.70592575345006</v>
      </c>
      <c r="M41" s="1153">
        <v>22.019865262281002</v>
      </c>
      <c r="N41" s="1200">
        <v>1136.6492673456</v>
      </c>
      <c r="O41" s="1153">
        <v>1013.7179756682</v>
      </c>
      <c r="P41" s="1186">
        <v>122.93129167743</v>
      </c>
      <c r="Q41" s="954"/>
      <c r="R41" s="954"/>
      <c r="S41" s="479">
        <f t="shared" si="0"/>
        <v>2.0605739337042905E-13</v>
      </c>
      <c r="T41" s="479">
        <f t="shared" si="1"/>
        <v>-8.0291329140891321E-13</v>
      </c>
      <c r="U41" s="479">
        <f>G41-C41-(TableB3!B41-TableB4!B41)</f>
        <v>-3.117530006591096E-6</v>
      </c>
      <c r="V41" s="480">
        <f>G41-C41-TableB1!G43</f>
        <v>0</v>
      </c>
      <c r="W41" s="268">
        <f t="shared" si="2"/>
        <v>-1.0516032489249483E-12</v>
      </c>
      <c r="X41" s="268">
        <f t="shared" si="3"/>
        <v>-2.9942270884930622E-11</v>
      </c>
    </row>
    <row r="42" spans="1:24" x14ac:dyDescent="0.2">
      <c r="A42" s="954"/>
      <c r="B42" s="1148" t="s">
        <v>61</v>
      </c>
      <c r="C42" s="408">
        <v>3.5422699999999998</v>
      </c>
      <c r="D42" s="1322">
        <v>3.0356700000000001</v>
      </c>
      <c r="E42" s="1323">
        <v>0.14249000000000001</v>
      </c>
      <c r="F42" s="1323">
        <v>0.36410999999999999</v>
      </c>
      <c r="G42" s="1324">
        <v>0.22309999999999999</v>
      </c>
      <c r="H42" s="1322">
        <v>0.18555000000000002</v>
      </c>
      <c r="I42" s="1325">
        <v>2.4300000000000003E-3</v>
      </c>
      <c r="J42" s="1323">
        <v>3.5119999999999998E-2</v>
      </c>
      <c r="K42" s="1200">
        <v>155.87943999999999</v>
      </c>
      <c r="L42" s="1153">
        <v>147.58715000000001</v>
      </c>
      <c r="M42" s="1153">
        <v>8.2922900000000013</v>
      </c>
      <c r="N42" s="1200">
        <v>35.602179999999997</v>
      </c>
      <c r="O42" s="1153">
        <v>27.671020000000002</v>
      </c>
      <c r="P42" s="1186">
        <v>7.9311499999999997</v>
      </c>
      <c r="Q42" s="954"/>
      <c r="R42" s="954"/>
      <c r="S42" s="479">
        <f t="shared" si="0"/>
        <v>0</v>
      </c>
      <c r="T42" s="479">
        <f t="shared" si="1"/>
        <v>0</v>
      </c>
      <c r="U42" s="479">
        <f>G42-C42-(TableB3!B42-TableB4!B42)</f>
        <v>0</v>
      </c>
      <c r="V42" s="480">
        <f>G42-C42-TableB1!G44</f>
        <v>0</v>
      </c>
      <c r="W42" s="268">
        <f t="shared" si="2"/>
        <v>-2.1316282072803006E-14</v>
      </c>
      <c r="X42" s="268">
        <f t="shared" si="3"/>
        <v>9.9999999951805307E-6</v>
      </c>
    </row>
    <row r="43" spans="1:24" x14ac:dyDescent="0.2">
      <c r="A43" s="954"/>
      <c r="B43" s="1148" t="s">
        <v>62</v>
      </c>
      <c r="C43" s="408">
        <v>73.139801375095004</v>
      </c>
      <c r="D43" s="1322">
        <f>$C43*D44/$C44</f>
        <v>23.188293992166898</v>
      </c>
      <c r="E43" s="1323">
        <f>$C43*E44/$C44</f>
        <v>12.867229803496533</v>
      </c>
      <c r="F43" s="1323">
        <f>$C43*F44/$C44</f>
        <v>37.084277579431578</v>
      </c>
      <c r="G43" s="1324">
        <v>87.032849503438001</v>
      </c>
      <c r="H43" s="1322">
        <f>H44/$G44*$G43</f>
        <v>25.654457417576545</v>
      </c>
      <c r="I43" s="1325">
        <f>I44/$G44*$G43</f>
        <v>1.9134500536697876</v>
      </c>
      <c r="J43" s="1323">
        <f>J44/$G44*$G43</f>
        <v>59.464942032191672</v>
      </c>
      <c r="K43" s="1200">
        <v>1408.0097806758001</v>
      </c>
      <c r="L43" s="1153">
        <v>1430</v>
      </c>
      <c r="M43" s="1153">
        <f>+K43-L43</f>
        <v>-21.99021932419987</v>
      </c>
      <c r="N43" s="1200">
        <v>1557.4481327801</v>
      </c>
      <c r="O43" s="1153">
        <v>1640</v>
      </c>
      <c r="P43" s="1186">
        <f>+N43-O43</f>
        <v>-82.551867219900032</v>
      </c>
      <c r="Q43" s="954"/>
      <c r="R43" s="954"/>
      <c r="S43" s="479">
        <f t="shared" si="0"/>
        <v>0</v>
      </c>
      <c r="T43" s="479">
        <f t="shared" si="1"/>
        <v>0</v>
      </c>
      <c r="U43" s="479">
        <f>G43-C43-(TableB3!B43-TableB4!B43)</f>
        <v>9.9475983006414026E-13</v>
      </c>
      <c r="V43" s="480">
        <f>G43-C43-TableB1!G45</f>
        <v>0</v>
      </c>
      <c r="W43" s="268">
        <f t="shared" si="2"/>
        <v>0</v>
      </c>
      <c r="X43" s="268">
        <f t="shared" si="3"/>
        <v>0</v>
      </c>
    </row>
    <row r="44" spans="1:24" x14ac:dyDescent="0.2">
      <c r="A44" s="954"/>
      <c r="B44" s="1148" t="s">
        <v>63</v>
      </c>
      <c r="C44" s="408">
        <v>159.25399999999999</v>
      </c>
      <c r="D44" s="1320">
        <v>50.49</v>
      </c>
      <c r="E44" s="1318">
        <v>28.016999999999999</v>
      </c>
      <c r="F44" s="1318">
        <v>80.747</v>
      </c>
      <c r="G44" s="1319">
        <v>425.78300000000002</v>
      </c>
      <c r="H44" s="1320">
        <v>125.50700000000001</v>
      </c>
      <c r="I44" s="1321">
        <v>9.3610000000000007</v>
      </c>
      <c r="J44" s="1318">
        <v>290.91500000000002</v>
      </c>
      <c r="K44" s="1200">
        <v>5709.6580000000004</v>
      </c>
      <c r="L44" s="1153">
        <v>5076.42</v>
      </c>
      <c r="M44" s="1153">
        <v>633.23800000000006</v>
      </c>
      <c r="N44" s="1200">
        <v>6007.7730000000001</v>
      </c>
      <c r="O44" s="1153">
        <v>5787.9120000000003</v>
      </c>
      <c r="P44" s="1186">
        <v>219.86099999999999</v>
      </c>
      <c r="Q44" s="954"/>
      <c r="R44" s="954"/>
      <c r="S44" s="479">
        <f t="shared" si="0"/>
        <v>0</v>
      </c>
      <c r="T44" s="479">
        <f t="shared" si="1"/>
        <v>0</v>
      </c>
      <c r="U44" s="479">
        <f>G44-C44-(TableB3!B44-TableB4!B44)</f>
        <v>0</v>
      </c>
      <c r="V44" s="480">
        <f>G44-C44-TableB1!G46</f>
        <v>0</v>
      </c>
      <c r="W44" s="268">
        <f t="shared" si="2"/>
        <v>0</v>
      </c>
      <c r="X44" s="268">
        <f t="shared" si="3"/>
        <v>0</v>
      </c>
    </row>
    <row r="45" spans="1:24" ht="34" x14ac:dyDescent="0.2">
      <c r="A45" s="954"/>
      <c r="B45" s="7" t="s">
        <v>64</v>
      </c>
      <c r="C45" s="409"/>
      <c r="D45" s="410"/>
      <c r="E45" s="1321"/>
      <c r="F45" s="1321"/>
      <c r="G45" s="1319"/>
      <c r="H45" s="1320"/>
      <c r="I45" s="1321"/>
      <c r="J45" s="1328"/>
      <c r="K45" s="1200"/>
      <c r="L45" s="1153"/>
      <c r="M45" s="1153"/>
      <c r="N45" s="1200"/>
      <c r="O45" s="1153"/>
      <c r="P45" s="1186"/>
      <c r="Q45" s="954"/>
      <c r="R45" s="954"/>
      <c r="S45" s="479">
        <f>C45-D45-E45-F45</f>
        <v>0</v>
      </c>
      <c r="T45" s="479">
        <f>G45-H45-I45-J45</f>
        <v>0</v>
      </c>
      <c r="U45" s="479">
        <f>G45-C45-(TableB3!B45-TableB4!B45)</f>
        <v>0</v>
      </c>
      <c r="V45" s="480">
        <f>G45-C45-TableB1!G47</f>
        <v>0</v>
      </c>
      <c r="W45" s="268">
        <f t="shared" si="2"/>
        <v>0</v>
      </c>
      <c r="X45" s="268">
        <f t="shared" si="3"/>
        <v>0</v>
      </c>
    </row>
    <row r="46" spans="1:24" x14ac:dyDescent="0.2">
      <c r="A46" s="954" t="s">
        <v>65</v>
      </c>
      <c r="B46" s="1148" t="s">
        <v>371</v>
      </c>
      <c r="C46" s="409">
        <f>+(TableB10!E46+TableB10!I46)/1000</f>
        <v>28.6</v>
      </c>
      <c r="D46" s="1329">
        <v>16.713376362039998</v>
      </c>
      <c r="E46" s="1321">
        <v>4.7060989875599999</v>
      </c>
      <c r="F46" s="1318">
        <v>7.1451487725799998</v>
      </c>
      <c r="G46" s="1319">
        <f>(TableB10!N46+TableB10!R46)/1000</f>
        <v>7.2890531494999999</v>
      </c>
      <c r="H46" s="1320">
        <v>2.6669244664200003</v>
      </c>
      <c r="I46" s="1321">
        <v>0.11629095129</v>
      </c>
      <c r="J46" s="1318">
        <v>4.5058377317900007</v>
      </c>
      <c r="K46" s="1200">
        <v>460</v>
      </c>
      <c r="L46" s="1153">
        <v>393</v>
      </c>
      <c r="M46" s="1153">
        <v>67.326999999999998</v>
      </c>
      <c r="N46" s="1200">
        <v>145</v>
      </c>
      <c r="O46" s="1153">
        <v>259</v>
      </c>
      <c r="P46" s="1186">
        <f t="shared" ref="P46:P52" si="4">+N46-O46</f>
        <v>-114</v>
      </c>
      <c r="Q46" s="954"/>
      <c r="R46" s="954"/>
      <c r="S46" s="479">
        <f>C46-D46-E46-F46</f>
        <v>3.537587782000351E-2</v>
      </c>
      <c r="T46" s="479">
        <f>G46-H46-I46-J46</f>
        <v>0</v>
      </c>
      <c r="U46" s="479">
        <f>G46-C46-(TableB3!B46-TableB4!B46)</f>
        <v>0</v>
      </c>
      <c r="V46" s="480">
        <f>G46-C46-TableB1!G48</f>
        <v>0</v>
      </c>
      <c r="W46" s="268">
        <f t="shared" si="2"/>
        <v>-0.32699999999999818</v>
      </c>
      <c r="X46" s="268">
        <f t="shared" si="3"/>
        <v>0</v>
      </c>
    </row>
    <row r="47" spans="1:24" x14ac:dyDescent="0.2">
      <c r="A47" t="s">
        <v>337</v>
      </c>
      <c r="B47" s="1148" t="s">
        <v>66</v>
      </c>
      <c r="C47" s="409">
        <f>+(TableB10!E47+TableB10!I47)/1000</f>
        <v>129.19020003003806</v>
      </c>
      <c r="D47" s="1329">
        <f>0.7*C47</f>
        <v>90.433140021026631</v>
      </c>
      <c r="E47" s="1321">
        <v>0</v>
      </c>
      <c r="F47" s="1318">
        <f>C47-D47-E47</f>
        <v>38.757060009011425</v>
      </c>
      <c r="G47" s="1319">
        <f>(TableB10!N47+TableB10!R47)/1000</f>
        <v>94.634249003443642</v>
      </c>
      <c r="H47" s="1320">
        <f>0.3*G47</f>
        <v>28.390274701033093</v>
      </c>
      <c r="I47" s="1321">
        <v>0</v>
      </c>
      <c r="J47" s="1318">
        <f t="shared" ref="J47:J52" si="5">+G47-H47-I47</f>
        <v>66.24397430241055</v>
      </c>
      <c r="K47" s="1200">
        <v>2580</v>
      </c>
      <c r="L47" s="1153">
        <v>2390</v>
      </c>
      <c r="M47" s="1153">
        <f>+K47-L47</f>
        <v>190</v>
      </c>
      <c r="N47" s="1200">
        <v>517</v>
      </c>
      <c r="O47" s="1153">
        <v>461</v>
      </c>
      <c r="P47" s="1186">
        <f>+N47-O47</f>
        <v>56</v>
      </c>
      <c r="Q47" s="954"/>
      <c r="R47" s="954"/>
      <c r="S47" s="479">
        <f>C47-D47-E47-F47</f>
        <v>0</v>
      </c>
      <c r="T47" s="479">
        <f>G47-H47-I47-J47</f>
        <v>0</v>
      </c>
      <c r="U47" s="479">
        <f>G47-C47-(TableB3!B47-TableB4!B47)</f>
        <v>0</v>
      </c>
      <c r="V47" s="480">
        <f>G47-C47-TableB1!G49</f>
        <v>0</v>
      </c>
      <c r="W47" s="268">
        <f t="shared" si="2"/>
        <v>0</v>
      </c>
      <c r="X47" s="268">
        <f t="shared" si="3"/>
        <v>0</v>
      </c>
    </row>
    <row r="48" spans="1:24" x14ac:dyDescent="0.2">
      <c r="A48" s="954"/>
      <c r="B48" s="1148" t="s">
        <v>67</v>
      </c>
      <c r="C48" s="409">
        <f>+(TableB10!E48+TableB10!I48)/1000</f>
        <v>5.31</v>
      </c>
      <c r="D48" s="1329">
        <v>3.2548936231000001</v>
      </c>
      <c r="E48" s="1321">
        <v>0.51574077109999994</v>
      </c>
      <c r="F48" s="1318">
        <f>+C48-D48-E48</f>
        <v>1.5393656057999996</v>
      </c>
      <c r="G48" s="1319">
        <f>(TableB10!N48+TableB10!R48)/1000</f>
        <v>3.5615806026999999</v>
      </c>
      <c r="H48" s="410">
        <v>1.6547167199999999</v>
      </c>
      <c r="I48" s="1321">
        <v>2.8459282699999998E-2</v>
      </c>
      <c r="J48" s="1318">
        <f t="shared" si="5"/>
        <v>1.8784045999999999</v>
      </c>
      <c r="K48" s="1200">
        <v>37.6</v>
      </c>
      <c r="L48" s="1153">
        <v>36.5</v>
      </c>
      <c r="M48" s="1153">
        <f t="shared" ref="M48:M88" si="6">+K48-L48</f>
        <v>1.1000000000000014</v>
      </c>
      <c r="N48" s="1200">
        <v>18.3</v>
      </c>
      <c r="O48" s="1153">
        <v>18</v>
      </c>
      <c r="P48" s="1186">
        <f t="shared" si="4"/>
        <v>0.30000000000000071</v>
      </c>
      <c r="Q48" s="954"/>
      <c r="R48" s="954"/>
      <c r="S48" s="479">
        <f>C48-D48-E48-F48</f>
        <v>0</v>
      </c>
      <c r="T48" s="479">
        <f>G48-H48-I48-J48</f>
        <v>0</v>
      </c>
      <c r="U48" s="479">
        <f>G48-C48-(TableB3!B48-TableB4!B48)</f>
        <v>0</v>
      </c>
      <c r="V48" s="480">
        <f>G48-C48-TableB1!G50</f>
        <v>0</v>
      </c>
      <c r="W48" s="268">
        <f t="shared" si="2"/>
        <v>0</v>
      </c>
      <c r="X48" s="268">
        <f t="shared" si="3"/>
        <v>0</v>
      </c>
    </row>
    <row r="49" spans="1:24" x14ac:dyDescent="0.2">
      <c r="A49" s="954"/>
      <c r="B49" s="1148" t="s">
        <v>68</v>
      </c>
      <c r="C49" s="409">
        <f>+(TableB10!E49+TableB10!I49)/1000</f>
        <v>2.04</v>
      </c>
      <c r="D49" s="1329">
        <v>1.9856036526</v>
      </c>
      <c r="E49" s="1321">
        <v>1.0689373862</v>
      </c>
      <c r="F49" s="1318">
        <f>+C49-D49-E49</f>
        <v>-1.0145410388</v>
      </c>
      <c r="G49" s="1319">
        <f>(TableB10!N49+TableB10!R49)/1000</f>
        <v>7.4886040299999984E-2</v>
      </c>
      <c r="H49" s="410">
        <v>3.2629442699999997E-2</v>
      </c>
      <c r="I49" s="1321">
        <v>1.74866E-3</v>
      </c>
      <c r="J49" s="1318">
        <f t="shared" si="5"/>
        <v>4.0507937599999988E-2</v>
      </c>
      <c r="K49" s="1200">
        <v>30.6</v>
      </c>
      <c r="L49" s="1153">
        <v>27.5</v>
      </c>
      <c r="M49" s="1153">
        <f t="shared" si="6"/>
        <v>3.1000000000000014</v>
      </c>
      <c r="N49" s="1200">
        <v>2.81</v>
      </c>
      <c r="O49" s="1153">
        <v>2.38</v>
      </c>
      <c r="P49" s="1186">
        <f t="shared" si="4"/>
        <v>0.43000000000000016</v>
      </c>
      <c r="Q49" s="954"/>
      <c r="R49" s="954"/>
      <c r="S49" s="479">
        <f t="shared" ref="S49:S89" si="7">C49-D49-E49-F49</f>
        <v>0</v>
      </c>
      <c r="T49" s="479">
        <f t="shared" ref="T49:T89" si="8">G49-H49-I49-J49</f>
        <v>0</v>
      </c>
      <c r="U49" s="479">
        <f>G49-C49-(TableB3!B49-TableB4!B49)</f>
        <v>0</v>
      </c>
      <c r="V49" s="480">
        <f>G49-C49-TableB1!G51</f>
        <v>0</v>
      </c>
      <c r="W49" s="268">
        <f t="shared" si="2"/>
        <v>0</v>
      </c>
      <c r="X49" s="268">
        <f t="shared" si="3"/>
        <v>0</v>
      </c>
    </row>
    <row r="50" spans="1:24" x14ac:dyDescent="0.2">
      <c r="A50" s="954"/>
      <c r="B50" s="1148" t="s">
        <v>69</v>
      </c>
      <c r="C50" s="409">
        <f>+(TableB10!E50+TableB10!I50)/1000</f>
        <v>13.7</v>
      </c>
      <c r="D50" s="1329">
        <v>10.231280761199999</v>
      </c>
      <c r="E50" s="1321">
        <v>6.7355001169000008</v>
      </c>
      <c r="F50" s="1318">
        <f>+C50-D50-E50</f>
        <v>-3.2667808781000005</v>
      </c>
      <c r="G50" s="1319">
        <f>(TableB10!N50+TableB10!R50)/1000</f>
        <v>5.0185436815000006</v>
      </c>
      <c r="H50" s="410">
        <v>1.6582014649000001</v>
      </c>
      <c r="I50" s="1321">
        <v>2.32522166E-2</v>
      </c>
      <c r="J50" s="1318">
        <f t="shared" si="5"/>
        <v>3.3370900000000003</v>
      </c>
      <c r="K50" s="1200">
        <v>312</v>
      </c>
      <c r="L50" s="1153">
        <v>295</v>
      </c>
      <c r="M50" s="1153">
        <f t="shared" si="6"/>
        <v>17</v>
      </c>
      <c r="N50" s="1200">
        <v>84.8</v>
      </c>
      <c r="O50" s="1153">
        <v>68</v>
      </c>
      <c r="P50" s="1186">
        <f t="shared" si="4"/>
        <v>16.799999999999997</v>
      </c>
      <c r="Q50" s="954"/>
      <c r="R50" s="954"/>
      <c r="S50" s="479">
        <f t="shared" si="7"/>
        <v>0</v>
      </c>
      <c r="T50" s="479">
        <f t="shared" si="8"/>
        <v>0</v>
      </c>
      <c r="U50" s="479">
        <f>G50-C50-(TableB3!B50-TableB4!B50)</f>
        <v>0</v>
      </c>
      <c r="V50" s="480">
        <f>G50-C50-TableB1!G52</f>
        <v>0</v>
      </c>
      <c r="W50" s="268">
        <f t="shared" si="2"/>
        <v>0</v>
      </c>
      <c r="X50" s="268">
        <f t="shared" si="3"/>
        <v>0</v>
      </c>
    </row>
    <row r="51" spans="1:24" x14ac:dyDescent="0.2">
      <c r="A51" s="954"/>
      <c r="B51" s="1148" t="s">
        <v>338</v>
      </c>
      <c r="C51" s="409">
        <f>+(TableB10!E51+TableB10!I51)/1000</f>
        <v>41</v>
      </c>
      <c r="D51" s="1329">
        <v>28.695729999999998</v>
      </c>
      <c r="E51" s="1321">
        <v>9.3334899999999994</v>
      </c>
      <c r="F51" s="1318">
        <f>+C51-D51-E51</f>
        <v>2.9707800000000031</v>
      </c>
      <c r="G51" s="1319">
        <f>(TableB10!N51+TableB10!R51)/1000</f>
        <v>17.282830000000001</v>
      </c>
      <c r="H51" s="410">
        <v>7.3322399999999996</v>
      </c>
      <c r="I51" s="1321">
        <v>4.0480799999999997</v>
      </c>
      <c r="J51" s="1318">
        <f t="shared" si="5"/>
        <v>5.9025100000000021</v>
      </c>
      <c r="K51" s="1200">
        <v>257</v>
      </c>
      <c r="L51" s="1153">
        <v>201</v>
      </c>
      <c r="M51" s="1153">
        <f t="shared" si="6"/>
        <v>56</v>
      </c>
      <c r="N51" s="1200">
        <v>287</v>
      </c>
      <c r="O51" s="1153">
        <v>282</v>
      </c>
      <c r="P51" s="1186">
        <f t="shared" si="4"/>
        <v>5</v>
      </c>
      <c r="Q51" s="954"/>
      <c r="R51" s="954"/>
      <c r="S51" s="479">
        <f t="shared" si="7"/>
        <v>0</v>
      </c>
      <c r="T51" s="479">
        <f t="shared" si="8"/>
        <v>0</v>
      </c>
      <c r="U51" s="479">
        <f>G51-C51-(TableB3!B51-TableB4!B51)</f>
        <v>0</v>
      </c>
      <c r="V51" s="480">
        <f>G51-C51-TableB1!G53</f>
        <v>0</v>
      </c>
      <c r="W51" s="268">
        <f t="shared" si="2"/>
        <v>0</v>
      </c>
      <c r="X51" s="268">
        <f t="shared" si="3"/>
        <v>0</v>
      </c>
    </row>
    <row r="52" spans="1:24" x14ac:dyDescent="0.2">
      <c r="A52" s="954"/>
      <c r="B52" s="1148" t="s">
        <v>71</v>
      </c>
      <c r="C52" s="409">
        <f>+(TableB10!E52+TableB10!I52)/1000</f>
        <v>7.06</v>
      </c>
      <c r="D52" s="1329">
        <v>6.9219943913000002</v>
      </c>
      <c r="E52" s="1321">
        <v>0.46488415110000003</v>
      </c>
      <c r="F52" s="1318">
        <f>+C52-D52-E52</f>
        <v>-0.32687854240000058</v>
      </c>
      <c r="G52" s="1319">
        <f>(TableB10!N52+TableB10!R52)/1000</f>
        <v>3.3267790902999996</v>
      </c>
      <c r="H52" s="410">
        <v>2.8618949391999999</v>
      </c>
      <c r="I52" s="1321">
        <v>0.46488415110000003</v>
      </c>
      <c r="J52" s="1318">
        <f t="shared" si="5"/>
        <v>0</v>
      </c>
      <c r="K52" s="1200">
        <v>127</v>
      </c>
      <c r="L52" s="1153">
        <v>103</v>
      </c>
      <c r="M52" s="1153">
        <f t="shared" si="6"/>
        <v>24</v>
      </c>
      <c r="N52" s="1200">
        <v>155</v>
      </c>
      <c r="O52" s="1153">
        <v>148</v>
      </c>
      <c r="P52" s="1186">
        <f t="shared" si="4"/>
        <v>7</v>
      </c>
      <c r="Q52" s="954"/>
      <c r="R52" s="954"/>
      <c r="S52" s="479">
        <f t="shared" si="7"/>
        <v>0</v>
      </c>
      <c r="T52" s="479">
        <f t="shared" si="8"/>
        <v>-3.3306690738754696E-16</v>
      </c>
      <c r="U52" s="479">
        <f>G52-C52-(TableB3!B52-TableB4!B52)</f>
        <v>0</v>
      </c>
      <c r="V52" s="480">
        <f>G52-C52-TableB1!G54</f>
        <v>0</v>
      </c>
      <c r="W52" s="268">
        <f t="shared" si="2"/>
        <v>0</v>
      </c>
      <c r="X52" s="268">
        <f t="shared" si="3"/>
        <v>0</v>
      </c>
    </row>
    <row r="53" spans="1:24" ht="34" x14ac:dyDescent="0.2">
      <c r="A53" s="954"/>
      <c r="B53" s="7" t="s">
        <v>72</v>
      </c>
      <c r="C53" s="409"/>
      <c r="D53" s="410"/>
      <c r="E53" s="1321"/>
      <c r="F53" s="1330"/>
      <c r="G53" s="1319"/>
      <c r="H53" s="1320"/>
      <c r="I53" s="1321"/>
      <c r="J53" s="1328"/>
      <c r="K53" s="1200"/>
      <c r="L53" s="1153"/>
      <c r="M53" s="1153"/>
      <c r="N53" s="1200"/>
      <c r="O53" s="1153"/>
      <c r="P53" s="1186"/>
      <c r="Q53" s="954"/>
      <c r="R53" s="954"/>
      <c r="S53" s="479">
        <f t="shared" si="7"/>
        <v>0</v>
      </c>
      <c r="T53" s="479">
        <f t="shared" si="8"/>
        <v>0</v>
      </c>
      <c r="U53" s="479">
        <f>G53-C53-(TableB3!B53-TableB4!B53)</f>
        <v>0</v>
      </c>
      <c r="V53" s="480">
        <f>G53-C53-TableB1!G55</f>
        <v>0</v>
      </c>
      <c r="W53" s="268">
        <f t="shared" si="2"/>
        <v>0</v>
      </c>
      <c r="X53" s="268">
        <f t="shared" si="3"/>
        <v>0</v>
      </c>
    </row>
    <row r="54" spans="1:24" x14ac:dyDescent="0.2">
      <c r="A54" s="954"/>
      <c r="B54" s="1148" t="s">
        <v>73</v>
      </c>
      <c r="C54" s="409">
        <f>+(TableB10!E54+TableB10!I54)/1000</f>
        <v>3.6200000000000003E-2</v>
      </c>
      <c r="D54" s="1331">
        <f>C54-E54-F54</f>
        <v>2.5340000000000001E-2</v>
      </c>
      <c r="E54" s="791">
        <v>0</v>
      </c>
      <c r="F54" s="791">
        <f>0.3*(C54-E54)</f>
        <v>1.086E-2</v>
      </c>
      <c r="G54" s="412">
        <f>+(TableB10!N54+TableB10!R54)/1000</f>
        <v>6.8900000000000003E-2</v>
      </c>
      <c r="H54" s="1331">
        <f>G54-I54-J54</f>
        <v>4.8230000000000002E-2</v>
      </c>
      <c r="I54" s="791">
        <v>0</v>
      </c>
      <c r="J54" s="791">
        <f>0.3*(G54-I54)</f>
        <v>2.0670000000000001E-2</v>
      </c>
      <c r="K54" s="1200">
        <v>0.49299999999999999</v>
      </c>
      <c r="L54" s="1153">
        <v>5.8158714200000003E-2</v>
      </c>
      <c r="M54" s="1153">
        <f t="shared" si="6"/>
        <v>0.43484128579999998</v>
      </c>
      <c r="N54" s="1200">
        <v>1.67</v>
      </c>
      <c r="O54" s="1153">
        <v>6.4426845179999997E-2</v>
      </c>
      <c r="P54" s="1186">
        <f t="shared" ref="P54:P85" si="9">+N54-O54</f>
        <v>1.6055731548199998</v>
      </c>
      <c r="Q54" s="954"/>
      <c r="R54" s="954"/>
      <c r="S54" s="479">
        <f t="shared" si="7"/>
        <v>0</v>
      </c>
      <c r="T54" s="479">
        <f t="shared" si="8"/>
        <v>0</v>
      </c>
      <c r="U54" s="479">
        <f>G54-C54-(TableB3!B54-TableB4!B54)</f>
        <v>0</v>
      </c>
      <c r="V54" s="480">
        <f>G54-C54-TableB1!G56</f>
        <v>0</v>
      </c>
      <c r="W54" s="268">
        <f t="shared" si="2"/>
        <v>0</v>
      </c>
      <c r="X54" s="268">
        <f t="shared" si="3"/>
        <v>0</v>
      </c>
    </row>
    <row r="55" spans="1:24" x14ac:dyDescent="0.2">
      <c r="A55" s="954"/>
      <c r="B55" s="1148" t="s">
        <v>74</v>
      </c>
      <c r="C55" s="409">
        <f>+(TableB10!E55+TableB10!I55)/1000</f>
        <v>0.1085</v>
      </c>
      <c r="D55" s="1331">
        <f t="shared" ref="D55:D89" si="10">C55-E55-F55</f>
        <v>7.5950000000000004E-2</v>
      </c>
      <c r="E55" s="791">
        <v>0</v>
      </c>
      <c r="F55" s="791">
        <f t="shared" ref="F55:F89" si="11">0.3*(C55-E55)</f>
        <v>3.2549999999999996E-2</v>
      </c>
      <c r="G55" s="412">
        <f>+(TableB10!N55+TableB10!R55)/1000</f>
        <v>5.7999999999999996E-3</v>
      </c>
      <c r="H55" s="1331">
        <f t="shared" ref="H55:H89" si="12">G55-I55-J55</f>
        <v>4.0599999999999994E-3</v>
      </c>
      <c r="I55" s="791">
        <v>0</v>
      </c>
      <c r="J55" s="791">
        <f t="shared" ref="J55:J89" si="13">0.3*(G55-I55)</f>
        <v>1.7399999999999998E-3</v>
      </c>
      <c r="K55" s="1200">
        <v>7.4610785309999997E-2</v>
      </c>
      <c r="L55" s="1153">
        <v>6.9464707380000002E-3</v>
      </c>
      <c r="M55" s="1153">
        <f t="shared" si="6"/>
        <v>6.7664314571999992E-2</v>
      </c>
      <c r="N55" s="1200">
        <v>0.91200000000000003</v>
      </c>
      <c r="O55" s="1153">
        <v>0.33600000000000002</v>
      </c>
      <c r="P55" s="1186">
        <f t="shared" si="9"/>
        <v>0.57600000000000007</v>
      </c>
      <c r="Q55" s="954"/>
      <c r="R55" s="954"/>
      <c r="S55" s="479">
        <f t="shared" si="7"/>
        <v>0</v>
      </c>
      <c r="T55" s="479">
        <f t="shared" si="8"/>
        <v>0</v>
      </c>
      <c r="U55" s="479">
        <f>G55-C55-(TableB3!B55-TableB4!B55)</f>
        <v>0</v>
      </c>
      <c r="V55" s="480">
        <f>G55-C55-TableB1!G57</f>
        <v>0</v>
      </c>
      <c r="W55" s="268">
        <f t="shared" si="2"/>
        <v>0</v>
      </c>
      <c r="X55" s="268">
        <f t="shared" si="3"/>
        <v>0</v>
      </c>
    </row>
    <row r="56" spans="1:24" x14ac:dyDescent="0.2">
      <c r="A56" s="954"/>
      <c r="B56" s="1148" t="str">
        <f>+TableA1!A56</f>
        <v>Antigua and Barbuda</v>
      </c>
      <c r="C56" s="409">
        <f>+(TableB10!E56+TableB10!I56)/1000</f>
        <v>7.690000000000001E-2</v>
      </c>
      <c r="D56" s="1331">
        <f t="shared" si="10"/>
        <v>5.3830000000000003E-2</v>
      </c>
      <c r="E56" s="791">
        <v>0</v>
      </c>
      <c r="F56" s="791">
        <f t="shared" si="11"/>
        <v>2.3070000000000004E-2</v>
      </c>
      <c r="G56" s="412">
        <f>+(TableB10!N56+TableB10!R56)/1000</f>
        <v>0</v>
      </c>
      <c r="H56" s="1331">
        <f t="shared" si="12"/>
        <v>0</v>
      </c>
      <c r="I56" s="791">
        <v>0</v>
      </c>
      <c r="J56" s="791">
        <f t="shared" si="13"/>
        <v>0</v>
      </c>
      <c r="K56" s="1200">
        <v>6.6455060100000005E-2</v>
      </c>
      <c r="L56" s="1153">
        <v>6.6469538699999997E-2</v>
      </c>
      <c r="M56" s="1153">
        <f t="shared" si="6"/>
        <v>-1.4478599999992459E-5</v>
      </c>
      <c r="N56" s="1200">
        <v>2.9373530339999999E-2</v>
      </c>
      <c r="O56" s="1153">
        <v>2.1136247239999999E-2</v>
      </c>
      <c r="P56" s="1186">
        <f t="shared" si="9"/>
        <v>8.2372830999999994E-3</v>
      </c>
      <c r="Q56" s="954"/>
      <c r="R56" s="954"/>
      <c r="S56" s="479">
        <f t="shared" si="7"/>
        <v>0</v>
      </c>
      <c r="T56" s="479">
        <f t="shared" si="8"/>
        <v>0</v>
      </c>
      <c r="U56" s="479">
        <f>G56-C56-(TableB3!B56-TableB4!B56)</f>
        <v>0</v>
      </c>
      <c r="V56" s="480">
        <f>G56-C56-TableB1!G58</f>
        <v>0</v>
      </c>
      <c r="W56" s="268">
        <f t="shared" si="2"/>
        <v>0</v>
      </c>
      <c r="X56" s="268">
        <f t="shared" si="3"/>
        <v>0</v>
      </c>
    </row>
    <row r="57" spans="1:24" x14ac:dyDescent="0.2">
      <c r="A57" s="954"/>
      <c r="B57" s="1148" t="s">
        <v>76</v>
      </c>
      <c r="C57" s="409">
        <f>+(TableB10!E57+TableB10!I57)/1000</f>
        <v>9.8715083800000006E-2</v>
      </c>
      <c r="D57" s="1331">
        <f t="shared" si="10"/>
        <v>6.9100558660000005E-2</v>
      </c>
      <c r="E57" s="791">
        <v>0</v>
      </c>
      <c r="F57" s="791">
        <f t="shared" si="11"/>
        <v>2.961452514E-2</v>
      </c>
      <c r="G57" s="412">
        <f>+(TableB10!N57+TableB10!R57)/1000</f>
        <v>5.7000000000000002E-2</v>
      </c>
      <c r="H57" s="1331">
        <f t="shared" si="12"/>
        <v>3.9900000000000005E-2</v>
      </c>
      <c r="I57" s="791">
        <v>0</v>
      </c>
      <c r="J57" s="791">
        <f t="shared" si="13"/>
        <v>1.7100000000000001E-2</v>
      </c>
      <c r="K57" s="1200">
        <v>4.05</v>
      </c>
      <c r="L57" s="1153">
        <v>3.29</v>
      </c>
      <c r="M57" s="1153">
        <f t="shared" si="6"/>
        <v>0.75999999999999979</v>
      </c>
      <c r="N57" s="1200">
        <v>0.105</v>
      </c>
      <c r="O57" s="1153">
        <v>7.1358949239999997E-2</v>
      </c>
      <c r="P57" s="1186">
        <f t="shared" si="9"/>
        <v>3.3641050759999999E-2</v>
      </c>
      <c r="Q57" s="954"/>
      <c r="R57" s="954"/>
      <c r="S57" s="479">
        <f t="shared" si="7"/>
        <v>0</v>
      </c>
      <c r="T57" s="479">
        <f t="shared" si="8"/>
        <v>0</v>
      </c>
      <c r="U57" s="479">
        <f>G57-C57-(TableB3!B57-TableB4!B57)</f>
        <v>0</v>
      </c>
      <c r="V57" s="480">
        <f>G57-C57-TableB1!G59</f>
        <v>0</v>
      </c>
      <c r="W57" s="268">
        <f t="shared" si="2"/>
        <v>0</v>
      </c>
      <c r="X57" s="268">
        <f t="shared" si="3"/>
        <v>0</v>
      </c>
    </row>
    <row r="58" spans="1:24" x14ac:dyDescent="0.2">
      <c r="A58" s="954" t="s">
        <v>339</v>
      </c>
      <c r="B58" s="1148" t="s">
        <v>152</v>
      </c>
      <c r="C58" s="409">
        <f>+(TableB10!E58+TableB10!I58)/1000</f>
        <v>2.4410858728483822</v>
      </c>
      <c r="D58" s="1331">
        <f t="shared" si="10"/>
        <v>1.7087601109938677</v>
      </c>
      <c r="E58" s="791">
        <v>0</v>
      </c>
      <c r="F58" s="791">
        <f t="shared" si="11"/>
        <v>0.73232576185451459</v>
      </c>
      <c r="G58" s="412">
        <f>+(TableB10!N58+TableB10!R58)/1000</f>
        <v>1.7022606313516633</v>
      </c>
      <c r="H58" s="1331">
        <f t="shared" si="12"/>
        <v>1.1915824419461645</v>
      </c>
      <c r="I58" s="791">
        <v>0</v>
      </c>
      <c r="J58" s="791">
        <f t="shared" si="13"/>
        <v>0.51067818940549892</v>
      </c>
      <c r="K58" s="1200">
        <v>82.8</v>
      </c>
      <c r="L58" s="1153">
        <v>26.7</v>
      </c>
      <c r="M58" s="1153">
        <f t="shared" si="6"/>
        <v>56.099999999999994</v>
      </c>
      <c r="N58" s="1200">
        <v>98.3</v>
      </c>
      <c r="O58" s="1153">
        <v>64.099999999999994</v>
      </c>
      <c r="P58" s="1186">
        <f t="shared" si="9"/>
        <v>34.200000000000003</v>
      </c>
      <c r="Q58" s="954"/>
      <c r="R58" s="954"/>
      <c r="S58" s="479">
        <f t="shared" si="7"/>
        <v>0</v>
      </c>
      <c r="T58" s="479">
        <f t="shared" si="8"/>
        <v>0</v>
      </c>
      <c r="U58" s="479">
        <f>G58-C58-(TableB3!B58-TableB4!B58)</f>
        <v>0</v>
      </c>
      <c r="V58" s="480">
        <f>G58-C58-TableB1!G60</f>
        <v>0</v>
      </c>
      <c r="W58" s="268">
        <f t="shared" si="2"/>
        <v>0</v>
      </c>
      <c r="X58" s="268">
        <f t="shared" si="3"/>
        <v>0</v>
      </c>
    </row>
    <row r="59" spans="1:24" x14ac:dyDescent="0.2">
      <c r="A59" t="s">
        <v>340</v>
      </c>
      <c r="B59" s="1148" t="s">
        <v>78</v>
      </c>
      <c r="C59" s="409">
        <f>+(TableB10!E59+TableB10!I59)/1000</f>
        <v>0.72000805649591415</v>
      </c>
      <c r="D59" s="1331">
        <f t="shared" si="10"/>
        <v>0.50400563954713995</v>
      </c>
      <c r="E59" s="791">
        <v>0</v>
      </c>
      <c r="F59" s="791">
        <f t="shared" si="11"/>
        <v>0.21600241694877423</v>
      </c>
      <c r="G59" s="412">
        <f>+(TableB10!N59+TableB10!R59)/1000</f>
        <v>7.740000000000001E-2</v>
      </c>
      <c r="H59" s="1331">
        <f t="shared" si="12"/>
        <v>5.4180000000000006E-2</v>
      </c>
      <c r="I59" s="791">
        <v>0</v>
      </c>
      <c r="J59" s="791">
        <f t="shared" si="13"/>
        <v>2.3220000000000001E-2</v>
      </c>
      <c r="K59" s="1200">
        <v>28.3</v>
      </c>
      <c r="L59" s="1153">
        <v>22.8</v>
      </c>
      <c r="M59" s="1153">
        <f t="shared" si="6"/>
        <v>5.5</v>
      </c>
      <c r="N59" s="1200">
        <v>2.02</v>
      </c>
      <c r="O59" s="1153">
        <v>1.82</v>
      </c>
      <c r="P59" s="1186">
        <f t="shared" si="9"/>
        <v>0.19999999999999996</v>
      </c>
      <c r="Q59" s="954"/>
      <c r="R59" s="954"/>
      <c r="S59" s="479">
        <f t="shared" si="7"/>
        <v>0</v>
      </c>
      <c r="T59" s="479">
        <f t="shared" si="8"/>
        <v>0</v>
      </c>
      <c r="U59" s="479">
        <f>G59-C59-(TableB3!B59-TableB4!B59)</f>
        <v>0</v>
      </c>
      <c r="V59" s="480">
        <f>G59-C59-TableB1!G61</f>
        <v>0</v>
      </c>
      <c r="W59" s="268">
        <f t="shared" si="2"/>
        <v>0</v>
      </c>
      <c r="X59" s="268">
        <f t="shared" si="3"/>
        <v>0</v>
      </c>
    </row>
    <row r="60" spans="1:24" x14ac:dyDescent="0.2">
      <c r="A60" s="954"/>
      <c r="B60" s="1148" t="str">
        <f>+TableA1!A60</f>
        <v>Barbados</v>
      </c>
      <c r="C60" s="409">
        <f>+(TableB10!E60+TableB10!I60)/1000</f>
        <v>2.1307224236508158</v>
      </c>
      <c r="D60" s="1331">
        <f t="shared" si="10"/>
        <v>1.4915056965555711</v>
      </c>
      <c r="E60" s="791">
        <v>0</v>
      </c>
      <c r="F60" s="791">
        <f t="shared" si="11"/>
        <v>0.63921672709524469</v>
      </c>
      <c r="G60" s="412">
        <f>+(TableB10!N60+TableB10!R60)/1000</f>
        <v>0.23493255831256293</v>
      </c>
      <c r="H60" s="1331">
        <f t="shared" si="12"/>
        <v>0.16445279081879405</v>
      </c>
      <c r="I60" s="791">
        <v>0</v>
      </c>
      <c r="J60" s="791">
        <f t="shared" si="13"/>
        <v>7.0479767493768872E-2</v>
      </c>
      <c r="K60" s="1200">
        <v>73.8</v>
      </c>
      <c r="L60" s="1153">
        <v>17.899999999999999</v>
      </c>
      <c r="M60" s="1153">
        <f t="shared" si="6"/>
        <v>55.9</v>
      </c>
      <c r="N60" s="1200">
        <v>16.100000000000001</v>
      </c>
      <c r="O60" s="1153">
        <v>9.52</v>
      </c>
      <c r="P60" s="1186">
        <f t="shared" si="9"/>
        <v>6.5800000000000018</v>
      </c>
      <c r="Q60" s="954"/>
      <c r="R60" s="954"/>
      <c r="S60" s="479">
        <f t="shared" si="7"/>
        <v>0</v>
      </c>
      <c r="T60" s="479">
        <f t="shared" si="8"/>
        <v>0</v>
      </c>
      <c r="U60" s="479">
        <f>G60-C60-(TableB3!B60-TableB4!B60)</f>
        <v>0</v>
      </c>
      <c r="V60" s="480">
        <f>G60-C60-TableB1!G62</f>
        <v>0</v>
      </c>
      <c r="W60" s="268">
        <f t="shared" si="2"/>
        <v>0</v>
      </c>
      <c r="X60" s="268">
        <f t="shared" si="3"/>
        <v>0</v>
      </c>
    </row>
    <row r="61" spans="1:24" x14ac:dyDescent="0.2">
      <c r="A61" s="954"/>
      <c r="B61" s="1148" t="s">
        <v>80</v>
      </c>
      <c r="C61" s="409">
        <f>+(TableB10!E61+TableB10!I61)/1000</f>
        <v>6.6200000000000009E-2</v>
      </c>
      <c r="D61" s="1331">
        <f t="shared" si="10"/>
        <v>4.6340000000000006E-2</v>
      </c>
      <c r="E61" s="791">
        <v>0</v>
      </c>
      <c r="F61" s="791">
        <f t="shared" si="11"/>
        <v>1.9860000000000003E-2</v>
      </c>
      <c r="G61" s="412">
        <f>+(TableB10!N61+TableB10!R61)/1000</f>
        <v>1.2105223E-3</v>
      </c>
      <c r="H61" s="1331">
        <f t="shared" si="12"/>
        <v>8.4736561000000005E-4</v>
      </c>
      <c r="I61" s="791">
        <v>0</v>
      </c>
      <c r="J61" s="791">
        <f t="shared" si="13"/>
        <v>3.6315669000000001E-4</v>
      </c>
      <c r="K61" s="1200">
        <v>0.35899999999999999</v>
      </c>
      <c r="L61" s="1153">
        <v>0.33400000000000002</v>
      </c>
      <c r="M61" s="1153">
        <f t="shared" si="6"/>
        <v>2.4999999999999967E-2</v>
      </c>
      <c r="N61" s="1200">
        <v>2.0099999999999998</v>
      </c>
      <c r="O61" s="1153">
        <v>1.4</v>
      </c>
      <c r="P61" s="1186">
        <f t="shared" si="9"/>
        <v>0.60999999999999988</v>
      </c>
      <c r="Q61" s="954"/>
      <c r="R61" s="954"/>
      <c r="S61" s="479">
        <f t="shared" si="7"/>
        <v>0</v>
      </c>
      <c r="T61" s="479">
        <f t="shared" si="8"/>
        <v>0</v>
      </c>
      <c r="U61" s="479">
        <f>G61-C61-(TableB3!B61-TableB4!B61)</f>
        <v>0</v>
      </c>
      <c r="V61" s="480">
        <f>G61-C61-TableB1!G63</f>
        <v>0</v>
      </c>
      <c r="W61" s="268">
        <f t="shared" si="2"/>
        <v>0</v>
      </c>
      <c r="X61" s="268">
        <f t="shared" si="3"/>
        <v>0</v>
      </c>
    </row>
    <row r="62" spans="1:24" x14ac:dyDescent="0.2">
      <c r="A62" s="954"/>
      <c r="B62" s="1148" t="s">
        <v>81</v>
      </c>
      <c r="C62" s="409">
        <f>+(TableB10!E62+TableB10!I62)/1000</f>
        <v>47.722737121784164</v>
      </c>
      <c r="D62" s="1331">
        <f t="shared" si="10"/>
        <v>33.405915985248917</v>
      </c>
      <c r="E62" s="791">
        <v>0</v>
      </c>
      <c r="F62" s="791">
        <f t="shared" si="11"/>
        <v>14.316821136535248</v>
      </c>
      <c r="G62" s="412">
        <f>+(TableB10!N62+TableB10!R62)/1000</f>
        <v>32.275338594347502</v>
      </c>
      <c r="H62" s="1331">
        <f t="shared" si="12"/>
        <v>22.592737016043252</v>
      </c>
      <c r="I62" s="791">
        <v>0</v>
      </c>
      <c r="J62" s="791">
        <f t="shared" si="13"/>
        <v>9.6826015783042507</v>
      </c>
      <c r="K62" s="1200">
        <v>632</v>
      </c>
      <c r="L62" s="1153">
        <v>607</v>
      </c>
      <c r="M62" s="1153">
        <f t="shared" si="6"/>
        <v>25</v>
      </c>
      <c r="N62" s="1200">
        <v>711</v>
      </c>
      <c r="O62" s="1153">
        <v>511</v>
      </c>
      <c r="P62" s="1186">
        <f t="shared" si="9"/>
        <v>200</v>
      </c>
      <c r="Q62" s="954"/>
      <c r="R62" s="954"/>
      <c r="S62" s="479">
        <f t="shared" si="7"/>
        <v>0</v>
      </c>
      <c r="T62" s="479">
        <f t="shared" si="8"/>
        <v>0</v>
      </c>
      <c r="U62" s="479">
        <f>G62-C62-(TableB3!B62-TableB4!B62)</f>
        <v>0</v>
      </c>
      <c r="V62" s="480">
        <f>G62-C62-TableB1!G64</f>
        <v>0</v>
      </c>
      <c r="W62" s="268">
        <f t="shared" si="2"/>
        <v>0</v>
      </c>
      <c r="X62" s="268">
        <f t="shared" si="3"/>
        <v>0</v>
      </c>
    </row>
    <row r="63" spans="1:24" x14ac:dyDescent="0.2">
      <c r="A63" s="954"/>
      <c r="B63" s="1148" t="s">
        <v>82</v>
      </c>
      <c r="C63" s="409">
        <f>+(TableB10!E63+TableB10!I63)/1000</f>
        <v>1E-4</v>
      </c>
      <c r="D63" s="1331">
        <f t="shared" si="10"/>
        <v>7.0000000000000007E-5</v>
      </c>
      <c r="E63" s="791">
        <v>0</v>
      </c>
      <c r="F63" s="791">
        <f t="shared" si="11"/>
        <v>3.0000000000000001E-5</v>
      </c>
      <c r="G63" s="412">
        <f>+(TableB10!N63+TableB10!R63)/1000</f>
        <v>9.4999999999999998E-3</v>
      </c>
      <c r="H63" s="1331">
        <f t="shared" si="12"/>
        <v>6.6499999999999997E-3</v>
      </c>
      <c r="I63" s="791">
        <v>0</v>
      </c>
      <c r="J63" s="791">
        <f t="shared" si="13"/>
        <v>2.8499999999999997E-3</v>
      </c>
      <c r="K63" s="1200"/>
      <c r="L63" s="1153"/>
      <c r="M63" s="1153"/>
      <c r="N63" s="1200"/>
      <c r="O63" s="1153"/>
      <c r="P63" s="1186"/>
      <c r="Q63" s="954"/>
      <c r="R63" s="954"/>
      <c r="S63" s="479">
        <f t="shared" si="7"/>
        <v>0</v>
      </c>
      <c r="T63" s="479">
        <f t="shared" si="8"/>
        <v>0</v>
      </c>
      <c r="U63" s="479">
        <f>G63-C63-(TableB3!B63-TableB4!B63)</f>
        <v>0</v>
      </c>
      <c r="V63" s="480">
        <f>G63-C63-TableB1!G65</f>
        <v>0</v>
      </c>
      <c r="W63" s="268">
        <f t="shared" si="2"/>
        <v>0</v>
      </c>
      <c r="X63" s="268">
        <f t="shared" si="3"/>
        <v>0</v>
      </c>
    </row>
    <row r="64" spans="1:24" x14ac:dyDescent="0.2">
      <c r="A64" t="s">
        <v>372</v>
      </c>
      <c r="B64" s="1148" t="s">
        <v>153</v>
      </c>
      <c r="C64" s="409">
        <f>+(TableB10!E64+TableB10!I64)/1000</f>
        <v>0.53559617448905006</v>
      </c>
      <c r="D64" s="1331">
        <f t="shared" si="10"/>
        <v>0.37491732214233509</v>
      </c>
      <c r="E64" s="791">
        <v>0</v>
      </c>
      <c r="F64" s="791">
        <f t="shared" si="11"/>
        <v>0.160678852346715</v>
      </c>
      <c r="G64" s="412">
        <f>+(TableB10!N64+TableB10!R64)/1000</f>
        <v>4.544698503566293</v>
      </c>
      <c r="H64" s="1331">
        <f t="shared" si="12"/>
        <v>3.1812889524964052</v>
      </c>
      <c r="I64" s="791">
        <v>0</v>
      </c>
      <c r="J64" s="791">
        <f t="shared" si="13"/>
        <v>1.3634095510698878</v>
      </c>
      <c r="K64" s="1200">
        <v>643</v>
      </c>
      <c r="L64" s="1153">
        <v>492</v>
      </c>
      <c r="M64" s="1153">
        <f t="shared" si="6"/>
        <v>151</v>
      </c>
      <c r="N64" s="1200">
        <v>1130</v>
      </c>
      <c r="O64" s="1153">
        <v>961</v>
      </c>
      <c r="P64" s="1186">
        <f t="shared" si="9"/>
        <v>169</v>
      </c>
      <c r="Q64" s="954"/>
      <c r="R64" s="954"/>
      <c r="S64" s="479">
        <f t="shared" si="7"/>
        <v>0</v>
      </c>
      <c r="T64" s="479">
        <f t="shared" si="8"/>
        <v>0</v>
      </c>
      <c r="U64" s="479">
        <f>G64-C64-(TableB3!B64-TableB4!B64)</f>
        <v>0</v>
      </c>
      <c r="V64" s="480">
        <f>G64-C64-TableB1!G66</f>
        <v>0</v>
      </c>
      <c r="W64" s="268">
        <f t="shared" si="2"/>
        <v>0</v>
      </c>
      <c r="X64" s="268">
        <f t="shared" si="3"/>
        <v>0</v>
      </c>
    </row>
    <row r="65" spans="1:24" x14ac:dyDescent="0.2">
      <c r="A65" s="954"/>
      <c r="B65" s="113" t="s">
        <v>84</v>
      </c>
      <c r="C65" s="409">
        <f>+(TableB10!E65+TableB10!I65)/1000</f>
        <v>32.253212825518716</v>
      </c>
      <c r="D65" s="1331">
        <f t="shared" si="10"/>
        <v>22.5772489778631</v>
      </c>
      <c r="E65" s="791">
        <v>0</v>
      </c>
      <c r="F65" s="791">
        <f t="shared" si="11"/>
        <v>9.6759638476556145</v>
      </c>
      <c r="G65" s="412">
        <f>+(TableB10!N65+TableB10!R65)/1000</f>
        <v>16.2111946503803</v>
      </c>
      <c r="H65" s="1331">
        <f t="shared" si="12"/>
        <v>11.347836255266209</v>
      </c>
      <c r="I65" s="791">
        <v>0</v>
      </c>
      <c r="J65" s="791">
        <f t="shared" si="13"/>
        <v>4.8633583951140897</v>
      </c>
      <c r="K65" s="1200">
        <v>554</v>
      </c>
      <c r="L65" s="1153">
        <v>494</v>
      </c>
      <c r="M65" s="1153">
        <f t="shared" si="6"/>
        <v>60</v>
      </c>
      <c r="N65" s="1200">
        <v>569</v>
      </c>
      <c r="O65" s="1153">
        <v>365</v>
      </c>
      <c r="P65" s="1186">
        <f t="shared" si="9"/>
        <v>204</v>
      </c>
      <c r="Q65" s="954"/>
      <c r="R65" s="954"/>
      <c r="S65" s="479">
        <f t="shared" si="7"/>
        <v>0</v>
      </c>
      <c r="T65" s="479">
        <f t="shared" si="8"/>
        <v>0</v>
      </c>
      <c r="U65" s="479">
        <f>G65-C65-(TableB3!B65-TableB4!B65)</f>
        <v>0</v>
      </c>
      <c r="V65" s="480">
        <f>G65-C65-TableB1!G67</f>
        <v>0</v>
      </c>
      <c r="W65" s="268">
        <f t="shared" si="2"/>
        <v>0</v>
      </c>
      <c r="X65" s="268">
        <f t="shared" si="3"/>
        <v>0</v>
      </c>
    </row>
    <row r="66" spans="1:24" x14ac:dyDescent="0.2">
      <c r="A66" s="954"/>
      <c r="B66" s="1148" t="s">
        <v>85</v>
      </c>
      <c r="C66" s="409">
        <f>+(TableB10!E66+TableB10!I66)/1000</f>
        <v>0.48729023846046576</v>
      </c>
      <c r="D66" s="1331">
        <f t="shared" si="10"/>
        <v>0.34110316692232601</v>
      </c>
      <c r="E66" s="791">
        <v>0</v>
      </c>
      <c r="F66" s="791">
        <f t="shared" si="11"/>
        <v>0.14618707153813973</v>
      </c>
      <c r="G66" s="412">
        <f>+(TableB10!N66+TableB10!R66)/1000</f>
        <v>2.6862999999999997</v>
      </c>
      <c r="H66" s="1331">
        <f t="shared" si="12"/>
        <v>1.8804099999999999</v>
      </c>
      <c r="I66" s="791">
        <v>0</v>
      </c>
      <c r="J66" s="791">
        <f t="shared" si="13"/>
        <v>0.80588999999999988</v>
      </c>
      <c r="K66" s="1200">
        <v>0.83599999999999997</v>
      </c>
      <c r="L66" s="1153">
        <v>0.52100000000000002</v>
      </c>
      <c r="M66" s="1153">
        <f t="shared" si="6"/>
        <v>0.31499999999999995</v>
      </c>
      <c r="N66" s="1200">
        <v>0.54100000000000004</v>
      </c>
      <c r="O66" s="1153">
        <v>0.47499999999999998</v>
      </c>
      <c r="P66" s="1186">
        <f t="shared" si="9"/>
        <v>6.6000000000000059E-2</v>
      </c>
      <c r="Q66" s="954"/>
      <c r="R66" s="954"/>
      <c r="S66" s="479">
        <f t="shared" si="7"/>
        <v>0</v>
      </c>
      <c r="T66" s="479">
        <f t="shared" si="8"/>
        <v>0</v>
      </c>
      <c r="U66" s="479">
        <f>G66-C66-(TableB3!B66-TableB4!B66)</f>
        <v>0</v>
      </c>
      <c r="V66" s="480">
        <f>G66-C66-TableB1!G68</f>
        <v>0</v>
      </c>
      <c r="W66" s="268">
        <f t="shared" si="2"/>
        <v>0</v>
      </c>
      <c r="X66" s="268">
        <f t="shared" si="3"/>
        <v>0</v>
      </c>
    </row>
    <row r="67" spans="1:24" x14ac:dyDescent="0.2">
      <c r="A67" s="954"/>
      <c r="B67" s="1148" t="str">
        <f>+TableA1!A67</f>
        <v>Cyprus</v>
      </c>
      <c r="C67" s="409">
        <f>+(TableB10!E67+TableB10!I67)/1000</f>
        <v>5.2637361260589266</v>
      </c>
      <c r="D67" s="1331">
        <f t="shared" si="10"/>
        <v>3.6846152882412486</v>
      </c>
      <c r="E67" s="791">
        <v>0</v>
      </c>
      <c r="F67" s="791">
        <f t="shared" si="11"/>
        <v>1.579120837817678</v>
      </c>
      <c r="G67" s="412">
        <f>+(TableB10!N67+TableB10!R67)/1000</f>
        <v>2.9754490700636982</v>
      </c>
      <c r="H67" s="1331">
        <f t="shared" si="12"/>
        <v>2.0828143490445887</v>
      </c>
      <c r="I67" s="791">
        <v>0</v>
      </c>
      <c r="J67" s="791">
        <f t="shared" si="13"/>
        <v>0.89263472101910946</v>
      </c>
      <c r="K67" s="1200">
        <v>174</v>
      </c>
      <c r="L67" s="1153">
        <v>160</v>
      </c>
      <c r="M67" s="1153">
        <f t="shared" si="6"/>
        <v>14</v>
      </c>
      <c r="N67" s="1200">
        <v>174</v>
      </c>
      <c r="O67" s="1153">
        <v>159</v>
      </c>
      <c r="P67" s="1186">
        <f t="shared" si="9"/>
        <v>15</v>
      </c>
      <c r="Q67" s="954"/>
      <c r="R67" s="954"/>
      <c r="S67" s="479">
        <f t="shared" si="7"/>
        <v>0</v>
      </c>
      <c r="T67" s="479">
        <f t="shared" si="8"/>
        <v>0</v>
      </c>
      <c r="U67" s="479">
        <f>G67-C67-(TableB3!B67-TableB4!B67)</f>
        <v>0</v>
      </c>
      <c r="V67" s="480">
        <f>G67-C67-TableB1!G69</f>
        <v>0</v>
      </c>
      <c r="W67" s="268">
        <f t="shared" si="2"/>
        <v>0</v>
      </c>
      <c r="X67" s="268">
        <f t="shared" si="3"/>
        <v>0</v>
      </c>
    </row>
    <row r="68" spans="1:24" x14ac:dyDescent="0.2">
      <c r="A68" s="954"/>
      <c r="B68" s="1148" t="s">
        <v>87</v>
      </c>
      <c r="C68" s="409">
        <f>+(TableB10!E68+TableB10!I68)/1000</f>
        <v>2.3281000000000001</v>
      </c>
      <c r="D68" s="1331">
        <f t="shared" si="10"/>
        <v>1.62967</v>
      </c>
      <c r="E68" s="791">
        <v>0</v>
      </c>
      <c r="F68" s="791">
        <f t="shared" si="11"/>
        <v>0.69843</v>
      </c>
      <c r="G68" s="412">
        <f>+(TableB10!N68+TableB10!R68)/1000</f>
        <v>0.29306236093911125</v>
      </c>
      <c r="H68" s="1331">
        <f t="shared" si="12"/>
        <v>0.20514365265737788</v>
      </c>
      <c r="I68" s="791">
        <v>0</v>
      </c>
      <c r="J68" s="791">
        <f t="shared" si="13"/>
        <v>8.7918708281733371E-2</v>
      </c>
      <c r="K68" s="1200">
        <v>66.2</v>
      </c>
      <c r="L68" s="1153">
        <v>110</v>
      </c>
      <c r="M68" s="1153">
        <f t="shared" si="6"/>
        <v>-43.8</v>
      </c>
      <c r="N68" s="1200">
        <v>249</v>
      </c>
      <c r="O68" s="1153">
        <v>208</v>
      </c>
      <c r="P68" s="1186">
        <f t="shared" si="9"/>
        <v>41</v>
      </c>
      <c r="Q68" s="954"/>
      <c r="R68" s="954"/>
      <c r="S68" s="479">
        <f t="shared" si="7"/>
        <v>0</v>
      </c>
      <c r="T68" s="479">
        <f t="shared" si="8"/>
        <v>0</v>
      </c>
      <c r="U68" s="479">
        <f>G68-C68-(TableB3!B68-TableB4!B68)</f>
        <v>0</v>
      </c>
      <c r="V68" s="480">
        <f>G68-C68-TableB1!G70</f>
        <v>0</v>
      </c>
      <c r="W68" s="268">
        <f t="shared" si="2"/>
        <v>0</v>
      </c>
      <c r="X68" s="268">
        <f t="shared" si="3"/>
        <v>0</v>
      </c>
    </row>
    <row r="69" spans="1:24" x14ac:dyDescent="0.2">
      <c r="A69" s="954"/>
      <c r="B69" s="1148" t="str">
        <f>+TableA1!A69</f>
        <v>Grenada</v>
      </c>
      <c r="C69" s="409">
        <f>+(TableB10!E69+TableB10!I69)/1000</f>
        <v>1.52E-2</v>
      </c>
      <c r="D69" s="1331">
        <f t="shared" si="10"/>
        <v>1.064E-2</v>
      </c>
      <c r="E69" s="791">
        <v>0</v>
      </c>
      <c r="F69" s="791">
        <f t="shared" si="11"/>
        <v>4.5599999999999998E-3</v>
      </c>
      <c r="G69" s="412">
        <f>+(TableB10!N69+TableB10!R69)/1000</f>
        <v>0</v>
      </c>
      <c r="H69" s="1331">
        <f t="shared" si="12"/>
        <v>0</v>
      </c>
      <c r="I69" s="791">
        <v>0</v>
      </c>
      <c r="J69" s="791">
        <f t="shared" si="13"/>
        <v>0</v>
      </c>
      <c r="K69" s="1200">
        <v>8.7051583069999994E-3</v>
      </c>
      <c r="L69" s="1153">
        <v>1.897247788E-3</v>
      </c>
      <c r="M69" s="1153">
        <f t="shared" si="6"/>
        <v>6.8079105189999996E-3</v>
      </c>
      <c r="N69" s="1200">
        <v>1.3196146439999999E-2</v>
      </c>
      <c r="O69" s="1153">
        <v>2.4935816460000004E-3</v>
      </c>
      <c r="P69" s="1186">
        <f t="shared" si="9"/>
        <v>1.0702564793999999E-2</v>
      </c>
      <c r="Q69" s="954"/>
      <c r="R69" s="954"/>
      <c r="S69" s="479">
        <f t="shared" si="7"/>
        <v>0</v>
      </c>
      <c r="T69" s="479">
        <f t="shared" si="8"/>
        <v>0</v>
      </c>
      <c r="U69" s="479">
        <f>G69-C69-(TableB3!B69-TableB4!B69)</f>
        <v>0</v>
      </c>
      <c r="V69" s="480">
        <f>G69-C69-TableB1!G71</f>
        <v>0</v>
      </c>
      <c r="W69" s="268">
        <f t="shared" si="2"/>
        <v>0</v>
      </c>
      <c r="X69" s="268">
        <f t="shared" si="3"/>
        <v>0</v>
      </c>
    </row>
    <row r="70" spans="1:24" x14ac:dyDescent="0.2">
      <c r="A70" s="954"/>
      <c r="B70" s="1148" t="s">
        <v>89</v>
      </c>
      <c r="C70" s="409">
        <f>+(TableB10!E70+TableB10!I70)/1000</f>
        <v>0.76690416711093745</v>
      </c>
      <c r="D70" s="1331">
        <f t="shared" si="10"/>
        <v>0.53683291697765623</v>
      </c>
      <c r="E70" s="791">
        <v>0</v>
      </c>
      <c r="F70" s="791">
        <f t="shared" si="11"/>
        <v>0.23007125013328122</v>
      </c>
      <c r="G70" s="412">
        <f>+(TableB10!N70+TableB10!R70)/1000</f>
        <v>2.7295756643478049</v>
      </c>
      <c r="H70" s="1331">
        <f t="shared" si="12"/>
        <v>1.9107029650434635</v>
      </c>
      <c r="I70" s="791">
        <v>0</v>
      </c>
      <c r="J70" s="791">
        <f t="shared" si="13"/>
        <v>0.81887269930434148</v>
      </c>
      <c r="K70" s="1200">
        <v>17.899999999999999</v>
      </c>
      <c r="L70" s="1153">
        <v>21.7</v>
      </c>
      <c r="M70" s="1153">
        <f t="shared" si="6"/>
        <v>-3.8000000000000007</v>
      </c>
      <c r="N70" s="1200">
        <v>31.7</v>
      </c>
      <c r="O70" s="1153">
        <v>21.1</v>
      </c>
      <c r="P70" s="1186">
        <f t="shared" si="9"/>
        <v>10.599999999999998</v>
      </c>
      <c r="Q70" s="954"/>
      <c r="R70" s="954"/>
      <c r="S70" s="479">
        <f t="shared" si="7"/>
        <v>0</v>
      </c>
      <c r="T70" s="479">
        <f t="shared" si="8"/>
        <v>0</v>
      </c>
      <c r="U70" s="479">
        <f>G70-C70-(TableB3!B70-TableB4!B70)</f>
        <v>0</v>
      </c>
      <c r="V70" s="480">
        <f>G70-C70-TableB1!G72</f>
        <v>0</v>
      </c>
      <c r="W70" s="268">
        <f t="shared" si="2"/>
        <v>0</v>
      </c>
      <c r="X70" s="268">
        <f t="shared" si="3"/>
        <v>0</v>
      </c>
    </row>
    <row r="71" spans="1:24" x14ac:dyDescent="0.2">
      <c r="A71"/>
      <c r="B71" s="1148" t="s">
        <v>90</v>
      </c>
      <c r="C71" s="409">
        <f>+(TableB10!E71+TableB10!I71)/1000</f>
        <v>0.30164808972880497</v>
      </c>
      <c r="D71" s="1331">
        <f t="shared" si="10"/>
        <v>0.21115366281016348</v>
      </c>
      <c r="E71" s="791">
        <v>0</v>
      </c>
      <c r="F71" s="791">
        <f t="shared" si="11"/>
        <v>9.0494426918641485E-2</v>
      </c>
      <c r="G71" s="412">
        <f>+(TableB10!N71+TableB10!R71)/1000</f>
        <v>3.0839000000000003</v>
      </c>
      <c r="H71" s="1331">
        <f t="shared" si="12"/>
        <v>2.1587300000000003</v>
      </c>
      <c r="I71" s="791">
        <v>0</v>
      </c>
      <c r="J71" s="791">
        <f t="shared" si="13"/>
        <v>0.92517000000000005</v>
      </c>
      <c r="K71" s="1200">
        <v>122</v>
      </c>
      <c r="L71" s="1153">
        <v>76.5</v>
      </c>
      <c r="M71" s="1153">
        <f t="shared" si="6"/>
        <v>45.5</v>
      </c>
      <c r="N71" s="1200">
        <v>189</v>
      </c>
      <c r="O71" s="1153">
        <v>171</v>
      </c>
      <c r="P71" s="1186">
        <f t="shared" si="9"/>
        <v>18</v>
      </c>
      <c r="Q71" s="954"/>
      <c r="R71" s="954"/>
      <c r="S71" s="479">
        <f t="shared" si="7"/>
        <v>0</v>
      </c>
      <c r="T71" s="479">
        <f t="shared" si="8"/>
        <v>0</v>
      </c>
      <c r="U71" s="479">
        <f>G71-C71-(TableB3!B71-TableB4!B71)</f>
        <v>0</v>
      </c>
      <c r="V71" s="480">
        <f>G71-C71-TableB1!G73</f>
        <v>0</v>
      </c>
      <c r="W71" s="268">
        <f t="shared" si="2"/>
        <v>0</v>
      </c>
      <c r="X71" s="268">
        <f t="shared" si="3"/>
        <v>0</v>
      </c>
    </row>
    <row r="72" spans="1:24" x14ac:dyDescent="0.2">
      <c r="A72" t="s">
        <v>341</v>
      </c>
      <c r="B72" s="1148" t="s">
        <v>91</v>
      </c>
      <c r="C72" s="409">
        <f>+(TableB10!E72+TableB10!I72)/1000</f>
        <v>137</v>
      </c>
      <c r="D72" s="1331">
        <f t="shared" si="10"/>
        <v>95.9</v>
      </c>
      <c r="E72" s="791">
        <v>0</v>
      </c>
      <c r="F72" s="791">
        <f t="shared" si="11"/>
        <v>41.1</v>
      </c>
      <c r="G72" s="412">
        <f>+(TableB10!N72+TableB10!R72)/1000</f>
        <v>121.68453938730001</v>
      </c>
      <c r="H72" s="1331">
        <f t="shared" si="12"/>
        <v>85.179177571110003</v>
      </c>
      <c r="I72" s="791">
        <v>0</v>
      </c>
      <c r="J72" s="791">
        <f t="shared" si="13"/>
        <v>36.505361816190003</v>
      </c>
      <c r="K72" s="1200">
        <v>1390</v>
      </c>
      <c r="L72" s="1153">
        <v>1370</v>
      </c>
      <c r="M72" s="1153">
        <f t="shared" si="6"/>
        <v>20</v>
      </c>
      <c r="N72" s="1200">
        <v>1380</v>
      </c>
      <c r="O72" s="1153">
        <v>1210</v>
      </c>
      <c r="P72" s="1186">
        <f t="shared" si="9"/>
        <v>170</v>
      </c>
      <c r="Q72" s="954"/>
      <c r="R72" s="954"/>
      <c r="S72" s="479">
        <f t="shared" si="7"/>
        <v>0</v>
      </c>
      <c r="T72" s="479">
        <f t="shared" si="8"/>
        <v>0</v>
      </c>
      <c r="U72" s="479">
        <f>G72-C72-(TableB3!B72-TableB4!B72)</f>
        <v>0</v>
      </c>
      <c r="V72" s="480">
        <f>G72-C72-TableB1!G74</f>
        <v>0</v>
      </c>
      <c r="W72" s="268">
        <f t="shared" si="2"/>
        <v>0</v>
      </c>
      <c r="X72" s="268">
        <f t="shared" si="3"/>
        <v>0</v>
      </c>
    </row>
    <row r="73" spans="1:24" x14ac:dyDescent="0.2">
      <c r="A73" s="954"/>
      <c r="B73" s="1148" t="s">
        <v>92</v>
      </c>
      <c r="C73" s="409">
        <f>+(TableB10!E73+TableB10!I73)/1000</f>
        <v>0.6025320598192031</v>
      </c>
      <c r="D73" s="1331">
        <f t="shared" si="10"/>
        <v>0.42177244187344221</v>
      </c>
      <c r="E73" s="791">
        <v>0</v>
      </c>
      <c r="F73" s="791">
        <f t="shared" si="11"/>
        <v>0.18075961794576093</v>
      </c>
      <c r="G73" s="412">
        <f>+(TableB10!N73+TableB10!R73)/1000</f>
        <v>2.2741982969107278E-2</v>
      </c>
      <c r="H73" s="1331">
        <f t="shared" si="12"/>
        <v>1.5919388078375094E-2</v>
      </c>
      <c r="I73" s="791">
        <v>0</v>
      </c>
      <c r="J73" s="791">
        <f t="shared" si="13"/>
        <v>6.8225948907321829E-3</v>
      </c>
      <c r="K73" s="1200">
        <v>5.08</v>
      </c>
      <c r="L73" s="1153">
        <v>15</v>
      </c>
      <c r="M73" s="1153">
        <f t="shared" si="6"/>
        <v>-9.92</v>
      </c>
      <c r="N73" s="1200">
        <v>9.36</v>
      </c>
      <c r="O73" s="1153">
        <v>6.84</v>
      </c>
      <c r="P73" s="1186">
        <f t="shared" si="9"/>
        <v>2.5199999999999996</v>
      </c>
      <c r="Q73" s="954"/>
      <c r="R73" s="954"/>
      <c r="S73" s="479">
        <f t="shared" si="7"/>
        <v>0</v>
      </c>
      <c r="T73" s="479">
        <f t="shared" si="8"/>
        <v>0</v>
      </c>
      <c r="U73" s="479">
        <f>G73-C73-(TableB3!B73-TableB4!B73)</f>
        <v>0</v>
      </c>
      <c r="V73" s="480">
        <f>G73-C73-TableB1!G75</f>
        <v>0</v>
      </c>
      <c r="W73" s="268">
        <f t="shared" si="2"/>
        <v>0</v>
      </c>
      <c r="X73" s="268">
        <f t="shared" si="3"/>
        <v>0</v>
      </c>
    </row>
    <row r="74" spans="1:24" x14ac:dyDescent="0.2">
      <c r="A74" s="954"/>
      <c r="B74" s="1148" t="s">
        <v>93</v>
      </c>
      <c r="C74" s="409">
        <f>+(TableB10!E74+TableB10!I74)/1000</f>
        <v>0.436</v>
      </c>
      <c r="D74" s="1331">
        <f t="shared" si="10"/>
        <v>0.30520000000000003</v>
      </c>
      <c r="E74" s="791">
        <v>0</v>
      </c>
      <c r="F74" s="791">
        <f t="shared" si="11"/>
        <v>0.1308</v>
      </c>
      <c r="G74" s="412">
        <f>+(TableB10!N74+TableB10!R74)/1000</f>
        <v>0.48754139129999996</v>
      </c>
      <c r="H74" s="1331">
        <f t="shared" si="12"/>
        <v>0.34127897390999995</v>
      </c>
      <c r="I74" s="791">
        <v>0</v>
      </c>
      <c r="J74" s="791">
        <f t="shared" si="13"/>
        <v>0.14626241738999998</v>
      </c>
      <c r="K74" s="1200">
        <v>1.43</v>
      </c>
      <c r="L74" s="1153">
        <v>1.02</v>
      </c>
      <c r="M74" s="1153">
        <f t="shared" si="6"/>
        <v>0.40999999999999992</v>
      </c>
      <c r="N74" s="1200">
        <v>7.27</v>
      </c>
      <c r="O74" s="1153">
        <v>6.89</v>
      </c>
      <c r="P74" s="1186">
        <f t="shared" si="9"/>
        <v>0.37999999999999989</v>
      </c>
      <c r="Q74" s="954"/>
      <c r="R74" s="954"/>
      <c r="S74" s="479">
        <f t="shared" si="7"/>
        <v>0</v>
      </c>
      <c r="T74" s="479">
        <f t="shared" si="8"/>
        <v>0</v>
      </c>
      <c r="U74" s="479">
        <f>G74-C74-(TableB3!B74-TableB4!B74)</f>
        <v>0</v>
      </c>
      <c r="V74" s="480">
        <f>G74-C74-TableB1!G76</f>
        <v>0</v>
      </c>
      <c r="W74" s="268">
        <f t="shared" si="2"/>
        <v>0</v>
      </c>
      <c r="X74" s="268">
        <f t="shared" si="3"/>
        <v>0</v>
      </c>
    </row>
    <row r="75" spans="1:24" x14ac:dyDescent="0.2">
      <c r="A75" s="954"/>
      <c r="B75" s="1148" t="s">
        <v>94</v>
      </c>
      <c r="C75" s="409">
        <f>+(TableB10!E75+TableB10!I75)/1000</f>
        <v>7.4999999999999997E-3</v>
      </c>
      <c r="D75" s="1331">
        <f t="shared" si="10"/>
        <v>5.2499999999999995E-3</v>
      </c>
      <c r="E75" s="791">
        <v>0</v>
      </c>
      <c r="F75" s="791">
        <f t="shared" si="11"/>
        <v>2.2499999999999998E-3</v>
      </c>
      <c r="G75" s="412">
        <f>+(TableB10!N75+TableB10!R75)/1000</f>
        <v>1.7951512367491165</v>
      </c>
      <c r="H75" s="1331">
        <f t="shared" si="12"/>
        <v>1.2566058657243815</v>
      </c>
      <c r="I75" s="791">
        <v>0</v>
      </c>
      <c r="J75" s="791">
        <f t="shared" si="13"/>
        <v>0.53854537102473488</v>
      </c>
      <c r="K75" s="1200">
        <v>2.7</v>
      </c>
      <c r="L75" s="1153">
        <v>2.33</v>
      </c>
      <c r="M75" s="1153">
        <f t="shared" si="6"/>
        <v>0.37000000000000011</v>
      </c>
      <c r="N75" s="1200">
        <v>24.6</v>
      </c>
      <c r="O75" s="1153">
        <v>21.3</v>
      </c>
      <c r="P75" s="1186">
        <f t="shared" si="9"/>
        <v>3.3000000000000007</v>
      </c>
      <c r="Q75" s="954"/>
      <c r="R75" s="954"/>
      <c r="S75" s="479">
        <f t="shared" si="7"/>
        <v>0</v>
      </c>
      <c r="T75" s="479">
        <f t="shared" si="8"/>
        <v>0</v>
      </c>
      <c r="U75" s="479">
        <f>G75-C75-(TableB3!B75-TableB4!B75)</f>
        <v>0</v>
      </c>
      <c r="V75" s="480">
        <f>G75-C75-TableB1!G77</f>
        <v>0</v>
      </c>
      <c r="W75" s="268">
        <f t="shared" ref="W75:W89" si="14">K75-L75-M75</f>
        <v>0</v>
      </c>
      <c r="X75" s="268">
        <f t="shared" ref="X75:X89" si="15">N75-O75-P75</f>
        <v>0</v>
      </c>
    </row>
    <row r="76" spans="1:24" x14ac:dyDescent="0.2">
      <c r="A76" t="s">
        <v>342</v>
      </c>
      <c r="B76" s="1148" t="s">
        <v>95</v>
      </c>
      <c r="C76" s="409">
        <f>+(TableB10!E76+TableB10!I76)/1000</f>
        <v>6.43</v>
      </c>
      <c r="D76" s="1331">
        <f t="shared" si="10"/>
        <v>4.5009999999999994</v>
      </c>
      <c r="E76" s="791">
        <v>0</v>
      </c>
      <c r="F76" s="791">
        <f t="shared" si="11"/>
        <v>1.9289999999999998</v>
      </c>
      <c r="G76" s="412">
        <f>+(TableB10!N76+TableB10!R76)/1000</f>
        <v>7.7599999999999988E-2</v>
      </c>
      <c r="H76" s="1331">
        <f t="shared" si="12"/>
        <v>5.4319999999999993E-2</v>
      </c>
      <c r="I76" s="791">
        <v>0</v>
      </c>
      <c r="J76" s="791">
        <f t="shared" si="13"/>
        <v>2.3279999999999995E-2</v>
      </c>
      <c r="K76" s="1200">
        <v>29</v>
      </c>
      <c r="L76" s="1153">
        <v>25.1</v>
      </c>
      <c r="M76" s="1153">
        <f t="shared" si="6"/>
        <v>3.8999999999999986</v>
      </c>
      <c r="N76" s="1200">
        <v>3.09</v>
      </c>
      <c r="O76" s="1153">
        <v>1.1200000000000001</v>
      </c>
      <c r="P76" s="1186">
        <f t="shared" si="9"/>
        <v>1.9699999999999998</v>
      </c>
      <c r="Q76" s="954"/>
      <c r="R76" s="954"/>
      <c r="S76" s="479">
        <f t="shared" si="7"/>
        <v>0</v>
      </c>
      <c r="T76" s="479">
        <f t="shared" si="8"/>
        <v>0</v>
      </c>
      <c r="U76" s="479">
        <f>G76-C76-(TableB3!B76-TableB4!B76)</f>
        <v>0</v>
      </c>
      <c r="V76" s="480">
        <f>G76-C76-TableB1!G78</f>
        <v>0</v>
      </c>
      <c r="W76" s="268">
        <f t="shared" si="14"/>
        <v>0</v>
      </c>
      <c r="X76" s="268">
        <f t="shared" si="15"/>
        <v>0</v>
      </c>
    </row>
    <row r="77" spans="1:24" x14ac:dyDescent="0.2">
      <c r="A77" s="954"/>
      <c r="B77" s="1148" t="s">
        <v>96</v>
      </c>
      <c r="C77" s="409">
        <f>+(TableB10!E77+TableB10!I77)/1000</f>
        <v>10.1</v>
      </c>
      <c r="D77" s="1331">
        <f t="shared" si="10"/>
        <v>7.07</v>
      </c>
      <c r="E77" s="791">
        <v>0</v>
      </c>
      <c r="F77" s="791">
        <f t="shared" si="11"/>
        <v>3.03</v>
      </c>
      <c r="G77" s="412">
        <f>+(TableB10!N77+TableB10!R77)/1000</f>
        <v>0.85039084927035713</v>
      </c>
      <c r="H77" s="1331">
        <f t="shared" si="12"/>
        <v>0.59527359448924999</v>
      </c>
      <c r="I77" s="791">
        <v>0</v>
      </c>
      <c r="J77" s="791">
        <f t="shared" si="13"/>
        <v>0.25511725478110714</v>
      </c>
      <c r="K77" s="1200">
        <v>166</v>
      </c>
      <c r="L77" s="1153">
        <v>137</v>
      </c>
      <c r="M77" s="1153">
        <f t="shared" si="6"/>
        <v>29</v>
      </c>
      <c r="N77" s="1200">
        <v>67</v>
      </c>
      <c r="O77" s="1153">
        <v>32.799999999999997</v>
      </c>
      <c r="P77" s="1186">
        <f t="shared" si="9"/>
        <v>34.200000000000003</v>
      </c>
      <c r="Q77" s="954"/>
      <c r="R77" s="954"/>
      <c r="S77" s="479">
        <f t="shared" si="7"/>
        <v>0</v>
      </c>
      <c r="T77" s="479">
        <f t="shared" si="8"/>
        <v>0</v>
      </c>
      <c r="U77" s="479">
        <f>G77-C77-(TableB3!B77-TableB4!B77)</f>
        <v>0</v>
      </c>
      <c r="V77" s="480">
        <f>G77-C77-TableB1!G79</f>
        <v>0</v>
      </c>
      <c r="W77" s="268">
        <f t="shared" si="14"/>
        <v>0</v>
      </c>
      <c r="X77" s="268">
        <f t="shared" si="15"/>
        <v>0</v>
      </c>
    </row>
    <row r="78" spans="1:24" x14ac:dyDescent="0.2">
      <c r="A78" t="s">
        <v>373</v>
      </c>
      <c r="B78" s="1148" t="s">
        <v>97</v>
      </c>
      <c r="C78" s="409">
        <f>+(TableB10!E78+TableB10!I78)/1000</f>
        <v>0.12425690030132812</v>
      </c>
      <c r="D78" s="1331">
        <f t="shared" si="10"/>
        <v>8.6979830210929684E-2</v>
      </c>
      <c r="E78" s="791">
        <v>0</v>
      </c>
      <c r="F78" s="791">
        <f t="shared" si="11"/>
        <v>3.7277070090398434E-2</v>
      </c>
      <c r="G78" s="412">
        <f>+(TableB10!N78+TableB10!R78)/1000</f>
        <v>0.40533887008171798</v>
      </c>
      <c r="H78" s="1331">
        <f t="shared" si="12"/>
        <v>0.28373720905720257</v>
      </c>
      <c r="I78" s="791">
        <v>0</v>
      </c>
      <c r="J78" s="791">
        <f t="shared" si="13"/>
        <v>0.12160166102451539</v>
      </c>
      <c r="K78" s="1200">
        <v>3.98</v>
      </c>
      <c r="L78" s="1153">
        <v>0.624</v>
      </c>
      <c r="M78" s="1153">
        <f t="shared" si="6"/>
        <v>3.3559999999999999</v>
      </c>
      <c r="N78" s="1200">
        <v>5.43</v>
      </c>
      <c r="O78" s="1153">
        <v>1.66</v>
      </c>
      <c r="P78" s="1186">
        <f t="shared" si="9"/>
        <v>3.7699999999999996</v>
      </c>
      <c r="Q78" s="954"/>
      <c r="R78" s="954"/>
      <c r="S78" s="479">
        <f t="shared" si="7"/>
        <v>0</v>
      </c>
      <c r="T78" s="479">
        <f t="shared" si="8"/>
        <v>0</v>
      </c>
      <c r="U78" s="479">
        <f>G78-C78-(TableB3!B78-TableB4!B78)</f>
        <v>0</v>
      </c>
      <c r="V78" s="480">
        <f>G78-C78-TableB1!G80</f>
        <v>0</v>
      </c>
      <c r="W78" s="268">
        <f t="shared" si="14"/>
        <v>0</v>
      </c>
      <c r="X78" s="268">
        <f t="shared" si="15"/>
        <v>0</v>
      </c>
    </row>
    <row r="79" spans="1:24" x14ac:dyDescent="0.2">
      <c r="A79" s="954"/>
      <c r="B79" s="1148" t="str">
        <f>+TableA1!A79</f>
        <v>Monaco</v>
      </c>
      <c r="C79" s="409">
        <f>+(TableB10!E79+TableB10!I79)/1000</f>
        <v>0</v>
      </c>
      <c r="D79" s="1331">
        <f t="shared" si="10"/>
        <v>0</v>
      </c>
      <c r="E79" s="791">
        <v>0</v>
      </c>
      <c r="F79" s="791">
        <f t="shared" si="11"/>
        <v>0</v>
      </c>
      <c r="G79" s="412">
        <f>+(TableB10!N79+TableB10!R79)/1000</f>
        <v>0</v>
      </c>
      <c r="H79" s="1331">
        <f t="shared" si="12"/>
        <v>0</v>
      </c>
      <c r="I79" s="791">
        <v>0</v>
      </c>
      <c r="J79" s="791">
        <f t="shared" si="13"/>
        <v>0</v>
      </c>
      <c r="K79" s="1200">
        <v>2.5099999999999998</v>
      </c>
      <c r="L79" s="1153">
        <v>2.2599999999999998</v>
      </c>
      <c r="M79" s="1153">
        <f t="shared" si="6"/>
        <v>0.25</v>
      </c>
      <c r="N79" s="1200">
        <v>0.64100000000000001</v>
      </c>
      <c r="O79" s="1153">
        <v>0.51700000000000002</v>
      </c>
      <c r="P79" s="1186">
        <f t="shared" si="9"/>
        <v>0.124</v>
      </c>
      <c r="Q79" s="954"/>
      <c r="R79" s="954"/>
      <c r="S79" s="479">
        <f t="shared" si="7"/>
        <v>0</v>
      </c>
      <c r="T79" s="479">
        <f t="shared" si="8"/>
        <v>0</v>
      </c>
      <c r="U79" s="479">
        <f>G79-C79-(TableB3!B79-TableB4!B79)</f>
        <v>0</v>
      </c>
      <c r="V79" s="480">
        <f>G79-C79-TableB1!G81</f>
        <v>0</v>
      </c>
      <c r="W79" s="268">
        <f t="shared" si="14"/>
        <v>0</v>
      </c>
      <c r="X79" s="268">
        <f t="shared" si="15"/>
        <v>0</v>
      </c>
    </row>
    <row r="80" spans="1:24" x14ac:dyDescent="0.2">
      <c r="A80" s="954"/>
      <c r="B80" s="1148" t="s">
        <v>99</v>
      </c>
      <c r="C80" s="409">
        <f>+(TableB10!E80+TableB10!I80)/1000</f>
        <v>3.5999999999999999E-3</v>
      </c>
      <c r="D80" s="1331">
        <f t="shared" si="10"/>
        <v>2.5199999999999997E-3</v>
      </c>
      <c r="E80" s="791">
        <v>0</v>
      </c>
      <c r="F80" s="791">
        <f t="shared" si="11"/>
        <v>1.08E-3</v>
      </c>
      <c r="G80" s="412">
        <f>+(TableB10!N80+TableB10!R80)/1000</f>
        <v>7.8212299999999997E-5</v>
      </c>
      <c r="H80" s="1331">
        <f t="shared" si="12"/>
        <v>5.474861E-5</v>
      </c>
      <c r="I80" s="791">
        <v>0</v>
      </c>
      <c r="J80" s="791">
        <f t="shared" si="13"/>
        <v>2.346369E-5</v>
      </c>
      <c r="K80" s="1200">
        <v>0.42899999999999999</v>
      </c>
      <c r="L80" s="1153">
        <v>0.27700000000000002</v>
      </c>
      <c r="M80" s="1153">
        <f t="shared" si="6"/>
        <v>0.15199999999999997</v>
      </c>
      <c r="N80" s="1200">
        <v>7.9346E-2</v>
      </c>
      <c r="O80" s="1153">
        <v>3.108E-2</v>
      </c>
      <c r="P80" s="1186">
        <f t="shared" si="9"/>
        <v>4.8266000000000003E-2</v>
      </c>
      <c r="Q80" s="954"/>
      <c r="R80" s="954"/>
      <c r="S80" s="479">
        <f t="shared" si="7"/>
        <v>0</v>
      </c>
      <c r="T80" s="479">
        <f t="shared" si="8"/>
        <v>0</v>
      </c>
      <c r="U80" s="479">
        <f>G80-C80-(TableB3!B80-TableB4!B80)</f>
        <v>0</v>
      </c>
      <c r="V80" s="480">
        <f>G80-C80-TableB1!G82</f>
        <v>0</v>
      </c>
      <c r="W80" s="268">
        <f t="shared" si="14"/>
        <v>0</v>
      </c>
      <c r="X80" s="268">
        <f t="shared" si="15"/>
        <v>0</v>
      </c>
    </row>
    <row r="81" spans="1:24" x14ac:dyDescent="0.2">
      <c r="A81" s="954"/>
      <c r="B81" s="1148" t="s">
        <v>100</v>
      </c>
      <c r="C81" s="409">
        <f>+(TableB10!E81+TableB10!I81)/1000</f>
        <v>4.0199999999999996</v>
      </c>
      <c r="D81" s="1331">
        <f t="shared" si="10"/>
        <v>2.8140000000000001</v>
      </c>
      <c r="E81" s="791">
        <v>0</v>
      </c>
      <c r="F81" s="791">
        <f t="shared" si="11"/>
        <v>1.2059999999999997</v>
      </c>
      <c r="G81" s="412">
        <f>+(TableB10!N81+TableB10!R81)/1000</f>
        <v>3.7014363322000001</v>
      </c>
      <c r="H81" s="1331">
        <f t="shared" si="12"/>
        <v>2.5910054325400003</v>
      </c>
      <c r="I81" s="791">
        <v>0</v>
      </c>
      <c r="J81" s="791">
        <f t="shared" si="13"/>
        <v>1.1104308996600001</v>
      </c>
      <c r="K81" s="1200">
        <v>269</v>
      </c>
      <c r="L81" s="1153">
        <v>169</v>
      </c>
      <c r="M81" s="1153">
        <f t="shared" si="6"/>
        <v>100</v>
      </c>
      <c r="N81" s="1200">
        <v>221</v>
      </c>
      <c r="O81" s="1153">
        <v>174</v>
      </c>
      <c r="P81" s="1186">
        <f t="shared" si="9"/>
        <v>47</v>
      </c>
      <c r="Q81" s="954"/>
      <c r="R81" s="954"/>
      <c r="S81" s="479">
        <f t="shared" si="7"/>
        <v>0</v>
      </c>
      <c r="T81" s="479">
        <f t="shared" si="8"/>
        <v>0</v>
      </c>
      <c r="U81" s="479">
        <f>G81-C81-(TableB3!B81-TableB4!B81)</f>
        <v>0</v>
      </c>
      <c r="V81" s="480">
        <f>G81-C81-TableB1!G83</f>
        <v>0</v>
      </c>
      <c r="W81" s="268">
        <f t="shared" si="14"/>
        <v>0</v>
      </c>
      <c r="X81" s="268">
        <f t="shared" si="15"/>
        <v>0</v>
      </c>
    </row>
    <row r="82" spans="1:24" x14ac:dyDescent="0.2">
      <c r="A82" s="954"/>
      <c r="B82" s="1148" t="str">
        <f>+TableA1!A82</f>
        <v>Seychelles</v>
      </c>
      <c r="C82" s="409">
        <f>+(TableB10!E82+TableB10!I82)/1000</f>
        <v>6.9929293879999993E-2</v>
      </c>
      <c r="D82" s="1331">
        <f t="shared" si="10"/>
        <v>4.8950505716000001E-2</v>
      </c>
      <c r="E82" s="791">
        <v>0</v>
      </c>
      <c r="F82" s="791">
        <f t="shared" si="11"/>
        <v>2.0978788163999996E-2</v>
      </c>
      <c r="G82" s="412">
        <f>+(TableB10!N82+TableB10!R82)/1000</f>
        <v>1.8137638999999998E-3</v>
      </c>
      <c r="H82" s="1331">
        <f t="shared" si="12"/>
        <v>1.2696347299999999E-3</v>
      </c>
      <c r="I82" s="791">
        <v>0</v>
      </c>
      <c r="J82" s="791">
        <f t="shared" si="13"/>
        <v>5.4412916999999994E-4</v>
      </c>
      <c r="K82" s="1200">
        <v>0.97299999999999998</v>
      </c>
      <c r="L82" s="1153">
        <v>0.92500000000000004</v>
      </c>
      <c r="M82" s="1153">
        <f t="shared" si="6"/>
        <v>4.7999999999999932E-2</v>
      </c>
      <c r="N82" s="1200">
        <v>7.21</v>
      </c>
      <c r="O82" s="1153">
        <v>6.05</v>
      </c>
      <c r="P82" s="1186">
        <f t="shared" si="9"/>
        <v>1.1600000000000001</v>
      </c>
      <c r="Q82" s="954"/>
      <c r="R82" s="954"/>
      <c r="S82" s="479">
        <f t="shared" si="7"/>
        <v>0</v>
      </c>
      <c r="T82" s="479">
        <f t="shared" si="8"/>
        <v>0</v>
      </c>
      <c r="U82" s="479">
        <f>G82-C82-(TableB3!B82-TableB4!B82)</f>
        <v>0</v>
      </c>
      <c r="V82" s="480">
        <f>G82-C82-TableB1!G84</f>
        <v>0</v>
      </c>
      <c r="W82" s="268">
        <f t="shared" si="14"/>
        <v>0</v>
      </c>
      <c r="X82" s="268">
        <f t="shared" si="15"/>
        <v>0</v>
      </c>
    </row>
    <row r="83" spans="1:24" x14ac:dyDescent="0.2">
      <c r="A83" s="954"/>
      <c r="B83" s="1148" t="s">
        <v>102</v>
      </c>
      <c r="C83" s="409">
        <f>+(TableB10!E83+TableB10!I83)/1000</f>
        <v>48.948502210899605</v>
      </c>
      <c r="D83" s="1331">
        <f t="shared" si="10"/>
        <v>34.263951547629723</v>
      </c>
      <c r="E83" s="791">
        <v>0</v>
      </c>
      <c r="F83" s="791">
        <f t="shared" si="11"/>
        <v>14.684550663269881</v>
      </c>
      <c r="G83" s="412">
        <f>+(TableB10!N83+TableB10!R83)/1000</f>
        <v>3.3119901675257313</v>
      </c>
      <c r="H83" s="1331">
        <f t="shared" si="12"/>
        <v>2.3183931172680117</v>
      </c>
      <c r="I83" s="791">
        <v>0</v>
      </c>
      <c r="J83" s="791">
        <f t="shared" si="13"/>
        <v>0.99359705025771938</v>
      </c>
      <c r="K83" s="1200">
        <v>870</v>
      </c>
      <c r="L83" s="1153">
        <v>525</v>
      </c>
      <c r="M83" s="1153">
        <f t="shared" si="6"/>
        <v>345</v>
      </c>
      <c r="N83" s="1200">
        <v>447</v>
      </c>
      <c r="O83" s="1153">
        <v>346</v>
      </c>
      <c r="P83" s="1186">
        <f t="shared" si="9"/>
        <v>101</v>
      </c>
      <c r="Q83" s="954"/>
      <c r="R83" s="954"/>
      <c r="S83" s="479">
        <f t="shared" si="7"/>
        <v>0</v>
      </c>
      <c r="T83" s="479">
        <f t="shared" si="8"/>
        <v>0</v>
      </c>
      <c r="U83" s="479">
        <f>G83-C83-(TableB3!B83-TableB4!B83)</f>
        <v>0</v>
      </c>
      <c r="V83" s="480">
        <f>G83-C83-TableB1!G85</f>
        <v>0</v>
      </c>
      <c r="W83" s="268">
        <f t="shared" si="14"/>
        <v>0</v>
      </c>
      <c r="X83" s="268">
        <f t="shared" si="15"/>
        <v>0</v>
      </c>
    </row>
    <row r="84" spans="1:24" x14ac:dyDescent="0.2">
      <c r="A84" s="954"/>
      <c r="B84" s="1148" t="str">
        <f>+TableA1!A84</f>
        <v>St. Kitts and Nevis</v>
      </c>
      <c r="C84" s="409">
        <f>+(TableB10!E84+TableB10!I84)/1000</f>
        <v>3.0000000000000003E-4</v>
      </c>
      <c r="D84" s="1331">
        <f t="shared" si="10"/>
        <v>2.1000000000000001E-4</v>
      </c>
      <c r="E84" s="791">
        <v>0</v>
      </c>
      <c r="F84" s="791">
        <f t="shared" si="11"/>
        <v>9.0000000000000006E-5</v>
      </c>
      <c r="G84" s="412">
        <f>+(TableB10!N84+TableB10!R84)/1000</f>
        <v>0</v>
      </c>
      <c r="H84" s="1331">
        <f t="shared" si="12"/>
        <v>0</v>
      </c>
      <c r="I84" s="791">
        <v>0</v>
      </c>
      <c r="J84" s="791">
        <f t="shared" si="13"/>
        <v>0</v>
      </c>
      <c r="K84" s="1200">
        <v>0.11799999999999999</v>
      </c>
      <c r="L84" s="1153">
        <v>4.8322067740000002E-2</v>
      </c>
      <c r="M84" s="1153">
        <f t="shared" si="6"/>
        <v>6.9677932259999992E-2</v>
      </c>
      <c r="N84" s="1200">
        <v>0.52</v>
      </c>
      <c r="O84" s="1153">
        <v>1.5087819779999999E-2</v>
      </c>
      <c r="P84" s="1186">
        <f t="shared" si="9"/>
        <v>0.50491218022000006</v>
      </c>
      <c r="Q84" s="954"/>
      <c r="R84" s="954"/>
      <c r="S84" s="479">
        <f t="shared" si="7"/>
        <v>0</v>
      </c>
      <c r="T84" s="479">
        <f t="shared" si="8"/>
        <v>0</v>
      </c>
      <c r="U84" s="479">
        <f>G84-C84-(TableB3!B84-TableB4!B84)</f>
        <v>0</v>
      </c>
      <c r="V84" s="480">
        <f>G84-C84-TableB1!G86</f>
        <v>0</v>
      </c>
      <c r="W84" s="268">
        <f t="shared" si="14"/>
        <v>0</v>
      </c>
      <c r="X84" s="268">
        <f t="shared" si="15"/>
        <v>0</v>
      </c>
    </row>
    <row r="85" spans="1:24" x14ac:dyDescent="0.2">
      <c r="A85" s="954"/>
      <c r="B85" s="1148" t="str">
        <f>+TableA1!A85</f>
        <v>St. Lucia</v>
      </c>
      <c r="C85" s="409">
        <f>+(TableB10!E85+TableB10!I85)/1000</f>
        <v>7.1900000000000006E-2</v>
      </c>
      <c r="D85" s="1331">
        <f t="shared" si="10"/>
        <v>5.033E-2</v>
      </c>
      <c r="E85" s="791">
        <v>0</v>
      </c>
      <c r="F85" s="791">
        <f t="shared" si="11"/>
        <v>2.1570000000000002E-2</v>
      </c>
      <c r="G85" s="412">
        <f>+(TableB10!N85+TableB10!R85)/1000</f>
        <v>2.5000000000000001E-3</v>
      </c>
      <c r="H85" s="1331">
        <f t="shared" si="12"/>
        <v>1.75E-3</v>
      </c>
      <c r="I85" s="791">
        <v>0</v>
      </c>
      <c r="J85" s="791">
        <f t="shared" si="13"/>
        <v>7.5000000000000002E-4</v>
      </c>
      <c r="K85" s="1200">
        <v>0.68600000000000005</v>
      </c>
      <c r="L85" s="1153">
        <v>4.573966191E-2</v>
      </c>
      <c r="M85" s="1153">
        <f t="shared" si="6"/>
        <v>0.64026033809000005</v>
      </c>
      <c r="N85" s="1200">
        <v>0.11899999999999999</v>
      </c>
      <c r="O85" s="1153">
        <v>6.6310063980000002E-3</v>
      </c>
      <c r="P85" s="1186">
        <f t="shared" si="9"/>
        <v>0.11236899360199999</v>
      </c>
      <c r="Q85" s="954"/>
      <c r="R85" s="954"/>
      <c r="S85" s="479">
        <f t="shared" si="7"/>
        <v>0</v>
      </c>
      <c r="T85" s="479">
        <f t="shared" si="8"/>
        <v>0</v>
      </c>
      <c r="U85" s="479">
        <f>G85-C85-(TableB3!B85-TableB4!B85)</f>
        <v>0</v>
      </c>
      <c r="V85" s="480">
        <f>G85-C85-TableB1!G87</f>
        <v>0</v>
      </c>
      <c r="W85" s="268">
        <f t="shared" si="14"/>
        <v>0</v>
      </c>
      <c r="X85" s="268">
        <f t="shared" si="15"/>
        <v>0</v>
      </c>
    </row>
    <row r="86" spans="1:24" x14ac:dyDescent="0.2">
      <c r="A86" s="954"/>
      <c r="B86" s="1148" t="str">
        <f>+TableA1!A86</f>
        <v>St. Vincent and the Grenadines</v>
      </c>
      <c r="C86" s="409">
        <f>+(TableB10!E86+TableB10!I86)/1000</f>
        <v>1.6300000000000002E-2</v>
      </c>
      <c r="D86" s="1331">
        <f t="shared" si="10"/>
        <v>1.1410000000000002E-2</v>
      </c>
      <c r="E86" s="791">
        <v>0</v>
      </c>
      <c r="F86" s="791">
        <f t="shared" si="11"/>
        <v>4.8900000000000002E-3</v>
      </c>
      <c r="G86" s="412">
        <f>+(TableB10!N86+TableB10!R86)/1000</f>
        <v>0</v>
      </c>
      <c r="H86" s="1331">
        <f t="shared" si="12"/>
        <v>0</v>
      </c>
      <c r="I86" s="791">
        <v>0</v>
      </c>
      <c r="J86" s="791">
        <f t="shared" si="13"/>
        <v>0</v>
      </c>
      <c r="K86" s="1200">
        <v>5.06395392E-2</v>
      </c>
      <c r="L86" s="1153">
        <v>4.0961454130000005E-2</v>
      </c>
      <c r="M86" s="1153">
        <f t="shared" si="6"/>
        <v>9.6780850699999948E-3</v>
      </c>
      <c r="N86" s="1200">
        <v>0.377</v>
      </c>
      <c r="O86" s="1153">
        <v>0.13400000000000001</v>
      </c>
      <c r="P86" s="1186">
        <f>+N86-O86</f>
        <v>0.24299999999999999</v>
      </c>
      <c r="Q86" s="954"/>
      <c r="R86" s="954"/>
      <c r="S86" s="479">
        <f t="shared" si="7"/>
        <v>0</v>
      </c>
      <c r="T86" s="479">
        <f t="shared" si="8"/>
        <v>0</v>
      </c>
      <c r="U86" s="479">
        <f>G86-C86-(TableB3!B86-TableB4!B86)</f>
        <v>0</v>
      </c>
      <c r="V86" s="480">
        <f>G86-C86-TableB1!G88</f>
        <v>0</v>
      </c>
      <c r="W86" s="268">
        <f t="shared" si="14"/>
        <v>0</v>
      </c>
      <c r="X86" s="268">
        <f t="shared" si="15"/>
        <v>0</v>
      </c>
    </row>
    <row r="87" spans="1:24" x14ac:dyDescent="0.2">
      <c r="A87" t="s">
        <v>374</v>
      </c>
      <c r="B87" s="1148" t="str">
        <f>+TableA1!A87</f>
        <v>Turks and Caicos</v>
      </c>
      <c r="C87" s="409">
        <f>+(TableB10!E87+TableB10!I87)/1000</f>
        <v>0</v>
      </c>
      <c r="D87" s="1331">
        <f t="shared" si="10"/>
        <v>0</v>
      </c>
      <c r="E87" s="791">
        <v>0</v>
      </c>
      <c r="F87" s="791">
        <f t="shared" si="11"/>
        <v>0</v>
      </c>
      <c r="G87" s="412">
        <f>+(TableB10!N87+TableB10!R87)/1000</f>
        <v>0</v>
      </c>
      <c r="H87" s="1331">
        <f t="shared" si="12"/>
        <v>0</v>
      </c>
      <c r="I87" s="791">
        <v>0</v>
      </c>
      <c r="J87" s="791">
        <f t="shared" si="13"/>
        <v>0</v>
      </c>
      <c r="K87" s="1200">
        <v>0.184</v>
      </c>
      <c r="L87" s="1153">
        <v>0.183</v>
      </c>
      <c r="M87" s="1153">
        <f t="shared" si="6"/>
        <v>1.0000000000000009E-3</v>
      </c>
      <c r="N87" s="1200">
        <v>-0.13200000000000001</v>
      </c>
      <c r="O87" s="1153">
        <v>3.4932801350000001E-2</v>
      </c>
      <c r="P87" s="1186">
        <f>+N87-O87</f>
        <v>-0.16693280134999999</v>
      </c>
      <c r="Q87" s="954"/>
      <c r="R87" s="954"/>
      <c r="S87" s="479">
        <f t="shared" si="7"/>
        <v>0</v>
      </c>
      <c r="T87" s="479">
        <f t="shared" si="8"/>
        <v>0</v>
      </c>
      <c r="U87" s="479">
        <f>G87-C87-(TableB3!B87-TableB4!B87)</f>
        <v>0</v>
      </c>
      <c r="V87" s="480">
        <f>G87-C87-TableB1!G89</f>
        <v>0</v>
      </c>
      <c r="W87" s="268">
        <f t="shared" si="14"/>
        <v>0</v>
      </c>
      <c r="X87" s="268">
        <f t="shared" si="15"/>
        <v>0</v>
      </c>
    </row>
    <row r="88" spans="1:24" x14ac:dyDescent="0.2">
      <c r="A88" s="954"/>
      <c r="B88" s="1148" t="str">
        <f>+TableA1!A88</f>
        <v>Panama</v>
      </c>
      <c r="C88" s="409">
        <f>+(TableB10!E88+TableB10!I88)/1000</f>
        <v>4.22</v>
      </c>
      <c r="D88" s="1331">
        <f t="shared" si="10"/>
        <v>2.9539999999999997</v>
      </c>
      <c r="E88" s="791">
        <v>0</v>
      </c>
      <c r="F88" s="791">
        <f t="shared" si="11"/>
        <v>1.2659999999999998</v>
      </c>
      <c r="G88" s="412">
        <f>+(TableB10!N88+TableB10!R88)/1000</f>
        <v>0.8677181060188971</v>
      </c>
      <c r="H88" s="1331">
        <f t="shared" si="12"/>
        <v>0.60740267421322791</v>
      </c>
      <c r="I88" s="791">
        <v>0</v>
      </c>
      <c r="J88" s="791">
        <f t="shared" si="13"/>
        <v>0.26031543180566913</v>
      </c>
      <c r="K88" s="1200">
        <v>39.700000000000003</v>
      </c>
      <c r="L88" s="1153">
        <v>32.299999999999997</v>
      </c>
      <c r="M88" s="1153">
        <f t="shared" si="6"/>
        <v>7.4000000000000057</v>
      </c>
      <c r="N88" s="1200">
        <v>24.3</v>
      </c>
      <c r="O88" s="1153">
        <v>17.7</v>
      </c>
      <c r="P88" s="1186">
        <f>+N88-O88</f>
        <v>6.6000000000000014</v>
      </c>
      <c r="Q88" s="954"/>
      <c r="R88" s="954"/>
      <c r="S88" s="479">
        <f t="shared" si="7"/>
        <v>0</v>
      </c>
      <c r="T88" s="479">
        <f t="shared" si="8"/>
        <v>0</v>
      </c>
      <c r="U88" s="479">
        <f>G88-C88-(TableB3!B88-TableB4!B88)</f>
        <v>0</v>
      </c>
      <c r="V88" s="480">
        <f>G88-C88-TableB1!G90</f>
        <v>0</v>
      </c>
      <c r="W88" s="268">
        <f t="shared" si="14"/>
        <v>0</v>
      </c>
      <c r="X88" s="268">
        <f t="shared" si="15"/>
        <v>0</v>
      </c>
    </row>
    <row r="89" spans="1:24" x14ac:dyDescent="0.2">
      <c r="A89" s="954"/>
      <c r="B89" s="1148" t="s">
        <v>108</v>
      </c>
      <c r="C89" s="409">
        <v>35.126800000000003</v>
      </c>
      <c r="D89" s="1331">
        <f t="shared" si="10"/>
        <v>24.588760000000001</v>
      </c>
      <c r="E89" s="791">
        <v>0</v>
      </c>
      <c r="F89" s="791">
        <f t="shared" si="11"/>
        <v>10.538040000000001</v>
      </c>
      <c r="G89" s="412">
        <v>0.35339999999999999</v>
      </c>
      <c r="H89" s="1331">
        <f t="shared" si="12"/>
        <v>0.24737999999999999</v>
      </c>
      <c r="I89" s="791">
        <v>0</v>
      </c>
      <c r="J89" s="1332">
        <f t="shared" si="13"/>
        <v>0.10601999999999999</v>
      </c>
      <c r="K89" s="1200"/>
      <c r="L89" s="1153"/>
      <c r="M89" s="1153"/>
      <c r="N89" s="1319"/>
      <c r="O89" s="1169"/>
      <c r="P89" s="1333"/>
      <c r="Q89" s="954"/>
      <c r="R89" s="954"/>
      <c r="S89" s="479">
        <f t="shared" si="7"/>
        <v>0</v>
      </c>
      <c r="T89" s="479">
        <f t="shared" si="8"/>
        <v>0</v>
      </c>
      <c r="U89" s="479">
        <f>G89-C89-(TableB3!B89-TableB4!B89)</f>
        <v>0</v>
      </c>
      <c r="V89" s="480">
        <f>G89-C89-TableB1!G91</f>
        <v>0</v>
      </c>
      <c r="W89" s="268">
        <f t="shared" si="14"/>
        <v>0</v>
      </c>
      <c r="X89" s="268">
        <f t="shared" si="15"/>
        <v>0</v>
      </c>
    </row>
    <row r="90" spans="1:24" ht="34" x14ac:dyDescent="0.2">
      <c r="A90" s="954"/>
      <c r="B90" s="1294" t="s">
        <v>343</v>
      </c>
      <c r="C90" s="1334">
        <f>+TableB10!F90/1000</f>
        <v>160.93764714467298</v>
      </c>
      <c r="D90" s="1335">
        <f t="shared" ref="D90" si="16">C90-E90-F90</f>
        <v>112.65635300127109</v>
      </c>
      <c r="E90" s="1336">
        <v>0</v>
      </c>
      <c r="F90" s="1336">
        <f t="shared" ref="F90" si="17">0.3*(C90-E90)</f>
        <v>48.281294143401894</v>
      </c>
      <c r="G90" s="1337">
        <f>+TableB10!O90/1000</f>
        <v>20.147489777298009</v>
      </c>
      <c r="H90" s="1338">
        <f t="shared" ref="H90" si="18">G90-I90-J90</f>
        <v>13.403242844108608</v>
      </c>
      <c r="I90" s="1339">
        <v>1</v>
      </c>
      <c r="J90" s="1340">
        <f t="shared" ref="J90" si="19">0.3*(G90-I90)</f>
        <v>5.7442469331894026</v>
      </c>
      <c r="K90" s="1341">
        <f>+L90+M90</f>
        <v>3567</v>
      </c>
      <c r="L90" s="1342">
        <v>2047</v>
      </c>
      <c r="M90" s="1342">
        <v>1520</v>
      </c>
      <c r="N90" s="1341">
        <f>+O90+P90</f>
        <v>1508</v>
      </c>
      <c r="O90" s="1342">
        <v>911</v>
      </c>
      <c r="P90" s="1343">
        <v>597</v>
      </c>
      <c r="Q90" s="954"/>
      <c r="R90" s="954"/>
      <c r="S90" s="480"/>
      <c r="T90" s="480"/>
      <c r="U90" s="480"/>
      <c r="V90" s="480"/>
      <c r="W90" s="302"/>
      <c r="X90" s="302"/>
    </row>
    <row r="91" spans="1:24" ht="40" customHeight="1" thickBot="1" x14ac:dyDescent="0.25">
      <c r="A91" s="954"/>
      <c r="B91" s="263" t="s">
        <v>344</v>
      </c>
      <c r="C91" s="292">
        <f t="shared" ref="C91:J91" si="20">+SUMIF(C10:C90,"&gt;-99999999999999900")</f>
        <v>1668.3882281964734</v>
      </c>
      <c r="D91" s="211">
        <f t="shared" si="20"/>
        <v>1026.6789843413903</v>
      </c>
      <c r="E91" s="465">
        <f t="shared" si="20"/>
        <v>118.10505358174588</v>
      </c>
      <c r="F91" s="465">
        <f t="shared" si="20"/>
        <v>523.56730343723711</v>
      </c>
      <c r="G91" s="292">
        <f t="shared" si="20"/>
        <v>1706.8312306552948</v>
      </c>
      <c r="H91" s="211">
        <f t="shared" si="20"/>
        <v>982.57365117987194</v>
      </c>
      <c r="I91" s="465">
        <f t="shared" si="20"/>
        <v>89.681059578304357</v>
      </c>
      <c r="J91" s="465">
        <f t="shared" si="20"/>
        <v>634.57659950194954</v>
      </c>
      <c r="K91" s="280">
        <f t="shared" ref="K91:P91" si="21">+SUMIF(K10:K90,"&gt;-99999999999999900")</f>
        <v>36386.710729174571</v>
      </c>
      <c r="L91" s="293">
        <f t="shared" si="21"/>
        <v>30480.220454012335</v>
      </c>
      <c r="M91" s="293">
        <f t="shared" si="21"/>
        <v>5906.8172751622778</v>
      </c>
      <c r="N91" s="280">
        <f t="shared" si="21"/>
        <v>35965.935525303546</v>
      </c>
      <c r="O91" s="293">
        <f t="shared" si="21"/>
        <v>32089.59249916537</v>
      </c>
      <c r="P91" s="466">
        <f t="shared" si="21"/>
        <v>3876.344104929794</v>
      </c>
      <c r="Q91" s="954"/>
      <c r="R91" s="954"/>
      <c r="S91" s="480"/>
      <c r="T91" s="480"/>
      <c r="U91" s="480"/>
      <c r="V91" s="480"/>
      <c r="W91" s="302"/>
      <c r="X91" s="302"/>
    </row>
    <row r="92" spans="1:24" ht="17" thickTop="1" x14ac:dyDescent="0.2">
      <c r="A92" s="954"/>
      <c r="B92" s="413"/>
      <c r="C92" s="414"/>
      <c r="D92" s="415"/>
      <c r="E92" s="415"/>
      <c r="F92" s="415"/>
      <c r="G92" s="415"/>
      <c r="H92" s="415"/>
      <c r="I92" s="415"/>
      <c r="J92" s="415"/>
      <c r="K92" s="13"/>
      <c r="L92" s="245"/>
      <c r="M92" s="245"/>
      <c r="N92" s="13"/>
      <c r="O92" s="245"/>
      <c r="P92" s="245"/>
      <c r="Q92" s="954"/>
      <c r="R92" s="954"/>
      <c r="S92" s="479"/>
      <c r="T92" s="479"/>
      <c r="U92" s="479"/>
    </row>
    <row r="93" spans="1:24" s="2" customFormat="1" x14ac:dyDescent="0.2">
      <c r="B93" s="954"/>
      <c r="C93" s="954"/>
      <c r="D93" s="954"/>
      <c r="E93" s="954"/>
      <c r="F93" s="954"/>
      <c r="G93" s="954"/>
      <c r="H93" s="954"/>
      <c r="I93" s="954"/>
      <c r="S93" s="481"/>
      <c r="T93" s="481"/>
      <c r="U93" s="481"/>
      <c r="V93" s="482"/>
      <c r="W93" s="481"/>
      <c r="X93" s="481"/>
    </row>
    <row r="94" spans="1:24" s="2" customFormat="1" x14ac:dyDescent="0.2">
      <c r="B94" s="954"/>
      <c r="C94" s="954"/>
      <c r="D94" s="954"/>
      <c r="E94" s="954"/>
      <c r="F94" s="954"/>
      <c r="G94" s="954"/>
      <c r="H94" s="954"/>
      <c r="I94" s="954"/>
      <c r="S94" s="481"/>
      <c r="T94" s="481"/>
      <c r="U94" s="481"/>
      <c r="V94" s="482"/>
      <c r="W94" s="481"/>
      <c r="X94" s="481"/>
    </row>
    <row r="95" spans="1:24" s="2" customFormat="1" x14ac:dyDescent="0.2">
      <c r="B95" s="954"/>
      <c r="C95" s="954"/>
      <c r="D95" s="954"/>
      <c r="E95" s="954"/>
      <c r="F95" s="954"/>
      <c r="G95" s="954"/>
      <c r="H95" s="954"/>
      <c r="I95" s="954"/>
      <c r="S95" s="481"/>
      <c r="T95" s="481"/>
      <c r="U95" s="481"/>
      <c r="V95" s="482"/>
      <c r="W95" s="481"/>
      <c r="X95" s="481"/>
    </row>
    <row r="96" spans="1:24" x14ac:dyDescent="0.2">
      <c r="A96" s="954"/>
      <c r="B96" s="954"/>
      <c r="C96" s="954"/>
      <c r="D96" s="954"/>
      <c r="E96" s="954"/>
      <c r="F96" s="954"/>
      <c r="G96" s="954"/>
      <c r="H96" s="954"/>
      <c r="I96" s="954"/>
      <c r="J96" s="2"/>
      <c r="K96" s="954"/>
      <c r="L96" s="954"/>
      <c r="M96" s="954"/>
      <c r="N96" s="954"/>
      <c r="O96" s="954"/>
      <c r="P96" s="954"/>
      <c r="Q96" s="954"/>
      <c r="R96" s="954"/>
    </row>
    <row r="97" spans="2:24" s="2" customFormat="1" x14ac:dyDescent="0.2">
      <c r="B97" s="954"/>
      <c r="C97" s="954"/>
      <c r="D97" s="954"/>
      <c r="E97" s="954"/>
      <c r="F97" s="954"/>
      <c r="G97" s="954"/>
      <c r="H97" s="954"/>
      <c r="I97" s="954"/>
      <c r="J97" s="954"/>
      <c r="K97" s="954"/>
      <c r="L97" s="954"/>
      <c r="M97" s="954"/>
      <c r="N97" s="954"/>
      <c r="O97" s="954"/>
      <c r="S97" s="481"/>
      <c r="T97" s="481"/>
      <c r="U97" s="481"/>
      <c r="V97" s="482"/>
      <c r="W97" s="481"/>
      <c r="X97" s="481"/>
    </row>
  </sheetData>
  <mergeCells count="8">
    <mergeCell ref="C6:P6"/>
    <mergeCell ref="C8:C9"/>
    <mergeCell ref="G8:G9"/>
    <mergeCell ref="B3:P3"/>
    <mergeCell ref="K8:K9"/>
    <mergeCell ref="N8:N9"/>
    <mergeCell ref="C7:J7"/>
    <mergeCell ref="K7:P7"/>
  </mergeCells>
  <hyperlinks>
    <hyperlink ref="B46" r:id="rId1" xr:uid="{00000000-0004-0000-1100-000000000000}"/>
    <hyperlink ref="B52" r:id="rId2" tooltip="Click once to display linked information. Click and hold to select this cell." display="  South Africa" xr:uid="{00000000-0004-0000-1100-000001000000}"/>
    <hyperlink ref="B51" r:id="rId3" tooltip="Click once to display linked information. Click and hold to select this cell." display="  Russia" xr:uid="{00000000-0004-0000-1100-000002000000}"/>
    <hyperlink ref="B50" r:id="rId4" tooltip="Click once to display linked information. Click and hold to select this cell." display="  India" xr:uid="{00000000-0004-0000-1100-000003000000}"/>
  </hyperlinks>
  <pageMargins left="0.75" right="0.75" top="1" bottom="1" header="0.5" footer="0.5"/>
  <pageSetup scale="33" orientation="portrait" horizontalDpi="4294967292" verticalDpi="4294967292"/>
  <legacyDrawing r:id="rId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W158"/>
  <sheetViews>
    <sheetView tabSelected="1" zoomScaleNormal="100" zoomScalePageLayoutView="70" workbookViewId="0">
      <pane xSplit="1" ySplit="8" topLeftCell="B56" activePane="bottomRight" state="frozen"/>
      <selection pane="topRight" activeCell="AR8" sqref="AR8"/>
      <selection pane="bottomLeft" activeCell="AR8" sqref="AR8"/>
      <selection pane="bottomRight" activeCell="A3" sqref="A3:N3"/>
    </sheetView>
  </sheetViews>
  <sheetFormatPr baseColWidth="10" defaultColWidth="10.83203125" defaultRowHeight="16" x14ac:dyDescent="0.2"/>
  <cols>
    <col min="1" max="1" width="19" style="1" customWidth="1"/>
    <col min="2" max="11" width="11.33203125" style="1" customWidth="1"/>
    <col min="12" max="12" width="13" style="1" bestFit="1" customWidth="1"/>
    <col min="13" max="16384" width="10.83203125" style="1"/>
  </cols>
  <sheetData>
    <row r="2" spans="1:18" ht="17" thickBot="1" x14ac:dyDescent="0.25">
      <c r="A2" s="954"/>
      <c r="B2" s="954"/>
      <c r="C2" s="954"/>
      <c r="D2" s="954"/>
      <c r="E2" s="954"/>
      <c r="F2" s="954"/>
      <c r="G2" s="954"/>
      <c r="H2" s="954"/>
      <c r="I2" s="954"/>
      <c r="J2" s="954"/>
      <c r="K2" s="954"/>
      <c r="L2" s="954"/>
      <c r="M2" s="954"/>
      <c r="N2" s="954"/>
      <c r="O2" s="954"/>
      <c r="P2" s="954"/>
      <c r="Q2" s="954"/>
      <c r="R2" s="954"/>
    </row>
    <row r="3" spans="1:18" ht="32.25" customHeight="1" thickTop="1" x14ac:dyDescent="0.2">
      <c r="A3" s="1951" t="s">
        <v>0</v>
      </c>
      <c r="B3" s="1952"/>
      <c r="C3" s="1952"/>
      <c r="D3" s="1952"/>
      <c r="E3" s="1952"/>
      <c r="F3" s="1952"/>
      <c r="G3" s="1952"/>
      <c r="H3" s="1952"/>
      <c r="I3" s="1952"/>
      <c r="J3" s="1952"/>
      <c r="K3" s="1952"/>
      <c r="L3" s="1952"/>
      <c r="M3" s="1952"/>
      <c r="N3" s="1953"/>
      <c r="O3" s="954"/>
      <c r="P3" s="954"/>
      <c r="Q3" s="954"/>
      <c r="R3" s="954"/>
    </row>
    <row r="4" spans="1:18" ht="12" customHeight="1" x14ac:dyDescent="0.2">
      <c r="A4" s="4"/>
      <c r="B4" s="620"/>
      <c r="C4" s="620"/>
      <c r="D4" s="620"/>
      <c r="E4" s="620"/>
      <c r="F4" s="620"/>
      <c r="G4" s="620"/>
      <c r="H4" s="620"/>
      <c r="I4" s="620"/>
      <c r="J4" s="620"/>
      <c r="K4" s="620"/>
      <c r="L4" s="1027"/>
      <c r="M4" s="1027"/>
      <c r="N4" s="1073"/>
      <c r="O4" s="954"/>
      <c r="P4" s="954"/>
      <c r="Q4" s="1019"/>
      <c r="R4" s="954"/>
    </row>
    <row r="5" spans="1:18" ht="17" thickBot="1" x14ac:dyDescent="0.25">
      <c r="A5" s="1074"/>
      <c r="B5" s="126" t="s">
        <v>1</v>
      </c>
      <c r="C5" s="126" t="s">
        <v>2</v>
      </c>
      <c r="D5" s="126" t="s">
        <v>3</v>
      </c>
      <c r="E5" s="126" t="s">
        <v>4</v>
      </c>
      <c r="F5" s="126" t="s">
        <v>5</v>
      </c>
      <c r="G5" s="126" t="s">
        <v>6</v>
      </c>
      <c r="H5" s="3" t="s">
        <v>7</v>
      </c>
      <c r="I5" s="3" t="s">
        <v>8</v>
      </c>
      <c r="J5" s="126" t="s">
        <v>9</v>
      </c>
      <c r="K5" s="126" t="s">
        <v>10</v>
      </c>
      <c r="L5" s="3" t="s">
        <v>11</v>
      </c>
      <c r="M5" s="437" t="s">
        <v>12</v>
      </c>
      <c r="N5" s="438" t="s">
        <v>13</v>
      </c>
      <c r="O5" s="954"/>
      <c r="P5" s="954"/>
      <c r="Q5" s="954"/>
      <c r="R5" s="954"/>
    </row>
    <row r="6" spans="1:18" ht="21" customHeight="1" x14ac:dyDescent="0.2">
      <c r="A6" s="1074"/>
      <c r="B6" s="1964" t="s">
        <v>14</v>
      </c>
      <c r="C6" s="1965"/>
      <c r="D6" s="1965"/>
      <c r="E6" s="1965"/>
      <c r="F6" s="1965"/>
      <c r="G6" s="1965"/>
      <c r="H6" s="1965"/>
      <c r="I6" s="1966"/>
      <c r="J6" s="1972" t="s">
        <v>15</v>
      </c>
      <c r="K6" s="1973"/>
      <c r="L6" s="1974"/>
      <c r="M6" s="1954" t="s">
        <v>16</v>
      </c>
      <c r="N6" s="1957" t="s">
        <v>17</v>
      </c>
      <c r="O6" s="1801"/>
      <c r="P6" s="954"/>
      <c r="Q6" s="954"/>
      <c r="R6" s="954"/>
    </row>
    <row r="7" spans="1:18" ht="85" customHeight="1" x14ac:dyDescent="0.2">
      <c r="A7" s="1074"/>
      <c r="B7" s="1960" t="s">
        <v>18</v>
      </c>
      <c r="C7" s="1961" t="s">
        <v>19</v>
      </c>
      <c r="D7" s="1962" t="s">
        <v>20</v>
      </c>
      <c r="E7" s="1967" t="s">
        <v>21</v>
      </c>
      <c r="F7" s="1801" t="s">
        <v>22</v>
      </c>
      <c r="G7" s="1801" t="s">
        <v>23</v>
      </c>
      <c r="H7" s="1969" t="s">
        <v>24</v>
      </c>
      <c r="I7" s="1970" t="s">
        <v>25</v>
      </c>
      <c r="J7" s="1955" t="s">
        <v>24</v>
      </c>
      <c r="K7" s="1975" t="s">
        <v>21</v>
      </c>
      <c r="L7" s="1977" t="s">
        <v>25</v>
      </c>
      <c r="M7" s="1955"/>
      <c r="N7" s="1958"/>
      <c r="O7" s="1801"/>
      <c r="P7" s="173" t="s">
        <v>26</v>
      </c>
      <c r="Q7" s="954"/>
      <c r="R7" s="440" t="s">
        <v>27</v>
      </c>
    </row>
    <row r="8" spans="1:18" ht="33" customHeight="1" x14ac:dyDescent="0.2">
      <c r="A8" s="1074"/>
      <c r="B8" s="1960"/>
      <c r="C8" s="1961"/>
      <c r="D8" s="1963"/>
      <c r="E8" s="1968"/>
      <c r="F8" s="127"/>
      <c r="G8" s="127"/>
      <c r="H8" s="1961"/>
      <c r="I8" s="1971"/>
      <c r="J8" s="1956"/>
      <c r="K8" s="1976"/>
      <c r="L8" s="1978"/>
      <c r="M8" s="1956"/>
      <c r="N8" s="1959"/>
      <c r="O8" s="1801"/>
      <c r="P8" s="954"/>
      <c r="Q8" s="954"/>
      <c r="R8" s="440"/>
    </row>
    <row r="9" spans="1:18" ht="40" customHeight="1" x14ac:dyDescent="0.2">
      <c r="A9" s="190" t="s">
        <v>28</v>
      </c>
      <c r="B9" s="174">
        <f>SUM(B10:B44)</f>
        <v>46483.587458981725</v>
      </c>
      <c r="C9" s="177">
        <f>SUM(C10:C44)</f>
        <v>4205.6345546075618</v>
      </c>
      <c r="D9" s="178">
        <f t="shared" ref="D9:I9" si="0">SUM(D10:D44)</f>
        <v>42277.952904374171</v>
      </c>
      <c r="E9" s="179">
        <f t="shared" si="0"/>
        <v>26359.302824524231</v>
      </c>
      <c r="F9" s="180">
        <f t="shared" si="0"/>
        <v>23569.365024501058</v>
      </c>
      <c r="G9" s="180">
        <f t="shared" si="0"/>
        <v>2789.9378000231745</v>
      </c>
      <c r="H9" s="180">
        <f t="shared" si="0"/>
        <v>5885.2644618824288</v>
      </c>
      <c r="I9" s="177">
        <f t="shared" si="0"/>
        <v>10033.385617967515</v>
      </c>
      <c r="J9" s="181">
        <f>H9/D9</f>
        <v>0.13920410184461712</v>
      </c>
      <c r="K9" s="188">
        <f>E9/D9</f>
        <v>0.62347632781900941</v>
      </c>
      <c r="L9" s="435">
        <f t="shared" ref="L9:L40" si="1">I9/D9</f>
        <v>0.23731957033637355</v>
      </c>
      <c r="M9" s="180">
        <f>SUM(M10:M44)</f>
        <v>7859.0103804677346</v>
      </c>
      <c r="N9" s="206">
        <f>M9/B9</f>
        <v>0.16907065074103245</v>
      </c>
      <c r="O9" s="175"/>
      <c r="P9" s="954"/>
      <c r="Q9" s="1075"/>
      <c r="R9" s="441">
        <f>TableA2!G9/TableA1!M9</f>
        <v>0.59246386030808973</v>
      </c>
    </row>
    <row r="10" spans="1:18" ht="14.25" customHeight="1" x14ac:dyDescent="0.2">
      <c r="A10" s="1074" t="s">
        <v>29</v>
      </c>
      <c r="B10" s="168">
        <v>1230.2962233958635</v>
      </c>
      <c r="C10" s="1076">
        <v>124.49871909487712</v>
      </c>
      <c r="D10" s="1077">
        <f t="shared" ref="D10:D44" si="2">B10-C10</f>
        <v>1105.7975043009865</v>
      </c>
      <c r="E10" s="1078">
        <f>0.7*D10</f>
        <v>774.05825301069046</v>
      </c>
      <c r="F10" s="1079">
        <f>E10-G10</f>
        <v>672.06429734683604</v>
      </c>
      <c r="G10" s="1079">
        <v>101.99395566385439</v>
      </c>
      <c r="H10" s="1079">
        <f>0.137*D10</f>
        <v>151.49425808923516</v>
      </c>
      <c r="I10" s="1076">
        <f t="shared" ref="I10:I44" si="3">D10-E10-H10</f>
        <v>180.24499320106085</v>
      </c>
      <c r="J10" s="1080">
        <f>H10/D10</f>
        <v>0.13700000000000001</v>
      </c>
      <c r="K10" s="176">
        <f>E10/D10</f>
        <v>0.7</v>
      </c>
      <c r="L10" s="1081">
        <f t="shared" si="1"/>
        <v>0.16300000000000006</v>
      </c>
      <c r="M10" s="1079">
        <v>225.7240306816218</v>
      </c>
      <c r="N10" s="1082">
        <f>M10/B10</f>
        <v>0.18347128633669893</v>
      </c>
      <c r="O10" s="1079"/>
      <c r="P10" s="171">
        <f t="shared" ref="P10:P41" si="4">E10-F10-G10</f>
        <v>0</v>
      </c>
      <c r="Q10" s="171">
        <f>1-J10-K10-L10</f>
        <v>0</v>
      </c>
      <c r="R10" s="441">
        <f>TableA2!G10/TableA1!M10</f>
        <v>0.50531020871400101</v>
      </c>
    </row>
    <row r="11" spans="1:18" ht="14.25" customHeight="1" x14ac:dyDescent="0.2">
      <c r="A11" s="1074" t="s">
        <v>30</v>
      </c>
      <c r="B11" s="168">
        <v>382.06594732598467</v>
      </c>
      <c r="C11" s="1076">
        <v>49.386187017486655</v>
      </c>
      <c r="D11" s="1077">
        <f t="shared" si="2"/>
        <v>332.67976030849803</v>
      </c>
      <c r="E11" s="1083">
        <f t="shared" ref="E11:E44" si="5">F11+G11</f>
        <v>216.83707476995184</v>
      </c>
      <c r="F11" s="1079">
        <v>203.4286798002349</v>
      </c>
      <c r="G11" s="1079">
        <v>13.408394969716932</v>
      </c>
      <c r="H11" s="1079">
        <f>+G$100*$D11</f>
        <v>46.031655431520477</v>
      </c>
      <c r="I11" s="1076">
        <f t="shared" si="3"/>
        <v>69.811030107025715</v>
      </c>
      <c r="J11" s="1084">
        <f>H11/D11</f>
        <v>0.13836626366700144</v>
      </c>
      <c r="K11" s="176">
        <f>E11/D11</f>
        <v>0.65178919982651229</v>
      </c>
      <c r="L11" s="1081">
        <f t="shared" si="1"/>
        <v>0.20984453650648627</v>
      </c>
      <c r="M11" s="1079">
        <v>68.542542136217804</v>
      </c>
      <c r="N11" s="1082">
        <f t="shared" ref="N11:N53" si="6">M11/B11</f>
        <v>0.17939976754258141</v>
      </c>
      <c r="O11" s="1079"/>
      <c r="P11" s="171">
        <f t="shared" si="4"/>
        <v>0</v>
      </c>
      <c r="Q11" s="171">
        <f t="shared" ref="Q11:Q74" si="7">1-J11-K11-L11</f>
        <v>0</v>
      </c>
      <c r="R11" s="441">
        <f>TableA2!G11/TableA1!M11</f>
        <v>0.65490760816802029</v>
      </c>
    </row>
    <row r="12" spans="1:18" ht="14.25" customHeight="1" x14ac:dyDescent="0.2">
      <c r="A12" s="1074" t="s">
        <v>31</v>
      </c>
      <c r="B12" s="168">
        <v>455.20002573034822</v>
      </c>
      <c r="C12" s="1076">
        <v>44.008655156772136</v>
      </c>
      <c r="D12" s="1077">
        <f t="shared" si="2"/>
        <v>411.19137057357608</v>
      </c>
      <c r="E12" s="1083">
        <f t="shared" si="5"/>
        <v>283.38418404296965</v>
      </c>
      <c r="F12" s="1079">
        <v>261.0124226564588</v>
      </c>
      <c r="G12" s="1079">
        <v>22.371761386510865</v>
      </c>
      <c r="H12" s="1079">
        <v>66.945153322930281</v>
      </c>
      <c r="I12" s="1076">
        <f t="shared" si="3"/>
        <v>60.862033207676149</v>
      </c>
      <c r="J12" s="1084">
        <f>H12/D12</f>
        <v>0.16280777787128078</v>
      </c>
      <c r="K12" s="176">
        <f>E12/D12</f>
        <v>0.68917833476824542</v>
      </c>
      <c r="L12" s="1081">
        <f t="shared" si="1"/>
        <v>0.14801388736047386</v>
      </c>
      <c r="M12" s="1079">
        <v>88.086848797605313</v>
      </c>
      <c r="N12" s="1082">
        <f t="shared" si="6"/>
        <v>0.19351239854671334</v>
      </c>
      <c r="O12" s="1079"/>
      <c r="P12" s="171">
        <f t="shared" si="4"/>
        <v>0</v>
      </c>
      <c r="Q12" s="171">
        <f t="shared" si="7"/>
        <v>0</v>
      </c>
      <c r="R12" s="441">
        <f>TableA2!G12/TableA1!M12</f>
        <v>0.64989556093034495</v>
      </c>
    </row>
    <row r="13" spans="1:18" ht="14.25" customHeight="1" x14ac:dyDescent="0.2">
      <c r="A13" s="1074" t="s">
        <v>32</v>
      </c>
      <c r="B13" s="168">
        <v>1559.6232657700973</v>
      </c>
      <c r="C13" s="1076">
        <v>172.92732847678596</v>
      </c>
      <c r="D13" s="1077">
        <f t="shared" si="2"/>
        <v>1386.6959372933113</v>
      </c>
      <c r="E13" s="1083">
        <f>K13*D13</f>
        <v>963.75367641885134</v>
      </c>
      <c r="F13" s="1079">
        <f>+E$100*$E13</f>
        <v>861.40154797047046</v>
      </c>
      <c r="G13" s="1079">
        <f>+F$100*$E13</f>
        <v>102.35212844838091</v>
      </c>
      <c r="H13" s="1079">
        <f>J13*D13</f>
        <v>228.80482965339638</v>
      </c>
      <c r="I13" s="1076">
        <f t="shared" si="3"/>
        <v>194.13743122106359</v>
      </c>
      <c r="J13" s="1080">
        <v>0.16500000000000001</v>
      </c>
      <c r="K13" s="176">
        <v>0.69499999999999995</v>
      </c>
      <c r="L13" s="1081">
        <f t="shared" si="1"/>
        <v>0.14000000000000001</v>
      </c>
      <c r="M13" s="1079">
        <v>266.73796691105764</v>
      </c>
      <c r="N13" s="1082">
        <f t="shared" si="6"/>
        <v>0.17102717865609043</v>
      </c>
      <c r="O13" s="1079"/>
      <c r="P13" s="171">
        <f t="shared" si="4"/>
        <v>0</v>
      </c>
      <c r="Q13" s="171">
        <f t="shared" si="7"/>
        <v>0</v>
      </c>
      <c r="R13" s="441">
        <f>TableA2!G13/TableA1!M13</f>
        <v>0.63369618739448497</v>
      </c>
    </row>
    <row r="14" spans="1:18" ht="14.25" customHeight="1" x14ac:dyDescent="0.2">
      <c r="A14" s="1074" t="s">
        <v>33</v>
      </c>
      <c r="B14" s="168">
        <v>221.41157473670739</v>
      </c>
      <c r="C14" s="1076">
        <f>+B14*SUM($C$11:$C$13,$C$15:$C$44)/SUM($B$11:$B$13,$B$15:$B$44)</f>
        <v>19.967845152988534</v>
      </c>
      <c r="D14" s="1077">
        <f t="shared" si="2"/>
        <v>201.44372958371886</v>
      </c>
      <c r="E14" s="1083">
        <f>TableA2!B14</f>
        <v>154.1756815022006</v>
      </c>
      <c r="F14" s="1079">
        <f>+E$100*$E14</f>
        <v>137.80198608309047</v>
      </c>
      <c r="G14" s="1079">
        <f>+F$100*$E14</f>
        <v>16.373695419110138</v>
      </c>
      <c r="H14" s="1079">
        <f>+G$100*$D14</f>
        <v>27.873016201644983</v>
      </c>
      <c r="I14" s="1076">
        <f t="shared" si="3"/>
        <v>19.395031879873276</v>
      </c>
      <c r="J14" s="1084">
        <f t="shared" ref="J14:J45" si="8">H14/D14</f>
        <v>0.13836626366700144</v>
      </c>
      <c r="K14" s="176">
        <f t="shared" ref="K14:K45" si="9">E14/D14</f>
        <v>0.76535358941577813</v>
      </c>
      <c r="L14" s="1081">
        <f t="shared" si="1"/>
        <v>9.6280146917220435E-2</v>
      </c>
      <c r="M14" s="1079">
        <f>TableA2!G14/K14</f>
        <v>27.36225489709355</v>
      </c>
      <c r="N14" s="1082">
        <f>M14/B14</f>
        <v>0.12358095971103364</v>
      </c>
      <c r="O14" s="1079"/>
      <c r="P14" s="171">
        <f t="shared" si="4"/>
        <v>0</v>
      </c>
      <c r="Q14" s="171">
        <f t="shared" si="7"/>
        <v>0</v>
      </c>
      <c r="R14" s="441">
        <f>TableA2!G14/TableA1!M14</f>
        <v>0.76535358941577813</v>
      </c>
    </row>
    <row r="15" spans="1:18" ht="14.25" customHeight="1" x14ac:dyDescent="0.2">
      <c r="A15" s="1074" t="s">
        <v>34</v>
      </c>
      <c r="B15" s="168">
        <v>186.82994054575946</v>
      </c>
      <c r="C15" s="1076">
        <v>17.645490116367704</v>
      </c>
      <c r="D15" s="1077">
        <f t="shared" si="2"/>
        <v>169.18445042939175</v>
      </c>
      <c r="E15" s="1083">
        <f t="shared" si="5"/>
        <v>112.15354438741807</v>
      </c>
      <c r="F15" s="1079">
        <v>105.46442400528483</v>
      </c>
      <c r="G15" s="1079">
        <v>6.6891203821332379</v>
      </c>
      <c r="H15" s="1079">
        <f>+G$100*$D15</f>
        <v>23.409420276469955</v>
      </c>
      <c r="I15" s="1076">
        <f t="shared" si="3"/>
        <v>33.621485765503721</v>
      </c>
      <c r="J15" s="1084">
        <f t="shared" si="8"/>
        <v>0.13836626366700144</v>
      </c>
      <c r="K15" s="176">
        <f t="shared" si="9"/>
        <v>0.66290692851956134</v>
      </c>
      <c r="L15" s="1081">
        <f t="shared" si="1"/>
        <v>0.19872680781343716</v>
      </c>
      <c r="M15" s="1079">
        <v>39.383180039636166</v>
      </c>
      <c r="N15" s="1082">
        <f t="shared" si="6"/>
        <v>0.21079694145698352</v>
      </c>
      <c r="O15" s="1079"/>
      <c r="P15" s="171">
        <f t="shared" si="4"/>
        <v>0</v>
      </c>
      <c r="Q15" s="171">
        <f t="shared" si="7"/>
        <v>0</v>
      </c>
      <c r="R15" s="441">
        <f>TableA2!G15/TableA1!M15</f>
        <v>0.64761653094571814</v>
      </c>
    </row>
    <row r="16" spans="1:18" ht="14.25" customHeight="1" x14ac:dyDescent="0.2">
      <c r="A16" s="1074" t="s">
        <v>35</v>
      </c>
      <c r="B16" s="168">
        <v>301.29845730626181</v>
      </c>
      <c r="C16" s="1076">
        <v>42.369491730489145</v>
      </c>
      <c r="D16" s="1077">
        <f t="shared" si="2"/>
        <v>258.92896557577268</v>
      </c>
      <c r="E16" s="1083">
        <f t="shared" si="5"/>
        <v>171.31642871995703</v>
      </c>
      <c r="F16" s="1079">
        <v>156.43854767909247</v>
      </c>
      <c r="G16" s="1079">
        <v>14.877881040864565</v>
      </c>
      <c r="H16" s="1079">
        <v>56.930632364567465</v>
      </c>
      <c r="I16" s="1076">
        <f t="shared" si="3"/>
        <v>30.681904491248183</v>
      </c>
      <c r="J16" s="1084">
        <f t="shared" si="8"/>
        <v>0.21986969375161447</v>
      </c>
      <c r="K16" s="176">
        <f t="shared" si="9"/>
        <v>0.66163485548635226</v>
      </c>
      <c r="L16" s="1081">
        <f t="shared" si="1"/>
        <v>0.11849545076203329</v>
      </c>
      <c r="M16" s="1079">
        <v>50.051375561523066</v>
      </c>
      <c r="N16" s="1082">
        <f t="shared" si="6"/>
        <v>0.16611892410271184</v>
      </c>
      <c r="O16" s="1079"/>
      <c r="P16" s="171">
        <f t="shared" si="4"/>
        <v>0</v>
      </c>
      <c r="Q16" s="171">
        <f t="shared" si="7"/>
        <v>0</v>
      </c>
      <c r="R16" s="441">
        <f>TableA2!G16/TableA1!M16</f>
        <v>0.62894034287479106</v>
      </c>
    </row>
    <row r="17" spans="1:18" ht="14.25" customHeight="1" x14ac:dyDescent="0.2">
      <c r="A17" s="1074" t="s">
        <v>36</v>
      </c>
      <c r="B17" s="168">
        <v>22.46048672502576</v>
      </c>
      <c r="C17" s="1076">
        <v>2.9761805738089455</v>
      </c>
      <c r="D17" s="1077">
        <f t="shared" si="2"/>
        <v>19.484306151216813</v>
      </c>
      <c r="E17" s="1083">
        <f t="shared" si="5"/>
        <v>14.300084621791608</v>
      </c>
      <c r="F17" s="1079">
        <v>13.555235404959081</v>
      </c>
      <c r="G17" s="1079">
        <v>0.74484921683252769</v>
      </c>
      <c r="H17" s="1079">
        <v>3.2878283253425074</v>
      </c>
      <c r="I17" s="1076">
        <f t="shared" si="3"/>
        <v>1.8963932040826976</v>
      </c>
      <c r="J17" s="1084">
        <f t="shared" si="8"/>
        <v>0.16874238681253628</v>
      </c>
      <c r="K17" s="176">
        <f t="shared" si="9"/>
        <v>0.73392834781024807</v>
      </c>
      <c r="L17" s="1081">
        <f t="shared" si="1"/>
        <v>9.7329265377215701E-2</v>
      </c>
      <c r="M17" s="1079">
        <v>3.6165557045401866</v>
      </c>
      <c r="N17" s="1082">
        <f t="shared" si="6"/>
        <v>0.16101858115614984</v>
      </c>
      <c r="O17" s="1079"/>
      <c r="P17" s="171">
        <f t="shared" si="4"/>
        <v>0</v>
      </c>
      <c r="Q17" s="171">
        <f t="shared" si="7"/>
        <v>0</v>
      </c>
      <c r="R17" s="441">
        <f>TableA2!G17/TableA1!M17</f>
        <v>0.63813671072403322</v>
      </c>
    </row>
    <row r="18" spans="1:18" ht="14.25" customHeight="1" x14ac:dyDescent="0.2">
      <c r="A18" s="1074" t="s">
        <v>37</v>
      </c>
      <c r="B18" s="168">
        <v>232.46482317594567</v>
      </c>
      <c r="C18" s="1076">
        <v>29.203945172177065</v>
      </c>
      <c r="D18" s="1077">
        <f t="shared" si="2"/>
        <v>203.2608780037686</v>
      </c>
      <c r="E18" s="1083">
        <f t="shared" si="5"/>
        <v>127.77114186183469</v>
      </c>
      <c r="F18" s="1079">
        <v>121.94743245506339</v>
      </c>
      <c r="G18" s="1079">
        <v>5.8237094067712958</v>
      </c>
      <c r="H18" s="1079">
        <v>40.825855450896626</v>
      </c>
      <c r="I18" s="1076">
        <f t="shared" si="3"/>
        <v>34.663880691037278</v>
      </c>
      <c r="J18" s="1084">
        <f t="shared" si="8"/>
        <v>0.20085446767645904</v>
      </c>
      <c r="K18" s="176">
        <f t="shared" si="9"/>
        <v>0.62860666113754426</v>
      </c>
      <c r="L18" s="1081">
        <f t="shared" si="1"/>
        <v>0.17053887118599667</v>
      </c>
      <c r="M18" s="1079">
        <v>44.046585238987248</v>
      </c>
      <c r="N18" s="1082">
        <f t="shared" si="6"/>
        <v>0.18947634587126203</v>
      </c>
      <c r="O18" s="1079"/>
      <c r="P18" s="171">
        <f t="shared" si="4"/>
        <v>0</v>
      </c>
      <c r="Q18" s="171">
        <f t="shared" si="7"/>
        <v>0</v>
      </c>
      <c r="R18" s="441">
        <f>TableA2!G18/TableA1!M18</f>
        <v>0.58516933148684369</v>
      </c>
    </row>
    <row r="19" spans="1:18" ht="14.25" customHeight="1" x14ac:dyDescent="0.2">
      <c r="A19" s="1074" t="s">
        <v>38</v>
      </c>
      <c r="B19" s="168">
        <v>2433.5619119866824</v>
      </c>
      <c r="C19" s="1076">
        <v>316.09510912662103</v>
      </c>
      <c r="D19" s="1077">
        <f t="shared" si="2"/>
        <v>2117.4668028600613</v>
      </c>
      <c r="E19" s="1083">
        <f t="shared" si="5"/>
        <v>1308.4658390810716</v>
      </c>
      <c r="F19" s="1079">
        <v>1208.8882825990756</v>
      </c>
      <c r="G19" s="1079">
        <v>99.57755648199597</v>
      </c>
      <c r="H19" s="1079">
        <v>395.77822658011507</v>
      </c>
      <c r="I19" s="1076">
        <f t="shared" si="3"/>
        <v>413.2227371988746</v>
      </c>
      <c r="J19" s="1084">
        <f t="shared" si="8"/>
        <v>0.18691118370570797</v>
      </c>
      <c r="K19" s="176">
        <f t="shared" si="9"/>
        <v>0.61793924575994652</v>
      </c>
      <c r="L19" s="1081">
        <f t="shared" si="1"/>
        <v>0.19514957053434551</v>
      </c>
      <c r="M19" s="1079">
        <v>435.5327235684444</v>
      </c>
      <c r="N19" s="1082">
        <f t="shared" si="6"/>
        <v>0.17896923904964035</v>
      </c>
      <c r="O19" s="1079"/>
      <c r="P19" s="171">
        <f t="shared" si="4"/>
        <v>0</v>
      </c>
      <c r="Q19" s="171">
        <f t="shared" si="7"/>
        <v>0</v>
      </c>
      <c r="R19" s="441">
        <f>TableA2!G19/TableA1!M19</f>
        <v>0.60249756813054178</v>
      </c>
    </row>
    <row r="20" spans="1:18" ht="14.25" customHeight="1" x14ac:dyDescent="0.2">
      <c r="A20" s="1074" t="s">
        <v>39</v>
      </c>
      <c r="B20" s="168">
        <v>3375.6109571356801</v>
      </c>
      <c r="C20" s="1076">
        <v>333.98102830449204</v>
      </c>
      <c r="D20" s="1077">
        <f t="shared" si="2"/>
        <v>3041.629928831188</v>
      </c>
      <c r="E20" s="1083">
        <f t="shared" si="5"/>
        <v>2072.973263728305</v>
      </c>
      <c r="F20" s="1079">
        <v>1955.0417619077721</v>
      </c>
      <c r="G20" s="1079">
        <v>117.93150182053304</v>
      </c>
      <c r="H20" s="1079">
        <v>325.08409498491113</v>
      </c>
      <c r="I20" s="1076">
        <f t="shared" si="3"/>
        <v>643.57257011797174</v>
      </c>
      <c r="J20" s="1084">
        <f t="shared" si="8"/>
        <v>0.10687825363088524</v>
      </c>
      <c r="K20" s="176">
        <f t="shared" si="9"/>
        <v>0.68153368826328253</v>
      </c>
      <c r="L20" s="1081">
        <f t="shared" si="1"/>
        <v>0.21158805810583223</v>
      </c>
      <c r="M20" s="1079">
        <v>594.59285605755611</v>
      </c>
      <c r="N20" s="1082">
        <f t="shared" si="6"/>
        <v>0.17614377474413942</v>
      </c>
      <c r="O20" s="1079"/>
      <c r="P20" s="171">
        <f t="shared" si="4"/>
        <v>0</v>
      </c>
      <c r="Q20" s="171">
        <f t="shared" si="7"/>
        <v>0</v>
      </c>
      <c r="R20" s="441">
        <f>TableA2!G20/TableA1!M20</f>
        <v>0.57656308289188984</v>
      </c>
    </row>
    <row r="21" spans="1:18" ht="14.25" customHeight="1" x14ac:dyDescent="0.2">
      <c r="A21" s="1074" t="s">
        <v>40</v>
      </c>
      <c r="B21" s="168">
        <v>194.86048960859924</v>
      </c>
      <c r="C21" s="1076">
        <v>26.741065635678233</v>
      </c>
      <c r="D21" s="1077">
        <f t="shared" si="2"/>
        <v>168.119423972921</v>
      </c>
      <c r="E21" s="1083">
        <f t="shared" si="5"/>
        <v>65.374766181006336</v>
      </c>
      <c r="F21" s="1079">
        <v>57.459378101921011</v>
      </c>
      <c r="G21" s="1079">
        <v>7.9153880790853313</v>
      </c>
      <c r="H21" s="1079">
        <v>30.928569891721814</v>
      </c>
      <c r="I21" s="1076">
        <f t="shared" si="3"/>
        <v>71.816087900192855</v>
      </c>
      <c r="J21" s="1084">
        <f t="shared" si="8"/>
        <v>0.18396785547340133</v>
      </c>
      <c r="K21" s="176">
        <f t="shared" si="9"/>
        <v>0.38885908978332123</v>
      </c>
      <c r="L21" s="1081">
        <f t="shared" si="1"/>
        <v>0.42717305474327744</v>
      </c>
      <c r="M21" s="1079">
        <v>38.144587366177234</v>
      </c>
      <c r="N21" s="1082">
        <f t="shared" si="6"/>
        <v>0.19575331788807074</v>
      </c>
      <c r="O21" s="1079"/>
      <c r="P21" s="171">
        <f t="shared" si="4"/>
        <v>0</v>
      </c>
      <c r="Q21" s="171">
        <f t="shared" si="7"/>
        <v>0</v>
      </c>
      <c r="R21" s="441">
        <f>TableA2!G21/TableA1!M21</f>
        <v>0.46775242019107133</v>
      </c>
    </row>
    <row r="22" spans="1:18" ht="14.25" customHeight="1" x14ac:dyDescent="0.2">
      <c r="A22" s="1074" t="s">
        <v>41</v>
      </c>
      <c r="B22" s="168">
        <v>121.71520320764681</v>
      </c>
      <c r="C22" s="1076">
        <v>19.763708125620902</v>
      </c>
      <c r="D22" s="1077">
        <f t="shared" si="2"/>
        <v>101.9514950820259</v>
      </c>
      <c r="E22" s="1083">
        <f t="shared" si="5"/>
        <v>66.600399165868637</v>
      </c>
      <c r="F22" s="1079">
        <v>63.378081676854649</v>
      </c>
      <c r="G22" s="1079">
        <v>3.2223174890139892</v>
      </c>
      <c r="H22" s="1079">
        <v>17.133366149660354</v>
      </c>
      <c r="I22" s="1076">
        <f t="shared" si="3"/>
        <v>18.217729766496909</v>
      </c>
      <c r="J22" s="1084">
        <f t="shared" si="8"/>
        <v>0.16805409411480984</v>
      </c>
      <c r="K22" s="176">
        <f t="shared" si="9"/>
        <v>0.65325573805744341</v>
      </c>
      <c r="L22" s="1081">
        <f t="shared" si="1"/>
        <v>0.17869016782774677</v>
      </c>
      <c r="M22" s="1079">
        <v>20.811649199430786</v>
      </c>
      <c r="N22" s="1082">
        <f t="shared" si="6"/>
        <v>0.17098643925299944</v>
      </c>
      <c r="O22" s="1079"/>
      <c r="P22" s="171">
        <f t="shared" si="4"/>
        <v>0</v>
      </c>
      <c r="Q22" s="171">
        <f t="shared" si="7"/>
        <v>0</v>
      </c>
      <c r="R22" s="441">
        <f>TableA2!G22/TableA1!M22</f>
        <v>0.61749157545451261</v>
      </c>
    </row>
    <row r="23" spans="1:18" ht="14.25" customHeight="1" x14ac:dyDescent="0.2">
      <c r="A23" s="1074" t="s">
        <v>42</v>
      </c>
      <c r="B23" s="168">
        <v>16.779599977895479</v>
      </c>
      <c r="C23" s="1076">
        <v>2.3213715135631632</v>
      </c>
      <c r="D23" s="1077">
        <f>B23-C23</f>
        <v>14.458228464332317</v>
      </c>
      <c r="E23" s="1083">
        <f>+D$100*$D23</f>
        <v>8.7968397543178742</v>
      </c>
      <c r="F23" s="1079">
        <f>+E$100*$E23</f>
        <v>7.8626017902984664</v>
      </c>
      <c r="G23" s="1079">
        <f>+F$100*$E23</f>
        <v>0.93423796401940751</v>
      </c>
      <c r="H23" s="1079">
        <v>2.7194512628269329</v>
      </c>
      <c r="I23" s="1076">
        <f>D23-E23-H23</f>
        <v>2.9419374471875095</v>
      </c>
      <c r="J23" s="1084">
        <f t="shared" si="8"/>
        <v>0.18809021240297005</v>
      </c>
      <c r="K23" s="176">
        <f t="shared" si="9"/>
        <v>0.60843137013771853</v>
      </c>
      <c r="L23" s="1081">
        <f t="shared" si="1"/>
        <v>0.20347841745931136</v>
      </c>
      <c r="M23" s="1079">
        <v>2.4532468919685462</v>
      </c>
      <c r="N23" s="1082">
        <f t="shared" si="6"/>
        <v>0.14620413449666966</v>
      </c>
      <c r="O23" s="1079"/>
      <c r="P23" s="171">
        <f t="shared" si="4"/>
        <v>0</v>
      </c>
      <c r="Q23" s="171">
        <f t="shared" si="7"/>
        <v>0</v>
      </c>
      <c r="R23" s="441">
        <f>TableA2!G23/TableA1!M23</f>
        <v>0.61877180196157067</v>
      </c>
    </row>
    <row r="24" spans="1:18" ht="14.25" customHeight="1" x14ac:dyDescent="0.2">
      <c r="A24" s="1074" t="s">
        <v>43</v>
      </c>
      <c r="B24" s="168">
        <v>290.61710602345232</v>
      </c>
      <c r="C24" s="1076">
        <v>21.642864431009951</v>
      </c>
      <c r="D24" s="1077">
        <f t="shared" si="2"/>
        <v>268.97424159244235</v>
      </c>
      <c r="E24" s="1083">
        <f t="shared" si="5"/>
        <v>216.35996679454206</v>
      </c>
      <c r="F24" s="1079">
        <v>198.23817651684283</v>
      </c>
      <c r="G24" s="1079">
        <v>18.121790277699219</v>
      </c>
      <c r="H24" s="1079">
        <v>25.388975322156163</v>
      </c>
      <c r="I24" s="1076">
        <f t="shared" si="3"/>
        <v>27.22529947574413</v>
      </c>
      <c r="J24" s="1084">
        <f t="shared" si="8"/>
        <v>9.43918464899932E-2</v>
      </c>
      <c r="K24" s="176">
        <f t="shared" si="9"/>
        <v>0.8043891694371873</v>
      </c>
      <c r="L24" s="1081">
        <f t="shared" si="1"/>
        <v>0.10121898407281951</v>
      </c>
      <c r="M24" s="1079">
        <v>62.974323996100523</v>
      </c>
      <c r="N24" s="1082">
        <f t="shared" si="6"/>
        <v>0.21669173180404117</v>
      </c>
      <c r="O24" s="1079"/>
      <c r="P24" s="171">
        <f t="shared" si="4"/>
        <v>0</v>
      </c>
      <c r="Q24" s="171">
        <f t="shared" si="7"/>
        <v>0</v>
      </c>
      <c r="R24" s="441">
        <f>TableA2!G24/TableA1!M24</f>
        <v>0.85958509346182332</v>
      </c>
    </row>
    <row r="25" spans="1:18" ht="14.25" customHeight="1" x14ac:dyDescent="0.2">
      <c r="A25" s="1074" t="s">
        <v>44</v>
      </c>
      <c r="B25" s="168">
        <v>299.09387264644505</v>
      </c>
      <c r="C25" s="1076">
        <v>41.443413802445328</v>
      </c>
      <c r="D25" s="1077">
        <f t="shared" si="2"/>
        <v>257.65045884399973</v>
      </c>
      <c r="E25" s="1083">
        <f t="shared" si="5"/>
        <v>168.61095158963607</v>
      </c>
      <c r="F25" s="1079">
        <v>156.86592670691022</v>
      </c>
      <c r="G25" s="1079">
        <v>11.745024882725858</v>
      </c>
      <c r="H25" s="1079">
        <v>36.217430231759373</v>
      </c>
      <c r="I25" s="1076">
        <f t="shared" si="3"/>
        <v>52.822077022604283</v>
      </c>
      <c r="J25" s="1084">
        <f t="shared" si="8"/>
        <v>0.1405680796931475</v>
      </c>
      <c r="K25" s="176">
        <f t="shared" si="9"/>
        <v>0.65441743184212753</v>
      </c>
      <c r="L25" s="1081">
        <f t="shared" si="1"/>
        <v>0.20501448846472498</v>
      </c>
      <c r="M25" s="1079">
        <v>38.970148858981077</v>
      </c>
      <c r="N25" s="1082">
        <f t="shared" si="6"/>
        <v>0.1302940395072793</v>
      </c>
      <c r="O25" s="1079"/>
      <c r="P25" s="171">
        <f t="shared" si="4"/>
        <v>0</v>
      </c>
      <c r="Q25" s="171">
        <f t="shared" si="7"/>
        <v>0</v>
      </c>
      <c r="R25" s="441">
        <f>TableA2!G25/TableA1!M25</f>
        <v>0.58484805056438849</v>
      </c>
    </row>
    <row r="26" spans="1:18" ht="14.25" customHeight="1" x14ac:dyDescent="0.2">
      <c r="A26" s="1074" t="s">
        <v>45</v>
      </c>
      <c r="B26" s="168">
        <v>1832.3473730090866</v>
      </c>
      <c r="C26" s="1076">
        <v>243.08435894279324</v>
      </c>
      <c r="D26" s="1077">
        <f t="shared" si="2"/>
        <v>1589.2630140662934</v>
      </c>
      <c r="E26" s="1083">
        <f t="shared" si="5"/>
        <v>872.75122856867165</v>
      </c>
      <c r="F26" s="1079">
        <v>795.37641170331563</v>
      </c>
      <c r="G26" s="1079">
        <v>77.374816865355967</v>
      </c>
      <c r="H26" s="1079">
        <v>228.77939442738332</v>
      </c>
      <c r="I26" s="1076">
        <f t="shared" si="3"/>
        <v>487.73239107023846</v>
      </c>
      <c r="J26" s="1084">
        <f t="shared" si="8"/>
        <v>0.14395313576324137</v>
      </c>
      <c r="K26" s="176">
        <f t="shared" si="9"/>
        <v>0.54915468418008895</v>
      </c>
      <c r="L26" s="1081">
        <f t="shared" si="1"/>
        <v>0.30689218005666968</v>
      </c>
      <c r="M26" s="1079">
        <v>330.98632631626811</v>
      </c>
      <c r="N26" s="1082">
        <f t="shared" si="6"/>
        <v>0.18063514112650012</v>
      </c>
      <c r="O26" s="1079"/>
      <c r="P26" s="171">
        <f t="shared" si="4"/>
        <v>0</v>
      </c>
      <c r="Q26" s="171">
        <f t="shared" si="7"/>
        <v>0</v>
      </c>
      <c r="R26" s="441">
        <f>TableA2!G26/TableA1!M26</f>
        <v>0.56400182551213529</v>
      </c>
    </row>
    <row r="27" spans="1:18" ht="14.25" customHeight="1" x14ac:dyDescent="0.2">
      <c r="A27" s="1074" t="s">
        <v>46</v>
      </c>
      <c r="B27" s="168">
        <v>4368.6301587942826</v>
      </c>
      <c r="C27" s="1076">
        <v>341.88633673217913</v>
      </c>
      <c r="D27" s="1077">
        <f t="shared" si="2"/>
        <v>4026.7438220621034</v>
      </c>
      <c r="E27" s="1083">
        <f>K28*$D27</f>
        <v>2733.7570791303033</v>
      </c>
      <c r="F27" s="1079">
        <f>+E$100*$E27</f>
        <v>2443.427856470912</v>
      </c>
      <c r="G27" s="1079">
        <f>+F$100*$E27</f>
        <v>290.32922265939106</v>
      </c>
      <c r="H27" s="1079">
        <f>+G$100*$D27</f>
        <v>557.16549740291418</v>
      </c>
      <c r="I27" s="1076">
        <f t="shared" si="3"/>
        <v>735.82124552888592</v>
      </c>
      <c r="J27" s="1084">
        <f t="shared" si="8"/>
        <v>0.13836626366700144</v>
      </c>
      <c r="K27" s="176">
        <f t="shared" si="9"/>
        <v>0.678900173423583</v>
      </c>
      <c r="L27" s="1081">
        <f t="shared" si="1"/>
        <v>0.18273356290941559</v>
      </c>
      <c r="M27" s="1079">
        <v>991.90930771224316</v>
      </c>
      <c r="N27" s="1082">
        <f t="shared" si="6"/>
        <v>0.22705270797883348</v>
      </c>
      <c r="O27" s="1079"/>
      <c r="P27" s="171">
        <f t="shared" si="4"/>
        <v>0</v>
      </c>
      <c r="Q27" s="171">
        <f t="shared" si="7"/>
        <v>0</v>
      </c>
      <c r="R27" s="441">
        <f>TableA2!G27/TableA1!M27</f>
        <v>0.66539124322136312</v>
      </c>
    </row>
    <row r="28" spans="1:18" ht="14.25" customHeight="1" x14ac:dyDescent="0.2">
      <c r="A28" s="1074" t="s">
        <v>47</v>
      </c>
      <c r="B28" s="168">
        <v>1382.7640271138193</v>
      </c>
      <c r="C28" s="1076">
        <v>140.36833951063403</v>
      </c>
      <c r="D28" s="1077">
        <f t="shared" si="2"/>
        <v>1242.3956876031853</v>
      </c>
      <c r="E28" s="1083">
        <f>TableA2!B28</f>
        <v>843.46264777451415</v>
      </c>
      <c r="F28" s="1079">
        <f>TableA2b!B28</f>
        <v>776.97252593029702</v>
      </c>
      <c r="G28" s="1079">
        <f>E28-F28</f>
        <v>66.490121844217128</v>
      </c>
      <c r="H28" s="1079">
        <f>+G$100*$D28</f>
        <v>171.9056492896479</v>
      </c>
      <c r="I28" s="1076">
        <f t="shared" si="3"/>
        <v>227.0273905390232</v>
      </c>
      <c r="J28" s="1084">
        <f t="shared" si="8"/>
        <v>0.13836626366700144</v>
      </c>
      <c r="K28" s="176">
        <f t="shared" si="9"/>
        <v>0.678900173423583</v>
      </c>
      <c r="L28" s="1081">
        <f t="shared" si="1"/>
        <v>0.18273356290941553</v>
      </c>
      <c r="M28" s="1079">
        <v>270.23681494398437</v>
      </c>
      <c r="N28" s="1082">
        <f t="shared" si="6"/>
        <v>0.19543234394666559</v>
      </c>
      <c r="O28" s="1079"/>
      <c r="P28" s="171">
        <f t="shared" si="4"/>
        <v>0</v>
      </c>
      <c r="Q28" s="171">
        <f t="shared" si="7"/>
        <v>0</v>
      </c>
      <c r="R28" s="441">
        <f>TableA2!G28/TableA1!M28</f>
        <v>0.68014010711841522</v>
      </c>
    </row>
    <row r="29" spans="1:18" ht="14.25" customHeight="1" x14ac:dyDescent="0.2">
      <c r="A29" s="1074" t="s">
        <v>48</v>
      </c>
      <c r="B29" s="168">
        <v>27.009231871472473</v>
      </c>
      <c r="C29" s="1076">
        <v>3.1466940384335986</v>
      </c>
      <c r="D29" s="1077">
        <f t="shared" si="2"/>
        <v>23.862537833038875</v>
      </c>
      <c r="E29" s="1083">
        <f t="shared" si="5"/>
        <v>16.865578894016473</v>
      </c>
      <c r="F29" s="1079">
        <v>15.789667712516593</v>
      </c>
      <c r="G29" s="1079">
        <v>1.0759111814998796</v>
      </c>
      <c r="H29" s="1079">
        <v>3.7631366181671786</v>
      </c>
      <c r="I29" s="1076">
        <f t="shared" si="3"/>
        <v>3.2338223208552237</v>
      </c>
      <c r="J29" s="1084">
        <f t="shared" si="8"/>
        <v>0.15770060353584556</v>
      </c>
      <c r="K29" s="176">
        <f t="shared" si="9"/>
        <v>0.70678060363995465</v>
      </c>
      <c r="L29" s="1081">
        <f t="shared" si="1"/>
        <v>0.13551879282419974</v>
      </c>
      <c r="M29" s="1079">
        <v>6.2093906898284157</v>
      </c>
      <c r="N29" s="1082">
        <f t="shared" si="6"/>
        <v>0.22989882568214984</v>
      </c>
      <c r="O29" s="1079"/>
      <c r="P29" s="171">
        <f t="shared" si="4"/>
        <v>0</v>
      </c>
      <c r="Q29" s="171">
        <f t="shared" si="7"/>
        <v>0</v>
      </c>
      <c r="R29" s="441">
        <f>TableA2!G29/TableA1!M29</f>
        <v>0.58188385878069637</v>
      </c>
    </row>
    <row r="30" spans="1:18" ht="14.25" customHeight="1" x14ac:dyDescent="0.2">
      <c r="A30" s="1074" t="s">
        <v>49</v>
      </c>
      <c r="B30" s="168">
        <v>57.78448393461386</v>
      </c>
      <c r="C30" s="1076">
        <v>6.0478517931945444</v>
      </c>
      <c r="D30" s="1077">
        <f t="shared" si="2"/>
        <v>51.736632141419314</v>
      </c>
      <c r="E30" s="1083">
        <f t="shared" si="5"/>
        <v>39.231128397764564</v>
      </c>
      <c r="F30" s="1079">
        <v>25.812973640810995</v>
      </c>
      <c r="G30" s="1079">
        <v>13.418154756953573</v>
      </c>
      <c r="H30" s="1079">
        <v>6.4658590442728343</v>
      </c>
      <c r="I30" s="1076">
        <f t="shared" si="3"/>
        <v>6.0396446993819151</v>
      </c>
      <c r="J30" s="1084">
        <f t="shared" si="8"/>
        <v>0.12497641954348236</v>
      </c>
      <c r="K30" s="176">
        <f t="shared" si="9"/>
        <v>0.75828531494915197</v>
      </c>
      <c r="L30" s="1081">
        <f t="shared" si="1"/>
        <v>0.11673826550736564</v>
      </c>
      <c r="M30" s="1079">
        <v>6.885751708794567</v>
      </c>
      <c r="N30" s="1082">
        <f t="shared" si="6"/>
        <v>0.11916264090177135</v>
      </c>
      <c r="O30" s="1079"/>
      <c r="P30" s="171">
        <f t="shared" si="4"/>
        <v>0</v>
      </c>
      <c r="Q30" s="171">
        <f t="shared" si="7"/>
        <v>0</v>
      </c>
      <c r="R30" s="441">
        <f>TableA2!G30/TableA1!M30</f>
        <v>0.60683567954128137</v>
      </c>
    </row>
    <row r="31" spans="1:18" ht="14.25" customHeight="1" x14ac:dyDescent="0.2">
      <c r="A31" s="1074" t="s">
        <v>50</v>
      </c>
      <c r="B31" s="168">
        <v>1148.0597847070599</v>
      </c>
      <c r="C31" s="1076">
        <v>75.148910603285515</v>
      </c>
      <c r="D31" s="1077">
        <f t="shared" si="2"/>
        <v>1072.9108741037744</v>
      </c>
      <c r="E31" s="1083">
        <f t="shared" si="5"/>
        <v>580.51899302302263</v>
      </c>
      <c r="F31" s="1079">
        <v>539.63509070108421</v>
      </c>
      <c r="G31" s="1079">
        <v>40.883902321938415</v>
      </c>
      <c r="H31" s="1079">
        <v>107.06274698678412</v>
      </c>
      <c r="I31" s="1076">
        <f t="shared" si="3"/>
        <v>385.32913409396764</v>
      </c>
      <c r="J31" s="1084">
        <f t="shared" si="8"/>
        <v>9.9787176708611466E-2</v>
      </c>
      <c r="K31" s="176">
        <f t="shared" si="9"/>
        <v>0.54106916709921749</v>
      </c>
      <c r="L31" s="1081">
        <f t="shared" si="1"/>
        <v>0.35914365619217103</v>
      </c>
      <c r="M31" s="1079">
        <v>142.10493803518077</v>
      </c>
      <c r="N31" s="1082">
        <f t="shared" si="6"/>
        <v>0.12377834319093445</v>
      </c>
      <c r="O31" s="1079"/>
      <c r="P31" s="171">
        <f t="shared" si="4"/>
        <v>0</v>
      </c>
      <c r="Q31" s="171">
        <f t="shared" si="7"/>
        <v>0</v>
      </c>
      <c r="R31" s="441">
        <f>TableA2!G31/TableA1!M31</f>
        <v>0.7202929510322954</v>
      </c>
    </row>
    <row r="32" spans="1:18" ht="14.25" customHeight="1" x14ac:dyDescent="0.2">
      <c r="A32" s="1074" t="s">
        <v>51</v>
      </c>
      <c r="B32" s="168">
        <v>757.99942106716617</v>
      </c>
      <c r="C32" s="1076">
        <v>77.939664551676415</v>
      </c>
      <c r="D32" s="1077">
        <f t="shared" si="2"/>
        <v>680.05975651548977</v>
      </c>
      <c r="E32" s="1083">
        <f t="shared" si="5"/>
        <v>501.13845699981925</v>
      </c>
      <c r="F32" s="1079">
        <v>450.70808365468542</v>
      </c>
      <c r="G32" s="1079">
        <v>50.430373345133802</v>
      </c>
      <c r="H32" s="1079">
        <v>90.792638902290108</v>
      </c>
      <c r="I32" s="1076">
        <f t="shared" si="3"/>
        <v>88.128660613380404</v>
      </c>
      <c r="J32" s="1084">
        <f t="shared" si="8"/>
        <v>0.13350685440864213</v>
      </c>
      <c r="K32" s="176">
        <f t="shared" si="9"/>
        <v>0.73690356207455543</v>
      </c>
      <c r="L32" s="1081">
        <f t="shared" si="1"/>
        <v>0.12958958351680244</v>
      </c>
      <c r="M32" s="1079">
        <v>123.94375257164849</v>
      </c>
      <c r="N32" s="1082">
        <f t="shared" si="6"/>
        <v>0.16351431033700731</v>
      </c>
      <c r="O32" s="1079"/>
      <c r="P32" s="171">
        <f t="shared" si="4"/>
        <v>0</v>
      </c>
      <c r="Q32" s="171">
        <f t="shared" si="7"/>
        <v>0</v>
      </c>
      <c r="R32" s="441">
        <f>TableA2!G32/TableA1!M32</f>
        <v>0.57923135430182104</v>
      </c>
    </row>
    <row r="33" spans="1:18" ht="14.25" customHeight="1" x14ac:dyDescent="0.2">
      <c r="A33" s="1074" t="s">
        <v>52</v>
      </c>
      <c r="B33" s="168">
        <v>175.57279589951008</v>
      </c>
      <c r="C33" s="1076">
        <v>23.149636499938982</v>
      </c>
      <c r="D33" s="1077">
        <f>B33-C33</f>
        <v>152.42315939957109</v>
      </c>
      <c r="E33" s="1083">
        <f>+TableA2!B33</f>
        <v>117.72450705207552</v>
      </c>
      <c r="F33" s="1079">
        <v>110.9119754528496</v>
      </c>
      <c r="G33" s="1079">
        <f>+E33-F33</f>
        <v>6.8125315992259203</v>
      </c>
      <c r="H33" s="1079">
        <v>20.029895918687561</v>
      </c>
      <c r="I33" s="1076">
        <f>D33-E33-H33</f>
        <v>14.668756428808006</v>
      </c>
      <c r="J33" s="1084">
        <f t="shared" si="8"/>
        <v>0.13140979361397442</v>
      </c>
      <c r="K33" s="176">
        <f t="shared" si="9"/>
        <v>0.77235314840486635</v>
      </c>
      <c r="L33" s="1081">
        <f t="shared" si="1"/>
        <v>9.623705798115928E-2</v>
      </c>
      <c r="M33" s="1079">
        <f>TableA2!G33/K33</f>
        <v>21.917823517599246</v>
      </c>
      <c r="N33" s="1082">
        <f t="shared" si="6"/>
        <v>0.12483610234323554</v>
      </c>
      <c r="O33" s="1079"/>
      <c r="P33" s="171">
        <f t="shared" si="4"/>
        <v>0</v>
      </c>
      <c r="Q33" s="171">
        <f t="shared" si="7"/>
        <v>0</v>
      </c>
      <c r="R33" s="441">
        <f>TableA2!G33/TableA1!M33</f>
        <v>0.77235314840486635</v>
      </c>
    </row>
    <row r="34" spans="1:18" ht="14.25" customHeight="1" x14ac:dyDescent="0.2">
      <c r="A34" s="1074" t="s">
        <v>53</v>
      </c>
      <c r="B34" s="168">
        <v>386.57842775329436</v>
      </c>
      <c r="C34" s="1076">
        <v>38.771394491210316</v>
      </c>
      <c r="D34" s="1077">
        <f t="shared" si="2"/>
        <v>347.80703326208402</v>
      </c>
      <c r="E34" s="1083">
        <f t="shared" si="5"/>
        <v>244.0517414879925</v>
      </c>
      <c r="F34" s="1079">
        <v>227.26315067631907</v>
      </c>
      <c r="G34" s="1079">
        <v>16.788590811673419</v>
      </c>
      <c r="H34" s="1079">
        <v>69.872188906802151</v>
      </c>
      <c r="I34" s="1076">
        <f t="shared" si="3"/>
        <v>33.883102867289367</v>
      </c>
      <c r="J34" s="1084">
        <f t="shared" si="8"/>
        <v>0.20089354792935185</v>
      </c>
      <c r="K34" s="176">
        <f t="shared" si="9"/>
        <v>0.70168719476150299</v>
      </c>
      <c r="L34" s="1081">
        <f t="shared" si="1"/>
        <v>9.7419257309145149E-2</v>
      </c>
      <c r="M34" s="1079">
        <v>68.419466015522744</v>
      </c>
      <c r="N34" s="1082">
        <f t="shared" si="6"/>
        <v>0.17698728408918488</v>
      </c>
      <c r="O34" s="1079"/>
      <c r="P34" s="171">
        <f t="shared" si="4"/>
        <v>0</v>
      </c>
      <c r="Q34" s="171">
        <f t="shared" si="7"/>
        <v>0</v>
      </c>
      <c r="R34" s="441">
        <f>TableA2!G34/TableA1!M34</f>
        <v>0.63842057758461324</v>
      </c>
    </row>
    <row r="35" spans="1:18" ht="14.25" customHeight="1" x14ac:dyDescent="0.2">
      <c r="A35" s="1074" t="s">
        <v>54</v>
      </c>
      <c r="B35" s="168">
        <v>477.06645443692798</v>
      </c>
      <c r="C35" s="1076">
        <v>55.285051067780877</v>
      </c>
      <c r="D35" s="1077">
        <f t="shared" si="2"/>
        <v>421.78140336914709</v>
      </c>
      <c r="E35" s="1083">
        <f t="shared" si="5"/>
        <v>234.89932351770796</v>
      </c>
      <c r="F35" s="1079">
        <v>219.12534818941506</v>
      </c>
      <c r="G35" s="1079">
        <v>15.773975328292877</v>
      </c>
      <c r="H35" s="1079">
        <v>59.604722111685902</v>
      </c>
      <c r="I35" s="1076">
        <f t="shared" si="3"/>
        <v>127.27735773975323</v>
      </c>
      <c r="J35" s="1084">
        <f t="shared" si="8"/>
        <v>0.14131661954645089</v>
      </c>
      <c r="K35" s="176">
        <f t="shared" si="9"/>
        <v>0.55692195445639847</v>
      </c>
      <c r="L35" s="1081">
        <f t="shared" si="1"/>
        <v>0.30176142599715067</v>
      </c>
      <c r="M35" s="1079">
        <v>54.658442764292346</v>
      </c>
      <c r="N35" s="1082">
        <f t="shared" si="6"/>
        <v>0.11457196844578942</v>
      </c>
      <c r="O35" s="1079"/>
      <c r="P35" s="171">
        <f t="shared" si="4"/>
        <v>1.4210854715202004E-14</v>
      </c>
      <c r="Q35" s="171">
        <f t="shared" si="7"/>
        <v>0</v>
      </c>
      <c r="R35" s="441">
        <f>TableA2!G35/TableA1!M35</f>
        <v>0.66477054869318319</v>
      </c>
    </row>
    <row r="36" spans="1:18" ht="14.25" customHeight="1" x14ac:dyDescent="0.2">
      <c r="A36" s="1074" t="s">
        <v>55</v>
      </c>
      <c r="B36" s="168">
        <v>199.42024645680905</v>
      </c>
      <c r="C36" s="1076">
        <v>26.452146543205355</v>
      </c>
      <c r="D36" s="1077">
        <f t="shared" si="2"/>
        <v>172.96809991360371</v>
      </c>
      <c r="E36" s="1083">
        <f t="shared" si="5"/>
        <v>101.75390252856124</v>
      </c>
      <c r="F36" s="1079">
        <v>93.25897817245766</v>
      </c>
      <c r="G36" s="1079">
        <v>8.4949243561035814</v>
      </c>
      <c r="H36" s="1079">
        <v>28.746567161199522</v>
      </c>
      <c r="I36" s="1076">
        <f t="shared" si="3"/>
        <v>42.467630223842946</v>
      </c>
      <c r="J36" s="1084">
        <f t="shared" si="8"/>
        <v>0.16619577353025339</v>
      </c>
      <c r="K36" s="176">
        <f t="shared" si="9"/>
        <v>0.58828132227495455</v>
      </c>
      <c r="L36" s="1081">
        <f t="shared" si="1"/>
        <v>0.24552290419479206</v>
      </c>
      <c r="M36" s="1079">
        <v>34.395042915337172</v>
      </c>
      <c r="N36" s="1082">
        <f t="shared" si="6"/>
        <v>0.17247518006044857</v>
      </c>
      <c r="O36" s="1079"/>
      <c r="P36" s="171">
        <f t="shared" si="4"/>
        <v>0</v>
      </c>
      <c r="Q36" s="171">
        <f t="shared" si="7"/>
        <v>0</v>
      </c>
      <c r="R36" s="441">
        <f>TableA2!G36/TableA1!M36</f>
        <v>0.50303663672184851</v>
      </c>
    </row>
    <row r="37" spans="1:18" ht="14.25" customHeight="1" x14ac:dyDescent="0.2">
      <c r="A37" s="1074" t="s">
        <v>56</v>
      </c>
      <c r="B37" s="168">
        <v>87.501420159949603</v>
      </c>
      <c r="C37" s="1076">
        <v>8.4615758285560272</v>
      </c>
      <c r="D37" s="1077">
        <f t="shared" si="2"/>
        <v>79.039844331393581</v>
      </c>
      <c r="E37" s="1083">
        <f t="shared" si="5"/>
        <v>43.35690211044308</v>
      </c>
      <c r="F37" s="1079">
        <v>40.681291929654115</v>
      </c>
      <c r="G37" s="1079">
        <v>2.6756101807889676</v>
      </c>
      <c r="H37" s="1079">
        <v>11.16217106467079</v>
      </c>
      <c r="I37" s="1076">
        <f t="shared" si="3"/>
        <v>24.520771156279711</v>
      </c>
      <c r="J37" s="1084">
        <f t="shared" si="8"/>
        <v>0.14122207804295134</v>
      </c>
      <c r="K37" s="176">
        <f t="shared" si="9"/>
        <v>0.54854488235906473</v>
      </c>
      <c r="L37" s="1081">
        <f t="shared" si="1"/>
        <v>0.31023303959798393</v>
      </c>
      <c r="M37" s="1079">
        <v>17.635143662959056</v>
      </c>
      <c r="N37" s="1082">
        <f t="shared" si="6"/>
        <v>0.20154122791061696</v>
      </c>
      <c r="O37" s="1079"/>
      <c r="P37" s="171">
        <f t="shared" si="4"/>
        <v>0</v>
      </c>
      <c r="Q37" s="171">
        <f t="shared" si="7"/>
        <v>0</v>
      </c>
      <c r="R37" s="441">
        <f>TableA2!G37/TableA1!M37</f>
        <v>0.63554628339578056</v>
      </c>
    </row>
    <row r="38" spans="1:18" ht="14.25" customHeight="1" x14ac:dyDescent="0.2">
      <c r="A38" s="1074" t="s">
        <v>57</v>
      </c>
      <c r="B38" s="168">
        <v>42.776714811253477</v>
      </c>
      <c r="C38" s="1076">
        <v>5.8237055250377354</v>
      </c>
      <c r="D38" s="1077">
        <f t="shared" si="2"/>
        <v>36.953009286215739</v>
      </c>
      <c r="E38" s="1083">
        <f t="shared" si="5"/>
        <v>23.475728296395868</v>
      </c>
      <c r="F38" s="1079">
        <v>22.013766401710626</v>
      </c>
      <c r="G38" s="1079">
        <v>1.4619618946852413</v>
      </c>
      <c r="H38" s="1079">
        <v>5.9998325309235545</v>
      </c>
      <c r="I38" s="1076">
        <f t="shared" si="3"/>
        <v>7.4774484588963164</v>
      </c>
      <c r="J38" s="1084">
        <f t="shared" si="8"/>
        <v>0.16236384118144392</v>
      </c>
      <c r="K38" s="176">
        <f t="shared" si="9"/>
        <v>0.63528596858153086</v>
      </c>
      <c r="L38" s="1081">
        <f t="shared" si="1"/>
        <v>0.20235019023702527</v>
      </c>
      <c r="M38" s="1079">
        <v>8.8670668179433694</v>
      </c>
      <c r="N38" s="1082">
        <f t="shared" si="6"/>
        <v>0.20728723224932336</v>
      </c>
      <c r="O38" s="1079"/>
      <c r="P38" s="171">
        <f t="shared" si="4"/>
        <v>0</v>
      </c>
      <c r="Q38" s="171">
        <f t="shared" si="7"/>
        <v>0</v>
      </c>
      <c r="R38" s="441">
        <f>TableA2!G38/TableA1!M38</f>
        <v>0.61444135340093187</v>
      </c>
    </row>
    <row r="39" spans="1:18" x14ac:dyDescent="0.2">
      <c r="A39" s="1074" t="s">
        <v>58</v>
      </c>
      <c r="B39" s="168">
        <v>1197.7898518175941</v>
      </c>
      <c r="C39" s="1076">
        <v>125.42324759138432</v>
      </c>
      <c r="D39" s="1077">
        <f t="shared" si="2"/>
        <v>1072.3666042262098</v>
      </c>
      <c r="E39" s="1083">
        <f t="shared" si="5"/>
        <v>678.97508925214515</v>
      </c>
      <c r="F39" s="1079">
        <v>641.19251291230933</v>
      </c>
      <c r="G39" s="1079">
        <v>37.782576339835785</v>
      </c>
      <c r="H39" s="1079">
        <v>163.01506445341309</v>
      </c>
      <c r="I39" s="1076">
        <f t="shared" si="3"/>
        <v>230.37645052065156</v>
      </c>
      <c r="J39" s="1084">
        <f t="shared" si="8"/>
        <v>0.1520143053793066</v>
      </c>
      <c r="K39" s="176">
        <f t="shared" si="9"/>
        <v>0.63315575716018768</v>
      </c>
      <c r="L39" s="1081">
        <f t="shared" si="1"/>
        <v>0.21482993746050574</v>
      </c>
      <c r="M39" s="1079">
        <v>209.80658985270483</v>
      </c>
      <c r="N39" s="1082">
        <f t="shared" si="6"/>
        <v>0.17516143548413976</v>
      </c>
      <c r="O39" s="1079"/>
      <c r="P39" s="171">
        <f t="shared" si="4"/>
        <v>0</v>
      </c>
      <c r="Q39" s="171">
        <f t="shared" si="7"/>
        <v>0</v>
      </c>
      <c r="R39" s="441">
        <f>TableA2!G39/TableA1!M39</f>
        <v>0.63679998308435637</v>
      </c>
    </row>
    <row r="40" spans="1:18" x14ac:dyDescent="0.2">
      <c r="A40" s="1074" t="s">
        <v>59</v>
      </c>
      <c r="B40" s="168">
        <v>497.91809946387843</v>
      </c>
      <c r="C40" s="1076">
        <v>100.53206693522733</v>
      </c>
      <c r="D40" s="1077">
        <f t="shared" si="2"/>
        <v>397.38603252865107</v>
      </c>
      <c r="E40" s="1083">
        <f t="shared" si="5"/>
        <v>287.8253425286855</v>
      </c>
      <c r="F40" s="1079">
        <v>269.43791827255546</v>
      </c>
      <c r="G40" s="1079">
        <v>18.387424256130021</v>
      </c>
      <c r="H40" s="1079">
        <v>77.441768019100763</v>
      </c>
      <c r="I40" s="1076">
        <f t="shared" si="3"/>
        <v>32.118921980864812</v>
      </c>
      <c r="J40" s="1084">
        <f t="shared" si="8"/>
        <v>0.19487793148219748</v>
      </c>
      <c r="K40" s="176">
        <f t="shared" si="9"/>
        <v>0.72429657554190363</v>
      </c>
      <c r="L40" s="1081">
        <f t="shared" si="1"/>
        <v>8.0825492975898888E-2</v>
      </c>
      <c r="M40" s="1079">
        <v>81.568223989047326</v>
      </c>
      <c r="N40" s="1082">
        <f t="shared" si="6"/>
        <v>0.16381855585662378</v>
      </c>
      <c r="O40" s="1079"/>
      <c r="P40" s="171">
        <f t="shared" si="4"/>
        <v>0</v>
      </c>
      <c r="Q40" s="171">
        <f t="shared" si="7"/>
        <v>0</v>
      </c>
      <c r="R40" s="441">
        <f>TableA2!G40/TableA1!M40</f>
        <v>0.70678982289630321</v>
      </c>
    </row>
    <row r="41" spans="1:18" x14ac:dyDescent="0.2">
      <c r="A41" s="1074" t="s">
        <v>60</v>
      </c>
      <c r="B41" s="168">
        <v>679.2893983775657</v>
      </c>
      <c r="C41" s="1076">
        <v>20.130951463089978</v>
      </c>
      <c r="D41" s="1077">
        <f t="shared" si="2"/>
        <v>659.15844691447569</v>
      </c>
      <c r="E41" s="1083">
        <f t="shared" si="5"/>
        <v>483.52057116672086</v>
      </c>
      <c r="F41" s="1079">
        <v>418.96218472725457</v>
      </c>
      <c r="G41" s="1079">
        <v>64.558386439466275</v>
      </c>
      <c r="H41" s="1079">
        <v>70.134861453000426</v>
      </c>
      <c r="I41" s="1076">
        <f t="shared" si="3"/>
        <v>105.50301429475441</v>
      </c>
      <c r="J41" s="1084">
        <f t="shared" si="8"/>
        <v>0.10640061093247322</v>
      </c>
      <c r="K41" s="176">
        <f t="shared" si="9"/>
        <v>0.73354225138141416</v>
      </c>
      <c r="L41" s="1081">
        <f t="shared" ref="L41:L53" si="10">I41/D41</f>
        <v>0.16005713768611265</v>
      </c>
      <c r="M41" s="1079">
        <v>140.29731644743609</v>
      </c>
      <c r="N41" s="1082">
        <f t="shared" si="6"/>
        <v>0.20653541301031081</v>
      </c>
      <c r="O41" s="1079"/>
      <c r="P41" s="171">
        <f t="shared" si="4"/>
        <v>0</v>
      </c>
      <c r="Q41" s="171">
        <f t="shared" si="7"/>
        <v>0</v>
      </c>
      <c r="R41" s="441">
        <f>TableA2!G41/TableA1!M41</f>
        <v>0.69513860792272686</v>
      </c>
    </row>
    <row r="42" spans="1:18" x14ac:dyDescent="0.2">
      <c r="A42" s="1074" t="s">
        <v>61</v>
      </c>
      <c r="B42" s="168">
        <v>859.38316380570791</v>
      </c>
      <c r="C42" s="1076">
        <v>100.93627631379161</v>
      </c>
      <c r="D42" s="1077">
        <f t="shared" si="2"/>
        <v>758.4468874919163</v>
      </c>
      <c r="E42" s="1083">
        <f t="shared" si="5"/>
        <v>461.75718903871274</v>
      </c>
      <c r="F42" s="1079">
        <v>436.54209967687609</v>
      </c>
      <c r="G42" s="1079">
        <v>25.215089361836664</v>
      </c>
      <c r="H42" s="1079">
        <v>81.860188697905045</v>
      </c>
      <c r="I42" s="1076">
        <f t="shared" si="3"/>
        <v>214.82950975529852</v>
      </c>
      <c r="J42" s="1084">
        <f t="shared" si="8"/>
        <v>0.10793133975222165</v>
      </c>
      <c r="K42" s="176">
        <f t="shared" si="9"/>
        <v>0.60881941326924394</v>
      </c>
      <c r="L42" s="1081">
        <f t="shared" si="10"/>
        <v>0.28324924697853443</v>
      </c>
      <c r="M42" s="1079">
        <v>126.14899101436797</v>
      </c>
      <c r="N42" s="1082">
        <f t="shared" si="6"/>
        <v>0.1467901587177104</v>
      </c>
      <c r="O42" s="1079"/>
      <c r="P42" s="171">
        <f t="shared" ref="P42:P73" si="11">E42-F42-G42</f>
        <v>0</v>
      </c>
      <c r="Q42" s="171">
        <f t="shared" si="7"/>
        <v>0</v>
      </c>
      <c r="R42" s="441">
        <f>TableA2!G42/TableA1!M42</f>
        <v>0.49748317045874885</v>
      </c>
    </row>
    <row r="43" spans="1:18" x14ac:dyDescent="0.2">
      <c r="A43" s="1074" t="s">
        <v>62</v>
      </c>
      <c r="B43" s="168">
        <v>2861.0928202033469</v>
      </c>
      <c r="C43" s="1076">
        <v>349.55274274496026</v>
      </c>
      <c r="D43" s="1077">
        <f t="shared" si="2"/>
        <v>2511.5400774583868</v>
      </c>
      <c r="E43" s="1083">
        <f t="shared" si="5"/>
        <v>1619.5418191262634</v>
      </c>
      <c r="F43" s="1079">
        <v>1440.0278055748649</v>
      </c>
      <c r="G43" s="1079">
        <v>179.51401355139831</v>
      </c>
      <c r="H43" s="1079">
        <v>311.14896607567084</v>
      </c>
      <c r="I43" s="1076">
        <f t="shared" si="3"/>
        <v>580.8492922564526</v>
      </c>
      <c r="J43" s="1084">
        <f t="shared" si="8"/>
        <v>0.12388771689064404</v>
      </c>
      <c r="K43" s="176">
        <f t="shared" si="9"/>
        <v>0.64484012565118909</v>
      </c>
      <c r="L43" s="1081">
        <f t="shared" si="10"/>
        <v>0.23127215745816684</v>
      </c>
      <c r="M43" s="1079">
        <v>374.44331558563579</v>
      </c>
      <c r="N43" s="1082">
        <f t="shared" si="6"/>
        <v>0.13087422852608568</v>
      </c>
      <c r="O43" s="1079"/>
      <c r="P43" s="171">
        <f t="shared" si="11"/>
        <v>0</v>
      </c>
      <c r="Q43" s="171">
        <f t="shared" si="7"/>
        <v>0</v>
      </c>
      <c r="R43" s="441">
        <f>TableA2!G43/TableA1!M43</f>
        <v>0.54700314170304787</v>
      </c>
    </row>
    <row r="44" spans="1:18" x14ac:dyDescent="0.2">
      <c r="A44" s="1074" t="s">
        <v>63</v>
      </c>
      <c r="B44" s="168">
        <v>18120.7137</v>
      </c>
      <c r="C44" s="1076">
        <v>1198.5211999999999</v>
      </c>
      <c r="D44" s="1077">
        <f t="shared" si="2"/>
        <v>16922.192500000001</v>
      </c>
      <c r="E44" s="1083">
        <f t="shared" si="5"/>
        <v>9749.7634999999991</v>
      </c>
      <c r="F44" s="1079">
        <v>8421.3765999999996</v>
      </c>
      <c r="G44" s="1079">
        <v>1328.3869000000002</v>
      </c>
      <c r="H44" s="1079">
        <f>+G$100*$D44</f>
        <v>2341.4605492787546</v>
      </c>
      <c r="I44" s="1076">
        <f t="shared" si="3"/>
        <v>4830.9684507212478</v>
      </c>
      <c r="J44" s="1084">
        <f t="shared" si="8"/>
        <v>0.13836626366700144</v>
      </c>
      <c r="K44" s="189">
        <f t="shared" si="9"/>
        <v>0.57615249915163169</v>
      </c>
      <c r="L44" s="1081">
        <f t="shared" si="10"/>
        <v>0.28548123718136686</v>
      </c>
      <c r="M44" s="1079">
        <v>2841.5457999999999</v>
      </c>
      <c r="N44" s="1082">
        <f t="shared" si="6"/>
        <v>0.1568120244623698</v>
      </c>
      <c r="O44" s="1079"/>
      <c r="P44" s="171">
        <f t="shared" si="11"/>
        <v>0</v>
      </c>
      <c r="Q44" s="171">
        <f t="shared" si="7"/>
        <v>0</v>
      </c>
      <c r="R44" s="441">
        <f>TableA2!G44/TableA1!M44</f>
        <v>0.54579190664461574</v>
      </c>
    </row>
    <row r="45" spans="1:18" ht="40" customHeight="1" x14ac:dyDescent="0.2">
      <c r="A45" s="187" t="s">
        <v>64</v>
      </c>
      <c r="B45" s="168">
        <f>SUM(B46:B52)</f>
        <v>17713.814901017813</v>
      </c>
      <c r="C45" s="781">
        <f t="shared" ref="C45:I45" si="12">SUM(C46:C52)</f>
        <v>2096.2982094108293</v>
      </c>
      <c r="D45" s="1085">
        <f t="shared" si="12"/>
        <v>15617.516691606983</v>
      </c>
      <c r="E45" s="1086">
        <f t="shared" si="12"/>
        <v>9449.600738407149</v>
      </c>
      <c r="F45" s="175">
        <f t="shared" si="12"/>
        <v>8417.5286702232133</v>
      </c>
      <c r="G45" s="175">
        <f t="shared" si="12"/>
        <v>1032.0720681839359</v>
      </c>
      <c r="H45" s="175">
        <f t="shared" si="12"/>
        <v>1308.7596495123901</v>
      </c>
      <c r="I45" s="781">
        <f t="shared" si="12"/>
        <v>4859.1563036874422</v>
      </c>
      <c r="J45" s="176">
        <f t="shared" si="8"/>
        <v>8.3800752408718815E-2</v>
      </c>
      <c r="K45" s="176">
        <f t="shared" si="9"/>
        <v>0.60506423172164514</v>
      </c>
      <c r="L45" s="1087">
        <f t="shared" si="10"/>
        <v>0.31113501586963588</v>
      </c>
      <c r="M45" s="168">
        <f>SUM(M46:M52)</f>
        <v>2552.8579683611897</v>
      </c>
      <c r="N45" s="186">
        <f t="shared" si="6"/>
        <v>0.14411678018688712</v>
      </c>
      <c r="O45" s="175"/>
      <c r="P45" s="171">
        <f t="shared" si="11"/>
        <v>0</v>
      </c>
      <c r="Q45" s="171">
        <f t="shared" si="7"/>
        <v>0</v>
      </c>
      <c r="R45" s="441">
        <f>TableA2!G45/TableA1!M45</f>
        <v>0.58457282815343814</v>
      </c>
    </row>
    <row r="46" spans="1:18" x14ac:dyDescent="0.2">
      <c r="A46" s="1088" t="s">
        <v>65</v>
      </c>
      <c r="B46" s="168">
        <v>2456.0437271988544</v>
      </c>
      <c r="C46" s="1076">
        <f>+C101*B46</f>
        <v>290.65450307182704</v>
      </c>
      <c r="D46" s="1089">
        <f t="shared" ref="D46:D52" si="13">B46-C46</f>
        <v>2165.3892241270273</v>
      </c>
      <c r="E46" s="1083">
        <f>TableA2!B46</f>
        <v>1105.0676793002151</v>
      </c>
      <c r="F46" s="1079">
        <f>+E46*E100</f>
        <v>987.70778556038204</v>
      </c>
      <c r="G46" s="1079">
        <f>+E46-F46</f>
        <v>117.35989373983307</v>
      </c>
      <c r="H46" s="1079">
        <f>+G$101*$D46</f>
        <v>155.61044333553789</v>
      </c>
      <c r="I46" s="1076">
        <f t="shared" ref="I46:I52" si="14">D46-E46-H46</f>
        <v>904.71110149127435</v>
      </c>
      <c r="J46" s="1084">
        <f t="shared" ref="J46:J53" si="15">H46/D46</f>
        <v>7.1862573989797132E-2</v>
      </c>
      <c r="K46" s="176">
        <f t="shared" ref="K46:K53" si="16">E46/D46</f>
        <v>0.51033212273683548</v>
      </c>
      <c r="L46" s="1081">
        <f t="shared" si="10"/>
        <v>0.4178053032733674</v>
      </c>
      <c r="M46" s="1079">
        <f>TableA2!G46/K46</f>
        <v>378.09416927395921</v>
      </c>
      <c r="N46" s="1082">
        <f t="shared" si="6"/>
        <v>0.15394439646446356</v>
      </c>
      <c r="O46" s="1079"/>
      <c r="P46" s="171">
        <f t="shared" si="11"/>
        <v>0</v>
      </c>
      <c r="Q46" s="171">
        <f t="shared" si="7"/>
        <v>0</v>
      </c>
      <c r="R46" s="441">
        <f>TableA2!G46/TableA1!M46</f>
        <v>0.51033212273683548</v>
      </c>
    </row>
    <row r="47" spans="1:18" x14ac:dyDescent="0.2">
      <c r="A47" s="1074" t="s">
        <v>66</v>
      </c>
      <c r="B47" s="168">
        <v>11063.07</v>
      </c>
      <c r="C47" s="1076">
        <v>1383.5163753552181</v>
      </c>
      <c r="D47" s="1089">
        <f t="shared" si="13"/>
        <v>9679.5536246447809</v>
      </c>
      <c r="E47" s="1083">
        <v>6211.8447853385696</v>
      </c>
      <c r="F47" s="1079">
        <v>5523.3790716286385</v>
      </c>
      <c r="G47" s="1079">
        <f>+E47-F47</f>
        <v>688.46571370993115</v>
      </c>
      <c r="H47" s="1079">
        <v>795.34694435553956</v>
      </c>
      <c r="I47" s="1076">
        <f t="shared" si="14"/>
        <v>2672.3618949506717</v>
      </c>
      <c r="J47" s="1080">
        <f t="shared" si="15"/>
        <v>8.2167729545971402E-2</v>
      </c>
      <c r="K47" s="176">
        <f t="shared" si="16"/>
        <v>0.64174909569412408</v>
      </c>
      <c r="L47" s="1081">
        <f t="shared" si="10"/>
        <v>0.27608317475990446</v>
      </c>
      <c r="M47" s="1079">
        <f>TableA2!G47/K47</f>
        <v>1479.3116185671761</v>
      </c>
      <c r="N47" s="1082">
        <f t="shared" si="6"/>
        <v>0.13371619438068963</v>
      </c>
      <c r="O47" s="1079"/>
      <c r="P47" s="171">
        <f t="shared" si="11"/>
        <v>0</v>
      </c>
      <c r="Q47" s="171">
        <f t="shared" si="7"/>
        <v>0</v>
      </c>
      <c r="R47" s="441">
        <f>TableA2!G47/TableA1!M47</f>
        <v>0.64174909569412408</v>
      </c>
    </row>
    <row r="48" spans="1:18" x14ac:dyDescent="0.2">
      <c r="A48" s="1074" t="s">
        <v>67</v>
      </c>
      <c r="B48" s="168">
        <v>291.51959153295098</v>
      </c>
      <c r="C48" s="1076">
        <v>31.164008619046871</v>
      </c>
      <c r="D48" s="1089">
        <f t="shared" si="13"/>
        <v>260.35558291390413</v>
      </c>
      <c r="E48" s="1083">
        <f>+TableA2!D48+TableA2!C48+TableA2!G48</f>
        <v>135.02409969740114</v>
      </c>
      <c r="F48" s="1079">
        <f>+E48*E102</f>
        <v>97.612859020116034</v>
      </c>
      <c r="G48" s="1079">
        <f>+E48-F48</f>
        <v>37.411240677285107</v>
      </c>
      <c r="H48" s="1079">
        <f>+G$101*$D48</f>
        <v>18.709822340807197</v>
      </c>
      <c r="I48" s="1076">
        <f t="shared" si="14"/>
        <v>106.6216608756958</v>
      </c>
      <c r="J48" s="1084">
        <f t="shared" si="15"/>
        <v>7.1862573989797132E-2</v>
      </c>
      <c r="K48" s="176">
        <f t="shared" si="16"/>
        <v>0.51861418981766827</v>
      </c>
      <c r="L48" s="1081">
        <f t="shared" si="10"/>
        <v>0.40952323619253461</v>
      </c>
      <c r="M48" s="1079">
        <f>TableA2!G48/K48</f>
        <v>33.292185865701477</v>
      </c>
      <c r="N48" s="1082">
        <f t="shared" si="6"/>
        <v>0.1142022245936716</v>
      </c>
      <c r="O48" s="1079"/>
      <c r="P48" s="171">
        <f t="shared" si="11"/>
        <v>0</v>
      </c>
      <c r="Q48" s="171">
        <f t="shared" si="7"/>
        <v>0</v>
      </c>
      <c r="R48" s="441">
        <f>TableA2!G48/TableA1!M48</f>
        <v>0.51861418981766827</v>
      </c>
    </row>
    <row r="49" spans="1:23" x14ac:dyDescent="0.2">
      <c r="A49" s="1074" t="s">
        <v>68</v>
      </c>
      <c r="B49" s="168">
        <v>54.743277431512311</v>
      </c>
      <c r="C49" s="1076">
        <v>6.1139990822831773</v>
      </c>
      <c r="D49" s="1089">
        <f t="shared" si="13"/>
        <v>48.629278349229132</v>
      </c>
      <c r="E49" s="1083">
        <v>29.987501894855708</v>
      </c>
      <c r="F49" s="1079">
        <v>27.462161051015293</v>
      </c>
      <c r="G49" s="1079">
        <v>2.5253408438404121</v>
      </c>
      <c r="H49" s="1079">
        <v>8.0721776098757676</v>
      </c>
      <c r="I49" s="1076">
        <f t="shared" si="14"/>
        <v>10.569598844497657</v>
      </c>
      <c r="J49" s="1084">
        <f t="shared" si="15"/>
        <v>0.16599418876640037</v>
      </c>
      <c r="K49" s="176">
        <f t="shared" si="16"/>
        <v>0.61665529312406642</v>
      </c>
      <c r="L49" s="1081">
        <f t="shared" si="10"/>
        <v>0.21735051810953318</v>
      </c>
      <c r="M49" s="1079">
        <v>2.9123871029003596</v>
      </c>
      <c r="N49" s="1082">
        <f t="shared" si="6"/>
        <v>5.3200817334036324E-2</v>
      </c>
      <c r="O49" s="1079"/>
      <c r="P49" s="171">
        <f t="shared" si="11"/>
        <v>0</v>
      </c>
      <c r="Q49" s="171">
        <f t="shared" si="7"/>
        <v>0</v>
      </c>
      <c r="R49" s="441">
        <f>TableA2!G49/TableA1!M49</f>
        <v>0.89316181056889166</v>
      </c>
      <c r="S49" s="954"/>
      <c r="T49" s="954"/>
      <c r="U49" s="954"/>
      <c r="V49" s="954"/>
      <c r="W49" s="954"/>
    </row>
    <row r="50" spans="1:23" x14ac:dyDescent="0.2">
      <c r="A50" s="1074" t="s">
        <v>69</v>
      </c>
      <c r="B50" s="168">
        <v>2132.7545428709068</v>
      </c>
      <c r="C50" s="1076">
        <v>190.70240490295976</v>
      </c>
      <c r="D50" s="1089">
        <f t="shared" si="13"/>
        <v>1942.0521379679471</v>
      </c>
      <c r="E50" s="1083">
        <v>919.01579786888453</v>
      </c>
      <c r="F50" s="1079">
        <v>806.65022403685839</v>
      </c>
      <c r="G50" s="1079">
        <f>+E50-F50</f>
        <v>112.36557383202614</v>
      </c>
      <c r="H50" s="1079">
        <v>187.32261644323668</v>
      </c>
      <c r="I50" s="1076">
        <f t="shared" si="14"/>
        <v>835.7137236558259</v>
      </c>
      <c r="J50" s="1084">
        <f t="shared" si="15"/>
        <v>9.6456018240190206E-2</v>
      </c>
      <c r="K50" s="176">
        <f t="shared" si="16"/>
        <v>0.47321891101774971</v>
      </c>
      <c r="L50" s="1081">
        <f t="shared" si="10"/>
        <v>0.43032507074206011</v>
      </c>
      <c r="M50" s="1079">
        <f>TableA2!G50/K50</f>
        <v>440.0519879308286</v>
      </c>
      <c r="N50" s="1082">
        <f t="shared" si="6"/>
        <v>0.20633034842278353</v>
      </c>
      <c r="O50" s="1079"/>
      <c r="P50" s="171">
        <f t="shared" si="11"/>
        <v>0</v>
      </c>
      <c r="Q50" s="171">
        <f t="shared" si="7"/>
        <v>0</v>
      </c>
      <c r="R50" s="441">
        <f>TableA2!G50/TableA1!M50</f>
        <v>0.47321891101774971</v>
      </c>
      <c r="S50" s="954"/>
      <c r="T50" s="954"/>
      <c r="U50" s="954"/>
      <c r="V50" s="954"/>
      <c r="W50" s="954"/>
    </row>
    <row r="51" spans="1:23" x14ac:dyDescent="0.2">
      <c r="A51" s="1074" t="s">
        <v>70</v>
      </c>
      <c r="B51" s="168">
        <v>1365.8652475111858</v>
      </c>
      <c r="C51" s="1076">
        <v>152.16687220462228</v>
      </c>
      <c r="D51" s="1089">
        <f t="shared" si="13"/>
        <v>1213.6983753065635</v>
      </c>
      <c r="E51" s="1083">
        <f>+TableA2!D51+TableA2!C51+TableA2!G51</f>
        <v>856.3415010588692</v>
      </c>
      <c r="F51" s="1079">
        <v>810.92385311543865</v>
      </c>
      <c r="G51" s="1079">
        <f>+E51-F51</f>
        <v>45.417647943430552</v>
      </c>
      <c r="H51" s="1079">
        <f>+G$101*$D51</f>
        <v>87.219489296764493</v>
      </c>
      <c r="I51" s="1076">
        <f t="shared" si="14"/>
        <v>270.13738495092986</v>
      </c>
      <c r="J51" s="1084">
        <f t="shared" si="15"/>
        <v>7.1862573989797132E-2</v>
      </c>
      <c r="K51" s="176">
        <f t="shared" si="16"/>
        <v>0.70556368738861419</v>
      </c>
      <c r="L51" s="1081">
        <f t="shared" si="10"/>
        <v>0.22257373862158863</v>
      </c>
      <c r="M51" s="1079">
        <v>161.82892513905608</v>
      </c>
      <c r="N51" s="1082">
        <f t="shared" si="6"/>
        <v>0.11848088633482183</v>
      </c>
      <c r="O51" s="1079"/>
      <c r="P51" s="171">
        <f t="shared" si="11"/>
        <v>0</v>
      </c>
      <c r="Q51" s="171">
        <f t="shared" si="7"/>
        <v>0</v>
      </c>
      <c r="R51" s="441">
        <f>TableA2!G51/TableA1!M51</f>
        <v>0.53194208667215126</v>
      </c>
      <c r="S51" s="954"/>
      <c r="T51" s="954"/>
      <c r="U51" s="954"/>
      <c r="V51" s="954"/>
      <c r="W51" s="954"/>
    </row>
    <row r="52" spans="1:23" x14ac:dyDescent="0.2">
      <c r="A52" s="1074" t="s">
        <v>71</v>
      </c>
      <c r="B52" s="168">
        <v>349.818514472402</v>
      </c>
      <c r="C52" s="1076">
        <v>41.980046174871852</v>
      </c>
      <c r="D52" s="1089">
        <f t="shared" si="13"/>
        <v>307.83846829753014</v>
      </c>
      <c r="E52" s="1083">
        <v>192.31937324835505</v>
      </c>
      <c r="F52" s="1079">
        <v>163.79271581076557</v>
      </c>
      <c r="G52" s="1079">
        <f>+E52-F52</f>
        <v>28.526657437589478</v>
      </c>
      <c r="H52" s="1079">
        <v>56.478156130628307</v>
      </c>
      <c r="I52" s="1076">
        <f t="shared" si="14"/>
        <v>59.040938918546786</v>
      </c>
      <c r="J52" s="1084">
        <f t="shared" si="15"/>
        <v>0.18346685663742773</v>
      </c>
      <c r="K52" s="176">
        <f t="shared" si="16"/>
        <v>0.62474119726478017</v>
      </c>
      <c r="L52" s="1081">
        <f t="shared" si="10"/>
        <v>0.1917919460977921</v>
      </c>
      <c r="M52" s="1079">
        <f>TableA2!G52/K52</f>
        <v>57.36669448156789</v>
      </c>
      <c r="N52" s="1082">
        <f t="shared" si="6"/>
        <v>0.16398987505875331</v>
      </c>
      <c r="O52" s="1079"/>
      <c r="P52" s="171">
        <f t="shared" si="11"/>
        <v>0</v>
      </c>
      <c r="Q52" s="171">
        <f t="shared" si="7"/>
        <v>0</v>
      </c>
      <c r="R52" s="441">
        <f>TableA2!G52/TableA1!M52</f>
        <v>0.62474119726478017</v>
      </c>
      <c r="S52" s="954"/>
      <c r="T52" s="954"/>
      <c r="U52" s="954"/>
      <c r="V52" s="954"/>
      <c r="W52" s="954"/>
    </row>
    <row r="53" spans="1:23" ht="40" customHeight="1" x14ac:dyDescent="0.2">
      <c r="A53" s="187" t="s">
        <v>72</v>
      </c>
      <c r="B53" s="168">
        <f>SUM(B54:B89)</f>
        <v>1018.652050927711</v>
      </c>
      <c r="C53" s="175">
        <f t="shared" ref="C53:I53" si="17">SUM(C54:C89)</f>
        <v>80.912276689999999</v>
      </c>
      <c r="D53" s="168">
        <f t="shared" si="17"/>
        <v>937.73977423771089</v>
      </c>
      <c r="E53" s="1086">
        <f t="shared" si="17"/>
        <v>687.54671431433303</v>
      </c>
      <c r="F53" s="175">
        <f t="shared" si="17"/>
        <v>555.54858798470366</v>
      </c>
      <c r="G53" s="175">
        <f t="shared" si="17"/>
        <v>131.99812632962932</v>
      </c>
      <c r="H53" s="175">
        <f t="shared" si="17"/>
        <v>129.52069133600003</v>
      </c>
      <c r="I53" s="781">
        <f t="shared" si="17"/>
        <v>120.6723685873779</v>
      </c>
      <c r="J53" s="176">
        <f t="shared" si="15"/>
        <v>0.13812007861273395</v>
      </c>
      <c r="K53" s="176">
        <f t="shared" si="16"/>
        <v>0.73319564041446372</v>
      </c>
      <c r="L53" s="1087">
        <f t="shared" si="10"/>
        <v>0.12868428097280243</v>
      </c>
      <c r="M53" s="168">
        <f>SUM(M54:M89)</f>
        <v>149.58288092316121</v>
      </c>
      <c r="N53" s="186">
        <f t="shared" si="6"/>
        <v>0.14684394027080441</v>
      </c>
      <c r="O53" s="175"/>
      <c r="P53" s="171">
        <f t="shared" si="11"/>
        <v>0</v>
      </c>
      <c r="Q53" s="171">
        <f>1-J53-K53-L53</f>
        <v>0</v>
      </c>
      <c r="R53" s="441">
        <f>TableA2!G53/TableA1!M53</f>
        <v>0.72001898069467207</v>
      </c>
      <c r="S53" s="954"/>
      <c r="T53" s="954"/>
      <c r="U53" s="954"/>
      <c r="V53" s="954"/>
      <c r="W53" s="954"/>
    </row>
    <row r="54" spans="1:23" x14ac:dyDescent="0.2">
      <c r="A54" s="1074" t="s">
        <v>73</v>
      </c>
      <c r="B54" s="125">
        <v>2.81149</v>
      </c>
      <c r="C54" s="1036">
        <v>0.30302600000000002</v>
      </c>
      <c r="D54" s="1090">
        <f t="shared" ref="D54:D89" si="18">+B54-C54</f>
        <v>2.508464</v>
      </c>
      <c r="E54" s="1091">
        <v>1.8902000000000001</v>
      </c>
      <c r="F54" s="1036">
        <v>1.4903599999999999</v>
      </c>
      <c r="G54" s="1092">
        <f t="shared" ref="G54:G89" si="19">+E54-F54</f>
        <v>0.3998400000000002</v>
      </c>
      <c r="H54" s="1036">
        <v>0.35965999999999998</v>
      </c>
      <c r="I54" s="1093">
        <f t="shared" ref="I54:I89" si="20">D54-E54-H54</f>
        <v>0.25860399999999995</v>
      </c>
      <c r="J54" s="1084">
        <f t="shared" ref="J54:J89" si="21">H54/D54</f>
        <v>0.14337857748805644</v>
      </c>
      <c r="K54" s="176">
        <f t="shared" ref="K54:K89" si="22">E54/D54</f>
        <v>0.75352885271624392</v>
      </c>
      <c r="L54" s="1081">
        <f t="shared" ref="L54:L89" si="23">I54/D54</f>
        <v>0.10309256979569965</v>
      </c>
      <c r="M54" s="1079">
        <f>TableA2!G54/K54</f>
        <v>0.3392066529086869</v>
      </c>
      <c r="N54" s="1082">
        <f t="shared" ref="N54" si="24">M54/B54</f>
        <v>0.12065013672774468</v>
      </c>
      <c r="O54" s="1079"/>
      <c r="P54" s="171">
        <f t="shared" si="11"/>
        <v>0</v>
      </c>
      <c r="Q54" s="171">
        <f t="shared" si="7"/>
        <v>0</v>
      </c>
      <c r="R54" s="441">
        <f>TableA2!G54/TableA1!M54</f>
        <v>0.75352885271624392</v>
      </c>
      <c r="S54" s="954"/>
      <c r="T54" s="954"/>
      <c r="U54" s="954"/>
      <c r="V54" s="954"/>
      <c r="W54" s="954"/>
    </row>
    <row r="55" spans="1:23" x14ac:dyDescent="0.2">
      <c r="A55" s="1074" t="s">
        <v>74</v>
      </c>
      <c r="B55" s="125">
        <v>0.28305000000000002</v>
      </c>
      <c r="C55" s="1036">
        <v>4.5657999999999997E-2</v>
      </c>
      <c r="D55" s="1090">
        <f t="shared" si="18"/>
        <v>0.23739200000000002</v>
      </c>
      <c r="E55" s="1091">
        <v>0.17888200000000001</v>
      </c>
      <c r="F55" s="1036">
        <v>0.141043</v>
      </c>
      <c r="G55" s="1092">
        <f t="shared" si="19"/>
        <v>3.7839000000000012E-2</v>
      </c>
      <c r="H55" s="1036">
        <v>3.4036928000000001E-2</v>
      </c>
      <c r="I55" s="1093">
        <f t="shared" si="20"/>
        <v>2.4473072000000005E-2</v>
      </c>
      <c r="J55" s="1084">
        <f t="shared" si="21"/>
        <v>0.14337858057558805</v>
      </c>
      <c r="K55" s="176">
        <f t="shared" si="22"/>
        <v>0.75353002628563726</v>
      </c>
      <c r="L55" s="1081">
        <f t="shared" si="23"/>
        <v>0.1030913931387747</v>
      </c>
      <c r="M55" s="1079">
        <f>TableA2!G55/K55</f>
        <v>3.2101276865151331E-2</v>
      </c>
      <c r="N55" s="1082">
        <f t="shared" ref="N55:N89" si="25">M55/B55</f>
        <v>0.11341203626621207</v>
      </c>
      <c r="O55" s="1079"/>
      <c r="P55" s="171">
        <f t="shared" si="11"/>
        <v>0</v>
      </c>
      <c r="Q55" s="171">
        <f t="shared" si="7"/>
        <v>0</v>
      </c>
      <c r="R55" s="441">
        <f>TableA2!G55/TableA1!M55</f>
        <v>0.75353002628563714</v>
      </c>
      <c r="S55" s="954"/>
      <c r="T55" s="954"/>
      <c r="U55" s="954"/>
      <c r="V55" s="954"/>
      <c r="W55" s="954"/>
    </row>
    <row r="56" spans="1:23" x14ac:dyDescent="0.2">
      <c r="A56" s="1074" t="s">
        <v>75</v>
      </c>
      <c r="B56" s="125">
        <v>1.36486</v>
      </c>
      <c r="C56" s="1036">
        <v>0.14710699999999999</v>
      </c>
      <c r="D56" s="1090">
        <f t="shared" si="18"/>
        <v>1.2177530000000001</v>
      </c>
      <c r="E56" s="1091">
        <v>0.91761499999999996</v>
      </c>
      <c r="F56" s="1036">
        <v>0.72351100000000002</v>
      </c>
      <c r="G56" s="1092">
        <f t="shared" si="19"/>
        <v>0.19410399999999994</v>
      </c>
      <c r="H56" s="1036">
        <v>0.17460000000000001</v>
      </c>
      <c r="I56" s="1093">
        <f t="shared" si="20"/>
        <v>0.12553800000000012</v>
      </c>
      <c r="J56" s="1084">
        <f t="shared" si="21"/>
        <v>0.14337882969699109</v>
      </c>
      <c r="K56" s="176">
        <f t="shared" si="22"/>
        <v>0.75353129904011729</v>
      </c>
      <c r="L56" s="1081">
        <f t="shared" si="23"/>
        <v>0.10308987126289167</v>
      </c>
      <c r="M56" s="1079">
        <f>TableA2!G56/K56</f>
        <v>0.16467000130991757</v>
      </c>
      <c r="N56" s="1082">
        <f t="shared" si="25"/>
        <v>0.12064973792910451</v>
      </c>
      <c r="O56" s="1079"/>
      <c r="P56" s="171">
        <f t="shared" si="11"/>
        <v>0</v>
      </c>
      <c r="Q56" s="171">
        <f t="shared" si="7"/>
        <v>0</v>
      </c>
      <c r="R56" s="441">
        <f>TableA2!G56/TableA1!M56</f>
        <v>0.75353129904011729</v>
      </c>
      <c r="S56" s="954"/>
      <c r="T56" s="954"/>
      <c r="U56" s="954"/>
      <c r="V56" s="954"/>
      <c r="W56" s="954"/>
    </row>
    <row r="57" spans="1:23" x14ac:dyDescent="0.2">
      <c r="A57" s="1074" t="s">
        <v>76</v>
      </c>
      <c r="B57" s="125">
        <v>2.5</v>
      </c>
      <c r="C57" s="1036">
        <v>0.269453</v>
      </c>
      <c r="D57" s="1090">
        <f t="shared" si="18"/>
        <v>2.2305470000000001</v>
      </c>
      <c r="E57" s="1091">
        <v>1.6807799999999999</v>
      </c>
      <c r="F57" s="1036">
        <v>1.32524</v>
      </c>
      <c r="G57" s="1092">
        <f t="shared" si="19"/>
        <v>0.35553999999999997</v>
      </c>
      <c r="H57" s="1036">
        <v>0.31981300000000001</v>
      </c>
      <c r="I57" s="1093">
        <f t="shared" si="20"/>
        <v>0.2299540000000001</v>
      </c>
      <c r="J57" s="1084">
        <f t="shared" si="21"/>
        <v>0.14337873176400229</v>
      </c>
      <c r="K57" s="176">
        <f t="shared" si="22"/>
        <v>0.7535281704442901</v>
      </c>
      <c r="L57" s="1081">
        <f t="shared" si="23"/>
        <v>0.10309309779170764</v>
      </c>
      <c r="M57" s="1079">
        <f>TableA2!G57/K57</f>
        <v>0.30162641413391406</v>
      </c>
      <c r="N57" s="1082">
        <f t="shared" si="25"/>
        <v>0.12065056565356562</v>
      </c>
      <c r="O57" s="1079"/>
      <c r="P57" s="171">
        <f t="shared" si="11"/>
        <v>0</v>
      </c>
      <c r="Q57" s="171">
        <f t="shared" si="7"/>
        <v>0</v>
      </c>
      <c r="R57" s="441">
        <f>TableA2!G57/TableA1!M57</f>
        <v>0.7535281704442901</v>
      </c>
      <c r="S57" s="954"/>
      <c r="T57" s="954"/>
      <c r="U57" s="954"/>
      <c r="V57" s="954"/>
      <c r="W57" s="954"/>
    </row>
    <row r="58" spans="1:23" x14ac:dyDescent="0.2">
      <c r="A58" s="1074" t="s">
        <v>77</v>
      </c>
      <c r="B58" s="125">
        <v>11.24</v>
      </c>
      <c r="C58" s="1036">
        <v>1.21146</v>
      </c>
      <c r="D58" s="1090">
        <f t="shared" si="18"/>
        <v>10.02854</v>
      </c>
      <c r="E58" s="1091">
        <v>7.5567900000000003</v>
      </c>
      <c r="F58" s="1036">
        <v>5.9583000000000004</v>
      </c>
      <c r="G58" s="1092">
        <f t="shared" si="19"/>
        <v>1.59849</v>
      </c>
      <c r="H58" s="1036">
        <v>1.43788</v>
      </c>
      <c r="I58" s="1093">
        <f t="shared" si="20"/>
        <v>1.0338699999999992</v>
      </c>
      <c r="J58" s="1084">
        <f t="shared" si="21"/>
        <v>0.14337879691360858</v>
      </c>
      <c r="K58" s="176">
        <f t="shared" si="22"/>
        <v>0.7535284298611763</v>
      </c>
      <c r="L58" s="1081">
        <f t="shared" si="23"/>
        <v>0.10309277322521516</v>
      </c>
      <c r="M58" s="1079">
        <f>TableA2!G58/K58</f>
        <v>1.356113398652073</v>
      </c>
      <c r="N58" s="1082">
        <f t="shared" si="25"/>
        <v>0.12065065824306699</v>
      </c>
      <c r="O58" s="1079"/>
      <c r="P58" s="171">
        <f t="shared" si="11"/>
        <v>0</v>
      </c>
      <c r="Q58" s="171">
        <f t="shared" si="7"/>
        <v>0</v>
      </c>
      <c r="R58" s="441">
        <f>TableA2!G58/TableA1!M58</f>
        <v>0.7535284298611763</v>
      </c>
      <c r="S58" s="954"/>
      <c r="T58" s="954"/>
      <c r="U58" s="954"/>
      <c r="V58" s="954"/>
      <c r="W58" s="954"/>
    </row>
    <row r="59" spans="1:23" x14ac:dyDescent="0.2">
      <c r="A59" s="1074" t="s">
        <v>78</v>
      </c>
      <c r="B59" s="125">
        <v>31.125900000000001</v>
      </c>
      <c r="C59" s="1036">
        <v>3.3547799999999999</v>
      </c>
      <c r="D59" s="1090">
        <f t="shared" si="18"/>
        <v>27.771120000000003</v>
      </c>
      <c r="E59" s="1091">
        <v>22.1172</v>
      </c>
      <c r="F59" s="1036">
        <v>17.797499999999999</v>
      </c>
      <c r="G59" s="1092">
        <f t="shared" si="19"/>
        <v>4.319700000000001</v>
      </c>
      <c r="H59" s="1036">
        <v>3.9817800000000001</v>
      </c>
      <c r="I59" s="1093">
        <f t="shared" si="20"/>
        <v>1.6721400000000028</v>
      </c>
      <c r="J59" s="1084">
        <f t="shared" si="21"/>
        <v>0.14337844494568458</v>
      </c>
      <c r="K59" s="176">
        <f t="shared" si="22"/>
        <v>0.7964100835688297</v>
      </c>
      <c r="L59" s="1081">
        <f t="shared" si="23"/>
        <v>6.0211471485485737E-2</v>
      </c>
      <c r="M59" s="1079">
        <f>TableA2!G59/K59</f>
        <v>1.3114600399327221</v>
      </c>
      <c r="N59" s="1082">
        <f t="shared" si="25"/>
        <v>4.2134043993353514E-2</v>
      </c>
      <c r="O59" s="1079"/>
      <c r="P59" s="171">
        <f t="shared" si="11"/>
        <v>0</v>
      </c>
      <c r="Q59" s="171">
        <f t="shared" si="7"/>
        <v>0</v>
      </c>
      <c r="R59" s="441">
        <f>TableA2!G59/TableA1!M59</f>
        <v>0.7964100835688297</v>
      </c>
      <c r="S59" s="954"/>
      <c r="T59" s="954"/>
      <c r="U59" s="954"/>
      <c r="V59" s="954"/>
      <c r="W59" s="954"/>
    </row>
    <row r="60" spans="1:23" x14ac:dyDescent="0.2">
      <c r="A60" s="1074" t="s">
        <v>79</v>
      </c>
      <c r="B60" s="125">
        <v>4.5841500000000002</v>
      </c>
      <c r="C60" s="1036">
        <v>0.494085</v>
      </c>
      <c r="D60" s="1090">
        <f t="shared" si="18"/>
        <v>4.0900650000000001</v>
      </c>
      <c r="E60" s="1091">
        <v>3.0819800000000002</v>
      </c>
      <c r="F60" s="1036">
        <v>2.43005</v>
      </c>
      <c r="G60" s="1092">
        <f t="shared" si="19"/>
        <v>0.65193000000000012</v>
      </c>
      <c r="H60" s="1036">
        <v>0.58642799999999995</v>
      </c>
      <c r="I60" s="1093">
        <f t="shared" si="20"/>
        <v>0.42165699999999995</v>
      </c>
      <c r="J60" s="1084">
        <f t="shared" si="21"/>
        <v>0.14337865046154522</v>
      </c>
      <c r="K60" s="176">
        <f t="shared" si="22"/>
        <v>0.75352836690859437</v>
      </c>
      <c r="L60" s="1081">
        <f t="shared" si="23"/>
        <v>0.10309298262986039</v>
      </c>
      <c r="M60" s="1079">
        <f>TableA2!G60/K60</f>
        <v>0.55307937736941837</v>
      </c>
      <c r="N60" s="1082">
        <f t="shared" si="25"/>
        <v>0.12065036645166897</v>
      </c>
      <c r="O60" s="1079"/>
      <c r="P60" s="171">
        <f t="shared" si="11"/>
        <v>0</v>
      </c>
      <c r="Q60" s="171">
        <f t="shared" si="7"/>
        <v>0</v>
      </c>
      <c r="R60" s="441">
        <f>TableA2!G60/TableA1!M60</f>
        <v>0.75352836690859437</v>
      </c>
      <c r="S60" s="954"/>
      <c r="T60" s="954"/>
      <c r="U60" s="954"/>
      <c r="V60" s="954"/>
      <c r="W60" s="954"/>
    </row>
    <row r="61" spans="1:23" x14ac:dyDescent="0.2">
      <c r="A61" s="1074" t="s">
        <v>80</v>
      </c>
      <c r="B61" s="125">
        <v>1.74255</v>
      </c>
      <c r="C61" s="1036">
        <v>0.18781400000000001</v>
      </c>
      <c r="D61" s="1090">
        <f t="shared" si="18"/>
        <v>1.5547360000000001</v>
      </c>
      <c r="E61" s="1091">
        <v>1.17154</v>
      </c>
      <c r="F61" s="1036">
        <v>0.92371999999999999</v>
      </c>
      <c r="G61" s="1092">
        <f t="shared" si="19"/>
        <v>0.24782000000000004</v>
      </c>
      <c r="H61" s="1036">
        <v>0.222915</v>
      </c>
      <c r="I61" s="1093">
        <f t="shared" si="20"/>
        <v>0.16028100000000009</v>
      </c>
      <c r="J61" s="1080">
        <f t="shared" si="21"/>
        <v>0.14337803974436816</v>
      </c>
      <c r="K61" s="176">
        <f t="shared" si="22"/>
        <v>0.75352985973181297</v>
      </c>
      <c r="L61" s="1081">
        <f t="shared" si="23"/>
        <v>0.10309210052381888</v>
      </c>
      <c r="M61" s="1079">
        <f>TableA2!G61/K61</f>
        <v>0.21023851670109431</v>
      </c>
      <c r="N61" s="1082">
        <f t="shared" si="25"/>
        <v>0.1206499191995032</v>
      </c>
      <c r="O61" s="1079"/>
      <c r="P61" s="171">
        <f t="shared" si="11"/>
        <v>0</v>
      </c>
      <c r="Q61" s="171">
        <f t="shared" si="7"/>
        <v>0</v>
      </c>
      <c r="R61" s="441">
        <f>TableA2!G61/TableA1!M61</f>
        <v>0.75352985973181297</v>
      </c>
      <c r="S61" s="954"/>
      <c r="T61" s="954"/>
      <c r="U61" s="954"/>
      <c r="V61" s="954"/>
      <c r="W61" s="954"/>
    </row>
    <row r="62" spans="1:23" x14ac:dyDescent="0.2">
      <c r="A62" s="1074" t="s">
        <v>81</v>
      </c>
      <c r="B62" s="125">
        <v>5.9276499999999999</v>
      </c>
      <c r="C62" s="1036">
        <v>0.59425499999999998</v>
      </c>
      <c r="D62" s="1090">
        <f t="shared" si="18"/>
        <v>5.3333949999999994</v>
      </c>
      <c r="E62" s="1091">
        <v>4.8467700000000002</v>
      </c>
      <c r="F62" s="1036">
        <v>2.6453500000000001</v>
      </c>
      <c r="G62" s="1092">
        <f t="shared" si="19"/>
        <v>2.2014200000000002</v>
      </c>
      <c r="H62" s="1036">
        <f>J62*D62</f>
        <v>0.24331249999999954</v>
      </c>
      <c r="I62" s="1093">
        <f>L62*D62</f>
        <v>0.24331249999999954</v>
      </c>
      <c r="J62" s="1080">
        <f>(1-K62)/2</f>
        <v>4.5620566262202511E-2</v>
      </c>
      <c r="K62" s="176">
        <f t="shared" si="22"/>
        <v>0.90875886747559498</v>
      </c>
      <c r="L62" s="1081">
        <f>(1-K62)/2</f>
        <v>4.5620566262202511E-2</v>
      </c>
      <c r="M62" s="1079">
        <f>TableA2!G62/K62</f>
        <v>0.23525932747582406</v>
      </c>
      <c r="N62" s="1082">
        <f t="shared" si="25"/>
        <v>3.9688464648861534E-2</v>
      </c>
      <c r="O62" s="1079"/>
      <c r="P62" s="171">
        <f t="shared" si="11"/>
        <v>0</v>
      </c>
      <c r="Q62" s="171">
        <f t="shared" si="7"/>
        <v>5.5511151231257827E-17</v>
      </c>
      <c r="R62" s="441">
        <f>TableA2!G62/TableA1!M62</f>
        <v>0.90875886747559498</v>
      </c>
      <c r="S62" s="954"/>
      <c r="T62" s="954"/>
      <c r="U62" s="954"/>
      <c r="V62" s="954"/>
      <c r="W62" s="954"/>
    </row>
    <row r="63" spans="1:23" x14ac:dyDescent="0.2">
      <c r="A63" s="1074" t="s">
        <v>82</v>
      </c>
      <c r="B63" s="125">
        <v>0.40300000000000002</v>
      </c>
      <c r="C63" s="1036">
        <v>4.5951496000000001E-2</v>
      </c>
      <c r="D63" s="1090">
        <f t="shared" si="18"/>
        <v>0.35704850400000004</v>
      </c>
      <c r="E63" s="1091">
        <v>0.26904600000000001</v>
      </c>
      <c r="F63" s="1036">
        <v>0.21213499999999999</v>
      </c>
      <c r="G63" s="1092">
        <f t="shared" si="19"/>
        <v>5.6911000000000017E-2</v>
      </c>
      <c r="H63" s="1036">
        <v>5.1193111999999999E-2</v>
      </c>
      <c r="I63" s="1093">
        <f t="shared" si="20"/>
        <v>3.6809392000000038E-2</v>
      </c>
      <c r="J63" s="1084">
        <f t="shared" si="21"/>
        <v>0.1433785926183295</v>
      </c>
      <c r="K63" s="176">
        <f t="shared" si="22"/>
        <v>0.75352787362469942</v>
      </c>
      <c r="L63" s="1081">
        <f t="shared" si="23"/>
        <v>0.10309353375697111</v>
      </c>
      <c r="M63" s="1079">
        <f>TableA2!G63/K63</f>
        <v>4.8281940553827792E-2</v>
      </c>
      <c r="N63" s="1082">
        <f t="shared" si="25"/>
        <v>0.11980630410379103</v>
      </c>
      <c r="O63" s="1079"/>
      <c r="P63" s="171">
        <f t="shared" si="11"/>
        <v>0</v>
      </c>
      <c r="Q63" s="171">
        <f t="shared" si="7"/>
        <v>0</v>
      </c>
      <c r="R63" s="441">
        <f>TableA2!G63/TableA1!M63</f>
        <v>0.75352787362469942</v>
      </c>
      <c r="S63" s="23"/>
      <c r="T63" s="23"/>
      <c r="U63" s="23"/>
      <c r="V63" s="23"/>
      <c r="W63" s="23"/>
    </row>
    <row r="64" spans="1:23" x14ac:dyDescent="0.2">
      <c r="A64" s="1074" t="s">
        <v>83</v>
      </c>
      <c r="B64" s="125">
        <v>0.9</v>
      </c>
      <c r="C64" s="1036">
        <v>9.7003104000000007E-2</v>
      </c>
      <c r="D64" s="1090">
        <f t="shared" si="18"/>
        <v>0.80299689600000002</v>
      </c>
      <c r="E64" s="1091">
        <v>0.60508099999999998</v>
      </c>
      <c r="F64" s="1036">
        <v>0.47708800000000001</v>
      </c>
      <c r="G64" s="1092">
        <f t="shared" si="19"/>
        <v>0.12799299999999997</v>
      </c>
      <c r="H64" s="1036">
        <v>0.115133</v>
      </c>
      <c r="I64" s="1093">
        <f t="shared" si="20"/>
        <v>8.2782896000000036E-2</v>
      </c>
      <c r="J64" s="1084">
        <f t="shared" si="21"/>
        <v>0.14337913455645537</v>
      </c>
      <c r="K64" s="176">
        <f t="shared" si="22"/>
        <v>0.75352844203273228</v>
      </c>
      <c r="L64" s="1081">
        <f t="shared" si="23"/>
        <v>0.10309242341081233</v>
      </c>
      <c r="M64" s="1079">
        <f>TableA2!G64/K64</f>
        <v>0.10858530008406207</v>
      </c>
      <c r="N64" s="1082">
        <f t="shared" si="25"/>
        <v>0.12065033342673563</v>
      </c>
      <c r="O64" s="1079"/>
      <c r="P64" s="171">
        <f t="shared" si="11"/>
        <v>0</v>
      </c>
      <c r="Q64" s="171">
        <f t="shared" si="7"/>
        <v>0</v>
      </c>
      <c r="R64" s="441">
        <f>TableA2!G64/TableA1!M64</f>
        <v>0.75352844203273228</v>
      </c>
      <c r="S64" s="23"/>
      <c r="T64" s="23"/>
      <c r="U64" s="23"/>
      <c r="V64" s="23"/>
      <c r="W64" s="23"/>
    </row>
    <row r="65" spans="1:23" x14ac:dyDescent="0.2">
      <c r="A65" s="1074" t="s">
        <v>84</v>
      </c>
      <c r="B65" s="125">
        <v>3.6764899999999998</v>
      </c>
      <c r="C65" s="1036">
        <v>0.59901599999999999</v>
      </c>
      <c r="D65" s="1090">
        <f t="shared" si="18"/>
        <v>3.0774739999999996</v>
      </c>
      <c r="E65" s="1091">
        <v>2.3189600000000001</v>
      </c>
      <c r="F65" s="1036">
        <v>1.82843</v>
      </c>
      <c r="G65" s="1092">
        <f t="shared" si="19"/>
        <v>0.49053000000000013</v>
      </c>
      <c r="H65" s="1036">
        <v>0.44124400000000003</v>
      </c>
      <c r="I65" s="1093">
        <f t="shared" si="20"/>
        <v>0.31726999999999944</v>
      </c>
      <c r="J65" s="1084">
        <f t="shared" si="21"/>
        <v>0.14337862805664647</v>
      </c>
      <c r="K65" s="176">
        <f t="shared" si="22"/>
        <v>0.7535270809761514</v>
      </c>
      <c r="L65" s="1081">
        <f t="shared" si="23"/>
        <v>0.10309429096720216</v>
      </c>
      <c r="M65" s="1079">
        <f>TableA2!G65/K65</f>
        <v>0.41615226302652908</v>
      </c>
      <c r="N65" s="1082">
        <f t="shared" si="25"/>
        <v>0.11319281788513748</v>
      </c>
      <c r="O65" s="1079"/>
      <c r="P65" s="171">
        <f t="shared" si="11"/>
        <v>0</v>
      </c>
      <c r="Q65" s="171">
        <f t="shared" si="7"/>
        <v>0</v>
      </c>
      <c r="R65" s="441">
        <f>TableA2!G65/TableA1!M65</f>
        <v>0.7535270809761514</v>
      </c>
      <c r="S65" s="23"/>
      <c r="T65" s="23"/>
      <c r="U65" s="23"/>
      <c r="V65" s="23"/>
      <c r="W65" s="23"/>
    </row>
    <row r="66" spans="1:23" x14ac:dyDescent="0.2">
      <c r="A66" s="1074" t="s">
        <v>85</v>
      </c>
      <c r="B66" s="125">
        <v>2.88</v>
      </c>
      <c r="C66" s="1036">
        <v>0.31041000000000002</v>
      </c>
      <c r="D66" s="1090">
        <f t="shared" si="18"/>
        <v>2.5695899999999998</v>
      </c>
      <c r="E66" s="1091">
        <v>2.0247299999999999</v>
      </c>
      <c r="F66" s="1036">
        <v>1.6186499999999999</v>
      </c>
      <c r="G66" s="1092">
        <f t="shared" si="19"/>
        <v>0.40608</v>
      </c>
      <c r="H66" s="1036">
        <v>0.36842399999999997</v>
      </c>
      <c r="I66" s="1093">
        <f t="shared" si="20"/>
        <v>0.17643599999999993</v>
      </c>
      <c r="J66" s="1084">
        <f t="shared" si="21"/>
        <v>0.14337851563868165</v>
      </c>
      <c r="K66" s="176">
        <f t="shared" si="22"/>
        <v>0.78795839024902803</v>
      </c>
      <c r="L66" s="1081">
        <f t="shared" si="23"/>
        <v>6.8663094112290268E-2</v>
      </c>
      <c r="M66" s="1079">
        <f>TableA2!G66/K66</f>
        <v>0.39264256060808106</v>
      </c>
      <c r="N66" s="1082">
        <f t="shared" si="25"/>
        <v>0.13633422243336149</v>
      </c>
      <c r="O66" s="1079"/>
      <c r="P66" s="171">
        <f t="shared" si="11"/>
        <v>0</v>
      </c>
      <c r="Q66" s="171">
        <f t="shared" si="7"/>
        <v>0</v>
      </c>
      <c r="R66" s="441">
        <f>TableA2!G66/TableA1!M66</f>
        <v>0.78795839024902803</v>
      </c>
      <c r="S66" s="23"/>
      <c r="T66" s="23"/>
      <c r="U66" s="23"/>
      <c r="V66" s="23"/>
      <c r="W66" s="23"/>
    </row>
    <row r="67" spans="1:23" x14ac:dyDescent="0.2">
      <c r="A67" s="1074" t="s">
        <v>86</v>
      </c>
      <c r="B67" s="125">
        <v>19.560600000000001</v>
      </c>
      <c r="C67" s="1036">
        <v>2.7704499999999999</v>
      </c>
      <c r="D67" s="1090">
        <f t="shared" si="18"/>
        <v>16.790150000000001</v>
      </c>
      <c r="E67" s="1091">
        <v>9.9627499999999998</v>
      </c>
      <c r="F67" s="1036">
        <v>7.8599600000000001</v>
      </c>
      <c r="G67" s="1092">
        <f t="shared" si="19"/>
        <v>2.1027899999999997</v>
      </c>
      <c r="H67" s="1036">
        <v>2.4073500000000001</v>
      </c>
      <c r="I67" s="1093">
        <f t="shared" si="20"/>
        <v>4.4200500000000007</v>
      </c>
      <c r="J67" s="1084">
        <f t="shared" si="21"/>
        <v>0.14337870715866147</v>
      </c>
      <c r="K67" s="176">
        <f t="shared" si="22"/>
        <v>0.59336873107149124</v>
      </c>
      <c r="L67" s="1081">
        <f t="shared" si="23"/>
        <v>0.26325256176984724</v>
      </c>
      <c r="M67" s="1079">
        <f>TableA2!G67/K67</f>
        <v>2.1793699807282128</v>
      </c>
      <c r="N67" s="1082">
        <f t="shared" si="25"/>
        <v>0.11141631548767485</v>
      </c>
      <c r="O67" s="1079"/>
      <c r="P67" s="171">
        <f t="shared" si="11"/>
        <v>0</v>
      </c>
      <c r="Q67" s="171">
        <f t="shared" si="7"/>
        <v>0</v>
      </c>
      <c r="R67" s="441">
        <f>TableA2!G67/TableA1!M67</f>
        <v>0.59336873107149124</v>
      </c>
      <c r="S67" s="23"/>
      <c r="T67" s="23"/>
      <c r="U67" s="23"/>
      <c r="V67" s="23"/>
      <c r="W67" s="23"/>
    </row>
    <row r="68" spans="1:23" x14ac:dyDescent="0.2">
      <c r="A68" s="1074" t="s">
        <v>87</v>
      </c>
      <c r="B68" s="125">
        <v>6.1666699999999999</v>
      </c>
      <c r="C68" s="1036">
        <v>-5.4545499999999997E-2</v>
      </c>
      <c r="D68" s="1090">
        <f t="shared" si="18"/>
        <v>6.2212154999999996</v>
      </c>
      <c r="E68" s="1091">
        <v>4.6878599999999997</v>
      </c>
      <c r="F68" s="1036">
        <v>3.69624</v>
      </c>
      <c r="G68" s="1092">
        <f t="shared" si="19"/>
        <v>0.99161999999999972</v>
      </c>
      <c r="H68" s="1036">
        <v>0.89198900000000003</v>
      </c>
      <c r="I68" s="1093">
        <f t="shared" si="20"/>
        <v>0.64136649999999984</v>
      </c>
      <c r="J68" s="1084">
        <f t="shared" si="21"/>
        <v>0.14337857288499331</v>
      </c>
      <c r="K68" s="176">
        <f t="shared" si="22"/>
        <v>0.75352798822030842</v>
      </c>
      <c r="L68" s="1081">
        <f t="shared" si="23"/>
        <v>0.1030934388946983</v>
      </c>
      <c r="M68" s="1079">
        <f>TableA2!G68/K68</f>
        <v>0.84126404049992964</v>
      </c>
      <c r="N68" s="1082">
        <f t="shared" si="25"/>
        <v>0.13642112201559831</v>
      </c>
      <c r="O68" s="1079"/>
      <c r="P68" s="171">
        <f t="shared" si="11"/>
        <v>0</v>
      </c>
      <c r="Q68" s="171">
        <f t="shared" si="7"/>
        <v>0</v>
      </c>
      <c r="R68" s="441">
        <f>TableA2!G68/TableA1!M68</f>
        <v>0.75352798822030842</v>
      </c>
      <c r="S68" s="23"/>
      <c r="T68" s="23"/>
      <c r="U68" s="23"/>
      <c r="V68" s="23"/>
      <c r="W68" s="23"/>
    </row>
    <row r="69" spans="1:23" x14ac:dyDescent="0.2">
      <c r="A69" s="1074" t="s">
        <v>88</v>
      </c>
      <c r="B69" s="125">
        <v>0.99700800000000001</v>
      </c>
      <c r="C69" s="1036">
        <v>0.10692500000000001</v>
      </c>
      <c r="D69" s="1090">
        <f t="shared" si="18"/>
        <v>0.89008299999999996</v>
      </c>
      <c r="E69" s="1091">
        <v>0.50683400000000001</v>
      </c>
      <c r="F69" s="1036">
        <v>0.46714</v>
      </c>
      <c r="G69" s="1092">
        <f t="shared" si="19"/>
        <v>3.9694000000000007E-2</v>
      </c>
      <c r="H69" s="1036">
        <v>0.12311999999999999</v>
      </c>
      <c r="I69" s="1093">
        <f t="shared" si="20"/>
        <v>0.26012899999999994</v>
      </c>
      <c r="J69" s="1084">
        <f t="shared" si="21"/>
        <v>0.13832417875636316</v>
      </c>
      <c r="K69" s="176">
        <f t="shared" si="22"/>
        <v>0.56942330097305538</v>
      </c>
      <c r="L69" s="1081">
        <f t="shared" si="23"/>
        <v>0.29225252027058146</v>
      </c>
      <c r="M69" s="1079">
        <f>TableA2!G69/K69</f>
        <v>0.13074565770803062</v>
      </c>
      <c r="N69" s="1082">
        <f t="shared" si="25"/>
        <v>0.13113802267186483</v>
      </c>
      <c r="O69" s="1079"/>
      <c r="P69" s="171">
        <f t="shared" si="11"/>
        <v>0</v>
      </c>
      <c r="Q69" s="171">
        <f t="shared" si="7"/>
        <v>0</v>
      </c>
      <c r="R69" s="441">
        <f>TableA2!G69/TableA1!M69</f>
        <v>0.56942330097305549</v>
      </c>
      <c r="S69" s="23"/>
      <c r="T69" s="23"/>
      <c r="U69" s="23"/>
      <c r="V69" s="23"/>
      <c r="W69" s="23"/>
    </row>
    <row r="70" spans="1:23" x14ac:dyDescent="0.2">
      <c r="A70" s="1074" t="s">
        <v>89</v>
      </c>
      <c r="B70" s="125">
        <v>4.2681800000000001</v>
      </c>
      <c r="C70" s="1036">
        <v>8.4848488E-2</v>
      </c>
      <c r="D70" s="1090">
        <f t="shared" si="18"/>
        <v>4.1833315120000005</v>
      </c>
      <c r="E70" s="1091">
        <v>3.1522600000000001</v>
      </c>
      <c r="F70" s="1036">
        <v>2.4854599999999998</v>
      </c>
      <c r="G70" s="1092">
        <f t="shared" si="19"/>
        <v>0.66680000000000028</v>
      </c>
      <c r="H70" s="1036">
        <v>0.5998</v>
      </c>
      <c r="I70" s="1093">
        <f t="shared" si="20"/>
        <v>0.43127151200000047</v>
      </c>
      <c r="J70" s="1084">
        <f t="shared" si="21"/>
        <v>0.14337854847971224</v>
      </c>
      <c r="K70" s="176">
        <f t="shared" si="22"/>
        <v>0.75352861492273715</v>
      </c>
      <c r="L70" s="1081">
        <f t="shared" si="23"/>
        <v>0.10309283659755063</v>
      </c>
      <c r="M70" s="1079">
        <f>TableA2!G70/K70</f>
        <v>0.56569185503818853</v>
      </c>
      <c r="N70" s="1082">
        <f t="shared" si="25"/>
        <v>0.13253701930054226</v>
      </c>
      <c r="O70" s="1079"/>
      <c r="P70" s="171">
        <f t="shared" si="11"/>
        <v>0</v>
      </c>
      <c r="Q70" s="171">
        <f t="shared" si="7"/>
        <v>0</v>
      </c>
      <c r="R70" s="441">
        <f>TableA2!G70/TableA1!M70</f>
        <v>0.75352861492273715</v>
      </c>
      <c r="S70" s="23"/>
      <c r="T70" s="23"/>
      <c r="U70" s="23"/>
      <c r="V70" s="23"/>
      <c r="W70" s="23"/>
    </row>
    <row r="71" spans="1:23" x14ac:dyDescent="0.2">
      <c r="A71" s="1074" t="s">
        <v>90</v>
      </c>
      <c r="B71" s="125">
        <v>2.5099999999999998</v>
      </c>
      <c r="C71" s="1036">
        <v>0.27053100000000002</v>
      </c>
      <c r="D71" s="1090">
        <f t="shared" si="18"/>
        <v>2.2394689999999997</v>
      </c>
      <c r="E71" s="1091">
        <v>1.6875</v>
      </c>
      <c r="F71" s="1036">
        <v>1.3305499999999999</v>
      </c>
      <c r="G71" s="1092">
        <f t="shared" si="19"/>
        <v>0.3569500000000001</v>
      </c>
      <c r="H71" s="1036">
        <v>0.32109199999999999</v>
      </c>
      <c r="I71" s="1093">
        <f t="shared" si="20"/>
        <v>0.23087699999999972</v>
      </c>
      <c r="J71" s="1084">
        <f t="shared" si="21"/>
        <v>0.14337863127375286</v>
      </c>
      <c r="K71" s="176">
        <f t="shared" si="22"/>
        <v>0.75352684051442564</v>
      </c>
      <c r="L71" s="1081">
        <f t="shared" si="23"/>
        <v>0.10309452821182154</v>
      </c>
      <c r="M71" s="1079">
        <f>TableA2!G71/K71</f>
        <v>0.3028332737878518</v>
      </c>
      <c r="N71" s="1082">
        <f t="shared" si="25"/>
        <v>0.12065070668838718</v>
      </c>
      <c r="O71" s="1079"/>
      <c r="P71" s="171">
        <f t="shared" si="11"/>
        <v>0</v>
      </c>
      <c r="Q71" s="171">
        <f t="shared" si="7"/>
        <v>0</v>
      </c>
      <c r="R71" s="441">
        <f>TableA2!G71/TableA1!M71</f>
        <v>0.75352684051442564</v>
      </c>
      <c r="S71" s="954"/>
      <c r="T71" s="954"/>
      <c r="U71" s="954"/>
      <c r="V71" s="954"/>
      <c r="W71" s="954"/>
    </row>
    <row r="72" spans="1:23" x14ac:dyDescent="0.2">
      <c r="A72" s="1074" t="s">
        <v>91</v>
      </c>
      <c r="B72" s="125">
        <v>309.40199999999999</v>
      </c>
      <c r="C72" s="1036">
        <v>18.6477</v>
      </c>
      <c r="D72" s="1094">
        <f t="shared" si="18"/>
        <v>290.7543</v>
      </c>
      <c r="E72" s="1091">
        <v>219.09200000000001</v>
      </c>
      <c r="F72" s="1036">
        <v>172.74700000000001</v>
      </c>
      <c r="G72" s="1092">
        <f t="shared" si="19"/>
        <v>46.344999999999999</v>
      </c>
      <c r="H72" s="1036">
        <v>41.688000000000002</v>
      </c>
      <c r="I72" s="1093">
        <f t="shared" si="20"/>
        <v>29.974299999999985</v>
      </c>
      <c r="J72" s="1084">
        <f t="shared" si="21"/>
        <v>0.14337879095855161</v>
      </c>
      <c r="K72" s="176">
        <f t="shared" si="22"/>
        <v>0.7535296984429809</v>
      </c>
      <c r="L72" s="1081">
        <f t="shared" si="23"/>
        <v>0.10309151059846745</v>
      </c>
      <c r="M72" s="1079">
        <f>TableA2!G72/K72</f>
        <v>39.31722938222299</v>
      </c>
      <c r="N72" s="1082">
        <f t="shared" si="25"/>
        <v>0.12707490378931938</v>
      </c>
      <c r="O72" s="1079"/>
      <c r="P72" s="171">
        <f t="shared" si="11"/>
        <v>0</v>
      </c>
      <c r="Q72" s="171">
        <f t="shared" si="7"/>
        <v>0</v>
      </c>
      <c r="R72" s="441">
        <f>TableA2!G72/TableA1!M72</f>
        <v>0.7535296984429809</v>
      </c>
      <c r="S72" s="954"/>
      <c r="T72" s="954"/>
      <c r="U72" s="954"/>
      <c r="V72" s="954"/>
      <c r="W72" s="954"/>
    </row>
    <row r="73" spans="1:23" x14ac:dyDescent="0.2">
      <c r="A73" s="1074" t="s">
        <v>92</v>
      </c>
      <c r="B73" s="125">
        <v>6.7924199999999999</v>
      </c>
      <c r="C73" s="1036">
        <v>0.73209500000000005</v>
      </c>
      <c r="D73" s="1090">
        <f t="shared" si="18"/>
        <v>6.0603249999999997</v>
      </c>
      <c r="E73" s="1091">
        <v>4.56663</v>
      </c>
      <c r="F73" s="1036">
        <v>3.6006499999999999</v>
      </c>
      <c r="G73" s="1092">
        <f t="shared" si="19"/>
        <v>0.96598000000000006</v>
      </c>
      <c r="H73" s="1036">
        <v>0.86892000000000003</v>
      </c>
      <c r="I73" s="1093">
        <f t="shared" si="20"/>
        <v>0.62477499999999975</v>
      </c>
      <c r="J73" s="1084">
        <f t="shared" si="21"/>
        <v>0.14337844917558054</v>
      </c>
      <c r="K73" s="176">
        <f t="shared" si="22"/>
        <v>0.75352889490250108</v>
      </c>
      <c r="L73" s="1081">
        <f t="shared" si="23"/>
        <v>0.10309265592191834</v>
      </c>
      <c r="M73" s="1079">
        <f>TableA2!G73/K73</f>
        <v>0.81950672917446787</v>
      </c>
      <c r="N73" s="1082">
        <f t="shared" si="25"/>
        <v>0.12065018493769053</v>
      </c>
      <c r="O73" s="1079"/>
      <c r="P73" s="171">
        <f t="shared" si="11"/>
        <v>0</v>
      </c>
      <c r="Q73" s="171">
        <f t="shared" si="7"/>
        <v>0</v>
      </c>
      <c r="R73" s="441">
        <f>TableA2!G73/TableA1!M73</f>
        <v>0.75352889490250108</v>
      </c>
      <c r="S73" s="954"/>
      <c r="T73" s="954"/>
      <c r="U73" s="954"/>
      <c r="V73" s="954"/>
      <c r="W73" s="954"/>
    </row>
    <row r="74" spans="1:23" x14ac:dyDescent="0.2">
      <c r="A74" s="1074" t="s">
        <v>93</v>
      </c>
      <c r="B74" s="125">
        <v>49.459299999999999</v>
      </c>
      <c r="C74" s="1036">
        <v>5.3307799999999999</v>
      </c>
      <c r="D74" s="1090">
        <f t="shared" si="18"/>
        <v>44.128520000000002</v>
      </c>
      <c r="E74" s="1091">
        <v>33.252099999999999</v>
      </c>
      <c r="F74" s="1036">
        <v>26.218299999999999</v>
      </c>
      <c r="G74" s="1092">
        <f t="shared" si="19"/>
        <v>7.0337999999999994</v>
      </c>
      <c r="H74" s="1036">
        <v>6.3270799999999996</v>
      </c>
      <c r="I74" s="1093">
        <f t="shared" si="20"/>
        <v>4.5493400000000035</v>
      </c>
      <c r="J74" s="1084">
        <f t="shared" si="21"/>
        <v>0.1433784772296918</v>
      </c>
      <c r="K74" s="176">
        <f t="shared" si="22"/>
        <v>0.75352855704202171</v>
      </c>
      <c r="L74" s="1081">
        <f t="shared" si="23"/>
        <v>0.10309296572828645</v>
      </c>
      <c r="M74" s="1079">
        <f>TableA2!G74/K74</f>
        <v>5.9672854571711271</v>
      </c>
      <c r="N74" s="1082">
        <f t="shared" si="25"/>
        <v>0.12065042281575208</v>
      </c>
      <c r="O74" s="1079"/>
      <c r="P74" s="171">
        <f t="shared" ref="P74:P91" si="26">E74-F74-G74</f>
        <v>0</v>
      </c>
      <c r="Q74" s="171">
        <f t="shared" si="7"/>
        <v>0</v>
      </c>
      <c r="R74" s="441">
        <f>TableA2!G74/TableA1!M74</f>
        <v>0.75352855704202171</v>
      </c>
      <c r="S74" s="954"/>
      <c r="T74" s="954"/>
      <c r="U74" s="954"/>
      <c r="V74" s="954"/>
      <c r="W74" s="954"/>
    </row>
    <row r="75" spans="1:23" x14ac:dyDescent="0.2">
      <c r="A75" s="1074" t="s">
        <v>94</v>
      </c>
      <c r="B75" s="125">
        <v>6.2891700000000004</v>
      </c>
      <c r="C75" s="1036">
        <v>0.67785399999999996</v>
      </c>
      <c r="D75" s="1090">
        <f t="shared" si="18"/>
        <v>5.6113160000000004</v>
      </c>
      <c r="E75" s="1091">
        <v>4.7388899999999996</v>
      </c>
      <c r="F75" s="1036">
        <v>3.8815400000000002</v>
      </c>
      <c r="G75" s="1092">
        <f t="shared" si="19"/>
        <v>0.85734999999999939</v>
      </c>
      <c r="H75" s="1036">
        <f>J75*D75</f>
        <v>0.43621300000000041</v>
      </c>
      <c r="I75" s="1093">
        <f>L75*D75</f>
        <v>0.43621300000000041</v>
      </c>
      <c r="J75" s="1080">
        <f>(1-K75)/2</f>
        <v>7.7738092098181666E-2</v>
      </c>
      <c r="K75" s="176">
        <f t="shared" si="22"/>
        <v>0.84452381580363667</v>
      </c>
      <c r="L75" s="1081">
        <f>(1-K75)/2</f>
        <v>7.7738092098181666E-2</v>
      </c>
      <c r="M75" s="1079">
        <f>TableA2!G75/K75</f>
        <v>0.79041820669650498</v>
      </c>
      <c r="N75" s="1082">
        <f t="shared" si="25"/>
        <v>0.12567925603799943</v>
      </c>
      <c r="O75" s="1079"/>
      <c r="P75" s="171">
        <f t="shared" si="26"/>
        <v>0</v>
      </c>
      <c r="Q75" s="171">
        <f t="shared" ref="Q75:Q91" si="27">1-J75-K75-L75</f>
        <v>0</v>
      </c>
      <c r="R75" s="441">
        <f>TableA2!G75/TableA1!M75</f>
        <v>0.84452381580363667</v>
      </c>
      <c r="S75" s="954"/>
      <c r="T75" s="954"/>
      <c r="U75" s="954"/>
      <c r="V75" s="954"/>
      <c r="W75" s="954"/>
    </row>
    <row r="76" spans="1:23" x14ac:dyDescent="0.2">
      <c r="A76" s="1074" t="s">
        <v>95</v>
      </c>
      <c r="B76" s="125">
        <v>45.415500000000002</v>
      </c>
      <c r="C76" s="1036">
        <v>11.9496</v>
      </c>
      <c r="D76" s="1090">
        <f t="shared" si="18"/>
        <v>33.465900000000005</v>
      </c>
      <c r="E76" s="1091">
        <v>25.217500000000001</v>
      </c>
      <c r="F76" s="1036">
        <v>19.883199999999999</v>
      </c>
      <c r="G76" s="1092">
        <f t="shared" si="19"/>
        <v>5.3343000000000025</v>
      </c>
      <c r="H76" s="1036">
        <v>4.7983000000000002</v>
      </c>
      <c r="I76" s="1093">
        <f t="shared" si="20"/>
        <v>3.4501000000000035</v>
      </c>
      <c r="J76" s="1084">
        <f t="shared" si="21"/>
        <v>0.14337878258167266</v>
      </c>
      <c r="K76" s="176">
        <f t="shared" si="22"/>
        <v>0.75352821827591665</v>
      </c>
      <c r="L76" s="1081">
        <f t="shared" si="23"/>
        <v>0.10309299914241073</v>
      </c>
      <c r="M76" s="1079">
        <f>TableA2!G76/K76</f>
        <v>4.5254310552592445</v>
      </c>
      <c r="N76" s="1082">
        <f t="shared" si="25"/>
        <v>9.9645078337995713E-2</v>
      </c>
      <c r="O76" s="1079"/>
      <c r="P76" s="171">
        <f t="shared" si="26"/>
        <v>0</v>
      </c>
      <c r="Q76" s="171">
        <f t="shared" si="27"/>
        <v>0</v>
      </c>
      <c r="R76" s="441">
        <f>TableA2!G76/TableA1!M76</f>
        <v>0.75352821827591665</v>
      </c>
      <c r="S76" s="954"/>
      <c r="T76" s="954"/>
      <c r="U76" s="954"/>
      <c r="V76" s="954"/>
      <c r="W76" s="954"/>
    </row>
    <row r="77" spans="1:23" x14ac:dyDescent="0.2">
      <c r="A77" s="1074" t="s">
        <v>96</v>
      </c>
      <c r="B77" s="125">
        <v>9.74648</v>
      </c>
      <c r="C77" s="1036">
        <v>1.2155400000000001</v>
      </c>
      <c r="D77" s="1090">
        <f t="shared" si="18"/>
        <v>8.5309399999999993</v>
      </c>
      <c r="E77" s="1091">
        <v>5.8736199999999998</v>
      </c>
      <c r="F77" s="1036">
        <v>5.2669600000000001</v>
      </c>
      <c r="G77" s="1092">
        <f t="shared" si="19"/>
        <v>0.60665999999999976</v>
      </c>
      <c r="H77" s="1036">
        <v>1.22315</v>
      </c>
      <c r="I77" s="1093">
        <f t="shared" si="20"/>
        <v>1.4341699999999995</v>
      </c>
      <c r="J77" s="1084">
        <f t="shared" si="21"/>
        <v>0.14337810370252282</v>
      </c>
      <c r="K77" s="176">
        <f t="shared" si="22"/>
        <v>0.68850794871374088</v>
      </c>
      <c r="L77" s="1081">
        <f t="shared" si="23"/>
        <v>0.16811394758373632</v>
      </c>
      <c r="M77" s="1079">
        <f>TableA2!G77/K77</f>
        <v>1.1485197832171641</v>
      </c>
      <c r="N77" s="1082">
        <f t="shared" si="25"/>
        <v>0.11783944390355945</v>
      </c>
      <c r="O77" s="1079"/>
      <c r="P77" s="171">
        <f t="shared" si="26"/>
        <v>0</v>
      </c>
      <c r="Q77" s="171">
        <f t="shared" si="27"/>
        <v>0</v>
      </c>
      <c r="R77" s="441">
        <f>TableA2!G77/TableA1!M77</f>
        <v>0.68850794871374088</v>
      </c>
      <c r="S77" s="954"/>
      <c r="T77" s="954"/>
      <c r="U77" s="954"/>
      <c r="V77" s="954"/>
      <c r="W77" s="954"/>
    </row>
    <row r="78" spans="1:23" x14ac:dyDescent="0.2">
      <c r="A78" s="1074" t="s">
        <v>97</v>
      </c>
      <c r="B78" s="125">
        <v>0.17943300000000001</v>
      </c>
      <c r="C78" s="1036">
        <v>8.3093660000000003E-3</v>
      </c>
      <c r="D78" s="1090">
        <f t="shared" si="18"/>
        <v>0.171123634</v>
      </c>
      <c r="E78" s="1091">
        <v>0.12894600000000001</v>
      </c>
      <c r="F78" s="1036">
        <v>0.10167</v>
      </c>
      <c r="G78" s="1092">
        <f t="shared" si="19"/>
        <v>2.7276000000000009E-2</v>
      </c>
      <c r="H78" s="1036">
        <v>2.4535404E-2</v>
      </c>
      <c r="I78" s="1093">
        <f t="shared" si="20"/>
        <v>1.7642229999999991E-2</v>
      </c>
      <c r="J78" s="1084">
        <f t="shared" si="21"/>
        <v>0.14337823143704392</v>
      </c>
      <c r="K78" s="176">
        <f t="shared" si="22"/>
        <v>0.75352537218792359</v>
      </c>
      <c r="L78" s="1081">
        <f t="shared" si="23"/>
        <v>0.10309639637503253</v>
      </c>
      <c r="M78" s="1079">
        <f>TableA2!G78/K78</f>
        <v>2.3140240055050731E-2</v>
      </c>
      <c r="N78" s="1082">
        <f t="shared" si="25"/>
        <v>0.12896312303227794</v>
      </c>
      <c r="O78" s="1079"/>
      <c r="P78" s="171">
        <f t="shared" si="26"/>
        <v>0</v>
      </c>
      <c r="Q78" s="171">
        <f t="shared" si="27"/>
        <v>0</v>
      </c>
      <c r="R78" s="441">
        <f>TableA2!G78/TableA1!M78</f>
        <v>0.75352537218792359</v>
      </c>
      <c r="S78" s="954"/>
      <c r="T78" s="954"/>
      <c r="U78" s="954"/>
      <c r="V78" s="954"/>
      <c r="W78" s="954"/>
    </row>
    <row r="79" spans="1:23" x14ac:dyDescent="0.2">
      <c r="A79" s="1074" t="s">
        <v>98</v>
      </c>
      <c r="B79" s="125">
        <v>5.74</v>
      </c>
      <c r="C79" s="1036">
        <v>0.61866399999999999</v>
      </c>
      <c r="D79" s="1090">
        <f t="shared" si="18"/>
        <v>5.1213360000000003</v>
      </c>
      <c r="E79" s="1091">
        <v>3.85907</v>
      </c>
      <c r="F79" s="1036">
        <v>3.0427599999999999</v>
      </c>
      <c r="G79" s="1092">
        <f t="shared" si="19"/>
        <v>0.81631000000000009</v>
      </c>
      <c r="H79" s="1036">
        <v>0.73429</v>
      </c>
      <c r="I79" s="1093">
        <f t="shared" si="20"/>
        <v>0.52797600000000033</v>
      </c>
      <c r="J79" s="1084">
        <f t="shared" si="21"/>
        <v>0.14337860277083947</v>
      </c>
      <c r="K79" s="176">
        <f t="shared" si="22"/>
        <v>0.75352798566624013</v>
      </c>
      <c r="L79" s="1081">
        <f t="shared" si="23"/>
        <v>0.10309341156292036</v>
      </c>
      <c r="M79" s="1079">
        <f>TableA2!G79/K79</f>
        <v>0.69253300464827017</v>
      </c>
      <c r="N79" s="1082">
        <f t="shared" si="25"/>
        <v>0.12065034924185891</v>
      </c>
      <c r="O79" s="1079"/>
      <c r="P79" s="171">
        <f t="shared" si="26"/>
        <v>0</v>
      </c>
      <c r="Q79" s="171">
        <f t="shared" si="27"/>
        <v>0</v>
      </c>
      <c r="R79" s="441">
        <f>TableA2!G79/TableA1!M79</f>
        <v>0.75352798566624013</v>
      </c>
      <c r="S79" s="954"/>
      <c r="T79" s="954"/>
      <c r="U79" s="954"/>
      <c r="V79" s="954"/>
      <c r="W79" s="954"/>
    </row>
    <row r="80" spans="1:23" x14ac:dyDescent="0.2">
      <c r="A80" s="1074" t="s">
        <v>99</v>
      </c>
      <c r="B80" s="125">
        <v>0.79469999999999996</v>
      </c>
      <c r="C80" s="1036">
        <v>8.5653744000000004E-2</v>
      </c>
      <c r="D80" s="1090">
        <f t="shared" si="18"/>
        <v>0.70904625599999993</v>
      </c>
      <c r="E80" s="1091">
        <v>0.53428699999999996</v>
      </c>
      <c r="F80" s="1036">
        <v>0.421269</v>
      </c>
      <c r="G80" s="1092">
        <f t="shared" si="19"/>
        <v>0.11301799999999995</v>
      </c>
      <c r="H80" s="1036">
        <v>0.101662</v>
      </c>
      <c r="I80" s="1093">
        <f t="shared" si="20"/>
        <v>7.3097255999999972E-2</v>
      </c>
      <c r="J80" s="1084">
        <f t="shared" si="21"/>
        <v>0.14337851605551671</v>
      </c>
      <c r="K80" s="176">
        <f t="shared" si="22"/>
        <v>0.75352911813414891</v>
      </c>
      <c r="L80" s="1081">
        <f t="shared" si="23"/>
        <v>0.10309236581033435</v>
      </c>
      <c r="M80" s="1079">
        <f>TableA2!G80/K80</f>
        <v>9.5880738064773374E-2</v>
      </c>
      <c r="N80" s="1082">
        <f t="shared" si="25"/>
        <v>0.12065023035708239</v>
      </c>
      <c r="O80" s="1079"/>
      <c r="P80" s="171">
        <f t="shared" si="26"/>
        <v>0</v>
      </c>
      <c r="Q80" s="171">
        <f t="shared" si="27"/>
        <v>0</v>
      </c>
      <c r="R80" s="441">
        <f>TableA2!G80/TableA1!M80</f>
        <v>0.75352911813414891</v>
      </c>
      <c r="S80" s="954"/>
      <c r="T80" s="954"/>
      <c r="U80" s="954"/>
      <c r="V80" s="954"/>
      <c r="W80" s="954"/>
    </row>
    <row r="81" spans="1:18" x14ac:dyDescent="0.2">
      <c r="A81" s="1074" t="s">
        <v>100</v>
      </c>
      <c r="B81" s="125">
        <v>11.692299999999999</v>
      </c>
      <c r="C81" s="1036">
        <v>1.2602100000000001</v>
      </c>
      <c r="D81" s="1090">
        <f t="shared" si="18"/>
        <v>10.432089999999999</v>
      </c>
      <c r="E81" s="1091">
        <v>7.8608700000000002</v>
      </c>
      <c r="F81" s="1036">
        <v>6.1980599999999999</v>
      </c>
      <c r="G81" s="1092">
        <f t="shared" si="19"/>
        <v>1.6628100000000003</v>
      </c>
      <c r="H81" s="1036">
        <v>1.4957400000000001</v>
      </c>
      <c r="I81" s="1093">
        <f t="shared" si="20"/>
        <v>1.0754799999999984</v>
      </c>
      <c r="J81" s="1084">
        <f t="shared" si="21"/>
        <v>0.1433787476910188</v>
      </c>
      <c r="K81" s="176">
        <f t="shared" si="22"/>
        <v>0.75352781657366852</v>
      </c>
      <c r="L81" s="1081">
        <f t="shared" si="23"/>
        <v>0.10309343573531272</v>
      </c>
      <c r="M81" s="1079">
        <f>TableA2!G81/K81</f>
        <v>1.4106844851905704</v>
      </c>
      <c r="N81" s="1082">
        <f t="shared" si="25"/>
        <v>0.12065072613519756</v>
      </c>
      <c r="O81" s="1079"/>
      <c r="P81" s="171">
        <f t="shared" si="26"/>
        <v>0</v>
      </c>
      <c r="Q81" s="171">
        <f t="shared" si="27"/>
        <v>0</v>
      </c>
      <c r="R81" s="441">
        <f>TableA2!G81/TableA1!M81</f>
        <v>0.75352781657366852</v>
      </c>
    </row>
    <row r="82" spans="1:18" x14ac:dyDescent="0.2">
      <c r="A82" s="1074" t="s">
        <v>101</v>
      </c>
      <c r="B82" s="125">
        <v>1.4377200000000001</v>
      </c>
      <c r="C82" s="1036">
        <v>0.15495900000000001</v>
      </c>
      <c r="D82" s="1090">
        <f t="shared" si="18"/>
        <v>1.282761</v>
      </c>
      <c r="E82" s="1091">
        <v>0.96659899999999999</v>
      </c>
      <c r="F82" s="1036">
        <v>0.76213299999999995</v>
      </c>
      <c r="G82" s="1092">
        <f t="shared" si="19"/>
        <v>0.20446600000000004</v>
      </c>
      <c r="H82" s="1036">
        <v>0.183921</v>
      </c>
      <c r="I82" s="1093">
        <f t="shared" si="20"/>
        <v>0.13224100000000005</v>
      </c>
      <c r="J82" s="1084">
        <f t="shared" si="21"/>
        <v>0.14337900824861372</v>
      </c>
      <c r="K82" s="176">
        <f t="shared" si="22"/>
        <v>0.75353008081786077</v>
      </c>
      <c r="L82" s="1081">
        <f t="shared" si="23"/>
        <v>0.10309091093352546</v>
      </c>
      <c r="M82" s="1079">
        <f>TableA2!G82/K82</f>
        <v>0.17346089204313267</v>
      </c>
      <c r="N82" s="1082">
        <f t="shared" si="25"/>
        <v>0.12064998194581188</v>
      </c>
      <c r="O82" s="1079"/>
      <c r="P82" s="171">
        <f t="shared" si="26"/>
        <v>0</v>
      </c>
      <c r="Q82" s="171">
        <f t="shared" si="27"/>
        <v>0</v>
      </c>
      <c r="R82" s="441">
        <f>TableA2!G82/TableA1!M82</f>
        <v>0.75353008081786077</v>
      </c>
    </row>
    <row r="83" spans="1:18" x14ac:dyDescent="0.2">
      <c r="A83" s="1074" t="s">
        <v>102</v>
      </c>
      <c r="B83" s="168">
        <v>305.19402000000002</v>
      </c>
      <c r="C83" s="1095">
        <v>17.706880000000002</v>
      </c>
      <c r="D83" s="1094">
        <f t="shared" si="18"/>
        <v>287.48714000000001</v>
      </c>
      <c r="E83" s="1096">
        <v>193.44101831433295</v>
      </c>
      <c r="F83" s="1036">
        <v>157.35499999999999</v>
      </c>
      <c r="G83" s="1079">
        <f t="shared" si="19"/>
        <v>36.086018314332961</v>
      </c>
      <c r="H83" s="1036">
        <v>37.973399999999998</v>
      </c>
      <c r="I83" s="1076">
        <f t="shared" si="20"/>
        <v>56.072721685667062</v>
      </c>
      <c r="J83" s="1084">
        <f t="shared" si="21"/>
        <v>0.13208729962668939</v>
      </c>
      <c r="K83" s="176">
        <f t="shared" si="22"/>
        <v>0.67286842226867238</v>
      </c>
      <c r="L83" s="1081">
        <f t="shared" si="23"/>
        <v>0.1950442781046382</v>
      </c>
      <c r="M83" s="1079">
        <f>TableA2!G83/K83</f>
        <v>66.12066819194888</v>
      </c>
      <c r="N83" s="1082">
        <f t="shared" si="25"/>
        <v>0.21665125742617394</v>
      </c>
      <c r="O83" s="1079"/>
      <c r="P83" s="171">
        <f t="shared" si="26"/>
        <v>0</v>
      </c>
      <c r="Q83" s="171">
        <f t="shared" si="27"/>
        <v>0</v>
      </c>
      <c r="R83" s="441">
        <f>TableA2!G83/TableA1!M83</f>
        <v>0.67286842226867238</v>
      </c>
    </row>
    <row r="84" spans="1:18" x14ac:dyDescent="0.2">
      <c r="A84" s="1074" t="s">
        <v>103</v>
      </c>
      <c r="B84" s="125">
        <v>0.87828200000000001</v>
      </c>
      <c r="C84" s="1036">
        <v>9.4662256E-2</v>
      </c>
      <c r="D84" s="1090">
        <f t="shared" si="18"/>
        <v>0.78361974400000001</v>
      </c>
      <c r="E84" s="1091">
        <v>0.59048</v>
      </c>
      <c r="F84" s="1036">
        <v>0.46557500000000002</v>
      </c>
      <c r="G84" s="1092">
        <f t="shared" si="19"/>
        <v>0.12490499999999999</v>
      </c>
      <c r="H84" s="1036">
        <v>0.112354</v>
      </c>
      <c r="I84" s="1093">
        <f t="shared" si="20"/>
        <v>8.0785744000000007E-2</v>
      </c>
      <c r="J84" s="1084">
        <f t="shared" si="21"/>
        <v>0.14337821482966615</v>
      </c>
      <c r="K84" s="176">
        <f t="shared" si="22"/>
        <v>0.7535287421241903</v>
      </c>
      <c r="L84" s="1081">
        <f t="shared" si="23"/>
        <v>0.10309304304614357</v>
      </c>
      <c r="M84" s="1079">
        <f>TableA2!G84/K84</f>
        <v>0.10596491352793042</v>
      </c>
      <c r="N84" s="1082">
        <f t="shared" si="25"/>
        <v>0.12065021659094734</v>
      </c>
      <c r="O84" s="1079"/>
      <c r="P84" s="171">
        <f t="shared" si="26"/>
        <v>0</v>
      </c>
      <c r="Q84" s="171">
        <f t="shared" si="27"/>
        <v>0</v>
      </c>
      <c r="R84" s="441">
        <f>TableA2!G84/TableA1!M84</f>
        <v>0.7535287421241903</v>
      </c>
    </row>
    <row r="85" spans="1:18" x14ac:dyDescent="0.2">
      <c r="A85" s="1074" t="s">
        <v>104</v>
      </c>
      <c r="B85" s="125">
        <v>1.6491400000000001</v>
      </c>
      <c r="C85" s="1036">
        <v>0.17774699999999999</v>
      </c>
      <c r="D85" s="1090">
        <f t="shared" si="18"/>
        <v>1.471393</v>
      </c>
      <c r="E85" s="1091">
        <v>1.1087400000000001</v>
      </c>
      <c r="F85" s="1036">
        <v>0.87420699999999996</v>
      </c>
      <c r="G85" s="1092">
        <f t="shared" si="19"/>
        <v>0.2345330000000001</v>
      </c>
      <c r="H85" s="1036">
        <v>0.21096699999999999</v>
      </c>
      <c r="I85" s="1093">
        <f t="shared" si="20"/>
        <v>0.1516859999999999</v>
      </c>
      <c r="J85" s="1084">
        <f t="shared" si="21"/>
        <v>0.14337909722283576</v>
      </c>
      <c r="K85" s="176">
        <f t="shared" si="22"/>
        <v>0.75353083778433094</v>
      </c>
      <c r="L85" s="1081">
        <f t="shared" si="23"/>
        <v>0.10309006499283326</v>
      </c>
      <c r="M85" s="1079">
        <f>TableA2!G85/K85</f>
        <v>0.19896863204809062</v>
      </c>
      <c r="N85" s="1082">
        <f t="shared" si="25"/>
        <v>0.12064993393410542</v>
      </c>
      <c r="O85" s="1079"/>
      <c r="P85" s="171">
        <f t="shared" si="26"/>
        <v>0</v>
      </c>
      <c r="Q85" s="171">
        <f t="shared" si="27"/>
        <v>0</v>
      </c>
      <c r="R85" s="441">
        <f>TableA2!G85/TableA1!M85</f>
        <v>0.75353083778433094</v>
      </c>
    </row>
    <row r="86" spans="1:18" x14ac:dyDescent="0.2">
      <c r="A86" s="1097" t="s">
        <v>105</v>
      </c>
      <c r="B86" s="125">
        <v>0.75520600000000004</v>
      </c>
      <c r="C86" s="1036">
        <v>8.1396999999999997E-2</v>
      </c>
      <c r="D86" s="1090">
        <f t="shared" si="18"/>
        <v>0.6738090000000001</v>
      </c>
      <c r="E86" s="1091">
        <v>0.50773400000000002</v>
      </c>
      <c r="F86" s="1036">
        <v>0.40033299999999999</v>
      </c>
      <c r="G86" s="1092">
        <f t="shared" si="19"/>
        <v>0.10740100000000002</v>
      </c>
      <c r="H86" s="1036">
        <v>9.6609751999999993E-2</v>
      </c>
      <c r="I86" s="1093">
        <f t="shared" si="20"/>
        <v>6.946524800000009E-2</v>
      </c>
      <c r="J86" s="1084">
        <f t="shared" si="21"/>
        <v>0.14337854199038597</v>
      </c>
      <c r="K86" s="176">
        <f t="shared" si="22"/>
        <v>0.75352807694762158</v>
      </c>
      <c r="L86" s="1081">
        <f t="shared" si="23"/>
        <v>0.10309338106199246</v>
      </c>
      <c r="M86" s="1079">
        <f>TableA2!G86/K86</f>
        <v>9.1115872255377817E-2</v>
      </c>
      <c r="N86" s="1082">
        <f t="shared" si="25"/>
        <v>0.12065035534063263</v>
      </c>
      <c r="O86" s="1079"/>
      <c r="P86" s="171">
        <f t="shared" si="26"/>
        <v>0</v>
      </c>
      <c r="Q86" s="171">
        <f t="shared" si="27"/>
        <v>0</v>
      </c>
      <c r="R86" s="441">
        <f>TableA2!G86/TableA1!M86</f>
        <v>0.75352807694762158</v>
      </c>
    </row>
    <row r="87" spans="1:18" x14ac:dyDescent="0.2">
      <c r="A87" s="1074" t="s">
        <v>106</v>
      </c>
      <c r="B87" s="125">
        <v>0.63200000000000001</v>
      </c>
      <c r="C87" s="1036">
        <v>6.8117735999999998E-2</v>
      </c>
      <c r="D87" s="1090">
        <f t="shared" si="18"/>
        <v>0.56388226399999997</v>
      </c>
      <c r="E87" s="1091">
        <v>0.424902</v>
      </c>
      <c r="F87" s="1036">
        <v>0.33502199999999999</v>
      </c>
      <c r="G87" s="1092">
        <f t="shared" si="19"/>
        <v>8.9880000000000015E-2</v>
      </c>
      <c r="H87" s="1036">
        <v>8.0848639999999999E-2</v>
      </c>
      <c r="I87" s="1093">
        <f t="shared" si="20"/>
        <v>5.8131623999999965E-2</v>
      </c>
      <c r="J87" s="1080">
        <f t="shared" si="21"/>
        <v>0.14337858301569137</v>
      </c>
      <c r="K87" s="176">
        <f t="shared" si="22"/>
        <v>0.75352964107415166</v>
      </c>
      <c r="L87" s="1081">
        <f t="shared" si="23"/>
        <v>0.10309177591015696</v>
      </c>
      <c r="M87" s="1079">
        <f>TableA2!G87/K87</f>
        <v>7.6250887646695603E-2</v>
      </c>
      <c r="N87" s="1082">
        <f t="shared" si="25"/>
        <v>0.12065013868148039</v>
      </c>
      <c r="O87" s="1079"/>
      <c r="P87" s="171">
        <f t="shared" si="26"/>
        <v>0</v>
      </c>
      <c r="Q87" s="171">
        <f t="shared" si="27"/>
        <v>0</v>
      </c>
      <c r="R87" s="441">
        <f>TableA2!G87/TableA1!M87</f>
        <v>0.75352964107415166</v>
      </c>
    </row>
    <row r="88" spans="1:18" x14ac:dyDescent="0.2">
      <c r="A88" s="1074" t="s">
        <v>107</v>
      </c>
      <c r="B88" s="125">
        <v>52.132300000000001</v>
      </c>
      <c r="C88" s="1036">
        <v>5.6188799999999999</v>
      </c>
      <c r="D88" s="1090">
        <f t="shared" si="18"/>
        <v>46.513420000000004</v>
      </c>
      <c r="E88" s="1091">
        <v>35.049199999999999</v>
      </c>
      <c r="F88" s="1036">
        <v>27.635200000000001</v>
      </c>
      <c r="G88" s="1092">
        <f t="shared" si="19"/>
        <v>7.4139999999999979</v>
      </c>
      <c r="H88" s="1036">
        <v>6.6690300000000002</v>
      </c>
      <c r="I88" s="1093">
        <f t="shared" si="20"/>
        <v>4.7951900000000043</v>
      </c>
      <c r="J88" s="1080">
        <f t="shared" si="21"/>
        <v>0.14337862062174744</v>
      </c>
      <c r="K88" s="176">
        <f t="shared" si="22"/>
        <v>0.75352876653662526</v>
      </c>
      <c r="L88" s="1081">
        <f t="shared" si="23"/>
        <v>0.1030926128416273</v>
      </c>
      <c r="M88" s="1079">
        <f>TableA2!G88/K88</f>
        <v>6.2897797807824443</v>
      </c>
      <c r="N88" s="1082">
        <f t="shared" si="25"/>
        <v>0.12065034116627205</v>
      </c>
      <c r="O88" s="1079"/>
      <c r="P88" s="171">
        <f t="shared" si="26"/>
        <v>0</v>
      </c>
      <c r="Q88" s="171">
        <f t="shared" si="27"/>
        <v>0</v>
      </c>
      <c r="R88" s="441">
        <f>TableA2!G88/TableA1!M88</f>
        <v>0.75352876653662526</v>
      </c>
    </row>
    <row r="89" spans="1:18" x14ac:dyDescent="0.2">
      <c r="A89" s="1074" t="s">
        <v>108</v>
      </c>
      <c r="B89" s="125">
        <v>107.52048192771085</v>
      </c>
      <c r="C89" s="1036">
        <v>5.644999999999996</v>
      </c>
      <c r="D89" s="1090">
        <f t="shared" si="18"/>
        <v>101.87548192771085</v>
      </c>
      <c r="E89" s="1091">
        <f>TableA2!B89</f>
        <v>81.677350000000004</v>
      </c>
      <c r="F89" s="1036">
        <f>E89*E101</f>
        <v>72.948981984703636</v>
      </c>
      <c r="G89" s="1092">
        <f t="shared" si="19"/>
        <v>8.7283680152963683</v>
      </c>
      <c r="H89" s="1036">
        <v>13.815899999999999</v>
      </c>
      <c r="I89" s="1093">
        <f t="shared" si="20"/>
        <v>6.3822319277108477</v>
      </c>
      <c r="J89" s="1080">
        <f t="shared" si="21"/>
        <v>0.13561555477895587</v>
      </c>
      <c r="K89" s="176">
        <f t="shared" si="22"/>
        <v>0.80173706621537155</v>
      </c>
      <c r="L89" s="1081">
        <f t="shared" si="23"/>
        <v>6.2647379005672563E-2</v>
      </c>
      <c r="M89" s="1079">
        <f>TableA2!G89/K89</f>
        <v>12.246720793824949</v>
      </c>
      <c r="N89" s="1082">
        <f t="shared" si="25"/>
        <v>0.11390128256734169</v>
      </c>
      <c r="O89" s="1079"/>
      <c r="P89" s="171">
        <f t="shared" si="26"/>
        <v>0</v>
      </c>
      <c r="Q89" s="171">
        <f t="shared" si="27"/>
        <v>0</v>
      </c>
      <c r="R89" s="441">
        <f>TableA2!G89/TableA1!M89</f>
        <v>0.80173706621537144</v>
      </c>
    </row>
    <row r="90" spans="1:18" ht="40" customHeight="1" x14ac:dyDescent="0.2">
      <c r="A90" s="1763" t="s">
        <v>109</v>
      </c>
      <c r="B90" s="1583">
        <f>74782-B9-B45-B53</f>
        <v>9565.9455890727513</v>
      </c>
      <c r="C90" s="1586">
        <f>B90*C45/B45</f>
        <v>1132.0584934272067</v>
      </c>
      <c r="D90" s="1764">
        <f t="shared" ref="D90:D91" si="28">+B90-C90</f>
        <v>8433.8870956455448</v>
      </c>
      <c r="E90" s="1586">
        <f>K90*D90</f>
        <v>4259.654706389314</v>
      </c>
      <c r="F90" s="1586">
        <f>+E90*E101</f>
        <v>3804.4509822790787</v>
      </c>
      <c r="G90" s="1586">
        <f>E90-F90</f>
        <v>455.20372411023527</v>
      </c>
      <c r="H90" s="1586">
        <f>J90*D90</f>
        <v>706.76608434528089</v>
      </c>
      <c r="I90" s="1587">
        <f t="shared" ref="I90" si="29">D90-E90-H90</f>
        <v>3467.4663049109499</v>
      </c>
      <c r="J90" s="1589">
        <f>J45</f>
        <v>8.3800752408718815E-2</v>
      </c>
      <c r="K90" s="1589">
        <f>K45-0.1</f>
        <v>0.50506423172164516</v>
      </c>
      <c r="L90" s="1765">
        <f t="shared" ref="L90:L91" si="30">I90/D90</f>
        <v>0.41113501586963608</v>
      </c>
      <c r="M90" s="175">
        <f>B90*M45/B45</f>
        <v>1378.6132777401201</v>
      </c>
      <c r="N90" s="1766">
        <f t="shared" ref="N90:N91" si="31">M90/B90</f>
        <v>0.14411678018688712</v>
      </c>
      <c r="O90" s="175"/>
      <c r="P90" s="171">
        <f t="shared" si="26"/>
        <v>0</v>
      </c>
      <c r="Q90" s="171">
        <f t="shared" si="27"/>
        <v>0</v>
      </c>
      <c r="R90" s="441">
        <f>TableA2!G90/TableA1!M90</f>
        <v>0.48795947745344731</v>
      </c>
    </row>
    <row r="91" spans="1:18" ht="40" customHeight="1" thickBot="1" x14ac:dyDescent="0.25">
      <c r="A91" s="200" t="s">
        <v>110</v>
      </c>
      <c r="B91" s="165">
        <f>B90+B53+B45+B9</f>
        <v>74782</v>
      </c>
      <c r="C91" s="170">
        <f>C90+C53+C45+C9</f>
        <v>7514.9035341355975</v>
      </c>
      <c r="D91" s="183">
        <f t="shared" si="28"/>
        <v>67267.096465864408</v>
      </c>
      <c r="E91" s="184">
        <f>E90+E53+E45+E9</f>
        <v>40756.104983635028</v>
      </c>
      <c r="F91" s="170">
        <f>F90+F53+F45+F9</f>
        <v>36346.893264988052</v>
      </c>
      <c r="G91" s="170">
        <f>E91-F91</f>
        <v>4409.2117186469768</v>
      </c>
      <c r="H91" s="170">
        <f>H90+H53+H45+H9</f>
        <v>8030.3108870760998</v>
      </c>
      <c r="I91" s="166">
        <f>I90+I53+I45+I9</f>
        <v>18480.680595153288</v>
      </c>
      <c r="J91" s="167">
        <f>H91/D91</f>
        <v>0.11937947836281575</v>
      </c>
      <c r="K91" s="303">
        <f>E91/D91</f>
        <v>0.60588470626671487</v>
      </c>
      <c r="L91" s="436">
        <f t="shared" si="30"/>
        <v>0.27473581537046954</v>
      </c>
      <c r="M91" s="439">
        <f>M90+M53+M45+M9</f>
        <v>11940.064507492207</v>
      </c>
      <c r="N91" s="199">
        <f t="shared" si="31"/>
        <v>0.15966495289631472</v>
      </c>
      <c r="O91" s="175"/>
      <c r="P91" s="171">
        <f t="shared" si="26"/>
        <v>0</v>
      </c>
      <c r="Q91" s="171">
        <f t="shared" si="27"/>
        <v>0</v>
      </c>
      <c r="R91" s="441">
        <f>TableA2!G91/TableA1!M91</f>
        <v>0.58030850288727776</v>
      </c>
    </row>
    <row r="92" spans="1:18" ht="17" thickTop="1" x14ac:dyDescent="0.2">
      <c r="A92" s="954"/>
      <c r="B92" s="954"/>
      <c r="C92" s="954"/>
      <c r="D92" s="1003"/>
      <c r="E92" s="954"/>
      <c r="F92" s="954"/>
      <c r="G92" s="954"/>
      <c r="H92" s="954"/>
      <c r="I92" s="954"/>
      <c r="J92" s="954"/>
      <c r="K92" s="954"/>
      <c r="L92" s="954"/>
      <c r="M92" s="954"/>
      <c r="N92" s="954"/>
      <c r="O92" s="954"/>
      <c r="P92" s="954"/>
      <c r="Q92" s="954"/>
      <c r="R92" s="954"/>
    </row>
    <row r="93" spans="1:18" s="2" customFormat="1" ht="17" thickBot="1" x14ac:dyDescent="0.25">
      <c r="B93" s="954"/>
      <c r="C93" s="954"/>
      <c r="D93" s="954"/>
      <c r="E93" s="954"/>
      <c r="F93" s="954"/>
      <c r="G93" s="954"/>
      <c r="H93" s="954"/>
      <c r="I93" s="954"/>
      <c r="J93" s="954"/>
      <c r="K93" s="954"/>
      <c r="L93" s="954"/>
    </row>
    <row r="94" spans="1:18" s="2" customFormat="1" ht="41.25" customHeight="1" thickBot="1" x14ac:dyDescent="0.25">
      <c r="A94" s="1948" t="s">
        <v>111</v>
      </c>
      <c r="B94" s="1949"/>
      <c r="C94" s="1949"/>
      <c r="D94" s="1949"/>
      <c r="E94" s="1949"/>
      <c r="F94" s="1949"/>
      <c r="G94" s="1949"/>
      <c r="H94" s="1949"/>
      <c r="I94" s="1949"/>
      <c r="J94" s="1949"/>
      <c r="K94" s="1949"/>
      <c r="L94" s="1949"/>
      <c r="M94" s="1949"/>
      <c r="N94" s="1950"/>
    </row>
    <row r="95" spans="1:18" s="2" customFormat="1" x14ac:dyDescent="0.2">
      <c r="A95" s="954"/>
      <c r="B95" s="954"/>
      <c r="C95" s="954"/>
      <c r="D95" s="954"/>
      <c r="E95" s="954"/>
      <c r="F95" s="954"/>
      <c r="G95" s="954"/>
      <c r="H95" s="954"/>
      <c r="I95" s="954"/>
      <c r="J95" s="954"/>
      <c r="K95" s="954"/>
      <c r="L95" s="954"/>
    </row>
    <row r="96" spans="1:18" s="2" customFormat="1" x14ac:dyDescent="0.2">
      <c r="A96" s="172" t="s">
        <v>26</v>
      </c>
      <c r="B96" s="182">
        <f>B91-B90-B53-B45-B9</f>
        <v>0</v>
      </c>
      <c r="C96" s="182">
        <f t="shared" ref="C96:I96" si="32">C91-C90-C53-C45-C9</f>
        <v>0</v>
      </c>
      <c r="D96" s="182">
        <f t="shared" si="32"/>
        <v>0</v>
      </c>
      <c r="E96" s="182">
        <f t="shared" si="32"/>
        <v>0</v>
      </c>
      <c r="F96" s="182">
        <f t="shared" si="32"/>
        <v>0</v>
      </c>
      <c r="G96" s="182">
        <f t="shared" si="32"/>
        <v>0</v>
      </c>
      <c r="H96" s="182">
        <f t="shared" si="32"/>
        <v>0</v>
      </c>
      <c r="I96" s="182">
        <f t="shared" si="32"/>
        <v>0</v>
      </c>
      <c r="J96" s="954"/>
      <c r="K96" s="954"/>
      <c r="L96" s="954"/>
    </row>
    <row r="97" spans="1:12" x14ac:dyDescent="0.2">
      <c r="A97" s="954"/>
      <c r="B97" s="954"/>
      <c r="C97" s="128"/>
      <c r="D97" s="128"/>
      <c r="E97" s="128"/>
      <c r="F97" s="128"/>
      <c r="G97" s="128"/>
      <c r="H97" s="128"/>
      <c r="I97" s="954"/>
      <c r="J97" s="954"/>
      <c r="K97" s="954"/>
      <c r="L97" s="954"/>
    </row>
    <row r="98" spans="1:12" s="2" customFormat="1" x14ac:dyDescent="0.2">
      <c r="A98" s="954"/>
      <c r="B98" s="128"/>
      <c r="C98" s="129"/>
      <c r="D98" s="129"/>
      <c r="E98" s="129"/>
      <c r="F98" s="129"/>
      <c r="G98" s="129"/>
      <c r="H98" s="128"/>
      <c r="K98" s="954"/>
      <c r="L98" s="954"/>
    </row>
    <row r="99" spans="1:12" x14ac:dyDescent="0.2">
      <c r="A99" s="128" t="s">
        <v>112</v>
      </c>
      <c r="B99" s="1767"/>
      <c r="C99" s="1767" t="s">
        <v>113</v>
      </c>
      <c r="D99" s="1767" t="s">
        <v>114</v>
      </c>
      <c r="E99" s="1767" t="s">
        <v>22</v>
      </c>
      <c r="F99" s="1767" t="s">
        <v>23</v>
      </c>
      <c r="G99" s="1767" t="s">
        <v>24</v>
      </c>
      <c r="H99" s="128"/>
      <c r="I99" s="954"/>
      <c r="J99" s="954"/>
      <c r="K99" s="954"/>
      <c r="L99" s="954"/>
    </row>
    <row r="100" spans="1:12" x14ac:dyDescent="0.2">
      <c r="A100" s="954"/>
      <c r="B100" s="128" t="s">
        <v>115</v>
      </c>
      <c r="C100" s="130"/>
      <c r="D100" s="130">
        <f>+SUMIF(E112:E146,"&gt;0")/(SUM(D112:D146)-D130-D129-D125-D127-D116-D115-D112)</f>
        <v>0.60843137013771853</v>
      </c>
      <c r="E100" s="130">
        <f>+(SUM(F112:F146)-F127)/(SUM(E112:E146))</f>
        <v>0.89379845602384167</v>
      </c>
      <c r="F100" s="130">
        <f>1-E100</f>
        <v>0.10620154397615833</v>
      </c>
      <c r="G100" s="130">
        <f>+SUM(H112:H146)/(SUM(D112:D146)-D112-D115-D116-D117-D113-D129-D130-D146)</f>
        <v>0.13836626366700144</v>
      </c>
      <c r="H100" s="128"/>
      <c r="I100" s="954"/>
      <c r="J100" s="954"/>
      <c r="K100" s="954"/>
      <c r="L100" s="954"/>
    </row>
    <row r="101" spans="1:12" x14ac:dyDescent="0.2">
      <c r="A101" s="954"/>
      <c r="B101" s="128" t="s">
        <v>64</v>
      </c>
      <c r="C101" s="130">
        <f>SUM(C47:C52)/SUM(B47:B52)</f>
        <v>0.11834256037587806</v>
      </c>
      <c r="D101" s="130">
        <f>SUM(E47:E52)/SUM(D47:D52)</f>
        <v>0.62031326117594032</v>
      </c>
      <c r="E101" s="130">
        <f>+SUM(F49:F52,F47)/+SUM(E49:E52,E47)</f>
        <v>0.89313600385790715</v>
      </c>
      <c r="F101" s="130"/>
      <c r="G101" s="130">
        <f>+SUM(H150:H156)/(SUM(D150:D156)-D150-D152-D155)</f>
        <v>7.1862573989797132E-2</v>
      </c>
      <c r="H101" s="128"/>
      <c r="I101" s="954"/>
      <c r="J101" s="954"/>
      <c r="K101" s="130"/>
      <c r="L101" s="954"/>
    </row>
    <row r="102" spans="1:12" x14ac:dyDescent="0.2">
      <c r="A102" s="954"/>
      <c r="B102" s="128" t="s">
        <v>116</v>
      </c>
      <c r="C102" s="131">
        <f>+(SUM(C54:C70)+SUM(C72:C89))/(SUM(B54:B70)+SUM(B72:B89))</f>
        <v>7.936070120941871E-2</v>
      </c>
      <c r="D102" s="128"/>
      <c r="E102" s="132">
        <f>+(SUM(E54:E70)+SUM(E72:E83))/(SUM(D54:D70)+SUM(D72:D83))</f>
        <v>0.72292916034155064</v>
      </c>
      <c r="F102" s="128"/>
      <c r="G102" s="132">
        <v>0</v>
      </c>
      <c r="H102" s="132"/>
      <c r="I102" s="954"/>
      <c r="J102" s="954"/>
      <c r="K102" s="954"/>
      <c r="L102" s="954"/>
    </row>
    <row r="103" spans="1:12" x14ac:dyDescent="0.2">
      <c r="A103" s="954"/>
      <c r="B103" s="128"/>
      <c r="C103" s="128"/>
      <c r="D103" s="128"/>
      <c r="E103" s="128"/>
      <c r="F103" s="128"/>
      <c r="G103" s="128"/>
      <c r="H103" s="128"/>
      <c r="I103" s="954"/>
      <c r="J103" s="954"/>
      <c r="K103" s="954"/>
      <c r="L103" s="954"/>
    </row>
    <row r="104" spans="1:12" x14ac:dyDescent="0.2">
      <c r="A104" s="954"/>
      <c r="B104" s="128"/>
      <c r="C104" s="128"/>
      <c r="D104" s="128"/>
      <c r="E104" s="128"/>
      <c r="F104" s="128"/>
      <c r="G104" s="128"/>
      <c r="H104" s="128"/>
      <c r="I104" s="954"/>
      <c r="J104" s="954"/>
      <c r="K104" s="954"/>
      <c r="L104" s="954"/>
    </row>
    <row r="105" spans="1:12" x14ac:dyDescent="0.2">
      <c r="A105" s="954"/>
      <c r="B105" s="128"/>
      <c r="C105" s="128"/>
      <c r="D105" s="128"/>
      <c r="E105" s="128"/>
      <c r="F105" s="128"/>
      <c r="G105" s="128"/>
      <c r="H105" s="128"/>
      <c r="I105" s="954"/>
      <c r="J105" s="954"/>
      <c r="K105" s="954"/>
      <c r="L105" s="954"/>
    </row>
    <row r="108" spans="1:12" hidden="1" x14ac:dyDescent="0.2">
      <c r="A108" s="954"/>
      <c r="B108" s="954"/>
      <c r="C108" s="954" t="s">
        <v>115</v>
      </c>
      <c r="D108" s="954"/>
      <c r="E108" s="954"/>
      <c r="F108" s="954"/>
      <c r="G108" s="954"/>
      <c r="H108" s="954"/>
      <c r="I108" s="954"/>
      <c r="J108" s="954"/>
      <c r="K108" s="954"/>
      <c r="L108" s="954"/>
    </row>
    <row r="109" spans="1:12" hidden="1" x14ac:dyDescent="0.2">
      <c r="A109" s="954"/>
      <c r="B109" s="954"/>
      <c r="C109" s="954"/>
      <c r="D109" s="954" t="s">
        <v>20</v>
      </c>
      <c r="E109" s="954" t="s">
        <v>21</v>
      </c>
      <c r="F109" s="954" t="s">
        <v>22</v>
      </c>
      <c r="G109" s="954" t="s">
        <v>23</v>
      </c>
      <c r="H109" s="954" t="s">
        <v>24</v>
      </c>
      <c r="I109" s="954" t="s">
        <v>25</v>
      </c>
      <c r="J109" s="954"/>
      <c r="K109" s="954"/>
      <c r="L109" s="954"/>
    </row>
    <row r="110" spans="1:12" hidden="1" x14ac:dyDescent="0.2">
      <c r="A110" s="954"/>
      <c r="B110" s="954"/>
      <c r="C110" s="954"/>
      <c r="D110" s="954"/>
      <c r="E110" s="954"/>
      <c r="F110" s="954"/>
      <c r="G110" s="954"/>
      <c r="H110" s="954"/>
      <c r="I110" s="954"/>
      <c r="J110" s="954"/>
      <c r="K110" s="954"/>
      <c r="L110" s="954"/>
    </row>
    <row r="111" spans="1:12" hidden="1" x14ac:dyDescent="0.2">
      <c r="A111" s="954"/>
      <c r="B111" s="954"/>
      <c r="C111" s="954"/>
      <c r="D111" s="954"/>
      <c r="E111" s="954"/>
      <c r="F111" s="954"/>
      <c r="G111" s="954"/>
      <c r="H111" s="954"/>
      <c r="I111" s="954"/>
      <c r="J111" s="954"/>
      <c r="K111" s="954"/>
      <c r="L111" s="954"/>
    </row>
    <row r="112" spans="1:12" hidden="1" x14ac:dyDescent="0.2">
      <c r="A112" s="954"/>
      <c r="B112" s="954"/>
      <c r="C112" s="954"/>
      <c r="D112" s="954">
        <v>1134.35890542318</v>
      </c>
      <c r="E112" s="954"/>
      <c r="F112" s="954"/>
      <c r="G112" s="954"/>
      <c r="H112" s="954"/>
      <c r="I112" s="954"/>
      <c r="J112" s="954"/>
      <c r="K112" s="954"/>
      <c r="L112" s="954"/>
    </row>
    <row r="113" spans="4:9" hidden="1" x14ac:dyDescent="0.2">
      <c r="D113" s="954">
        <v>332.67976030849803</v>
      </c>
      <c r="E113" s="954">
        <v>216.83707476995184</v>
      </c>
      <c r="F113" s="954">
        <v>203.4286798002349</v>
      </c>
      <c r="G113" s="954">
        <v>13.408394969716932</v>
      </c>
      <c r="H113" s="954"/>
      <c r="I113" s="954"/>
    </row>
    <row r="114" spans="4:9" hidden="1" x14ac:dyDescent="0.2">
      <c r="D114" s="954">
        <v>411.19137057357608</v>
      </c>
      <c r="E114" s="954">
        <v>283.38418404296965</v>
      </c>
      <c r="F114" s="954">
        <v>261.0124226564588</v>
      </c>
      <c r="G114" s="954">
        <v>22.371761386510865</v>
      </c>
      <c r="H114" s="954">
        <v>66.945153322930281</v>
      </c>
      <c r="I114" s="954">
        <v>60.862033207676149</v>
      </c>
    </row>
    <row r="115" spans="4:9" hidden="1" x14ac:dyDescent="0.2">
      <c r="D115" s="954">
        <v>1386.6959372933113</v>
      </c>
      <c r="E115" s="954"/>
      <c r="F115" s="954"/>
      <c r="G115" s="954"/>
      <c r="H115" s="954"/>
      <c r="I115" s="954"/>
    </row>
    <row r="116" spans="4:9" hidden="1" x14ac:dyDescent="0.2">
      <c r="D116" s="954">
        <v>201.44372958371886</v>
      </c>
      <c r="E116" s="954"/>
      <c r="F116" s="954"/>
      <c r="G116" s="954"/>
      <c r="H116" s="954"/>
      <c r="I116" s="954"/>
    </row>
    <row r="117" spans="4:9" hidden="1" x14ac:dyDescent="0.2">
      <c r="D117" s="954">
        <v>169.18445042939175</v>
      </c>
      <c r="E117" s="954">
        <v>112.15354438741807</v>
      </c>
      <c r="F117" s="954">
        <v>105.46442400528483</v>
      </c>
      <c r="G117" s="954">
        <v>6.6891203821332379</v>
      </c>
      <c r="H117" s="954"/>
      <c r="I117" s="954"/>
    </row>
    <row r="118" spans="4:9" hidden="1" x14ac:dyDescent="0.2">
      <c r="D118" s="954">
        <v>258.92896557577268</v>
      </c>
      <c r="E118" s="954">
        <v>171.31642871995703</v>
      </c>
      <c r="F118" s="954">
        <v>156.43854767909247</v>
      </c>
      <c r="G118" s="954">
        <v>14.877881040864565</v>
      </c>
      <c r="H118" s="954">
        <v>56.930632364567465</v>
      </c>
      <c r="I118" s="954">
        <v>30.681904491248183</v>
      </c>
    </row>
    <row r="119" spans="4:9" hidden="1" x14ac:dyDescent="0.2">
      <c r="D119" s="954">
        <v>19.484306151216813</v>
      </c>
      <c r="E119" s="954">
        <v>14.300084621791608</v>
      </c>
      <c r="F119" s="954">
        <v>13.555235404959081</v>
      </c>
      <c r="G119" s="954">
        <v>0.74484921683252769</v>
      </c>
      <c r="H119" s="954">
        <v>3.2878283253425074</v>
      </c>
      <c r="I119" s="954">
        <v>1.8963932040826976</v>
      </c>
    </row>
    <row r="120" spans="4:9" hidden="1" x14ac:dyDescent="0.2">
      <c r="D120" s="954">
        <v>203.2608780037686</v>
      </c>
      <c r="E120" s="954">
        <v>127.77114186183469</v>
      </c>
      <c r="F120" s="954">
        <v>121.94743245506339</v>
      </c>
      <c r="G120" s="954">
        <v>5.8237094067712958</v>
      </c>
      <c r="H120" s="954">
        <v>40.825855450896626</v>
      </c>
      <c r="I120" s="954">
        <v>34.663880691037278</v>
      </c>
    </row>
    <row r="121" spans="4:9" hidden="1" x14ac:dyDescent="0.2">
      <c r="D121" s="954">
        <v>2117.4668028600613</v>
      </c>
      <c r="E121" s="954">
        <v>1308.4658390810716</v>
      </c>
      <c r="F121" s="954">
        <v>1208.8882825990756</v>
      </c>
      <c r="G121" s="954">
        <v>99.57755648199597</v>
      </c>
      <c r="H121" s="954">
        <v>395.77822658011507</v>
      </c>
      <c r="I121" s="954">
        <v>413.2227371988746</v>
      </c>
    </row>
    <row r="122" spans="4:9" hidden="1" x14ac:dyDescent="0.2">
      <c r="D122" s="954">
        <v>3041.629928831188</v>
      </c>
      <c r="E122" s="954">
        <v>2072.973263728305</v>
      </c>
      <c r="F122" s="954">
        <v>1955.0417619077721</v>
      </c>
      <c r="G122" s="954">
        <v>117.93150182053304</v>
      </c>
      <c r="H122" s="954">
        <v>325.08409498491113</v>
      </c>
      <c r="I122" s="954">
        <v>643.57257011797174</v>
      </c>
    </row>
    <row r="123" spans="4:9" hidden="1" x14ac:dyDescent="0.2">
      <c r="D123" s="954">
        <v>168.119423972921</v>
      </c>
      <c r="E123" s="954">
        <v>65.374766181006336</v>
      </c>
      <c r="F123" s="954">
        <v>57.459378101921011</v>
      </c>
      <c r="G123" s="954">
        <v>7.9153880790853313</v>
      </c>
      <c r="H123" s="954">
        <v>30.928569891721814</v>
      </c>
      <c r="I123" s="954">
        <v>71.816087900192855</v>
      </c>
    </row>
    <row r="124" spans="4:9" hidden="1" x14ac:dyDescent="0.2">
      <c r="D124" s="954">
        <v>101.9514950820259</v>
      </c>
      <c r="E124" s="954">
        <v>66.600399165868637</v>
      </c>
      <c r="F124" s="954">
        <v>63.378081676854649</v>
      </c>
      <c r="G124" s="954">
        <v>3.2223174890139892</v>
      </c>
      <c r="H124" s="954">
        <v>17.133366149660354</v>
      </c>
      <c r="I124" s="954">
        <v>18.217729766496909</v>
      </c>
    </row>
    <row r="125" spans="4:9" hidden="1" x14ac:dyDescent="0.2">
      <c r="D125" s="954">
        <v>14.458228464332317</v>
      </c>
      <c r="E125" s="954"/>
      <c r="F125" s="954"/>
      <c r="G125" s="954"/>
      <c r="H125" s="954">
        <v>2.7194512628269329</v>
      </c>
      <c r="I125" s="954"/>
    </row>
    <row r="126" spans="4:9" hidden="1" x14ac:dyDescent="0.2">
      <c r="D126" s="954">
        <v>268.97424159244235</v>
      </c>
      <c r="E126" s="954">
        <v>216.35996679454206</v>
      </c>
      <c r="F126" s="954">
        <v>198.23817651684283</v>
      </c>
      <c r="G126" s="954">
        <v>18.121790277699219</v>
      </c>
      <c r="H126" s="954">
        <v>25.388975322156163</v>
      </c>
      <c r="I126" s="954">
        <v>27.22529947574413</v>
      </c>
    </row>
    <row r="127" spans="4:9" hidden="1" x14ac:dyDescent="0.2">
      <c r="D127" s="954">
        <v>257.65045884399973</v>
      </c>
      <c r="E127" s="954"/>
      <c r="F127" s="954">
        <v>156.86592670691022</v>
      </c>
      <c r="G127" s="954"/>
      <c r="H127" s="954">
        <v>36.217430231759373</v>
      </c>
      <c r="I127" s="954"/>
    </row>
    <row r="128" spans="4:9" hidden="1" x14ac:dyDescent="0.2">
      <c r="D128" s="954">
        <v>1589.2630140662934</v>
      </c>
      <c r="E128" s="954">
        <v>872.75122856867165</v>
      </c>
      <c r="F128" s="954">
        <v>795.37641170331563</v>
      </c>
      <c r="G128" s="954">
        <v>77.374816865355967</v>
      </c>
      <c r="H128" s="954">
        <v>228.77939442738332</v>
      </c>
      <c r="I128" s="954">
        <v>487.73239107023846</v>
      </c>
    </row>
    <row r="129" spans="4:9" hidden="1" x14ac:dyDescent="0.2">
      <c r="D129" s="954">
        <v>4026.7438220621034</v>
      </c>
      <c r="E129" s="954"/>
      <c r="F129" s="954"/>
      <c r="G129" s="954"/>
      <c r="H129" s="954"/>
      <c r="I129" s="954"/>
    </row>
    <row r="130" spans="4:9" hidden="1" x14ac:dyDescent="0.2">
      <c r="D130" s="954">
        <v>1242.3956876031853</v>
      </c>
      <c r="E130" s="954"/>
      <c r="F130" s="954"/>
      <c r="G130" s="954"/>
      <c r="H130" s="954"/>
      <c r="I130" s="954"/>
    </row>
    <row r="131" spans="4:9" hidden="1" x14ac:dyDescent="0.2">
      <c r="D131" s="954">
        <v>23.862537833038875</v>
      </c>
      <c r="E131" s="954">
        <v>16.865578894016473</v>
      </c>
      <c r="F131" s="954">
        <v>15.789667712516593</v>
      </c>
      <c r="G131" s="954">
        <v>1.0759111814998796</v>
      </c>
      <c r="H131" s="954">
        <v>3.7631366181671786</v>
      </c>
      <c r="I131" s="954">
        <v>3.2338223208552237</v>
      </c>
    </row>
    <row r="132" spans="4:9" hidden="1" x14ac:dyDescent="0.2">
      <c r="D132" s="954">
        <v>51.736632141419314</v>
      </c>
      <c r="E132" s="954">
        <v>39.231128397764564</v>
      </c>
      <c r="F132" s="954">
        <v>25.812973640810995</v>
      </c>
      <c r="G132" s="954">
        <v>13.418154756953573</v>
      </c>
      <c r="H132" s="954">
        <v>6.4658590442728343</v>
      </c>
      <c r="I132" s="954">
        <v>6.0396446993819151</v>
      </c>
    </row>
    <row r="133" spans="4:9" hidden="1" x14ac:dyDescent="0.2">
      <c r="D133" s="954">
        <v>1072.9108741037744</v>
      </c>
      <c r="E133" s="954">
        <v>580.51899302302263</v>
      </c>
      <c r="F133" s="954">
        <v>539.63509070108421</v>
      </c>
      <c r="G133" s="954">
        <v>40.883902321938415</v>
      </c>
      <c r="H133" s="954">
        <v>107.06274698678412</v>
      </c>
      <c r="I133" s="954">
        <v>385.32913409396764</v>
      </c>
    </row>
    <row r="134" spans="4:9" hidden="1" x14ac:dyDescent="0.2">
      <c r="D134" s="954">
        <v>680.05975651548977</v>
      </c>
      <c r="E134" s="954">
        <v>501.13845699981925</v>
      </c>
      <c r="F134" s="954">
        <v>450.70808365468542</v>
      </c>
      <c r="G134" s="954">
        <v>50.430373345133802</v>
      </c>
      <c r="H134" s="954">
        <v>90.792638902290108</v>
      </c>
      <c r="I134" s="954">
        <v>88.128660613380404</v>
      </c>
    </row>
    <row r="135" spans="4:9" hidden="1" x14ac:dyDescent="0.2">
      <c r="D135" s="954">
        <v>152.42315939957109</v>
      </c>
      <c r="E135" s="954">
        <v>117.72450705207552</v>
      </c>
      <c r="F135" s="954">
        <v>110.9119754528496</v>
      </c>
      <c r="G135" s="954">
        <v>6.8125315992259203</v>
      </c>
      <c r="H135" s="954">
        <v>20.029895918687561</v>
      </c>
      <c r="I135" s="954">
        <v>14.668756428808006</v>
      </c>
    </row>
    <row r="136" spans="4:9" hidden="1" x14ac:dyDescent="0.2">
      <c r="D136" s="954">
        <v>347.80703326208402</v>
      </c>
      <c r="E136" s="954">
        <v>244.0517414879925</v>
      </c>
      <c r="F136" s="954">
        <v>227.26315067631907</v>
      </c>
      <c r="G136" s="954">
        <v>16.788590811673419</v>
      </c>
      <c r="H136" s="954">
        <v>69.872188906802151</v>
      </c>
      <c r="I136" s="954">
        <v>33.883102867289367</v>
      </c>
    </row>
    <row r="137" spans="4:9" hidden="1" x14ac:dyDescent="0.2">
      <c r="D137" s="954">
        <v>421.78140336914709</v>
      </c>
      <c r="E137" s="954">
        <v>234.89932351770796</v>
      </c>
      <c r="F137" s="954">
        <v>219.12534818941506</v>
      </c>
      <c r="G137" s="954">
        <v>15.773975328292877</v>
      </c>
      <c r="H137" s="954">
        <v>59.604722111685902</v>
      </c>
      <c r="I137" s="954">
        <v>127.27735773975323</v>
      </c>
    </row>
    <row r="138" spans="4:9" hidden="1" x14ac:dyDescent="0.2">
      <c r="D138" s="954">
        <v>172.96809991360371</v>
      </c>
      <c r="E138" s="954">
        <v>101.75390252856124</v>
      </c>
      <c r="F138" s="954">
        <v>93.25897817245766</v>
      </c>
      <c r="G138" s="954">
        <v>8.4949243561035814</v>
      </c>
      <c r="H138" s="954">
        <v>28.746567161199522</v>
      </c>
      <c r="I138" s="954">
        <v>42.467630223842946</v>
      </c>
    </row>
    <row r="139" spans="4:9" hidden="1" x14ac:dyDescent="0.2">
      <c r="D139" s="954">
        <v>79.039844331393581</v>
      </c>
      <c r="E139" s="954">
        <v>43.35690211044308</v>
      </c>
      <c r="F139" s="954">
        <v>40.681291929654115</v>
      </c>
      <c r="G139" s="954">
        <v>2.6756101807889676</v>
      </c>
      <c r="H139" s="954">
        <v>11.16217106467079</v>
      </c>
      <c r="I139" s="954">
        <v>24.520771156279711</v>
      </c>
    </row>
    <row r="140" spans="4:9" hidden="1" x14ac:dyDescent="0.2">
      <c r="D140" s="954">
        <v>36.953009286215739</v>
      </c>
      <c r="E140" s="954">
        <v>23.475728296395868</v>
      </c>
      <c r="F140" s="954">
        <v>22.013766401710626</v>
      </c>
      <c r="G140" s="954">
        <v>1.4619618946852413</v>
      </c>
      <c r="H140" s="954">
        <v>5.9998325309235545</v>
      </c>
      <c r="I140" s="954">
        <v>7.4774484588963164</v>
      </c>
    </row>
    <row r="141" spans="4:9" hidden="1" x14ac:dyDescent="0.2">
      <c r="D141" s="954">
        <v>1072.3666042262098</v>
      </c>
      <c r="E141" s="954">
        <v>678.97508925214515</v>
      </c>
      <c r="F141" s="954">
        <v>641.19251291230933</v>
      </c>
      <c r="G141" s="954">
        <v>37.782576339835785</v>
      </c>
      <c r="H141" s="954">
        <v>163.01506445341309</v>
      </c>
      <c r="I141" s="954">
        <v>230.37645052065156</v>
      </c>
    </row>
    <row r="142" spans="4:9" hidden="1" x14ac:dyDescent="0.2">
      <c r="D142" s="954">
        <v>397.38603252865107</v>
      </c>
      <c r="E142" s="954">
        <v>287.8253425286855</v>
      </c>
      <c r="F142" s="954">
        <v>269.43791827255546</v>
      </c>
      <c r="G142" s="954">
        <v>18.387424256130021</v>
      </c>
      <c r="H142" s="954">
        <v>77.441768019100763</v>
      </c>
      <c r="I142" s="954">
        <v>32.118921980864812</v>
      </c>
    </row>
    <row r="143" spans="4:9" hidden="1" x14ac:dyDescent="0.2">
      <c r="D143" s="954">
        <v>659.15844691447569</v>
      </c>
      <c r="E143" s="954">
        <v>483.52057116672086</v>
      </c>
      <c r="F143" s="954">
        <v>418.96218472725457</v>
      </c>
      <c r="G143" s="954">
        <v>64.558386439466275</v>
      </c>
      <c r="H143" s="954">
        <v>70.134861453000426</v>
      </c>
      <c r="I143" s="954">
        <v>105.50301429475441</v>
      </c>
    </row>
    <row r="144" spans="4:9" hidden="1" x14ac:dyDescent="0.2">
      <c r="D144" s="954">
        <v>758.4468874919163</v>
      </c>
      <c r="E144" s="954">
        <v>461.75718903871274</v>
      </c>
      <c r="F144" s="954">
        <v>436.54209967687609</v>
      </c>
      <c r="G144" s="954">
        <v>25.215089361836664</v>
      </c>
      <c r="H144" s="954">
        <v>81.860188697905045</v>
      </c>
      <c r="I144" s="954">
        <v>214.82950975529852</v>
      </c>
    </row>
    <row r="145" spans="3:9" hidden="1" x14ac:dyDescent="0.2">
      <c r="C145" s="954"/>
      <c r="D145" s="954">
        <v>2511.5400774583868</v>
      </c>
      <c r="E145" s="954">
        <v>1619.5418191262634</v>
      </c>
      <c r="F145" s="954">
        <v>1440.0278055748649</v>
      </c>
      <c r="G145" s="954">
        <v>179.51401355139831</v>
      </c>
      <c r="H145" s="954">
        <v>311.14896607567084</v>
      </c>
      <c r="I145" s="954">
        <v>580.8492922564526</v>
      </c>
    </row>
    <row r="146" spans="3:9" hidden="1" x14ac:dyDescent="0.2">
      <c r="C146" s="954"/>
      <c r="D146" s="954">
        <v>16922.192500000001</v>
      </c>
      <c r="E146" s="954">
        <v>9749.7634999999991</v>
      </c>
      <c r="F146" s="954">
        <v>8421.3765999999996</v>
      </c>
      <c r="G146" s="954">
        <v>1328.3869000000002</v>
      </c>
      <c r="H146" s="954"/>
      <c r="I146" s="954"/>
    </row>
    <row r="147" spans="3:9" hidden="1" x14ac:dyDescent="0.2">
      <c r="C147" s="954"/>
      <c r="D147" s="954"/>
      <c r="E147" s="954"/>
      <c r="F147" s="954"/>
      <c r="G147" s="954"/>
      <c r="H147" s="954"/>
      <c r="I147" s="954"/>
    </row>
    <row r="148" spans="3:9" hidden="1" x14ac:dyDescent="0.2">
      <c r="C148" s="954"/>
      <c r="D148" s="954"/>
      <c r="E148" s="954"/>
      <c r="F148" s="954"/>
      <c r="G148" s="954"/>
      <c r="H148" s="954"/>
      <c r="I148" s="954"/>
    </row>
    <row r="149" spans="3:9" hidden="1" x14ac:dyDescent="0.2">
      <c r="C149" s="954" t="s">
        <v>117</v>
      </c>
      <c r="D149" s="954"/>
      <c r="E149" s="954"/>
      <c r="F149" s="954"/>
      <c r="G149" s="954"/>
      <c r="H149" s="954"/>
      <c r="I149" s="954"/>
    </row>
    <row r="150" spans="3:9" hidden="1" x14ac:dyDescent="0.2">
      <c r="C150" s="954"/>
      <c r="D150" s="954">
        <v>2165.3892241270273</v>
      </c>
      <c r="E150" s="954">
        <v>1305.6038000000001</v>
      </c>
      <c r="F150" s="954"/>
      <c r="G150" s="954"/>
      <c r="H150" s="954"/>
      <c r="I150" s="954"/>
    </row>
    <row r="151" spans="3:9" hidden="1" x14ac:dyDescent="0.2">
      <c r="C151" s="954"/>
      <c r="D151" s="954">
        <v>9679.5536246447809</v>
      </c>
      <c r="E151" s="954">
        <v>6211.8447853385696</v>
      </c>
      <c r="F151" s="954"/>
      <c r="G151" s="954"/>
      <c r="H151" s="954">
        <v>795.34694435553956</v>
      </c>
      <c r="I151" s="954">
        <v>2672.3618949506717</v>
      </c>
    </row>
    <row r="152" spans="3:9" hidden="1" x14ac:dyDescent="0.2">
      <c r="C152" s="954"/>
      <c r="D152" s="954">
        <v>260.35558291390413</v>
      </c>
      <c r="E152" s="954">
        <v>135.02409969740114</v>
      </c>
      <c r="F152" s="954"/>
      <c r="G152" s="954"/>
      <c r="H152" s="954"/>
      <c r="I152" s="954"/>
    </row>
    <row r="153" spans="3:9" hidden="1" x14ac:dyDescent="0.2">
      <c r="C153" s="954"/>
      <c r="D153" s="954">
        <v>48.629278349229132</v>
      </c>
      <c r="E153" s="954">
        <v>29.987501894855708</v>
      </c>
      <c r="F153" s="954"/>
      <c r="G153" s="954"/>
      <c r="H153" s="954">
        <v>8.0721776098757676</v>
      </c>
      <c r="I153" s="954">
        <v>10.569598844497657</v>
      </c>
    </row>
    <row r="154" spans="3:9" hidden="1" x14ac:dyDescent="0.2">
      <c r="C154" s="954"/>
      <c r="D154" s="954">
        <v>1942.0521379679471</v>
      </c>
      <c r="E154" s="954">
        <v>919.01579786888453</v>
      </c>
      <c r="F154" s="954"/>
      <c r="G154" s="954"/>
      <c r="H154" s="954">
        <v>0.87791571834518378</v>
      </c>
      <c r="I154" s="954">
        <v>1022.1584243807174</v>
      </c>
    </row>
    <row r="155" spans="3:9" hidden="1" x14ac:dyDescent="0.2">
      <c r="C155" s="954"/>
      <c r="D155" s="954">
        <v>1213.6983753065635</v>
      </c>
      <c r="E155" s="954">
        <v>856.3415010588692</v>
      </c>
      <c r="F155" s="954"/>
      <c r="G155" s="954"/>
      <c r="H155" s="954"/>
      <c r="I155" s="954"/>
    </row>
    <row r="156" spans="3:9" hidden="1" x14ac:dyDescent="0.2">
      <c r="C156" s="954"/>
      <c r="D156" s="954">
        <v>307.83846829753014</v>
      </c>
      <c r="E156" s="954">
        <v>192.31937324835505</v>
      </c>
      <c r="F156" s="954"/>
      <c r="G156" s="954"/>
      <c r="H156" s="954">
        <v>56.478156130628307</v>
      </c>
      <c r="I156" s="954">
        <v>59.040938918546786</v>
      </c>
    </row>
    <row r="157" spans="3:9" hidden="1" x14ac:dyDescent="0.2">
      <c r="C157" s="954"/>
      <c r="D157" s="954"/>
      <c r="E157" s="954"/>
      <c r="F157" s="954"/>
      <c r="G157" s="954"/>
      <c r="H157" s="954"/>
      <c r="I157" s="954"/>
    </row>
    <row r="158" spans="3:9" hidden="1" x14ac:dyDescent="0.2">
      <c r="C158" s="954"/>
      <c r="D158" s="954"/>
      <c r="E158" s="954"/>
      <c r="F158" s="954"/>
      <c r="G158" s="954"/>
      <c r="H158" s="954"/>
      <c r="I158" s="954"/>
    </row>
  </sheetData>
  <mergeCells count="15">
    <mergeCell ref="A94:N94"/>
    <mergeCell ref="A3:N3"/>
    <mergeCell ref="M6:M8"/>
    <mergeCell ref="N6:N8"/>
    <mergeCell ref="B7:B8"/>
    <mergeCell ref="C7:C8"/>
    <mergeCell ref="D7:D8"/>
    <mergeCell ref="B6:I6"/>
    <mergeCell ref="E7:E8"/>
    <mergeCell ref="H7:H8"/>
    <mergeCell ref="I7:I8"/>
    <mergeCell ref="J6:L6"/>
    <mergeCell ref="J7:J8"/>
    <mergeCell ref="K7:K8"/>
    <mergeCell ref="L7:L8"/>
  </mergeCells>
  <phoneticPr fontId="37" type="noConversion"/>
  <pageMargins left="0.75" right="0.75" top="1" bottom="1" header="0.5" footer="0.5"/>
  <pageSetup scale="42" fitToHeight="3"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3:N95"/>
  <sheetViews>
    <sheetView workbookViewId="0">
      <pane xSplit="1" ySplit="9" topLeftCell="B85" activePane="bottomRight" state="frozen"/>
      <selection pane="topRight" activeCell="AR8" sqref="AR8"/>
      <selection pane="bottomLeft" activeCell="AR8" sqref="AR8"/>
      <selection pane="bottomRight" activeCell="A4" sqref="A4:M89"/>
    </sheetView>
  </sheetViews>
  <sheetFormatPr baseColWidth="10" defaultColWidth="10.83203125" defaultRowHeight="16" x14ac:dyDescent="0.2"/>
  <cols>
    <col min="1" max="1" width="16.6640625" style="1" customWidth="1"/>
    <col min="2" max="2" width="12.5" style="1" customWidth="1"/>
    <col min="3" max="3" width="11.83203125" style="1" customWidth="1"/>
    <col min="4" max="7" width="11.33203125" style="1" customWidth="1"/>
    <col min="8" max="8" width="11.83203125" style="1" customWidth="1"/>
    <col min="9" max="12" width="11.33203125" style="1" customWidth="1"/>
    <col min="13" max="13" width="11.83203125" style="1" customWidth="1"/>
    <col min="14" max="16384" width="10.83203125" style="1"/>
  </cols>
  <sheetData>
    <row r="3" spans="1:14" ht="17" thickBot="1" x14ac:dyDescent="0.25">
      <c r="A3" s="954"/>
      <c r="B3" s="954"/>
      <c r="C3" s="954"/>
      <c r="D3" s="954"/>
      <c r="E3" s="954"/>
      <c r="F3" s="954"/>
      <c r="G3" s="954"/>
      <c r="H3" s="954"/>
      <c r="I3" s="954"/>
      <c r="J3" s="954"/>
      <c r="K3" s="954"/>
      <c r="L3" s="954"/>
      <c r="M3" s="954"/>
      <c r="N3" s="954"/>
    </row>
    <row r="4" spans="1:14" ht="32.25" customHeight="1" thickTop="1" x14ac:dyDescent="0.2">
      <c r="A4" s="1951" t="s">
        <v>375</v>
      </c>
      <c r="B4" s="1952"/>
      <c r="C4" s="1952"/>
      <c r="D4" s="1952"/>
      <c r="E4" s="1952"/>
      <c r="F4" s="1952"/>
      <c r="G4" s="1952"/>
      <c r="H4" s="1952"/>
      <c r="I4" s="1952"/>
      <c r="J4" s="1952"/>
      <c r="K4" s="1952"/>
      <c r="L4" s="1952"/>
      <c r="M4" s="1953"/>
      <c r="N4" s="954"/>
    </row>
    <row r="5" spans="1:14" ht="12" customHeight="1" x14ac:dyDescent="0.2">
      <c r="A5" s="4"/>
      <c r="B5" s="620"/>
      <c r="C5" s="620"/>
      <c r="D5" s="620"/>
      <c r="E5" s="620"/>
      <c r="F5" s="620"/>
      <c r="G5" s="620"/>
      <c r="H5" s="620"/>
      <c r="I5" s="620"/>
      <c r="J5" s="620"/>
      <c r="K5" s="620"/>
      <c r="L5" s="620"/>
      <c r="M5" s="5"/>
      <c r="N5" s="954"/>
    </row>
    <row r="6" spans="1:14" ht="17" thickBot="1" x14ac:dyDescent="0.25">
      <c r="A6" s="1148"/>
      <c r="B6" s="3" t="s">
        <v>1</v>
      </c>
      <c r="C6" s="3" t="s">
        <v>2</v>
      </c>
      <c r="D6" s="3" t="s">
        <v>3</v>
      </c>
      <c r="E6" s="3" t="s">
        <v>4</v>
      </c>
      <c r="F6" s="3" t="s">
        <v>5</v>
      </c>
      <c r="G6" s="3" t="s">
        <v>6</v>
      </c>
      <c r="H6" s="3" t="s">
        <v>7</v>
      </c>
      <c r="I6" s="3" t="s">
        <v>8</v>
      </c>
      <c r="J6" s="3" t="s">
        <v>9</v>
      </c>
      <c r="K6" s="3" t="s">
        <v>10</v>
      </c>
      <c r="L6" s="3" t="s">
        <v>11</v>
      </c>
      <c r="M6" s="6" t="s">
        <v>12</v>
      </c>
      <c r="N6" s="954"/>
    </row>
    <row r="7" spans="1:14" ht="21" customHeight="1" x14ac:dyDescent="0.2">
      <c r="A7" s="1148"/>
      <c r="B7" s="2021" t="s">
        <v>362</v>
      </c>
      <c r="C7" s="2022"/>
      <c r="D7" s="2022"/>
      <c r="E7" s="2022"/>
      <c r="F7" s="2022"/>
      <c r="G7" s="2022"/>
      <c r="H7" s="2022"/>
      <c r="I7" s="2022"/>
      <c r="J7" s="2022"/>
      <c r="K7" s="2022"/>
      <c r="L7" s="2022"/>
      <c r="M7" s="2191"/>
      <c r="N7" s="954"/>
    </row>
    <row r="8" spans="1:14" ht="85" customHeight="1" x14ac:dyDescent="0.2">
      <c r="A8" s="1148"/>
      <c r="B8" s="2072" t="s">
        <v>376</v>
      </c>
      <c r="C8" s="2049" t="s">
        <v>147</v>
      </c>
      <c r="D8" s="1819" t="s">
        <v>377</v>
      </c>
      <c r="E8" s="1820" t="s">
        <v>378</v>
      </c>
      <c r="F8" s="1822" t="s">
        <v>379</v>
      </c>
      <c r="G8" s="1822" t="s">
        <v>380</v>
      </c>
      <c r="H8" s="2049" t="s">
        <v>381</v>
      </c>
      <c r="I8" s="1819" t="s">
        <v>377</v>
      </c>
      <c r="J8" s="1820" t="s">
        <v>382</v>
      </c>
      <c r="K8" s="1822" t="s">
        <v>379</v>
      </c>
      <c r="L8" s="1821" t="s">
        <v>380</v>
      </c>
      <c r="M8" s="2193" t="s">
        <v>367</v>
      </c>
      <c r="N8" s="1098"/>
    </row>
    <row r="9" spans="1:14" ht="33" customHeight="1" x14ac:dyDescent="0.2">
      <c r="A9" s="1148"/>
      <c r="B9" s="2024"/>
      <c r="C9" s="2050"/>
      <c r="D9" s="1828"/>
      <c r="E9" s="1828"/>
      <c r="F9" s="1828"/>
      <c r="G9" s="1828"/>
      <c r="H9" s="2050"/>
      <c r="I9" s="1828"/>
      <c r="J9" s="1828"/>
      <c r="K9" s="1828"/>
      <c r="L9" s="748"/>
      <c r="M9" s="2088"/>
      <c r="N9" s="1098"/>
    </row>
    <row r="10" spans="1:14" ht="14.25" customHeight="1" x14ac:dyDescent="0.2">
      <c r="A10" s="1316" t="s">
        <v>29</v>
      </c>
      <c r="B10" s="16">
        <v>13.834247501690999</v>
      </c>
      <c r="C10" s="15">
        <v>9.1471936283718005</v>
      </c>
      <c r="D10" s="1032">
        <v>9.1471936283718005</v>
      </c>
      <c r="E10" s="1032">
        <v>0</v>
      </c>
      <c r="F10" s="1032">
        <v>0</v>
      </c>
      <c r="G10" s="1032">
        <v>0</v>
      </c>
      <c r="H10" s="15">
        <v>0.68675332481779006</v>
      </c>
      <c r="I10" s="1032">
        <f>H10</f>
        <v>0.68675332481779006</v>
      </c>
      <c r="J10" s="1032">
        <v>0</v>
      </c>
      <c r="K10" s="1032">
        <v>0</v>
      </c>
      <c r="L10" s="1041">
        <v>0</v>
      </c>
      <c r="M10" s="1344">
        <f>TableB2!J10</f>
        <v>4.0048087760162003</v>
      </c>
      <c r="N10" s="1098"/>
    </row>
    <row r="11" spans="1:14" ht="14.25" customHeight="1" x14ac:dyDescent="0.2">
      <c r="A11" s="1148" t="s">
        <v>30</v>
      </c>
      <c r="B11" s="120">
        <v>2.8896283971159002</v>
      </c>
      <c r="C11" s="1189">
        <v>10.214087631725</v>
      </c>
      <c r="D11" s="1033">
        <v>10.214087631725</v>
      </c>
      <c r="E11" s="1033">
        <v>0</v>
      </c>
      <c r="F11" s="1033">
        <v>0</v>
      </c>
      <c r="G11" s="1033">
        <v>0</v>
      </c>
      <c r="H11" s="1189">
        <v>1.6916250693289001</v>
      </c>
      <c r="I11" s="1033">
        <v>0.75984470327232001</v>
      </c>
      <c r="J11" s="1033">
        <v>0.63338879645036006</v>
      </c>
      <c r="K11" s="1033">
        <v>0.25956738768718995</v>
      </c>
      <c r="L11" s="1042">
        <v>3.8824181919024002E-2</v>
      </c>
      <c r="M11" s="1345">
        <f>TableB2!J11</f>
        <v>-9.0171935662783991</v>
      </c>
      <c r="N11" s="1098"/>
    </row>
    <row r="12" spans="1:14" ht="14.25" customHeight="1" x14ac:dyDescent="0.2">
      <c r="A12" s="1148" t="s">
        <v>31</v>
      </c>
      <c r="B12" s="120">
        <v>22.882972823073001</v>
      </c>
      <c r="C12" s="1189">
        <v>13.505268996118</v>
      </c>
      <c r="D12" s="1033">
        <v>13.470881863561001</v>
      </c>
      <c r="E12" s="1033">
        <v>0</v>
      </c>
      <c r="F12" s="1033">
        <v>2.2185246810871001E-2</v>
      </c>
      <c r="G12" s="1033">
        <v>1.3311148086522E-2</v>
      </c>
      <c r="H12" s="1189">
        <v>10.933998890738</v>
      </c>
      <c r="I12" s="1033">
        <v>1.0870770937326999</v>
      </c>
      <c r="J12" s="1033">
        <v>0.93954520244037998</v>
      </c>
      <c r="K12" s="1033">
        <v>1.7282307265668</v>
      </c>
      <c r="L12" s="1042">
        <v>7.1769273433166996</v>
      </c>
      <c r="M12" s="1345">
        <f>TableB2!J12</f>
        <v>-1.5562950637826001</v>
      </c>
      <c r="N12" s="1098"/>
    </row>
    <row r="13" spans="1:14" ht="14.25" customHeight="1" x14ac:dyDescent="0.2">
      <c r="A13" s="1148" t="s">
        <v>32</v>
      </c>
      <c r="B13" s="120"/>
      <c r="C13" s="1189"/>
      <c r="D13" s="1033"/>
      <c r="E13" s="1033"/>
      <c r="F13" s="1033"/>
      <c r="G13" s="1033"/>
      <c r="H13" s="1189"/>
      <c r="I13" s="1033"/>
      <c r="J13" s="1033"/>
      <c r="K13" s="1033"/>
      <c r="L13" s="1042"/>
      <c r="M13" s="1345"/>
      <c r="N13" s="1098"/>
    </row>
    <row r="14" spans="1:14" ht="14.25" customHeight="1" x14ac:dyDescent="0.2">
      <c r="A14" s="1148" t="s">
        <v>33</v>
      </c>
      <c r="B14" s="120">
        <v>3.9603124554282001</v>
      </c>
      <c r="C14" s="1189">
        <v>0.68634441400000001</v>
      </c>
      <c r="D14" s="1033">
        <v>0.67304297710406003</v>
      </c>
      <c r="E14" s="1033">
        <v>2.5380725316414996E-3</v>
      </c>
      <c r="F14" s="1033">
        <v>0</v>
      </c>
      <c r="G14" s="1033">
        <v>0</v>
      </c>
      <c r="H14" s="1189">
        <v>0.40863686199999999</v>
      </c>
      <c r="I14" s="1033">
        <v>0.33826779402379997</v>
      </c>
      <c r="J14" s="1033">
        <v>5.7017422081417003E-2</v>
      </c>
      <c r="K14" s="1033">
        <v>0</v>
      </c>
      <c r="L14" s="1042">
        <v>0</v>
      </c>
      <c r="M14" s="1345">
        <f>TableB2!J14</f>
        <v>2.8653311794281997</v>
      </c>
      <c r="N14" s="1098"/>
    </row>
    <row r="15" spans="1:14" ht="14.25" customHeight="1" x14ac:dyDescent="0.2">
      <c r="A15" s="1148" t="s">
        <v>34</v>
      </c>
      <c r="B15" s="120">
        <v>1.977798560566</v>
      </c>
      <c r="C15" s="1189">
        <v>0.88073842150204995</v>
      </c>
      <c r="D15" s="1033">
        <v>0.88073842150204995</v>
      </c>
      <c r="E15" s="1033">
        <v>0</v>
      </c>
      <c r="F15" s="1033">
        <v>0</v>
      </c>
      <c r="G15" s="1033">
        <v>0</v>
      </c>
      <c r="H15" s="1189">
        <v>0.12426300166714001</v>
      </c>
      <c r="I15" s="1033">
        <v>1.3011832635303E-2</v>
      </c>
      <c r="J15" s="1033">
        <v>6.4408571544748994E-2</v>
      </c>
      <c r="K15" s="1033">
        <v>8.1323953970642007E-4</v>
      </c>
      <c r="L15" s="1042">
        <v>4.6192005855325E-2</v>
      </c>
      <c r="M15" s="1345">
        <f>TableB2!J15</f>
        <v>0.97279713739681994</v>
      </c>
      <c r="N15" s="1098"/>
    </row>
    <row r="16" spans="1:14" ht="14.25" customHeight="1" x14ac:dyDescent="0.2">
      <c r="A16" s="1148" t="s">
        <v>35</v>
      </c>
      <c r="B16" s="120">
        <v>13.163826686889001</v>
      </c>
      <c r="C16" s="1189">
        <v>10.532310345853</v>
      </c>
      <c r="D16" s="1033">
        <v>10.532310345853</v>
      </c>
      <c r="E16" s="1033">
        <v>0</v>
      </c>
      <c r="F16" s="1033">
        <v>0</v>
      </c>
      <c r="G16" s="1033">
        <v>0</v>
      </c>
      <c r="H16" s="1189">
        <v>1.2372498290064999</v>
      </c>
      <c r="I16" s="1033">
        <v>1.1615665982692001</v>
      </c>
      <c r="J16" s="1033">
        <v>5.5312695155678E-2</v>
      </c>
      <c r="K16" s="1033">
        <v>1.9329705296338999E-3</v>
      </c>
      <c r="L16" s="1042">
        <v>1.8437565051893E-2</v>
      </c>
      <c r="M16" s="1345">
        <f>TableB2!J16</f>
        <v>1.3944152020698</v>
      </c>
      <c r="N16" s="1098"/>
    </row>
    <row r="17" spans="1:14" ht="14.25" customHeight="1" x14ac:dyDescent="0.2">
      <c r="A17" s="1148" t="s">
        <v>36</v>
      </c>
      <c r="B17" s="120">
        <v>0.36708374930671001</v>
      </c>
      <c r="C17" s="1189">
        <v>0.24230837493067001</v>
      </c>
      <c r="D17" s="1033">
        <v>0.24203549639490002</v>
      </c>
      <c r="E17" s="1033">
        <v>0</v>
      </c>
      <c r="F17" s="1033">
        <v>0</v>
      </c>
      <c r="G17" s="1033">
        <v>0</v>
      </c>
      <c r="H17" s="1189">
        <v>8.6218524681087011E-2</v>
      </c>
      <c r="I17" s="1033">
        <v>5.4532445923461001E-2</v>
      </c>
      <c r="J17" s="1033">
        <v>2.0879645036050998E-2</v>
      </c>
      <c r="K17" s="1033">
        <v>1.4464780920688E-3</v>
      </c>
      <c r="L17" s="1042">
        <v>9.3599556295063998E-3</v>
      </c>
      <c r="M17" s="1345">
        <f>TableB2!J17</f>
        <v>3.8556849694953002E-2</v>
      </c>
      <c r="N17" s="1098"/>
    </row>
    <row r="18" spans="1:14" ht="14.25" customHeight="1" x14ac:dyDescent="0.2">
      <c r="A18" s="1148" t="s">
        <v>37</v>
      </c>
      <c r="B18" s="120">
        <v>7.7071547420964999</v>
      </c>
      <c r="C18" s="1189">
        <v>10.647809206877</v>
      </c>
      <c r="D18" s="1033">
        <f>C18</f>
        <v>10.647809206877</v>
      </c>
      <c r="E18" s="1033">
        <v>0</v>
      </c>
      <c r="F18" s="1033">
        <v>0</v>
      </c>
      <c r="G18" s="1033">
        <v>0</v>
      </c>
      <c r="H18" s="1189">
        <v>0.76760953965612999</v>
      </c>
      <c r="I18" s="1033"/>
      <c r="J18" s="1033"/>
      <c r="K18" s="1033"/>
      <c r="L18" s="1042"/>
      <c r="M18" s="1345">
        <f>TableB2!J18</f>
        <v>-3.7082640044369999</v>
      </c>
      <c r="N18" s="1098"/>
    </row>
    <row r="19" spans="1:14" ht="14.25" customHeight="1" x14ac:dyDescent="0.2">
      <c r="A19" s="1148" t="s">
        <v>38</v>
      </c>
      <c r="B19" s="120">
        <v>74.230021407576999</v>
      </c>
      <c r="C19" s="1189">
        <v>64.215373266778002</v>
      </c>
      <c r="D19" s="1033">
        <v>64.215373266778002</v>
      </c>
      <c r="E19" s="1033">
        <v>0</v>
      </c>
      <c r="F19" s="1033">
        <v>0</v>
      </c>
      <c r="G19" s="1033">
        <v>0</v>
      </c>
      <c r="H19" s="1189">
        <v>5.5458084292076997</v>
      </c>
      <c r="I19" s="1033">
        <v>1.6512597606691999</v>
      </c>
      <c r="J19" s="1033">
        <v>0.39132772691776002</v>
      </c>
      <c r="K19" s="1033">
        <v>2.5429337194109998</v>
      </c>
      <c r="L19" s="1042">
        <v>0.9602872222096599</v>
      </c>
      <c r="M19" s="1345">
        <f>TableB2!J19</f>
        <v>4.4688397115917997</v>
      </c>
      <c r="N19" s="1098"/>
    </row>
    <row r="20" spans="1:14" ht="14.25" customHeight="1" x14ac:dyDescent="0.2">
      <c r="A20" s="1148" t="s">
        <v>39</v>
      </c>
      <c r="B20" s="120">
        <v>84.185246810871007</v>
      </c>
      <c r="C20" s="1189">
        <v>65.433166943982002</v>
      </c>
      <c r="D20" s="1033">
        <v>65.433166943982002</v>
      </c>
      <c r="E20" s="1033">
        <v>0</v>
      </c>
      <c r="F20" s="1033">
        <v>0</v>
      </c>
      <c r="G20" s="1033">
        <v>0</v>
      </c>
      <c r="H20" s="1189">
        <v>7.9789240155297003</v>
      </c>
      <c r="I20" s="1033">
        <v>6.5180255130338001</v>
      </c>
      <c r="J20" s="1033">
        <v>0.57237936772046993</v>
      </c>
      <c r="K20" s="1033">
        <v>0.24625623960067</v>
      </c>
      <c r="L20" s="1042">
        <v>0.64226289517471002</v>
      </c>
      <c r="M20" s="1345">
        <f>TableB2!J20</f>
        <v>10.772046589018</v>
      </c>
      <c r="N20" s="1098"/>
    </row>
    <row r="21" spans="1:14" ht="14.25" customHeight="1" x14ac:dyDescent="0.2">
      <c r="A21" s="1148" t="s">
        <v>40</v>
      </c>
      <c r="B21" s="120">
        <v>1.8014650027732</v>
      </c>
      <c r="C21" s="1189">
        <v>0.24941714475873999</v>
      </c>
      <c r="D21" s="1033">
        <v>0.24941714475873999</v>
      </c>
      <c r="E21" s="1033">
        <v>0</v>
      </c>
      <c r="F21" s="1033">
        <v>0</v>
      </c>
      <c r="G21" s="1033">
        <v>0</v>
      </c>
      <c r="H21" s="1189">
        <v>3.5620011092623001E-3</v>
      </c>
      <c r="I21" s="1033">
        <v>3.5620011092623001E-3</v>
      </c>
      <c r="J21" s="1033">
        <v>0</v>
      </c>
      <c r="K21" s="1033">
        <v>0</v>
      </c>
      <c r="L21" s="1042">
        <v>0</v>
      </c>
      <c r="M21" s="1345">
        <f>TableB2!J21</f>
        <v>1.5484858569052</v>
      </c>
      <c r="N21" s="1098"/>
    </row>
    <row r="22" spans="1:14" ht="14.25" customHeight="1" x14ac:dyDescent="0.2">
      <c r="A22" s="1148" t="s">
        <v>41</v>
      </c>
      <c r="B22" s="120">
        <v>5.3804062193314</v>
      </c>
      <c r="C22" s="1189">
        <v>1.1560207561767</v>
      </c>
      <c r="D22" s="1033">
        <v>1.1560207561767</v>
      </c>
      <c r="E22" s="1033">
        <v>0</v>
      </c>
      <c r="F22" s="1033">
        <v>0</v>
      </c>
      <c r="G22" s="1033">
        <v>0</v>
      </c>
      <c r="H22" s="1189">
        <v>1.3978684104959</v>
      </c>
      <c r="I22" s="1033">
        <v>0.14940141263781001</v>
      </c>
      <c r="J22" s="1033">
        <v>0.45150898658281002</v>
      </c>
      <c r="K22" s="1033">
        <v>1.8338502976429999E-5</v>
      </c>
      <c r="L22" s="1042">
        <v>0.79693967277234001</v>
      </c>
      <c r="M22" s="1345">
        <f>TableB2!J22</f>
        <v>2.8265170562405002</v>
      </c>
      <c r="N22" s="1098"/>
    </row>
    <row r="23" spans="1:14" ht="14.25" customHeight="1" x14ac:dyDescent="0.2">
      <c r="A23" s="1148" t="s">
        <v>42</v>
      </c>
      <c r="B23" s="120">
        <v>0.48551094384139998</v>
      </c>
      <c r="C23" s="1189">
        <v>5.5285940979301E-2</v>
      </c>
      <c r="D23" s="1033">
        <v>5.5285940979301E-2</v>
      </c>
      <c r="E23" s="1033">
        <v>0</v>
      </c>
      <c r="F23" s="1033">
        <v>0</v>
      </c>
      <c r="G23" s="1033">
        <v>0</v>
      </c>
      <c r="H23" s="1189">
        <v>0.3221854171579</v>
      </c>
      <c r="I23" s="1033">
        <v>0.13343836550133001</v>
      </c>
      <c r="J23" s="1033">
        <v>8.0138836553923995E-3</v>
      </c>
      <c r="K23" s="1033">
        <v>1.0159511918851E-3</v>
      </c>
      <c r="L23" s="1042">
        <v>0.17971721680928998</v>
      </c>
      <c r="M23" s="1345">
        <f>TableB2!J23</f>
        <v>0.1080395857042</v>
      </c>
      <c r="N23" s="1098"/>
    </row>
    <row r="24" spans="1:14" ht="14.25" customHeight="1" x14ac:dyDescent="0.2">
      <c r="A24" s="1148" t="s">
        <v>43</v>
      </c>
      <c r="B24" s="120">
        <v>17.311148086522</v>
      </c>
      <c r="C24" s="1189">
        <v>1.6117581808098</v>
      </c>
      <c r="D24" s="1033">
        <v>1.6195230171935999</v>
      </c>
      <c r="E24" s="1033">
        <v>-5.5463117027177E-3</v>
      </c>
      <c r="F24" s="1033">
        <v>0</v>
      </c>
      <c r="G24" s="1033">
        <v>0</v>
      </c>
      <c r="H24" s="1189">
        <v>3.9822518025512998</v>
      </c>
      <c r="I24" s="1033">
        <v>-0.34165280088741001</v>
      </c>
      <c r="J24" s="1033">
        <v>4.3250138657793</v>
      </c>
      <c r="K24" s="1033">
        <v>0</v>
      </c>
      <c r="L24" s="1042">
        <v>0</v>
      </c>
      <c r="M24" s="1345">
        <f>TableB2!J24</f>
        <v>11.716028840821</v>
      </c>
      <c r="N24" s="1098"/>
    </row>
    <row r="25" spans="1:14" ht="14.25" customHeight="1" x14ac:dyDescent="0.2">
      <c r="A25" s="1148" t="s">
        <v>44</v>
      </c>
      <c r="B25" s="120"/>
      <c r="C25" s="1189"/>
      <c r="D25" s="1033"/>
      <c r="E25" s="1033"/>
      <c r="F25" s="1033"/>
      <c r="G25" s="1033"/>
      <c r="H25" s="1189"/>
      <c r="I25" s="1033"/>
      <c r="J25" s="1033"/>
      <c r="K25" s="1033"/>
      <c r="L25" s="1042"/>
      <c r="M25" s="1345">
        <f>TableB2!J26</f>
        <v>-3.0844303937881001</v>
      </c>
      <c r="N25" s="1098"/>
    </row>
    <row r="26" spans="1:14" ht="14.25" customHeight="1" x14ac:dyDescent="0.2">
      <c r="A26" s="1148" t="s">
        <v>45</v>
      </c>
      <c r="B26" s="120">
        <v>15.313239046033999</v>
      </c>
      <c r="C26" s="1189">
        <v>15.558739877980999</v>
      </c>
      <c r="D26" s="1033">
        <v>15.523150305047</v>
      </c>
      <c r="E26" s="1033">
        <v>0</v>
      </c>
      <c r="F26" s="1033">
        <v>3.5589572933999003E-2</v>
      </c>
      <c r="G26" s="1033">
        <v>0</v>
      </c>
      <c r="H26" s="1189">
        <v>2.8389295618413999</v>
      </c>
      <c r="I26" s="1033">
        <v>1.4058302828619</v>
      </c>
      <c r="J26" s="1033">
        <v>0.54273322240709998</v>
      </c>
      <c r="K26" s="1033">
        <v>0.13784581253466002</v>
      </c>
      <c r="L26" s="1042">
        <v>0.75252024403771001</v>
      </c>
      <c r="M26" s="1345">
        <f>TableB2!J25</f>
        <v>4.468</v>
      </c>
      <c r="N26" s="1098"/>
    </row>
    <row r="27" spans="1:14" ht="14.25" customHeight="1" x14ac:dyDescent="0.2">
      <c r="A27" s="1148" t="s">
        <v>46</v>
      </c>
      <c r="B27" s="120">
        <v>94.342008375046987</v>
      </c>
      <c r="C27" s="1189">
        <v>49.686658848633002</v>
      </c>
      <c r="D27" s="1033">
        <f>C27</f>
        <v>49.686658848633002</v>
      </c>
      <c r="E27" s="1033">
        <v>0</v>
      </c>
      <c r="F27" s="1033">
        <v>0</v>
      </c>
      <c r="G27" s="1033">
        <v>0</v>
      </c>
      <c r="H27" s="1189">
        <v>1.3660897354844002</v>
      </c>
      <c r="I27" s="1033">
        <f>H27</f>
        <v>1.3660897354844002</v>
      </c>
      <c r="J27" s="1033">
        <v>0</v>
      </c>
      <c r="K27" s="1033">
        <v>0</v>
      </c>
      <c r="L27" s="1042">
        <v>0</v>
      </c>
      <c r="M27" s="1345">
        <v>43.290086221502001</v>
      </c>
      <c r="N27" s="1098"/>
    </row>
    <row r="28" spans="1:14" ht="14.25" customHeight="1" x14ac:dyDescent="0.2">
      <c r="A28" s="1148" t="s">
        <v>47</v>
      </c>
      <c r="B28" s="120">
        <v>10.776299999999999</v>
      </c>
      <c r="C28" s="1189">
        <v>6.1459999999999999</v>
      </c>
      <c r="D28" s="1033">
        <f>C28</f>
        <v>6.1459999999999999</v>
      </c>
      <c r="E28" s="1033">
        <v>0</v>
      </c>
      <c r="F28" s="1033">
        <v>0</v>
      </c>
      <c r="G28" s="1033">
        <v>0</v>
      </c>
      <c r="H28" s="1189">
        <v>0.77739999999999998</v>
      </c>
      <c r="I28" s="1033"/>
      <c r="J28" s="1033"/>
      <c r="K28" s="1033"/>
      <c r="L28" s="1042"/>
      <c r="M28" s="1345">
        <f>TableB2!J28</f>
        <v>-4.3261114620000001</v>
      </c>
      <c r="N28" s="1098"/>
    </row>
    <row r="29" spans="1:14" x14ac:dyDescent="0.2">
      <c r="A29" s="1148" t="s">
        <v>48</v>
      </c>
      <c r="B29" s="120">
        <v>0.17193566278425002</v>
      </c>
      <c r="C29" s="1189">
        <v>8.7631724902939995E-2</v>
      </c>
      <c r="D29" s="1033">
        <v>8.7631724902939995E-2</v>
      </c>
      <c r="E29" s="1033">
        <v>0</v>
      </c>
      <c r="F29" s="1033">
        <v>0</v>
      </c>
      <c r="G29" s="1033">
        <v>0</v>
      </c>
      <c r="H29" s="1189">
        <v>2.4403771491958E-2</v>
      </c>
      <c r="I29" s="1033">
        <v>7.7648363838048002E-3</v>
      </c>
      <c r="J29" s="1033">
        <v>1.1092623405435001E-2</v>
      </c>
      <c r="K29" s="1033">
        <v>2.2185246810870998E-3</v>
      </c>
      <c r="L29" s="1042">
        <v>3.3277870216305997E-3</v>
      </c>
      <c r="M29" s="1345">
        <f>TableB2!J29</f>
        <v>5.8790904048808004E-2</v>
      </c>
      <c r="N29" s="954"/>
    </row>
    <row r="30" spans="1:14" x14ac:dyDescent="0.2">
      <c r="A30" s="1148" t="s">
        <v>49</v>
      </c>
      <c r="B30" s="120">
        <v>134.47809206877</v>
      </c>
      <c r="C30" s="1189">
        <v>82.425956738769003</v>
      </c>
      <c r="D30" s="1033">
        <f>C30</f>
        <v>82.425956738769003</v>
      </c>
      <c r="E30" s="1033">
        <v>0</v>
      </c>
      <c r="F30" s="1033">
        <v>0</v>
      </c>
      <c r="G30" s="1033">
        <v>0</v>
      </c>
      <c r="H30" s="1189">
        <v>56.389351081530997</v>
      </c>
      <c r="I30" s="1033"/>
      <c r="J30" s="1033"/>
      <c r="K30" s="1033"/>
      <c r="L30" s="1042"/>
      <c r="M30" s="1346">
        <f>TableB2!J30</f>
        <v>-4.3372157515251999</v>
      </c>
      <c r="N30" s="954"/>
    </row>
    <row r="31" spans="1:14" x14ac:dyDescent="0.2">
      <c r="A31" s="1148" t="s">
        <v>50</v>
      </c>
      <c r="B31" s="120"/>
      <c r="C31" s="1189"/>
      <c r="D31" s="1033"/>
      <c r="E31" s="1033"/>
      <c r="F31" s="1033"/>
      <c r="G31" s="1033"/>
      <c r="H31" s="1189"/>
      <c r="I31" s="1033"/>
      <c r="J31" s="1033"/>
      <c r="K31" s="1033"/>
      <c r="L31" s="1042"/>
      <c r="M31" s="1345">
        <f>TableB2!J31</f>
        <v>2.2585328900000001</v>
      </c>
      <c r="N31" s="954"/>
    </row>
    <row r="32" spans="1:14" x14ac:dyDescent="0.2">
      <c r="A32" s="1148" t="s">
        <v>51</v>
      </c>
      <c r="B32" s="120">
        <v>223.32567942317999</v>
      </c>
      <c r="C32" s="1189">
        <v>172.89428729894999</v>
      </c>
      <c r="D32" s="1033">
        <f>C32</f>
        <v>172.89428729894999</v>
      </c>
      <c r="E32" s="1033">
        <v>0</v>
      </c>
      <c r="F32" s="1033">
        <v>0</v>
      </c>
      <c r="G32" s="1033">
        <v>0</v>
      </c>
      <c r="H32" s="1189">
        <v>51.158846367165999</v>
      </c>
      <c r="I32" s="1033"/>
      <c r="J32" s="1033"/>
      <c r="K32" s="1033"/>
      <c r="L32" s="1042"/>
      <c r="M32" s="1346">
        <f>TableB2!J32</f>
        <v>-0.72767609539655997</v>
      </c>
      <c r="N32" s="954"/>
    </row>
    <row r="33" spans="1:13" x14ac:dyDescent="0.2">
      <c r="A33" s="1148" t="s">
        <v>52</v>
      </c>
      <c r="B33" s="120">
        <v>0.71747315576628001</v>
      </c>
      <c r="C33" s="1189">
        <v>0.50760005578022993</v>
      </c>
      <c r="D33" s="1033">
        <v>0.50760005578022993</v>
      </c>
      <c r="E33" s="1033">
        <v>0</v>
      </c>
      <c r="F33" s="1033">
        <v>0</v>
      </c>
      <c r="G33" s="1033">
        <v>0</v>
      </c>
      <c r="H33" s="1189">
        <v>0.22172639799191002</v>
      </c>
      <c r="I33" s="1033">
        <v>6.6239018268024003E-2</v>
      </c>
      <c r="J33" s="1033">
        <v>5.0202203318923E-2</v>
      </c>
      <c r="K33" s="1033">
        <v>0</v>
      </c>
      <c r="L33" s="1042">
        <v>0.10667968205271</v>
      </c>
      <c r="M33" s="1345">
        <f>TableB2!J33</f>
        <v>-1.3247803653605001E-2</v>
      </c>
    </row>
    <row r="34" spans="1:13" x14ac:dyDescent="0.2">
      <c r="A34" s="1074" t="s">
        <v>53</v>
      </c>
      <c r="B34" s="120">
        <v>11.055020274542999</v>
      </c>
      <c r="C34" s="1189">
        <v>7.7173468248949</v>
      </c>
      <c r="D34" s="1033">
        <f>C34</f>
        <v>7.7173468248949</v>
      </c>
      <c r="E34" s="1033">
        <v>0</v>
      </c>
      <c r="F34" s="1033">
        <v>0</v>
      </c>
      <c r="G34" s="1033">
        <v>0</v>
      </c>
      <c r="H34" s="1189">
        <v>1.891794700098</v>
      </c>
      <c r="I34" s="1033">
        <v>1.891794700098</v>
      </c>
      <c r="J34" s="1033">
        <v>0</v>
      </c>
      <c r="K34" s="1033">
        <v>0</v>
      </c>
      <c r="L34" s="1042">
        <v>0</v>
      </c>
      <c r="M34" s="1345">
        <f>TableB2!J34</f>
        <v>1.4907679525811</v>
      </c>
    </row>
    <row r="35" spans="1:13" x14ac:dyDescent="0.2">
      <c r="A35" s="1148" t="s">
        <v>54</v>
      </c>
      <c r="B35" s="120">
        <v>1.3383374887274</v>
      </c>
      <c r="C35" s="1189">
        <v>0.76444220465757995</v>
      </c>
      <c r="D35" s="1033">
        <v>0.70473714922285002</v>
      </c>
      <c r="E35" s="1033">
        <v>2.5887220837091E-2</v>
      </c>
      <c r="F35" s="1033">
        <v>1.9362368044136E-3</v>
      </c>
      <c r="G35" s="1033">
        <v>3.1881597793221E-2</v>
      </c>
      <c r="H35" s="1189">
        <v>0.55808710413241003</v>
      </c>
      <c r="I35" s="1033">
        <v>0.22521351652432001</v>
      </c>
      <c r="J35" s="1033">
        <v>9.9649885947694999E-2</v>
      </c>
      <c r="K35" s="1033">
        <v>3.9467402259826999E-2</v>
      </c>
      <c r="L35" s="1042">
        <v>0.19375629940056002</v>
      </c>
      <c r="M35" s="1345">
        <f>TableB2!J35</f>
        <v>1.5808179937404E-2</v>
      </c>
    </row>
    <row r="36" spans="1:13" x14ac:dyDescent="0.2">
      <c r="A36" s="1148" t="s">
        <v>55</v>
      </c>
      <c r="B36" s="120">
        <v>2.3017193566278</v>
      </c>
      <c r="C36" s="1189">
        <v>1.3777038269551001</v>
      </c>
      <c r="D36" s="1033">
        <v>1.3555185801442</v>
      </c>
      <c r="E36" s="1033">
        <v>0</v>
      </c>
      <c r="F36" s="1033">
        <v>3.3277870216305997E-3</v>
      </c>
      <c r="G36" s="1033">
        <v>1.885745978924E-2</v>
      </c>
      <c r="H36" s="1189">
        <v>0.21186910704382</v>
      </c>
      <c r="I36" s="1033">
        <v>0.10648918469218001</v>
      </c>
      <c r="J36" s="1033">
        <v>8.9850249584027E-2</v>
      </c>
      <c r="K36" s="1033">
        <v>0</v>
      </c>
      <c r="L36" s="1042">
        <v>1.5529672767609999E-2</v>
      </c>
      <c r="M36" s="1345">
        <f>TableB2!J36</f>
        <v>0.71214642262895</v>
      </c>
    </row>
    <row r="37" spans="1:13" x14ac:dyDescent="0.2">
      <c r="A37" s="1148" t="s">
        <v>336</v>
      </c>
      <c r="B37" s="120">
        <v>0.43448103161398</v>
      </c>
      <c r="C37" s="1189">
        <v>0.30484747642818</v>
      </c>
      <c r="D37" s="1033">
        <v>0.30484747642818</v>
      </c>
      <c r="E37" s="1033">
        <v>0</v>
      </c>
      <c r="F37" s="1033">
        <v>0</v>
      </c>
      <c r="G37" s="1033">
        <v>0</v>
      </c>
      <c r="H37" s="1189">
        <v>9.9322240709927997E-2</v>
      </c>
      <c r="I37" s="1033">
        <v>1.5595119245702E-2</v>
      </c>
      <c r="J37" s="1033">
        <v>7.2678868552412998E-2</v>
      </c>
      <c r="K37" s="1033">
        <v>0</v>
      </c>
      <c r="L37" s="1042">
        <v>1.1048252911814001E-2</v>
      </c>
      <c r="M37" s="1345">
        <f>TableB2!J37</f>
        <v>3.0311314475873999E-2</v>
      </c>
    </row>
    <row r="38" spans="1:13" x14ac:dyDescent="0.2">
      <c r="A38" s="1074" t="s">
        <v>57</v>
      </c>
      <c r="B38" s="120">
        <v>7.2102052135329997E-2</v>
      </c>
      <c r="C38" s="1189">
        <v>9.5288962839711999E-2</v>
      </c>
      <c r="D38" s="1033">
        <v>9.5288962839711999E-2</v>
      </c>
      <c r="E38" s="1033">
        <v>0</v>
      </c>
      <c r="F38" s="1033">
        <v>0</v>
      </c>
      <c r="G38" s="1033">
        <v>0</v>
      </c>
      <c r="H38" s="1189">
        <v>5.0303937881308998E-2</v>
      </c>
      <c r="I38" s="1033">
        <v>3.8901830282862003E-2</v>
      </c>
      <c r="J38" s="1033">
        <v>6.5080421519689005E-3</v>
      </c>
      <c r="K38" s="1033">
        <v>2.5956738768719001E-4</v>
      </c>
      <c r="L38" s="1042">
        <v>4.6333887964504E-3</v>
      </c>
      <c r="M38" s="1345">
        <f>TableB2!J38</f>
        <v>-7.3490848585690993E-2</v>
      </c>
    </row>
    <row r="39" spans="1:13" x14ac:dyDescent="0.2">
      <c r="A39" s="1148" t="s">
        <v>58</v>
      </c>
      <c r="B39" s="120">
        <v>33.429839156961002</v>
      </c>
      <c r="C39" s="1189"/>
      <c r="D39" s="1033"/>
      <c r="E39" s="1033"/>
      <c r="F39" s="1033"/>
      <c r="G39" s="1033"/>
      <c r="H39" s="1189">
        <v>1.6195230171935999</v>
      </c>
      <c r="I39" s="1033">
        <v>0.68441486411536001</v>
      </c>
      <c r="J39" s="1033">
        <v>0.16084303937881</v>
      </c>
      <c r="K39" s="1033">
        <f>(H39-I39-J39)*0.5</f>
        <v>0.38713255684971493</v>
      </c>
      <c r="L39" s="1042">
        <f>H39-I39-J39-K39</f>
        <v>0.38713255684971493</v>
      </c>
      <c r="M39" s="1345">
        <f>TableB2!J39</f>
        <v>9.4585690515806391</v>
      </c>
    </row>
    <row r="40" spans="1:13" x14ac:dyDescent="0.2">
      <c r="A40" s="1148" t="s">
        <v>59</v>
      </c>
      <c r="B40" s="120">
        <v>29.229117483065</v>
      </c>
      <c r="C40" s="1189">
        <v>20.092415740334001</v>
      </c>
      <c r="D40" s="1033">
        <v>20.092415740334001</v>
      </c>
      <c r="E40" s="1033">
        <v>0</v>
      </c>
      <c r="F40" s="1033">
        <v>0</v>
      </c>
      <c r="G40" s="1033">
        <v>0</v>
      </c>
      <c r="H40" s="1189">
        <v>2.0636351772981998</v>
      </c>
      <c r="I40" s="1033">
        <v>1.5105643410484999</v>
      </c>
      <c r="J40" s="1033">
        <v>8.4823176301710004E-2</v>
      </c>
      <c r="K40" s="1033">
        <v>0.28270437640135998</v>
      </c>
      <c r="L40" s="1042">
        <v>0.18542464973367001</v>
      </c>
      <c r="M40" s="1345">
        <f>TableB2!J40</f>
        <v>7.0730665654325007</v>
      </c>
    </row>
    <row r="41" spans="1:13" x14ac:dyDescent="0.2">
      <c r="A41" s="1148" t="s">
        <v>60</v>
      </c>
      <c r="B41" s="120">
        <v>97.290508619321002</v>
      </c>
      <c r="C41" s="1189">
        <v>55.682380988169001</v>
      </c>
      <c r="D41" s="1033">
        <f>C41</f>
        <v>55.682380988169001</v>
      </c>
      <c r="E41" s="1033">
        <v>0</v>
      </c>
      <c r="F41" s="1033">
        <v>0</v>
      </c>
      <c r="G41" s="1033">
        <v>0</v>
      </c>
      <c r="H41" s="1189">
        <v>11.066594970074</v>
      </c>
      <c r="I41" s="1033"/>
      <c r="J41" s="1033"/>
      <c r="K41" s="1033"/>
      <c r="L41" s="1042"/>
      <c r="M41" s="1345">
        <f>TableB2!J41</f>
        <v>30.541532661079</v>
      </c>
    </row>
    <row r="42" spans="1:13" x14ac:dyDescent="0.2">
      <c r="A42" s="1148" t="s">
        <v>61</v>
      </c>
      <c r="B42" s="120">
        <v>0.22496000000000002</v>
      </c>
      <c r="C42" s="1189">
        <v>0.18555000000000002</v>
      </c>
      <c r="D42" s="1033">
        <v>0.18555000000000002</v>
      </c>
      <c r="E42" s="1033">
        <v>0</v>
      </c>
      <c r="F42" s="1033">
        <v>0</v>
      </c>
      <c r="G42" s="1033">
        <v>0</v>
      </c>
      <c r="H42" s="1189">
        <v>4.2900000000000004E-3</v>
      </c>
      <c r="I42" s="1033">
        <v>4.2699999999999995E-3</v>
      </c>
      <c r="J42" s="1033">
        <v>1.0000000000000001E-5</v>
      </c>
      <c r="K42" s="1033">
        <v>0</v>
      </c>
      <c r="L42" s="1042">
        <v>1.0000000000000001E-5</v>
      </c>
      <c r="M42" s="1345">
        <f>TableB2!J42</f>
        <v>3.5119999999999998E-2</v>
      </c>
    </row>
    <row r="43" spans="1:13" x14ac:dyDescent="0.2">
      <c r="A43" s="1148" t="s">
        <v>62</v>
      </c>
      <c r="B43" s="120">
        <v>94.406417112298996</v>
      </c>
      <c r="C43" s="1189"/>
      <c r="D43" s="1033"/>
      <c r="E43" s="1033"/>
      <c r="F43" s="1033"/>
      <c r="G43" s="1033"/>
      <c r="H43" s="1189"/>
      <c r="I43" s="1033"/>
      <c r="J43" s="1033"/>
      <c r="K43" s="1033"/>
      <c r="L43" s="1042"/>
      <c r="M43" s="1345">
        <f>TableB2!J43</f>
        <v>59.464942032191672</v>
      </c>
    </row>
    <row r="44" spans="1:13" x14ac:dyDescent="0.2">
      <c r="A44" s="1148" t="s">
        <v>63</v>
      </c>
      <c r="B44" s="120">
        <v>436.90899999999999</v>
      </c>
      <c r="C44" s="1189">
        <v>125.50700000000001</v>
      </c>
      <c r="D44" s="1033">
        <f>C44</f>
        <v>125.50700000000001</v>
      </c>
      <c r="E44" s="1033">
        <v>0</v>
      </c>
      <c r="F44" s="1033">
        <v>0</v>
      </c>
      <c r="G44" s="1033">
        <v>0</v>
      </c>
      <c r="H44" s="1189">
        <v>20.486999999999998</v>
      </c>
      <c r="I44" s="1033">
        <v>15.661</v>
      </c>
      <c r="J44" s="1033">
        <v>4.8259999999999996</v>
      </c>
      <c r="K44" s="1033">
        <v>0</v>
      </c>
      <c r="L44" s="1042">
        <v>0</v>
      </c>
      <c r="M44" s="1345">
        <f>TableB2!J44</f>
        <v>290.91500000000002</v>
      </c>
    </row>
    <row r="45" spans="1:13" ht="34" x14ac:dyDescent="0.2">
      <c r="A45" s="112" t="s">
        <v>64</v>
      </c>
      <c r="B45" s="121"/>
      <c r="C45" s="1189"/>
      <c r="D45" s="1033"/>
      <c r="E45" s="1033"/>
      <c r="F45" s="1033"/>
      <c r="G45" s="1033"/>
      <c r="H45" s="1189"/>
      <c r="I45" s="1033"/>
      <c r="J45" s="1033"/>
      <c r="K45" s="1033"/>
      <c r="L45" s="1042"/>
      <c r="M45" s="1345"/>
    </row>
    <row r="46" spans="1:13" x14ac:dyDescent="0.2">
      <c r="A46" s="1149" t="s">
        <v>65</v>
      </c>
      <c r="B46" s="121">
        <f>+TableB2!G46</f>
        <v>7.2890531494999999</v>
      </c>
      <c r="C46" s="1189">
        <f>+TableB2!H46</f>
        <v>2.6669244664200003</v>
      </c>
      <c r="D46" s="1033"/>
      <c r="E46" s="1033">
        <v>0</v>
      </c>
      <c r="F46" s="1033">
        <v>0</v>
      </c>
      <c r="G46" s="111"/>
      <c r="H46" s="1189">
        <f>+TableB2!I46</f>
        <v>0.11629095129</v>
      </c>
      <c r="I46" s="1033">
        <f>H46</f>
        <v>0.11629095129</v>
      </c>
      <c r="J46" s="1033">
        <v>0</v>
      </c>
      <c r="K46" s="1033">
        <v>0</v>
      </c>
      <c r="L46" s="1042">
        <v>0</v>
      </c>
      <c r="M46" s="1345">
        <f>+TableB2!J46</f>
        <v>4.5058377317900007</v>
      </c>
    </row>
    <row r="47" spans="1:13" x14ac:dyDescent="0.2">
      <c r="A47" s="113" t="s">
        <v>66</v>
      </c>
      <c r="B47" s="121">
        <f>+TableB2!G47</f>
        <v>94.634249003443642</v>
      </c>
      <c r="C47" s="1189">
        <f>+TableB2!H47</f>
        <v>28.390274701033093</v>
      </c>
      <c r="D47" s="1033"/>
      <c r="E47" s="1033"/>
      <c r="F47" s="1033"/>
      <c r="G47" s="111"/>
      <c r="H47" s="1189">
        <f>+TableB2!I47</f>
        <v>0</v>
      </c>
      <c r="I47" s="1033"/>
      <c r="J47" s="1033"/>
      <c r="K47" s="1033"/>
      <c r="L47" s="1042"/>
      <c r="M47" s="1345">
        <f>+TableB2!J47</f>
        <v>66.24397430241055</v>
      </c>
    </row>
    <row r="48" spans="1:13" x14ac:dyDescent="0.2">
      <c r="A48" s="113" t="s">
        <v>67</v>
      </c>
      <c r="B48" s="121">
        <f>+TableB2!G48</f>
        <v>3.5615806026999999</v>
      </c>
      <c r="C48" s="1189">
        <f>+TableB2!H48</f>
        <v>1.6547167199999999</v>
      </c>
      <c r="D48" s="1033"/>
      <c r="E48" s="1033"/>
      <c r="F48" s="1033"/>
      <c r="G48" s="111"/>
      <c r="H48" s="1189">
        <f>+TableB2!I48</f>
        <v>2.8459282699999998E-2</v>
      </c>
      <c r="I48" s="1033"/>
      <c r="J48" s="1033"/>
      <c r="K48" s="1033"/>
      <c r="L48" s="1042"/>
      <c r="M48" s="1345">
        <f>+TableB2!J48</f>
        <v>1.8784045999999999</v>
      </c>
    </row>
    <row r="49" spans="1:13" x14ac:dyDescent="0.2">
      <c r="A49" s="113" t="s">
        <v>68</v>
      </c>
      <c r="B49" s="121">
        <f>+TableB2!G49</f>
        <v>7.4886040299999984E-2</v>
      </c>
      <c r="C49" s="1189">
        <f>+TableB2!H49</f>
        <v>3.2629442699999997E-2</v>
      </c>
      <c r="D49" s="1033"/>
      <c r="E49" s="1033"/>
      <c r="F49" s="1033"/>
      <c r="G49" s="111"/>
      <c r="H49" s="1189">
        <f>+TableB2!I49</f>
        <v>1.74866E-3</v>
      </c>
      <c r="I49" s="1033"/>
      <c r="J49" s="1033"/>
      <c r="K49" s="1033"/>
      <c r="L49" s="1042"/>
      <c r="M49" s="1345">
        <f>+TableB2!J49</f>
        <v>4.0507937599999988E-2</v>
      </c>
    </row>
    <row r="50" spans="1:13" x14ac:dyDescent="0.2">
      <c r="A50" s="113" t="s">
        <v>69</v>
      </c>
      <c r="B50" s="121">
        <f>+TableB2!G50</f>
        <v>5.0185436815000006</v>
      </c>
      <c r="C50" s="1189">
        <f>+TableB2!H50</f>
        <v>1.6582014649000001</v>
      </c>
      <c r="D50" s="1033"/>
      <c r="E50" s="1033"/>
      <c r="F50" s="1033"/>
      <c r="G50" s="111"/>
      <c r="H50" s="1189">
        <f>+TableB2!I50</f>
        <v>2.32522166E-2</v>
      </c>
      <c r="I50" s="1033"/>
      <c r="J50" s="1033"/>
      <c r="K50" s="1033"/>
      <c r="L50" s="1042"/>
      <c r="M50" s="1345">
        <f>+TableB2!J50</f>
        <v>3.3370900000000003</v>
      </c>
    </row>
    <row r="51" spans="1:13" x14ac:dyDescent="0.2">
      <c r="A51" s="113" t="s">
        <v>70</v>
      </c>
      <c r="B51" s="121">
        <f>+TableB2!G51</f>
        <v>17.282830000000001</v>
      </c>
      <c r="C51" s="1189">
        <f>+TableB2!H51</f>
        <v>7.3322399999999996</v>
      </c>
      <c r="D51" s="1033"/>
      <c r="E51" s="1033"/>
      <c r="F51" s="1033"/>
      <c r="G51" s="111"/>
      <c r="H51" s="1189">
        <f>+TableB2!I51</f>
        <v>4.0480799999999997</v>
      </c>
      <c r="I51" s="1033"/>
      <c r="J51" s="1033"/>
      <c r="K51" s="1033"/>
      <c r="L51" s="1042"/>
      <c r="M51" s="1345">
        <f>+TableB2!J51</f>
        <v>5.9025100000000021</v>
      </c>
    </row>
    <row r="52" spans="1:13" x14ac:dyDescent="0.2">
      <c r="A52" s="113" t="s">
        <v>71</v>
      </c>
      <c r="B52" s="121">
        <f>+TableB2!G52</f>
        <v>3.3267790902999996</v>
      </c>
      <c r="C52" s="1189">
        <f>+TableB2!H52</f>
        <v>2.8618949391999999</v>
      </c>
      <c r="D52" s="1033"/>
      <c r="E52" s="1033"/>
      <c r="F52" s="1033"/>
      <c r="G52" s="111"/>
      <c r="H52" s="1189">
        <f>+TableB2!I52</f>
        <v>0.46488415110000003</v>
      </c>
      <c r="I52" s="1033"/>
      <c r="J52" s="1033"/>
      <c r="K52" s="1033"/>
      <c r="L52" s="1042"/>
      <c r="M52" s="1345">
        <f>+TableB2!J52</f>
        <v>0</v>
      </c>
    </row>
    <row r="53" spans="1:13" ht="34" x14ac:dyDescent="0.2">
      <c r="A53" s="112" t="s">
        <v>72</v>
      </c>
      <c r="B53" s="121"/>
      <c r="C53" s="1189"/>
      <c r="D53" s="1033"/>
      <c r="E53" s="1033"/>
      <c r="F53" s="1033"/>
      <c r="G53" s="111"/>
      <c r="H53" s="1189"/>
      <c r="I53" s="1033"/>
      <c r="J53" s="1033"/>
      <c r="K53" s="1033"/>
      <c r="L53" s="1042"/>
      <c r="M53" s="1345"/>
    </row>
    <row r="54" spans="1:13" x14ac:dyDescent="0.2">
      <c r="A54" s="113" t="s">
        <v>73</v>
      </c>
      <c r="B54" s="121">
        <f>+TableB2!G54</f>
        <v>6.8900000000000003E-2</v>
      </c>
      <c r="C54" s="1189">
        <f>+TableB2!H54</f>
        <v>4.8230000000000002E-2</v>
      </c>
      <c r="D54" s="1033"/>
      <c r="E54" s="1033"/>
      <c r="F54" s="1033"/>
      <c r="G54" s="111"/>
      <c r="H54" s="1189">
        <f>+TableB2!I54</f>
        <v>0</v>
      </c>
      <c r="I54" s="1033"/>
      <c r="J54" s="1033"/>
      <c r="K54" s="1033"/>
      <c r="L54" s="1042"/>
      <c r="M54" s="1345">
        <f>+TableB2!J54</f>
        <v>2.0670000000000001E-2</v>
      </c>
    </row>
    <row r="55" spans="1:13" x14ac:dyDescent="0.2">
      <c r="A55" s="113" t="s">
        <v>74</v>
      </c>
      <c r="B55" s="121">
        <f>+TableB2!G55</f>
        <v>5.7999999999999996E-3</v>
      </c>
      <c r="C55" s="1189">
        <f>+TableB2!H55</f>
        <v>4.0599999999999994E-3</v>
      </c>
      <c r="D55" s="1033"/>
      <c r="E55" s="1033"/>
      <c r="F55" s="1033"/>
      <c r="G55" s="111"/>
      <c r="H55" s="1189">
        <f>+TableB2!I55</f>
        <v>0</v>
      </c>
      <c r="I55" s="1033"/>
      <c r="J55" s="1033"/>
      <c r="K55" s="1033"/>
      <c r="L55" s="1042"/>
      <c r="M55" s="1345">
        <f>+TableB2!J55</f>
        <v>1.7399999999999998E-3</v>
      </c>
    </row>
    <row r="56" spans="1:13" x14ac:dyDescent="0.2">
      <c r="A56" s="1148" t="str">
        <f>+TableA1!A56</f>
        <v>Antigua and Barbuda</v>
      </c>
      <c r="B56" s="121">
        <f>+TableB2!G56</f>
        <v>0</v>
      </c>
      <c r="C56" s="1189">
        <f>+TableB2!H56</f>
        <v>0</v>
      </c>
      <c r="D56" s="1033"/>
      <c r="E56" s="1033"/>
      <c r="F56" s="1033"/>
      <c r="G56" s="111"/>
      <c r="H56" s="1189">
        <f>+TableB2!I56</f>
        <v>0</v>
      </c>
      <c r="I56" s="1033"/>
      <c r="J56" s="1033"/>
      <c r="K56" s="1033"/>
      <c r="L56" s="1042"/>
      <c r="M56" s="1345">
        <f>+TableB2!J56</f>
        <v>0</v>
      </c>
    </row>
    <row r="57" spans="1:13" x14ac:dyDescent="0.2">
      <c r="A57" s="113" t="s">
        <v>76</v>
      </c>
      <c r="B57" s="121">
        <f>+TableB2!G57</f>
        <v>5.7000000000000002E-2</v>
      </c>
      <c r="C57" s="1189">
        <f>+TableB2!H57</f>
        <v>3.9900000000000005E-2</v>
      </c>
      <c r="D57" s="1033"/>
      <c r="E57" s="1033"/>
      <c r="F57" s="1033"/>
      <c r="G57" s="111"/>
      <c r="H57" s="1189">
        <f>+TableB2!I57</f>
        <v>0</v>
      </c>
      <c r="I57" s="1033"/>
      <c r="J57" s="1033"/>
      <c r="K57" s="1033"/>
      <c r="L57" s="1042"/>
      <c r="M57" s="1345">
        <f>+TableB2!J57</f>
        <v>1.7100000000000001E-2</v>
      </c>
    </row>
    <row r="58" spans="1:13" x14ac:dyDescent="0.2">
      <c r="A58" s="113" t="s">
        <v>152</v>
      </c>
      <c r="B58" s="121">
        <f>+TableB2!G58</f>
        <v>1.7022606313516633</v>
      </c>
      <c r="C58" s="1189">
        <f>+TableB2!H58</f>
        <v>1.1915824419461645</v>
      </c>
      <c r="D58" s="1033"/>
      <c r="E58" s="1033"/>
      <c r="F58" s="1033"/>
      <c r="G58" s="111"/>
      <c r="H58" s="1189">
        <f>+TableB2!I58</f>
        <v>0</v>
      </c>
      <c r="I58" s="1033"/>
      <c r="J58" s="1033"/>
      <c r="K58" s="1033"/>
      <c r="L58" s="1042"/>
      <c r="M58" s="1345">
        <f>+TableB2!J58</f>
        <v>0.51067818940549892</v>
      </c>
    </row>
    <row r="59" spans="1:13" x14ac:dyDescent="0.2">
      <c r="A59" s="113" t="s">
        <v>78</v>
      </c>
      <c r="B59" s="121">
        <f>+TableB2!G59</f>
        <v>7.740000000000001E-2</v>
      </c>
      <c r="C59" s="1189">
        <f>+TableB2!H59</f>
        <v>5.4180000000000006E-2</v>
      </c>
      <c r="D59" s="1033"/>
      <c r="E59" s="1033"/>
      <c r="F59" s="1033"/>
      <c r="G59" s="111"/>
      <c r="H59" s="1189">
        <f>+TableB2!I59</f>
        <v>0</v>
      </c>
      <c r="I59" s="1033"/>
      <c r="J59" s="1033"/>
      <c r="K59" s="1033"/>
      <c r="L59" s="1042"/>
      <c r="M59" s="1345">
        <f>+TableB2!J59</f>
        <v>2.3220000000000001E-2</v>
      </c>
    </row>
    <row r="60" spans="1:13" x14ac:dyDescent="0.2">
      <c r="A60" s="1148" t="str">
        <f>+TableA1!A60</f>
        <v>Barbados</v>
      </c>
      <c r="B60" s="121">
        <f>+TableB2!G60</f>
        <v>0.23493255831256293</v>
      </c>
      <c r="C60" s="1189">
        <f>+TableB2!H60</f>
        <v>0.16445279081879405</v>
      </c>
      <c r="D60" s="1033"/>
      <c r="E60" s="1033"/>
      <c r="F60" s="1033"/>
      <c r="G60" s="111"/>
      <c r="H60" s="1189">
        <f>+TableB2!I60</f>
        <v>0</v>
      </c>
      <c r="I60" s="1033"/>
      <c r="J60" s="1033"/>
      <c r="K60" s="1033"/>
      <c r="L60" s="1042"/>
      <c r="M60" s="1345">
        <f>+TableB2!J60</f>
        <v>7.0479767493768872E-2</v>
      </c>
    </row>
    <row r="61" spans="1:13" x14ac:dyDescent="0.2">
      <c r="A61" s="113" t="s">
        <v>80</v>
      </c>
      <c r="B61" s="121">
        <f>+TableB2!G61</f>
        <v>1.2105223E-3</v>
      </c>
      <c r="C61" s="1189">
        <f>+TableB2!H61</f>
        <v>8.4736561000000005E-4</v>
      </c>
      <c r="D61" s="1033"/>
      <c r="E61" s="1033"/>
      <c r="F61" s="1033"/>
      <c r="G61" s="111"/>
      <c r="H61" s="1189">
        <f>+TableB2!I61</f>
        <v>0</v>
      </c>
      <c r="I61" s="1033"/>
      <c r="J61" s="1033"/>
      <c r="K61" s="1033"/>
      <c r="L61" s="1042"/>
      <c r="M61" s="1345">
        <f>+TableB2!J61</f>
        <v>3.6315669000000001E-4</v>
      </c>
    </row>
    <row r="62" spans="1:13" x14ac:dyDescent="0.2">
      <c r="A62" s="113" t="s">
        <v>81</v>
      </c>
      <c r="B62" s="121">
        <f>+TableB2!G62</f>
        <v>32.275338594347502</v>
      </c>
      <c r="C62" s="1189">
        <f>+TableB2!H62</f>
        <v>22.592737016043252</v>
      </c>
      <c r="D62" s="1033"/>
      <c r="E62" s="1033"/>
      <c r="F62" s="1033"/>
      <c r="G62" s="111"/>
      <c r="H62" s="1189">
        <f>+TableB2!I62</f>
        <v>0</v>
      </c>
      <c r="I62" s="1033"/>
      <c r="J62" s="1033"/>
      <c r="K62" s="1033"/>
      <c r="L62" s="1042"/>
      <c r="M62" s="1345">
        <f>+TableB2!J62</f>
        <v>9.6826015783042507</v>
      </c>
    </row>
    <row r="63" spans="1:13" x14ac:dyDescent="0.2">
      <c r="A63" s="113" t="s">
        <v>82</v>
      </c>
      <c r="B63" s="121">
        <f>+TableB2!G63</f>
        <v>9.4999999999999998E-3</v>
      </c>
      <c r="C63" s="1189">
        <f>+TableB2!H63</f>
        <v>6.6499999999999997E-3</v>
      </c>
      <c r="D63" s="1033"/>
      <c r="E63" s="1033"/>
      <c r="F63" s="1033"/>
      <c r="G63" s="111"/>
      <c r="H63" s="1189">
        <f>+TableB2!I63</f>
        <v>0</v>
      </c>
      <c r="I63" s="1033"/>
      <c r="J63" s="1033"/>
      <c r="K63" s="1033"/>
      <c r="L63" s="1042"/>
      <c r="M63" s="1345">
        <f>+TableB2!J63</f>
        <v>2.8499999999999997E-3</v>
      </c>
    </row>
    <row r="64" spans="1:13" x14ac:dyDescent="0.2">
      <c r="A64" s="113" t="s">
        <v>153</v>
      </c>
      <c r="B64" s="121">
        <f>+TableB2!G64</f>
        <v>4.544698503566293</v>
      </c>
      <c r="C64" s="1189">
        <f>+TableB2!H64</f>
        <v>3.1812889524964052</v>
      </c>
      <c r="D64" s="1033"/>
      <c r="E64" s="1033"/>
      <c r="F64" s="1033"/>
      <c r="G64" s="111"/>
      <c r="H64" s="1189">
        <f>+TableB2!I64</f>
        <v>0</v>
      </c>
      <c r="I64" s="1033"/>
      <c r="J64" s="1033"/>
      <c r="K64" s="1033"/>
      <c r="L64" s="1042"/>
      <c r="M64" s="1345">
        <f>+TableB2!J64</f>
        <v>1.3634095510698878</v>
      </c>
    </row>
    <row r="65" spans="1:13" x14ac:dyDescent="0.2">
      <c r="A65" s="113" t="s">
        <v>84</v>
      </c>
      <c r="B65" s="121">
        <f>+TableB2!G65</f>
        <v>16.2111946503803</v>
      </c>
      <c r="C65" s="1189">
        <f>+TableB2!H65</f>
        <v>11.347836255266209</v>
      </c>
      <c r="D65" s="1033"/>
      <c r="E65" s="1033"/>
      <c r="F65" s="1033"/>
      <c r="G65" s="111"/>
      <c r="H65" s="1189">
        <f>+TableB2!I65</f>
        <v>0</v>
      </c>
      <c r="I65" s="1033"/>
      <c r="J65" s="1033"/>
      <c r="K65" s="1033"/>
      <c r="L65" s="1042"/>
      <c r="M65" s="1345">
        <f>+TableB2!J65</f>
        <v>4.8633583951140897</v>
      </c>
    </row>
    <row r="66" spans="1:13" x14ac:dyDescent="0.2">
      <c r="A66" s="113" t="s">
        <v>85</v>
      </c>
      <c r="B66" s="121">
        <f>+TableB2!G66</f>
        <v>2.6862999999999997</v>
      </c>
      <c r="C66" s="1189">
        <f>+TableB2!H66</f>
        <v>1.8804099999999999</v>
      </c>
      <c r="D66" s="1033"/>
      <c r="E66" s="1033"/>
      <c r="F66" s="1033"/>
      <c r="G66" s="111"/>
      <c r="H66" s="1189">
        <f>+TableB2!I66</f>
        <v>0</v>
      </c>
      <c r="I66" s="1033"/>
      <c r="J66" s="1033"/>
      <c r="K66" s="1033"/>
      <c r="L66" s="1042"/>
      <c r="M66" s="1345">
        <f>+TableB2!J66</f>
        <v>0.80588999999999988</v>
      </c>
    </row>
    <row r="67" spans="1:13" x14ac:dyDescent="0.2">
      <c r="A67" s="1148" t="str">
        <f>+TableA1!A67</f>
        <v>Cyprus</v>
      </c>
      <c r="B67" s="121">
        <f>+TableB2!G67</f>
        <v>2.9754490700636982</v>
      </c>
      <c r="C67" s="1189">
        <f>+TableB2!H67</f>
        <v>2.0828143490445887</v>
      </c>
      <c r="D67" s="1033"/>
      <c r="E67" s="1033"/>
      <c r="F67" s="1033"/>
      <c r="G67" s="111"/>
      <c r="H67" s="1189">
        <f>+TableB2!I67</f>
        <v>0</v>
      </c>
      <c r="I67" s="1033"/>
      <c r="J67" s="1033"/>
      <c r="K67" s="1033"/>
      <c r="L67" s="1042"/>
      <c r="M67" s="1345">
        <f>+TableB2!J67</f>
        <v>0.89263472101910946</v>
      </c>
    </row>
    <row r="68" spans="1:13" x14ac:dyDescent="0.2">
      <c r="A68" s="113" t="s">
        <v>87</v>
      </c>
      <c r="B68" s="121">
        <f>+TableB2!G68</f>
        <v>0.29306236093911125</v>
      </c>
      <c r="C68" s="1189">
        <f>+TableB2!H68</f>
        <v>0.20514365265737788</v>
      </c>
      <c r="D68" s="1033"/>
      <c r="E68" s="1033"/>
      <c r="F68" s="1033"/>
      <c r="G68" s="111"/>
      <c r="H68" s="1189">
        <f>+TableB2!I68</f>
        <v>0</v>
      </c>
      <c r="I68" s="1033"/>
      <c r="J68" s="1033"/>
      <c r="K68" s="1033"/>
      <c r="L68" s="1042"/>
      <c r="M68" s="1345">
        <f>+TableB2!J68</f>
        <v>8.7918708281733371E-2</v>
      </c>
    </row>
    <row r="69" spans="1:13" x14ac:dyDescent="0.2">
      <c r="A69" s="1148" t="str">
        <f>+TableA1!A69</f>
        <v>Grenada</v>
      </c>
      <c r="B69" s="121">
        <f>+TableB2!G69</f>
        <v>0</v>
      </c>
      <c r="C69" s="1189">
        <f>+TableB2!H69</f>
        <v>0</v>
      </c>
      <c r="D69" s="1033"/>
      <c r="E69" s="1033"/>
      <c r="F69" s="1033"/>
      <c r="G69" s="111"/>
      <c r="H69" s="1189">
        <f>+TableB2!I69</f>
        <v>0</v>
      </c>
      <c r="I69" s="1033"/>
      <c r="J69" s="1033"/>
      <c r="K69" s="1033"/>
      <c r="L69" s="1042"/>
      <c r="M69" s="1345">
        <f>+TableB2!J69</f>
        <v>0</v>
      </c>
    </row>
    <row r="70" spans="1:13" x14ac:dyDescent="0.2">
      <c r="A70" s="113" t="s">
        <v>89</v>
      </c>
      <c r="B70" s="121">
        <f>+TableB2!G70</f>
        <v>2.7295756643478049</v>
      </c>
      <c r="C70" s="1189">
        <f>+TableB2!H70</f>
        <v>1.9107029650434635</v>
      </c>
      <c r="D70" s="1033"/>
      <c r="E70" s="1033"/>
      <c r="F70" s="1033"/>
      <c r="G70" s="111"/>
      <c r="H70" s="1189">
        <f>+TableB2!I70</f>
        <v>0</v>
      </c>
      <c r="I70" s="1033"/>
      <c r="J70" s="1033"/>
      <c r="K70" s="1033"/>
      <c r="L70" s="1042"/>
      <c r="M70" s="1345">
        <f>+TableB2!J70</f>
        <v>0.81887269930434148</v>
      </c>
    </row>
    <row r="71" spans="1:13" x14ac:dyDescent="0.2">
      <c r="A71" s="113" t="s">
        <v>154</v>
      </c>
      <c r="B71" s="121">
        <f>+TableB2!G71</f>
        <v>3.0839000000000003</v>
      </c>
      <c r="C71" s="1189">
        <f>+TableB2!H71</f>
        <v>2.1587300000000003</v>
      </c>
      <c r="D71" s="1033"/>
      <c r="E71" s="1033"/>
      <c r="F71" s="1033"/>
      <c r="G71" s="111"/>
      <c r="H71" s="1189">
        <f>+TableB2!I71</f>
        <v>0</v>
      </c>
      <c r="I71" s="1033"/>
      <c r="J71" s="1033"/>
      <c r="K71" s="1033"/>
      <c r="L71" s="1042"/>
      <c r="M71" s="1345">
        <f>+TableB2!J71</f>
        <v>0.92517000000000005</v>
      </c>
    </row>
    <row r="72" spans="1:13" x14ac:dyDescent="0.2">
      <c r="A72" s="113" t="s">
        <v>91</v>
      </c>
      <c r="B72" s="121">
        <f>+TableB2!G72</f>
        <v>121.68453938730001</v>
      </c>
      <c r="C72" s="1189">
        <f>+TableB2!H72</f>
        <v>85.179177571110003</v>
      </c>
      <c r="D72" s="1033"/>
      <c r="E72" s="1033"/>
      <c r="F72" s="1033"/>
      <c r="G72" s="111"/>
      <c r="H72" s="1189">
        <f>+TableB2!I72</f>
        <v>0</v>
      </c>
      <c r="I72" s="1033"/>
      <c r="J72" s="1033"/>
      <c r="K72" s="1033"/>
      <c r="L72" s="1042"/>
      <c r="M72" s="1345">
        <f>+TableB2!J72</f>
        <v>36.505361816190003</v>
      </c>
    </row>
    <row r="73" spans="1:13" x14ac:dyDescent="0.2">
      <c r="A73" s="113" t="s">
        <v>92</v>
      </c>
      <c r="B73" s="121">
        <f>+TableB2!G73</f>
        <v>2.2741982969107278E-2</v>
      </c>
      <c r="C73" s="1189">
        <f>+TableB2!H73</f>
        <v>1.5919388078375094E-2</v>
      </c>
      <c r="D73" s="1033"/>
      <c r="E73" s="1033"/>
      <c r="F73" s="1033"/>
      <c r="G73" s="111"/>
      <c r="H73" s="1189">
        <f>+TableB2!I73</f>
        <v>0</v>
      </c>
      <c r="I73" s="1033"/>
      <c r="J73" s="1033"/>
      <c r="K73" s="1033"/>
      <c r="L73" s="1042"/>
      <c r="M73" s="1345">
        <f>+TableB2!J73</f>
        <v>6.8225948907321829E-3</v>
      </c>
    </row>
    <row r="74" spans="1:13" x14ac:dyDescent="0.2">
      <c r="A74" s="113" t="s">
        <v>93</v>
      </c>
      <c r="B74" s="121">
        <f>+TableB2!G74</f>
        <v>0.48754139129999996</v>
      </c>
      <c r="C74" s="1189">
        <f>+TableB2!H74</f>
        <v>0.34127897390999995</v>
      </c>
      <c r="D74" s="1033"/>
      <c r="E74" s="1033"/>
      <c r="F74" s="1033"/>
      <c r="G74" s="111"/>
      <c r="H74" s="1189">
        <f>+TableB2!I74</f>
        <v>0</v>
      </c>
      <c r="I74" s="1033"/>
      <c r="J74" s="1033"/>
      <c r="K74" s="1033"/>
      <c r="L74" s="1042"/>
      <c r="M74" s="1345">
        <f>+TableB2!J74</f>
        <v>0.14626241738999998</v>
      </c>
    </row>
    <row r="75" spans="1:13" x14ac:dyDescent="0.2">
      <c r="A75" s="113" t="s">
        <v>94</v>
      </c>
      <c r="B75" s="121">
        <f>+TableB2!G75</f>
        <v>1.7951512367491165</v>
      </c>
      <c r="C75" s="1189">
        <f>+TableB2!H75</f>
        <v>1.2566058657243815</v>
      </c>
      <c r="D75" s="1033"/>
      <c r="E75" s="1033"/>
      <c r="F75" s="1033"/>
      <c r="G75" s="111"/>
      <c r="H75" s="1189">
        <f>+TableB2!I75</f>
        <v>0</v>
      </c>
      <c r="I75" s="1033"/>
      <c r="J75" s="1033"/>
      <c r="K75" s="1033"/>
      <c r="L75" s="1042"/>
      <c r="M75" s="1345">
        <f>+TableB2!J75</f>
        <v>0.53854537102473488</v>
      </c>
    </row>
    <row r="76" spans="1:13" x14ac:dyDescent="0.2">
      <c r="A76" s="113" t="s">
        <v>95</v>
      </c>
      <c r="B76" s="121">
        <f>+TableB2!G76</f>
        <v>7.7599999999999988E-2</v>
      </c>
      <c r="C76" s="1189">
        <f>+TableB2!H76</f>
        <v>5.4319999999999993E-2</v>
      </c>
      <c r="D76" s="1033"/>
      <c r="E76" s="1033"/>
      <c r="F76" s="1033"/>
      <c r="G76" s="111"/>
      <c r="H76" s="1189">
        <f>+TableB2!I76</f>
        <v>0</v>
      </c>
      <c r="I76" s="1033"/>
      <c r="J76" s="1033"/>
      <c r="K76" s="1033"/>
      <c r="L76" s="1042"/>
      <c r="M76" s="1345">
        <f>+TableB2!J76</f>
        <v>2.3279999999999995E-2</v>
      </c>
    </row>
    <row r="77" spans="1:13" x14ac:dyDescent="0.2">
      <c r="A77" s="113" t="s">
        <v>96</v>
      </c>
      <c r="B77" s="121">
        <f>+TableB2!G77</f>
        <v>0.85039084927035713</v>
      </c>
      <c r="C77" s="1189">
        <f>+TableB2!H77</f>
        <v>0.59527359448924999</v>
      </c>
      <c r="D77" s="1033"/>
      <c r="E77" s="1033"/>
      <c r="F77" s="1033"/>
      <c r="G77" s="111"/>
      <c r="H77" s="1189">
        <f>+TableB2!I77</f>
        <v>0</v>
      </c>
      <c r="I77" s="1033"/>
      <c r="J77" s="1033"/>
      <c r="K77" s="1033"/>
      <c r="L77" s="1042"/>
      <c r="M77" s="1345">
        <f>+TableB2!J77</f>
        <v>0.25511725478110714</v>
      </c>
    </row>
    <row r="78" spans="1:13" x14ac:dyDescent="0.2">
      <c r="A78" s="113" t="s">
        <v>97</v>
      </c>
      <c r="B78" s="121">
        <f>+TableB2!G78</f>
        <v>0.40533887008171798</v>
      </c>
      <c r="C78" s="1189">
        <f>+TableB2!H78</f>
        <v>0.28373720905720257</v>
      </c>
      <c r="D78" s="1033"/>
      <c r="E78" s="1033"/>
      <c r="F78" s="1033"/>
      <c r="G78" s="111"/>
      <c r="H78" s="1189">
        <f>+TableB2!I78</f>
        <v>0</v>
      </c>
      <c r="I78" s="1033"/>
      <c r="J78" s="1033"/>
      <c r="K78" s="1033"/>
      <c r="L78" s="1042"/>
      <c r="M78" s="1345">
        <f>+TableB2!J78</f>
        <v>0.12160166102451539</v>
      </c>
    </row>
    <row r="79" spans="1:13" x14ac:dyDescent="0.2">
      <c r="A79" s="1148" t="str">
        <f>+TableA1!A79</f>
        <v>Monaco</v>
      </c>
      <c r="B79" s="121">
        <f>+TableB2!G79</f>
        <v>0</v>
      </c>
      <c r="C79" s="1189">
        <f>+TableB2!H79</f>
        <v>0</v>
      </c>
      <c r="D79" s="1033"/>
      <c r="E79" s="1033"/>
      <c r="F79" s="1033"/>
      <c r="G79" s="111"/>
      <c r="H79" s="1189">
        <f>+TableB2!I79</f>
        <v>0</v>
      </c>
      <c r="I79" s="1033"/>
      <c r="J79" s="1033"/>
      <c r="K79" s="1033"/>
      <c r="L79" s="1042"/>
      <c r="M79" s="1345">
        <f>+TableB2!J79</f>
        <v>0</v>
      </c>
    </row>
    <row r="80" spans="1:13" x14ac:dyDescent="0.2">
      <c r="A80" s="113" t="s">
        <v>99</v>
      </c>
      <c r="B80" s="121">
        <f>+TableB2!G80</f>
        <v>7.8212299999999997E-5</v>
      </c>
      <c r="C80" s="1189">
        <f>+TableB2!H80</f>
        <v>5.474861E-5</v>
      </c>
      <c r="D80" s="1033"/>
      <c r="E80" s="1033"/>
      <c r="F80" s="1033"/>
      <c r="G80" s="111"/>
      <c r="H80" s="1189">
        <f>+TableB2!I80</f>
        <v>0</v>
      </c>
      <c r="I80" s="1033"/>
      <c r="J80" s="1033"/>
      <c r="K80" s="1033"/>
      <c r="L80" s="1042"/>
      <c r="M80" s="1345">
        <f>TableB2!J48</f>
        <v>1.8784045999999999</v>
      </c>
    </row>
    <row r="81" spans="1:14" x14ac:dyDescent="0.2">
      <c r="A81" s="113" t="s">
        <v>100</v>
      </c>
      <c r="B81" s="121">
        <f>+TableB2!G81</f>
        <v>3.7014363322000001</v>
      </c>
      <c r="C81" s="1189">
        <f>+TableB2!H81</f>
        <v>2.5910054325400003</v>
      </c>
      <c r="D81" s="1033"/>
      <c r="E81" s="1033"/>
      <c r="F81" s="1033"/>
      <c r="G81" s="1033"/>
      <c r="H81" s="1189">
        <f>+TableB2!I81</f>
        <v>0</v>
      </c>
      <c r="I81" s="1033"/>
      <c r="J81" s="1033"/>
      <c r="K81" s="1033"/>
      <c r="L81" s="1042"/>
      <c r="M81" s="1345">
        <f>TableB2!J80</f>
        <v>2.346369E-5</v>
      </c>
      <c r="N81" s="954"/>
    </row>
    <row r="82" spans="1:14" x14ac:dyDescent="0.2">
      <c r="A82" s="1148" t="str">
        <f>+TableA1!A82</f>
        <v>Seychelles</v>
      </c>
      <c r="B82" s="121">
        <f>+TableB2!G82</f>
        <v>1.8137638999999998E-3</v>
      </c>
      <c r="C82" s="1189">
        <f>+TableB2!H82</f>
        <v>1.2696347299999999E-3</v>
      </c>
      <c r="D82" s="1033"/>
      <c r="E82" s="1033"/>
      <c r="F82" s="1033"/>
      <c r="G82" s="1033"/>
      <c r="H82" s="1189">
        <f>+TableB2!I82</f>
        <v>0</v>
      </c>
      <c r="I82" s="1033"/>
      <c r="J82" s="1033"/>
      <c r="K82" s="1033"/>
      <c r="L82" s="1042"/>
      <c r="M82" s="1345">
        <f>TableB2!J81</f>
        <v>1.1104308996600001</v>
      </c>
      <c r="N82" s="954"/>
    </row>
    <row r="83" spans="1:14" x14ac:dyDescent="0.2">
      <c r="A83" s="113" t="s">
        <v>102</v>
      </c>
      <c r="B83" s="121">
        <f>+TableB2!G83</f>
        <v>3.3119901675257313</v>
      </c>
      <c r="C83" s="1189">
        <f>+TableB2!H83</f>
        <v>2.3183931172680117</v>
      </c>
      <c r="D83" s="1033"/>
      <c r="E83" s="1033"/>
      <c r="F83" s="1033"/>
      <c r="G83" s="1033"/>
      <c r="H83" s="1189">
        <f>+TableB2!I83</f>
        <v>0</v>
      </c>
      <c r="I83" s="1033"/>
      <c r="J83" s="1033"/>
      <c r="K83" s="1033"/>
      <c r="L83" s="1042"/>
      <c r="M83" s="1345">
        <f>TableB2!J82</f>
        <v>5.4412916999999994E-4</v>
      </c>
      <c r="N83" s="954"/>
    </row>
    <row r="84" spans="1:14" x14ac:dyDescent="0.2">
      <c r="A84" s="1148" t="str">
        <f>+TableA1!A84</f>
        <v>St. Kitts and Nevis</v>
      </c>
      <c r="B84" s="121">
        <f>+TableB2!G84</f>
        <v>0</v>
      </c>
      <c r="C84" s="1189">
        <f>+TableB2!H84</f>
        <v>0</v>
      </c>
      <c r="D84" s="1033"/>
      <c r="E84" s="1033"/>
      <c r="F84" s="1033"/>
      <c r="G84" s="1033"/>
      <c r="H84" s="1189">
        <f>+TableB2!I84</f>
        <v>0</v>
      </c>
      <c r="I84" s="1033"/>
      <c r="J84" s="1033"/>
      <c r="K84" s="1033"/>
      <c r="L84" s="1042"/>
      <c r="M84" s="1345">
        <f>TableB2!J83</f>
        <v>0.99359705025771938</v>
      </c>
      <c r="N84" s="954"/>
    </row>
    <row r="85" spans="1:14" x14ac:dyDescent="0.2">
      <c r="A85" s="1148" t="str">
        <f>+TableA1!A85</f>
        <v>St. Lucia</v>
      </c>
      <c r="B85" s="121">
        <f>+TableB2!G85</f>
        <v>2.5000000000000001E-3</v>
      </c>
      <c r="C85" s="1189">
        <f>+TableB2!H85</f>
        <v>1.75E-3</v>
      </c>
      <c r="D85" s="1033"/>
      <c r="E85" s="1033"/>
      <c r="F85" s="1033"/>
      <c r="G85" s="1033"/>
      <c r="H85" s="1189">
        <f>+TableB2!I85</f>
        <v>0</v>
      </c>
      <c r="I85" s="1033"/>
      <c r="J85" s="1033"/>
      <c r="K85" s="1033"/>
      <c r="L85" s="1042"/>
      <c r="M85" s="1345">
        <f>TableB2!J84</f>
        <v>0</v>
      </c>
      <c r="N85" s="954"/>
    </row>
    <row r="86" spans="1:14" x14ac:dyDescent="0.2">
      <c r="A86" s="1148" t="str">
        <f>+TableA1!A86</f>
        <v>St. Vincent and the Grenadines</v>
      </c>
      <c r="B86" s="121">
        <f>+TableB2!G86</f>
        <v>0</v>
      </c>
      <c r="C86" s="1189">
        <f>+TableB2!H86</f>
        <v>0</v>
      </c>
      <c r="D86" s="1033"/>
      <c r="E86" s="1033"/>
      <c r="F86" s="1033"/>
      <c r="G86" s="1033"/>
      <c r="H86" s="1189">
        <f>+TableB2!I86</f>
        <v>0</v>
      </c>
      <c r="I86" s="1033"/>
      <c r="J86" s="1033"/>
      <c r="K86" s="1033"/>
      <c r="L86" s="1042"/>
      <c r="M86" s="1345">
        <f>TableB2!J85</f>
        <v>7.5000000000000002E-4</v>
      </c>
      <c r="N86" s="954"/>
    </row>
    <row r="87" spans="1:14" x14ac:dyDescent="0.2">
      <c r="A87" s="1148" t="str">
        <f>+TableA1!A87</f>
        <v>Turks and Caicos</v>
      </c>
      <c r="B87" s="121">
        <f>+TableB2!G87</f>
        <v>0</v>
      </c>
      <c r="C87" s="1189">
        <f>+TableB2!H87</f>
        <v>0</v>
      </c>
      <c r="D87" s="1033"/>
      <c r="E87" s="1033"/>
      <c r="F87" s="1033"/>
      <c r="G87" s="1033"/>
      <c r="H87" s="1189">
        <f>+TableB2!I87</f>
        <v>0</v>
      </c>
      <c r="I87" s="1033"/>
      <c r="J87" s="1033"/>
      <c r="K87" s="1033"/>
      <c r="L87" s="1042"/>
      <c r="M87" s="1345">
        <f>TableB2!J86</f>
        <v>0</v>
      </c>
      <c r="N87" s="954"/>
    </row>
    <row r="88" spans="1:14" x14ac:dyDescent="0.2">
      <c r="A88" s="1148" t="str">
        <f>+TableA1!A88</f>
        <v>Panama</v>
      </c>
      <c r="B88" s="121">
        <f>+TableB2!G88</f>
        <v>0.8677181060188971</v>
      </c>
      <c r="C88" s="1189">
        <f>+TableB2!H88</f>
        <v>0.60740267421322791</v>
      </c>
      <c r="D88" s="1033"/>
      <c r="E88" s="1033"/>
      <c r="F88" s="1033"/>
      <c r="G88" s="1033"/>
      <c r="H88" s="1189">
        <f>+TableB2!I88</f>
        <v>0</v>
      </c>
      <c r="I88" s="1033"/>
      <c r="J88" s="1033"/>
      <c r="K88" s="1033"/>
      <c r="L88" s="1042"/>
      <c r="M88" s="1345">
        <f>TableB2!J87</f>
        <v>0</v>
      </c>
      <c r="N88" s="954"/>
    </row>
    <row r="89" spans="1:14" ht="17" thickBot="1" x14ac:dyDescent="0.25">
      <c r="A89" s="114" t="s">
        <v>108</v>
      </c>
      <c r="B89" s="17">
        <f>+TableB2!G89</f>
        <v>0.35339999999999999</v>
      </c>
      <c r="C89" s="18">
        <f>+TableB2!H89</f>
        <v>0.24737999999999999</v>
      </c>
      <c r="D89" s="1191"/>
      <c r="E89" s="1191"/>
      <c r="F89" s="1191"/>
      <c r="G89" s="1191"/>
      <c r="H89" s="18">
        <f>+TableB2!I89</f>
        <v>0</v>
      </c>
      <c r="I89" s="1191"/>
      <c r="J89" s="1191"/>
      <c r="K89" s="1191"/>
      <c r="L89" s="1347"/>
      <c r="M89" s="1348">
        <f>TableB2!J88</f>
        <v>0.26031543180566913</v>
      </c>
      <c r="N89" s="954"/>
    </row>
    <row r="90" spans="1:14" ht="17" thickTop="1" x14ac:dyDescent="0.2">
      <c r="A90" s="954"/>
      <c r="B90" s="954"/>
      <c r="C90" s="954"/>
      <c r="D90" s="1003"/>
      <c r="E90" s="1003"/>
      <c r="F90" s="1003"/>
      <c r="G90" s="1003"/>
      <c r="H90" s="954"/>
      <c r="I90" s="1003"/>
      <c r="J90" s="1003"/>
      <c r="K90" s="1003"/>
      <c r="L90" s="1003"/>
      <c r="M90" s="954"/>
      <c r="N90" s="954"/>
    </row>
    <row r="91" spans="1:14" s="2" customFormat="1" x14ac:dyDescent="0.2">
      <c r="A91" s="954"/>
      <c r="B91" s="954"/>
      <c r="C91" s="954"/>
      <c r="D91" s="954"/>
      <c r="E91" s="954"/>
      <c r="F91" s="954"/>
      <c r="G91" s="954"/>
      <c r="H91" s="954"/>
      <c r="I91" s="954"/>
      <c r="J91" s="954"/>
      <c r="K91" s="954"/>
      <c r="L91" s="954"/>
      <c r="M91" s="954"/>
      <c r="N91" s="954"/>
    </row>
    <row r="92" spans="1:14" s="2" customFormat="1" x14ac:dyDescent="0.2">
      <c r="A92" s="954"/>
      <c r="B92" s="954"/>
      <c r="C92" s="954"/>
      <c r="D92" s="954"/>
      <c r="E92" s="954"/>
      <c r="F92" s="954"/>
      <c r="G92" s="954"/>
      <c r="H92" s="954"/>
      <c r="I92" s="954"/>
      <c r="J92" s="954"/>
      <c r="K92" s="954"/>
      <c r="L92" s="954"/>
      <c r="M92" s="954"/>
      <c r="N92" s="954"/>
    </row>
    <row r="93" spans="1:14" s="2" customFormat="1" x14ac:dyDescent="0.2">
      <c r="A93" s="954"/>
      <c r="B93" s="954"/>
      <c r="C93" s="954"/>
      <c r="D93" s="954"/>
      <c r="E93" s="954"/>
      <c r="F93" s="954"/>
      <c r="G93" s="954"/>
      <c r="H93" s="954"/>
      <c r="I93" s="954"/>
      <c r="J93" s="954"/>
      <c r="K93" s="954"/>
      <c r="L93" s="954"/>
      <c r="M93" s="954"/>
      <c r="N93" s="954"/>
    </row>
    <row r="95" spans="1:14" s="2" customFormat="1" x14ac:dyDescent="0.2">
      <c r="A95" s="954"/>
      <c r="B95" s="954"/>
      <c r="C95" s="954"/>
      <c r="D95" s="954"/>
      <c r="E95" s="954"/>
      <c r="F95" s="954"/>
      <c r="G95" s="954"/>
      <c r="H95" s="954"/>
      <c r="I95" s="954"/>
      <c r="J95" s="954"/>
      <c r="K95" s="954"/>
      <c r="L95" s="954"/>
      <c r="M95" s="954"/>
      <c r="N95" s="954"/>
    </row>
  </sheetData>
  <mergeCells count="6">
    <mergeCell ref="A4:M4"/>
    <mergeCell ref="B7:M7"/>
    <mergeCell ref="B8:B9"/>
    <mergeCell ref="C8:C9"/>
    <mergeCell ref="H8:H9"/>
    <mergeCell ref="M8:M9"/>
  </mergeCells>
  <pageMargins left="0.75" right="0.75" top="1" bottom="1" header="0.5" footer="0.5"/>
  <pageSetup scale="46"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N97"/>
  <sheetViews>
    <sheetView workbookViewId="0">
      <pane xSplit="1" ySplit="9" topLeftCell="B79" activePane="bottomRight" state="frozen"/>
      <selection pane="topRight" activeCell="AR8" sqref="AR8"/>
      <selection pane="bottomLeft" activeCell="AR8" sqref="AR8"/>
      <selection pane="bottomRight" activeCell="O85" sqref="O85"/>
    </sheetView>
  </sheetViews>
  <sheetFormatPr baseColWidth="10" defaultColWidth="10.83203125" defaultRowHeight="16" x14ac:dyDescent="0.2"/>
  <cols>
    <col min="1" max="1" width="16.6640625" style="1" customWidth="1"/>
    <col min="2" max="2" width="12.1640625" style="1" customWidth="1"/>
    <col min="3" max="3" width="11.83203125" style="1" customWidth="1"/>
    <col min="4" max="7" width="11.33203125" style="1" customWidth="1"/>
    <col min="8" max="8" width="11.83203125" style="1" customWidth="1"/>
    <col min="9" max="12" width="11.33203125" style="1" customWidth="1"/>
    <col min="13" max="13" width="12.6640625" style="1" customWidth="1"/>
    <col min="14" max="16384" width="10.83203125" style="1"/>
  </cols>
  <sheetData>
    <row r="2" spans="1:14" ht="11.25" customHeight="1" x14ac:dyDescent="0.2">
      <c r="A2" s="954"/>
      <c r="B2" s="954"/>
      <c r="C2" s="954"/>
      <c r="D2" s="954"/>
      <c r="E2" s="954"/>
      <c r="F2" s="954"/>
      <c r="G2" s="954"/>
      <c r="H2" s="954"/>
      <c r="I2" s="954"/>
      <c r="J2" s="954"/>
      <c r="K2" s="954"/>
      <c r="L2" s="954"/>
      <c r="M2" s="954"/>
      <c r="N2" s="954"/>
    </row>
    <row r="3" spans="1:14" ht="17" thickBot="1" x14ac:dyDescent="0.25">
      <c r="A3" s="954"/>
      <c r="B3" s="954"/>
      <c r="C3" s="954"/>
      <c r="D3" s="954"/>
      <c r="E3" s="954"/>
      <c r="F3" s="954"/>
      <c r="G3" s="954"/>
      <c r="H3" s="954"/>
      <c r="I3" s="954"/>
      <c r="J3" s="954"/>
      <c r="K3" s="954"/>
      <c r="L3" s="954"/>
      <c r="M3" s="954"/>
      <c r="N3" s="954"/>
    </row>
    <row r="4" spans="1:14" ht="32.25" customHeight="1" thickTop="1" x14ac:dyDescent="0.2">
      <c r="A4" s="1951" t="s">
        <v>383</v>
      </c>
      <c r="B4" s="1952"/>
      <c r="C4" s="1952"/>
      <c r="D4" s="1952"/>
      <c r="E4" s="1952"/>
      <c r="F4" s="1952"/>
      <c r="G4" s="1952"/>
      <c r="H4" s="1952"/>
      <c r="I4" s="1952"/>
      <c r="J4" s="1952"/>
      <c r="K4" s="1952"/>
      <c r="L4" s="1952"/>
      <c r="M4" s="1953"/>
      <c r="N4" s="954"/>
    </row>
    <row r="5" spans="1:14" ht="12" customHeight="1" x14ac:dyDescent="0.2">
      <c r="A5" s="4"/>
      <c r="B5" s="620"/>
      <c r="C5" s="620"/>
      <c r="D5" s="620"/>
      <c r="E5" s="620"/>
      <c r="F5" s="620"/>
      <c r="G5" s="620"/>
      <c r="H5" s="620"/>
      <c r="I5" s="620"/>
      <c r="J5" s="620"/>
      <c r="K5" s="620"/>
      <c r="L5" s="620"/>
      <c r="M5" s="5"/>
      <c r="N5" s="954"/>
    </row>
    <row r="6" spans="1:14" ht="17" thickBot="1" x14ac:dyDescent="0.25">
      <c r="A6" s="1148"/>
      <c r="B6" s="3" t="s">
        <v>1</v>
      </c>
      <c r="C6" s="3" t="s">
        <v>2</v>
      </c>
      <c r="D6" s="3" t="s">
        <v>3</v>
      </c>
      <c r="E6" s="3" t="s">
        <v>4</v>
      </c>
      <c r="F6" s="3" t="s">
        <v>5</v>
      </c>
      <c r="G6" s="3" t="s">
        <v>6</v>
      </c>
      <c r="H6" s="3" t="s">
        <v>7</v>
      </c>
      <c r="I6" s="3" t="s">
        <v>8</v>
      </c>
      <c r="J6" s="3" t="s">
        <v>9</v>
      </c>
      <c r="K6" s="3" t="s">
        <v>10</v>
      </c>
      <c r="L6" s="3" t="s">
        <v>11</v>
      </c>
      <c r="M6" s="6" t="s">
        <v>12</v>
      </c>
      <c r="N6" s="954"/>
    </row>
    <row r="7" spans="1:14" ht="21" customHeight="1" x14ac:dyDescent="0.2">
      <c r="A7" s="1148"/>
      <c r="B7" s="2021" t="s">
        <v>362</v>
      </c>
      <c r="C7" s="2022"/>
      <c r="D7" s="2022"/>
      <c r="E7" s="2022"/>
      <c r="F7" s="2022"/>
      <c r="G7" s="2022"/>
      <c r="H7" s="2022"/>
      <c r="I7" s="2022"/>
      <c r="J7" s="2022"/>
      <c r="K7" s="2022"/>
      <c r="L7" s="2022"/>
      <c r="M7" s="2191"/>
      <c r="N7" s="954"/>
    </row>
    <row r="8" spans="1:14" ht="85" customHeight="1" x14ac:dyDescent="0.2">
      <c r="A8" s="1148"/>
      <c r="B8" s="2072" t="s">
        <v>384</v>
      </c>
      <c r="C8" s="2049" t="s">
        <v>146</v>
      </c>
      <c r="D8" s="1819" t="s">
        <v>385</v>
      </c>
      <c r="E8" s="1820" t="s">
        <v>386</v>
      </c>
      <c r="F8" s="1822" t="s">
        <v>387</v>
      </c>
      <c r="G8" s="1822" t="s">
        <v>388</v>
      </c>
      <c r="H8" s="2049" t="s">
        <v>182</v>
      </c>
      <c r="I8" s="1819" t="s">
        <v>385</v>
      </c>
      <c r="J8" s="1820" t="s">
        <v>386</v>
      </c>
      <c r="K8" s="1822" t="s">
        <v>387</v>
      </c>
      <c r="L8" s="1821" t="s">
        <v>388</v>
      </c>
      <c r="M8" s="2193" t="s">
        <v>367</v>
      </c>
      <c r="N8" s="1098"/>
    </row>
    <row r="9" spans="1:14" ht="33" customHeight="1" x14ac:dyDescent="0.2">
      <c r="A9" s="1148"/>
      <c r="B9" s="2024"/>
      <c r="C9" s="2050"/>
      <c r="D9" s="1828"/>
      <c r="E9" s="1828"/>
      <c r="F9" s="1828"/>
      <c r="G9" s="1828"/>
      <c r="H9" s="2050"/>
      <c r="I9" s="1828"/>
      <c r="J9" s="1828"/>
      <c r="K9" s="1828"/>
      <c r="L9" s="748"/>
      <c r="M9" s="2088"/>
      <c r="N9" s="1098"/>
    </row>
    <row r="10" spans="1:14" ht="14.25" customHeight="1" x14ac:dyDescent="0.2">
      <c r="A10" s="1316" t="s">
        <v>29</v>
      </c>
      <c r="B10" s="16">
        <v>24.475167180103998</v>
      </c>
      <c r="C10" s="15">
        <v>8.7910436546697994</v>
      </c>
      <c r="D10" s="1032">
        <f>C10</f>
        <v>8.7910436546697994</v>
      </c>
      <c r="E10" s="1032">
        <v>0</v>
      </c>
      <c r="F10" s="1032">
        <v>0</v>
      </c>
      <c r="G10" s="1032">
        <v>0</v>
      </c>
      <c r="H10" s="15">
        <v>4.5856187542265001</v>
      </c>
      <c r="I10" s="1032">
        <v>3.9086332556915999</v>
      </c>
      <c r="J10" s="1032">
        <v>0.12021940040574</v>
      </c>
      <c r="K10" s="1032">
        <f>($H10-$I10-$J10)*0.7</f>
        <v>0.38973626869041211</v>
      </c>
      <c r="L10" s="1041">
        <f>H10-I10-J10-K10</f>
        <v>0.16702982943874811</v>
      </c>
      <c r="M10" s="1344">
        <f>TableB2!F10</f>
        <v>11.103764369975</v>
      </c>
      <c r="N10" s="1098"/>
    </row>
    <row r="11" spans="1:14" ht="14.25" customHeight="1" x14ac:dyDescent="0.2">
      <c r="A11" s="1148" t="s">
        <v>30</v>
      </c>
      <c r="B11" s="120">
        <v>1.7981142540210999</v>
      </c>
      <c r="C11" s="1189">
        <v>8.8086522462561998</v>
      </c>
      <c r="D11" s="1033">
        <v>8.8086522462561998</v>
      </c>
      <c r="E11" s="1033">
        <v>0</v>
      </c>
      <c r="F11" s="1033">
        <v>0</v>
      </c>
      <c r="G11" s="1033">
        <v>0</v>
      </c>
      <c r="H11" s="1189">
        <v>1.7570715474210001</v>
      </c>
      <c r="I11" s="1033">
        <v>0.93288962839711997</v>
      </c>
      <c r="J11" s="1033">
        <v>0.45812534664447996</v>
      </c>
      <c r="K11" s="1033">
        <v>6.1009428729894996E-2</v>
      </c>
      <c r="L11" s="1042">
        <v>0.30504714364947</v>
      </c>
      <c r="M11" s="1345">
        <f>TableB2!F11</f>
        <v>-8.7676095396560996</v>
      </c>
      <c r="N11" s="1098"/>
    </row>
    <row r="12" spans="1:14" ht="14.25" customHeight="1" x14ac:dyDescent="0.2">
      <c r="A12" s="1148" t="s">
        <v>31</v>
      </c>
      <c r="B12" s="120">
        <v>29.690515806988003</v>
      </c>
      <c r="C12" s="1189">
        <v>25.384359400998001</v>
      </c>
      <c r="D12" s="1033">
        <v>25.230171935662998</v>
      </c>
      <c r="E12" s="1033">
        <v>0</v>
      </c>
      <c r="F12" s="1033">
        <v>1.885745978924E-2</v>
      </c>
      <c r="G12" s="1033">
        <v>0.13754853022739999</v>
      </c>
      <c r="H12" s="1189">
        <v>5.1148086522462997</v>
      </c>
      <c r="I12" s="1033">
        <v>2.6777592900721001</v>
      </c>
      <c r="J12" s="1033">
        <v>0.33388796450361002</v>
      </c>
      <c r="K12" s="1033">
        <v>0.47476428175262997</v>
      </c>
      <c r="L12" s="1042">
        <v>1.6283971159179</v>
      </c>
      <c r="M12" s="1345">
        <f>TableB2!F12</f>
        <v>-0.80865224625623999</v>
      </c>
      <c r="N12" s="1098"/>
    </row>
    <row r="13" spans="1:14" ht="14.25" customHeight="1" x14ac:dyDescent="0.2">
      <c r="A13" s="1148" t="s">
        <v>32</v>
      </c>
      <c r="B13" s="120"/>
      <c r="C13" s="1189"/>
      <c r="D13" s="1033"/>
      <c r="E13" s="1033"/>
      <c r="F13" s="1033"/>
      <c r="G13" s="1033"/>
      <c r="H13" s="1189"/>
      <c r="I13" s="1033"/>
      <c r="J13" s="1033"/>
      <c r="K13" s="1033"/>
      <c r="L13" s="1042"/>
      <c r="M13" s="1345">
        <f>TableB2!F13</f>
        <v>13.377923805054001</v>
      </c>
      <c r="N13" s="1098"/>
    </row>
    <row r="14" spans="1:14" ht="14.25" customHeight="1" x14ac:dyDescent="0.2">
      <c r="A14" s="1148" t="s">
        <v>33</v>
      </c>
      <c r="B14" s="120">
        <v>10.311207324123</v>
      </c>
      <c r="C14" s="1189">
        <v>4.5849523142074</v>
      </c>
      <c r="D14" s="1033">
        <v>4.5837248192016</v>
      </c>
      <c r="E14" s="1033">
        <v>1.7452175256999998E-7</v>
      </c>
      <c r="F14" s="1033">
        <v>0</v>
      </c>
      <c r="G14" s="1033">
        <v>0</v>
      </c>
      <c r="H14" s="1189">
        <v>2.0460496507304997</v>
      </c>
      <c r="I14" s="1033">
        <v>1.5643684203411001</v>
      </c>
      <c r="J14" s="1033">
        <v>1.8131840061226999E-2</v>
      </c>
      <c r="K14" s="1033">
        <v>0</v>
      </c>
      <c r="L14" s="1042">
        <f>H14-I14-J14-K14</f>
        <v>0.46354939032817261</v>
      </c>
      <c r="M14" s="1345">
        <f>TableB2!F14</f>
        <v>3.6802053591849999</v>
      </c>
      <c r="N14" s="1098"/>
    </row>
    <row r="15" spans="1:14" ht="14.25" customHeight="1" x14ac:dyDescent="0.2">
      <c r="A15" s="1148" t="s">
        <v>34</v>
      </c>
      <c r="B15" s="120">
        <v>14.590330581873001</v>
      </c>
      <c r="C15" s="1189">
        <v>10.907534664335</v>
      </c>
      <c r="D15" s="1033">
        <v>10.907534664335</v>
      </c>
      <c r="E15" s="1033">
        <v>0</v>
      </c>
      <c r="F15" s="1033">
        <v>0</v>
      </c>
      <c r="G15" s="1033">
        <v>0</v>
      </c>
      <c r="H15" s="1189">
        <v>0.59561663888097993</v>
      </c>
      <c r="I15" s="1033">
        <v>0.43849875980969999</v>
      </c>
      <c r="J15" s="1033">
        <v>4.8794372382385005E-3</v>
      </c>
      <c r="K15" s="1033">
        <v>1.6264790794127998E-3</v>
      </c>
      <c r="L15" s="1042">
        <v>0.15077461066157</v>
      </c>
      <c r="M15" s="1345">
        <f>TableB2!F15</f>
        <v>3.0872606026104998</v>
      </c>
      <c r="N15" s="1098"/>
    </row>
    <row r="16" spans="1:14" ht="14.25" customHeight="1" x14ac:dyDescent="0.2">
      <c r="A16" s="1148" t="s">
        <v>35</v>
      </c>
      <c r="B16" s="120">
        <v>5.5642787046124003</v>
      </c>
      <c r="C16" s="1189">
        <v>5.2588693609302002</v>
      </c>
      <c r="D16" s="1033">
        <v>5.2588693609302002</v>
      </c>
      <c r="E16" s="1033">
        <v>0</v>
      </c>
      <c r="F16" s="1033">
        <v>0</v>
      </c>
      <c r="G16" s="1033">
        <v>0</v>
      </c>
      <c r="H16" s="1189">
        <v>0.52576798406043002</v>
      </c>
      <c r="I16" s="1033">
        <v>0.30972135486364999</v>
      </c>
      <c r="J16" s="1033">
        <v>0.18080708954114</v>
      </c>
      <c r="K16" s="1033">
        <v>0</v>
      </c>
      <c r="L16" s="1042">
        <v>3.5239539655633999E-2</v>
      </c>
      <c r="M16" s="1345">
        <f>TableB2!F16</f>
        <v>-0.22065602045975002</v>
      </c>
      <c r="N16" s="1098"/>
    </row>
    <row r="17" spans="1:14" ht="14.25" customHeight="1" x14ac:dyDescent="0.2">
      <c r="A17" s="1148" t="s">
        <v>36</v>
      </c>
      <c r="B17" s="120">
        <v>1.3545235718247</v>
      </c>
      <c r="C17" s="1189">
        <v>0.72318469217970005</v>
      </c>
      <c r="D17" s="1033">
        <v>0.72318469217970005</v>
      </c>
      <c r="E17" s="1033">
        <v>0</v>
      </c>
      <c r="F17" s="1033">
        <v>0</v>
      </c>
      <c r="G17" s="1033">
        <v>0</v>
      </c>
      <c r="H17" s="1189">
        <v>4.7377703826954998E-2</v>
      </c>
      <c r="I17" s="1033">
        <v>4.1320022185246996E-2</v>
      </c>
      <c r="J17" s="1033">
        <v>2.1663893510815001E-3</v>
      </c>
      <c r="K17" s="1033">
        <v>1.2756516916251001E-4</v>
      </c>
      <c r="L17" s="1042">
        <v>3.7626178591236999E-3</v>
      </c>
      <c r="M17" s="1345">
        <f>TableB2!F17</f>
        <v>0.58396228508042003</v>
      </c>
      <c r="N17" s="1098"/>
    </row>
    <row r="18" spans="1:14" ht="14.25" customHeight="1" x14ac:dyDescent="0.2">
      <c r="A18" s="1148" t="s">
        <v>37</v>
      </c>
      <c r="B18" s="120">
        <v>4.4248474764281998</v>
      </c>
      <c r="C18" s="1189">
        <v>5.4220743205768001</v>
      </c>
      <c r="D18" s="1033">
        <f>C18</f>
        <v>5.4220743205768001</v>
      </c>
      <c r="E18" s="1033">
        <v>0</v>
      </c>
      <c r="F18" s="1033">
        <v>0</v>
      </c>
      <c r="G18" s="1033">
        <v>0</v>
      </c>
      <c r="H18" s="1189">
        <v>1.0316139767054999</v>
      </c>
      <c r="I18" s="1033"/>
      <c r="J18" s="1033"/>
      <c r="K18" s="1033"/>
      <c r="L18" s="1042"/>
      <c r="M18" s="1345">
        <f>TableB2!F18</f>
        <v>-2.0288408208541</v>
      </c>
      <c r="N18" s="1098"/>
    </row>
    <row r="19" spans="1:14" ht="14.25" customHeight="1" x14ac:dyDescent="0.2">
      <c r="A19" s="1148" t="s">
        <v>38</v>
      </c>
      <c r="B19" s="120">
        <v>29.414050289440002</v>
      </c>
      <c r="C19" s="1189">
        <v>15.593480865224999</v>
      </c>
      <c r="D19" s="1033">
        <v>15.593480865224999</v>
      </c>
      <c r="E19" s="1033">
        <v>0</v>
      </c>
      <c r="F19" s="1033">
        <v>0</v>
      </c>
      <c r="G19" s="1033">
        <v>0</v>
      </c>
      <c r="H19" s="1189">
        <v>6.2594013709707994</v>
      </c>
      <c r="I19" s="1033">
        <v>1.8825373510127998</v>
      </c>
      <c r="J19" s="1033">
        <v>0.81285110396101001</v>
      </c>
      <c r="K19" s="1033">
        <v>1.2851262248872</v>
      </c>
      <c r="L19" s="1042">
        <v>2.2788866911098</v>
      </c>
      <c r="M19" s="1345">
        <f>TableB2!F19</f>
        <v>7.5611680532446002</v>
      </c>
      <c r="N19" s="1098"/>
    </row>
    <row r="20" spans="1:14" ht="14.25" customHeight="1" x14ac:dyDescent="0.2">
      <c r="A20" s="1148" t="s">
        <v>39</v>
      </c>
      <c r="B20" s="120">
        <v>43.616195230172004</v>
      </c>
      <c r="C20" s="1189">
        <v>21.960066555739999</v>
      </c>
      <c r="D20" s="1033">
        <v>21.960066555739999</v>
      </c>
      <c r="E20" s="1033">
        <v>0</v>
      </c>
      <c r="F20" s="1033">
        <v>0</v>
      </c>
      <c r="G20" s="1033">
        <v>0</v>
      </c>
      <c r="H20" s="1189">
        <v>16.804215196894003</v>
      </c>
      <c r="I20" s="1033">
        <v>4.6511369938991001</v>
      </c>
      <c r="J20" s="1033">
        <v>7.9556295063783002</v>
      </c>
      <c r="K20" s="1033">
        <v>0.81198003327787005</v>
      </c>
      <c r="L20" s="1042">
        <v>3.3843594009982998</v>
      </c>
      <c r="M20" s="1345">
        <f>TableB2!F20</f>
        <v>4.8530227398779999</v>
      </c>
      <c r="N20" s="1098"/>
    </row>
    <row r="21" spans="1:14" ht="14.25" customHeight="1" x14ac:dyDescent="0.2">
      <c r="A21" s="1148" t="s">
        <v>40</v>
      </c>
      <c r="B21" s="120">
        <v>1.1568235296728</v>
      </c>
      <c r="C21" s="1189">
        <v>0.62594856905157992</v>
      </c>
      <c r="D21" s="1033">
        <v>0.62594856905157992</v>
      </c>
      <c r="E21" s="1033">
        <v>0</v>
      </c>
      <c r="F21" s="1033">
        <v>0</v>
      </c>
      <c r="G21" s="1033">
        <v>0</v>
      </c>
      <c r="H21" s="1189">
        <v>6.4186108707708994E-2</v>
      </c>
      <c r="I21" s="1033">
        <v>6.4186108707708994E-2</v>
      </c>
      <c r="J21" s="1033">
        <v>0</v>
      </c>
      <c r="K21" s="1033">
        <v>0</v>
      </c>
      <c r="L21" s="1042">
        <v>0</v>
      </c>
      <c r="M21" s="1345">
        <f>TableB2!F21</f>
        <v>0.46668885191347997</v>
      </c>
      <c r="N21" s="1098"/>
    </row>
    <row r="22" spans="1:14" ht="14.25" customHeight="1" x14ac:dyDescent="0.2">
      <c r="A22" s="1148" t="s">
        <v>41</v>
      </c>
      <c r="B22" s="120">
        <v>13.056997127444999</v>
      </c>
      <c r="C22" s="1189">
        <v>6.0308644132753999</v>
      </c>
      <c r="D22" s="1033">
        <v>6.0226260521357995</v>
      </c>
      <c r="E22" s="1033">
        <v>0</v>
      </c>
      <c r="F22" s="1033">
        <v>0</v>
      </c>
      <c r="G22" s="1033">
        <v>8.2383611395660007E-3</v>
      </c>
      <c r="H22" s="1189">
        <v>1.3269259618759999</v>
      </c>
      <c r="I22" s="1033">
        <v>0.77238577118419005</v>
      </c>
      <c r="J22" s="1033">
        <v>0.16163285743962999</v>
      </c>
      <c r="K22" s="1033">
        <v>2.6658341511637002E-2</v>
      </c>
      <c r="L22" s="1042">
        <v>0.36624899174051001</v>
      </c>
      <c r="M22" s="1345">
        <f>TableB2!F22</f>
        <v>5.6992067487124007</v>
      </c>
      <c r="N22" s="1098"/>
    </row>
    <row r="23" spans="1:14" ht="14.25" customHeight="1" x14ac:dyDescent="0.2">
      <c r="A23" s="1148" t="s">
        <v>42</v>
      </c>
      <c r="B23" s="120">
        <v>0.23185674178387</v>
      </c>
      <c r="C23" s="1189">
        <v>2.2275108968346998E-2</v>
      </c>
      <c r="D23" s="1033">
        <v>2.2275108968346998E-2</v>
      </c>
      <c r="E23" s="1033">
        <v>0</v>
      </c>
      <c r="F23" s="1033">
        <v>0</v>
      </c>
      <c r="G23" s="1033">
        <v>0</v>
      </c>
      <c r="H23" s="1189">
        <v>0.3024122775427</v>
      </c>
      <c r="I23" s="1033">
        <v>0.23883192907143999</v>
      </c>
      <c r="J23" s="1033">
        <v>5.9364909197466998E-3</v>
      </c>
      <c r="K23" s="1033">
        <v>1.4860181612648001E-3</v>
      </c>
      <c r="L23" s="1042">
        <v>5.6157839390246996E-2</v>
      </c>
      <c r="M23" s="1345">
        <f>TableB2!F23</f>
        <v>-9.2830644727175005E-2</v>
      </c>
      <c r="N23" s="1098"/>
    </row>
    <row r="24" spans="1:14" ht="14.25" customHeight="1" x14ac:dyDescent="0.2">
      <c r="A24" s="1148" t="s">
        <v>43</v>
      </c>
      <c r="B24" s="120">
        <v>70.252911813643991</v>
      </c>
      <c r="C24" s="1189">
        <v>17.183582917359999</v>
      </c>
      <c r="D24" s="1033">
        <v>17.183582917359999</v>
      </c>
      <c r="E24" s="1033">
        <v>0</v>
      </c>
      <c r="F24" s="1033">
        <v>0</v>
      </c>
      <c r="G24" s="1033">
        <v>0</v>
      </c>
      <c r="H24" s="1189">
        <v>6.4814198557958997</v>
      </c>
      <c r="I24" s="1033">
        <v>2.1231281198002998</v>
      </c>
      <c r="J24" s="1033">
        <v>1.1014975041596999</v>
      </c>
      <c r="K24" s="1033">
        <v>0.13</v>
      </c>
      <c r="L24" s="1042">
        <f>H24-I24-J24-K24</f>
        <v>3.1267942318359001</v>
      </c>
      <c r="M24" s="1345">
        <f>TableB2!F24</f>
        <v>46.587909040488</v>
      </c>
      <c r="N24" s="1098"/>
    </row>
    <row r="25" spans="1:14" ht="14.25" customHeight="1" x14ac:dyDescent="0.2">
      <c r="A25" s="1148" t="s">
        <v>44</v>
      </c>
      <c r="B25" s="120"/>
      <c r="C25" s="1189"/>
      <c r="D25" s="1033"/>
      <c r="E25" s="1033"/>
      <c r="F25" s="1033"/>
      <c r="G25" s="1033"/>
      <c r="H25" s="1189"/>
      <c r="I25" s="1033"/>
      <c r="J25" s="1033"/>
      <c r="K25" s="1033"/>
      <c r="L25" s="1042"/>
      <c r="M25" s="1345">
        <f>TableB2!F25</f>
        <v>3.7119999999999997</v>
      </c>
      <c r="N25" s="1098"/>
    </row>
    <row r="26" spans="1:14" ht="14.25" customHeight="1" x14ac:dyDescent="0.2">
      <c r="A26" s="1148" t="s">
        <v>45</v>
      </c>
      <c r="B26" s="120">
        <v>14.82697615086</v>
      </c>
      <c r="C26" s="1189">
        <v>3.4079789240155001</v>
      </c>
      <c r="D26" s="1033">
        <v>3.4079789240155001</v>
      </c>
      <c r="E26" s="1033">
        <v>0</v>
      </c>
      <c r="F26" s="1033">
        <v>0</v>
      </c>
      <c r="G26" s="1033">
        <v>0</v>
      </c>
      <c r="H26" s="1189">
        <v>3.9515052689960997</v>
      </c>
      <c r="I26" s="1033">
        <v>1.3100221852468001</v>
      </c>
      <c r="J26" s="1033">
        <v>1.5885446478091998</v>
      </c>
      <c r="K26" s="1033">
        <v>0.25785135884636995</v>
      </c>
      <c r="L26" s="1042">
        <v>0.79508707709373005</v>
      </c>
      <c r="M26" s="1345">
        <f>TableB2!F26</f>
        <v>7.4674919578479999</v>
      </c>
      <c r="N26" s="1098"/>
    </row>
    <row r="27" spans="1:14" ht="14.25" customHeight="1" x14ac:dyDescent="0.2">
      <c r="A27" s="1148" t="s">
        <v>46</v>
      </c>
      <c r="B27" s="120">
        <v>24.191275703023997</v>
      </c>
      <c r="C27" s="1189">
        <v>12.265056118767999</v>
      </c>
      <c r="D27" s="1033">
        <f>C27</f>
        <v>12.265056118767999</v>
      </c>
      <c r="E27" s="1033">
        <v>0</v>
      </c>
      <c r="F27" s="1033">
        <v>0</v>
      </c>
      <c r="G27" s="1033">
        <v>0</v>
      </c>
      <c r="H27" s="1189">
        <v>0.50577551005228993</v>
      </c>
      <c r="I27" s="1033">
        <f>H27</f>
        <v>0.50577551005228993</v>
      </c>
      <c r="J27" s="1033">
        <v>0</v>
      </c>
      <c r="K27" s="1033">
        <v>0</v>
      </c>
      <c r="L27" s="1042">
        <v>0</v>
      </c>
      <c r="M27" s="1345">
        <v>11.420444074204001</v>
      </c>
      <c r="N27" s="1098"/>
    </row>
    <row r="28" spans="1:14" ht="14.25" customHeight="1" x14ac:dyDescent="0.2">
      <c r="A28" s="1148" t="s">
        <v>47</v>
      </c>
      <c r="B28" s="120">
        <v>10.584100000000001</v>
      </c>
      <c r="C28" s="1189">
        <v>8.3502999999999989</v>
      </c>
      <c r="D28" s="1033">
        <f>C28</f>
        <v>8.3502999999999989</v>
      </c>
      <c r="E28" s="1033">
        <v>0</v>
      </c>
      <c r="F28" s="1033">
        <v>0</v>
      </c>
      <c r="G28" s="1033">
        <v>0</v>
      </c>
      <c r="H28" s="1189">
        <v>0.22080000000000002</v>
      </c>
      <c r="I28" s="1033"/>
      <c r="J28" s="1033"/>
      <c r="K28" s="1033"/>
      <c r="L28" s="1042"/>
      <c r="M28" s="1345">
        <f>TableB2!F28</f>
        <v>1.3939033431979</v>
      </c>
      <c r="N28" s="1098"/>
    </row>
    <row r="29" spans="1:14" x14ac:dyDescent="0.2">
      <c r="A29" s="1148" t="s">
        <v>48</v>
      </c>
      <c r="B29" s="120">
        <v>1.1680532445923</v>
      </c>
      <c r="C29" s="1189">
        <v>0.62229617304493001</v>
      </c>
      <c r="D29" s="1033">
        <v>0.62229617304493001</v>
      </c>
      <c r="E29" s="1033">
        <v>0</v>
      </c>
      <c r="F29" s="1033">
        <v>0</v>
      </c>
      <c r="G29" s="1033">
        <v>0</v>
      </c>
      <c r="H29" s="1189">
        <v>7.0992789794786001E-2</v>
      </c>
      <c r="I29" s="1033">
        <v>4.4370493621742002E-2</v>
      </c>
      <c r="J29" s="1033">
        <v>0</v>
      </c>
      <c r="K29" s="1033">
        <v>3.3277870216305997E-3</v>
      </c>
      <c r="L29" s="1042">
        <v>2.3294509151414001E-2</v>
      </c>
      <c r="M29" s="1345">
        <f>TableB2!F29</f>
        <v>0.47587354409318</v>
      </c>
      <c r="N29" s="954"/>
    </row>
    <row r="30" spans="1:14" x14ac:dyDescent="0.2">
      <c r="A30" s="1148" t="s">
        <v>49</v>
      </c>
      <c r="B30" s="120">
        <v>108.83749306711</v>
      </c>
      <c r="C30" s="1189">
        <v>59.244592346090002</v>
      </c>
      <c r="D30" s="791">
        <f>C30</f>
        <v>59.244592346090002</v>
      </c>
      <c r="E30" s="791">
        <v>0</v>
      </c>
      <c r="F30" s="791">
        <v>0</v>
      </c>
      <c r="G30" s="791">
        <v>0</v>
      </c>
      <c r="H30" s="1189">
        <v>41.278979478647003</v>
      </c>
      <c r="I30" s="27"/>
      <c r="J30" s="27"/>
      <c r="K30" s="27"/>
      <c r="L30" s="1349"/>
      <c r="M30" s="1345">
        <f>TableB2!F30</f>
        <v>8.3139212423738016</v>
      </c>
      <c r="N30" s="954"/>
    </row>
    <row r="31" spans="1:14" x14ac:dyDescent="0.2">
      <c r="A31" s="1148" t="s">
        <v>50</v>
      </c>
      <c r="B31" s="120"/>
      <c r="C31" s="1189"/>
      <c r="D31" s="1033"/>
      <c r="E31" s="1033"/>
      <c r="F31" s="1033"/>
      <c r="G31" s="1033"/>
      <c r="H31" s="1189"/>
      <c r="I31" s="1033"/>
      <c r="J31" s="1033"/>
      <c r="K31" s="1033"/>
      <c r="L31" s="1042"/>
      <c r="M31" s="1345">
        <f>TableB2!F31</f>
        <v>10.738041491899999</v>
      </c>
      <c r="N31" s="954"/>
    </row>
    <row r="32" spans="1:14" x14ac:dyDescent="0.2">
      <c r="A32" s="1148" t="s">
        <v>51</v>
      </c>
      <c r="B32" s="120">
        <v>191.09794786466998</v>
      </c>
      <c r="C32" s="1189">
        <v>119.01397670548999</v>
      </c>
      <c r="D32" s="1033">
        <f>C32</f>
        <v>119.01397670548999</v>
      </c>
      <c r="E32" s="1033">
        <v>0</v>
      </c>
      <c r="F32" s="1033">
        <v>0</v>
      </c>
      <c r="G32" s="1033">
        <v>0</v>
      </c>
      <c r="H32" s="1189">
        <v>29.928563505269</v>
      </c>
      <c r="I32" s="1033"/>
      <c r="J32" s="1033"/>
      <c r="K32" s="1033"/>
      <c r="L32" s="1042"/>
      <c r="M32" s="1345">
        <f>TableB2!F32</f>
        <v>42.155296727676003</v>
      </c>
      <c r="N32" s="954"/>
    </row>
    <row r="33" spans="1:13" x14ac:dyDescent="0.2">
      <c r="A33" s="1148" t="s">
        <v>52</v>
      </c>
      <c r="B33" s="120">
        <v>6.0932924278342995</v>
      </c>
      <c r="C33" s="1189">
        <v>4.2455724445684</v>
      </c>
      <c r="D33" s="1033">
        <v>4.2455724445684</v>
      </c>
      <c r="E33" s="1033">
        <v>0</v>
      </c>
      <c r="F33" s="1033">
        <v>0</v>
      </c>
      <c r="G33" s="1033">
        <v>0</v>
      </c>
      <c r="H33" s="1189">
        <v>0.84855668665457995</v>
      </c>
      <c r="I33" s="1033">
        <v>0.63450006972528006</v>
      </c>
      <c r="J33" s="1033">
        <v>5.0202203318923E-2</v>
      </c>
      <c r="K33" s="1033">
        <v>0</v>
      </c>
      <c r="L33" s="1042">
        <v>0.16524891925811999</v>
      </c>
      <c r="M33" s="1345">
        <f>TableB2!F33</f>
        <v>0.99846604378747994</v>
      </c>
    </row>
    <row r="34" spans="1:13" x14ac:dyDescent="0.2">
      <c r="A34" s="1074" t="s">
        <v>53</v>
      </c>
      <c r="B34" s="120">
        <v>9.0377342112769004</v>
      </c>
      <c r="C34" s="1189">
        <v>4.8090968837965002</v>
      </c>
      <c r="D34" s="1033">
        <f>C34</f>
        <v>4.8090968837965002</v>
      </c>
      <c r="E34" s="1033">
        <v>0</v>
      </c>
      <c r="F34" s="1033">
        <v>0</v>
      </c>
      <c r="G34" s="1033">
        <v>0</v>
      </c>
      <c r="H34" s="1189">
        <v>3.6378854953312998</v>
      </c>
      <c r="I34" s="1033">
        <v>3.6378854953312998</v>
      </c>
      <c r="J34" s="1033">
        <v>0</v>
      </c>
      <c r="K34" s="1033">
        <f>($H34-$I34-$J34)*0.25</f>
        <v>0</v>
      </c>
      <c r="L34" s="1042">
        <f>($H34-$I34-$J34)*0.75</f>
        <v>0</v>
      </c>
      <c r="M34" s="1345">
        <f>TableB2!F34</f>
        <v>-1.3215034162916</v>
      </c>
    </row>
    <row r="35" spans="1:13" x14ac:dyDescent="0.2">
      <c r="A35" s="1148" t="s">
        <v>54</v>
      </c>
      <c r="B35" s="120">
        <v>18.797649992042999</v>
      </c>
      <c r="C35" s="1189">
        <v>8.0529680123069998</v>
      </c>
      <c r="D35" s="1033">
        <v>7.9649355471857994</v>
      </c>
      <c r="E35" s="1033">
        <v>3.9785687761922001E-4</v>
      </c>
      <c r="F35" s="1033">
        <v>6.7900907113680993E-3</v>
      </c>
      <c r="G35" s="1033">
        <v>8.0844517532226004E-2</v>
      </c>
      <c r="H35" s="1189">
        <v>2.6548193729775997</v>
      </c>
      <c r="I35" s="1033">
        <v>1.1392499071666999</v>
      </c>
      <c r="J35" s="1033">
        <v>0.15351970717734001</v>
      </c>
      <c r="K35" s="1033">
        <v>0.10742135695719</v>
      </c>
      <c r="L35" s="1042">
        <v>1.2546284016763001</v>
      </c>
      <c r="M35" s="1345">
        <f>TableB2!F35</f>
        <v>8.0898626067583006</v>
      </c>
    </row>
    <row r="36" spans="1:13" x14ac:dyDescent="0.2">
      <c r="A36" s="1148" t="s">
        <v>55</v>
      </c>
      <c r="B36" s="120">
        <v>5.2479201331115002</v>
      </c>
      <c r="C36" s="1189">
        <v>3.1669439822518002</v>
      </c>
      <c r="D36" s="1033">
        <v>3.1125901275652001</v>
      </c>
      <c r="E36" s="1033">
        <v>2.8840820854132001E-2</v>
      </c>
      <c r="F36" s="1033">
        <v>4.4370493621741997E-3</v>
      </c>
      <c r="G36" s="1033">
        <v>1.9966722129783999E-2</v>
      </c>
      <c r="H36" s="1189">
        <v>1.0970604547975999</v>
      </c>
      <c r="I36" s="1033">
        <v>0.83749306711036997</v>
      </c>
      <c r="J36" s="1033">
        <v>0.21075984470327</v>
      </c>
      <c r="K36" s="1033">
        <v>2.1075984470327002E-2</v>
      </c>
      <c r="L36" s="1042">
        <v>2.6622296173045002E-2</v>
      </c>
      <c r="M36" s="1345">
        <f>TableB2!F36</f>
        <v>0.98502495840266002</v>
      </c>
    </row>
    <row r="37" spans="1:13" x14ac:dyDescent="0.2">
      <c r="A37" s="1148" t="s">
        <v>336</v>
      </c>
      <c r="B37" s="120">
        <v>4.5050524159733998</v>
      </c>
      <c r="C37" s="1189">
        <v>3.3260375463117002</v>
      </c>
      <c r="D37" s="1033">
        <v>3.3260375463117002</v>
      </c>
      <c r="E37" s="1033">
        <v>0</v>
      </c>
      <c r="F37" s="1033">
        <v>0</v>
      </c>
      <c r="G37" s="1033">
        <v>0</v>
      </c>
      <c r="H37" s="1189">
        <v>0.39209983361065004</v>
      </c>
      <c r="I37" s="1033">
        <v>0.30730227398779997</v>
      </c>
      <c r="J37" s="1033">
        <v>3.4054353854686998E-4</v>
      </c>
      <c r="K37" s="1033">
        <v>0</v>
      </c>
      <c r="L37" s="1042">
        <v>8.4457016084304004E-2</v>
      </c>
      <c r="M37" s="1345">
        <f>TableB2!F37</f>
        <v>0.78691503605103008</v>
      </c>
    </row>
    <row r="38" spans="1:13" x14ac:dyDescent="0.2">
      <c r="A38" s="1074" t="s">
        <v>57</v>
      </c>
      <c r="B38" s="120">
        <v>1.0951081530782001</v>
      </c>
      <c r="C38" s="1189">
        <v>0.53209095951191998</v>
      </c>
      <c r="D38" s="1033">
        <v>0.53209095951191998</v>
      </c>
      <c r="E38" s="1033">
        <v>0</v>
      </c>
      <c r="F38" s="1033">
        <v>0</v>
      </c>
      <c r="G38" s="1033">
        <v>0</v>
      </c>
      <c r="H38" s="1189">
        <v>7.3647254575706991E-2</v>
      </c>
      <c r="I38" s="1033">
        <v>5.7788130892956001E-2</v>
      </c>
      <c r="J38" s="1033">
        <v>5.7659456461453002E-3</v>
      </c>
      <c r="K38" s="1033">
        <v>2.5513033832500001E-5</v>
      </c>
      <c r="L38" s="1042">
        <v>1.0067665002772999E-2</v>
      </c>
      <c r="M38" s="1345">
        <f>TableB2!F38</f>
        <v>0.48937104825291</v>
      </c>
    </row>
    <row r="39" spans="1:13" x14ac:dyDescent="0.2">
      <c r="A39" s="1148" t="s">
        <v>58</v>
      </c>
      <c r="B39" s="120">
        <v>24.561286744314998</v>
      </c>
      <c r="C39" s="1189"/>
      <c r="D39" s="1033"/>
      <c r="E39" s="1033"/>
      <c r="F39" s="1033"/>
      <c r="G39" s="1033"/>
      <c r="H39" s="1189">
        <v>6.0499168053245</v>
      </c>
      <c r="I39" s="1033">
        <v>1.4309484193011999</v>
      </c>
      <c r="J39" s="1033">
        <v>1.5507487520798999</v>
      </c>
      <c r="K39" s="1033">
        <f>($H39-$I39-$J39)*0.28</f>
        <v>0.8591014975041521</v>
      </c>
      <c r="L39" s="1042">
        <f>H39-I39-J39-K39</f>
        <v>2.209118136439248</v>
      </c>
      <c r="M39" s="1345">
        <f>TableB2!F39</f>
        <v>5.4685524126455691</v>
      </c>
    </row>
    <row r="40" spans="1:13" x14ac:dyDescent="0.2">
      <c r="A40" s="1148" t="s">
        <v>59</v>
      </c>
      <c r="B40" s="120">
        <v>21.367491962559001</v>
      </c>
      <c r="C40" s="1189">
        <v>13.67563142847</v>
      </c>
      <c r="D40" s="1033">
        <v>13.67563142847</v>
      </c>
      <c r="E40" s="1033">
        <v>0</v>
      </c>
      <c r="F40" s="1033">
        <v>0</v>
      </c>
      <c r="G40" s="1033">
        <v>0</v>
      </c>
      <c r="H40" s="1189">
        <v>2.2160796270153003</v>
      </c>
      <c r="I40" s="1033">
        <v>0.78571174356115003</v>
      </c>
      <c r="J40" s="1033">
        <v>0.27878946057205001</v>
      </c>
      <c r="K40" s="1033">
        <v>4.6860356138706996E-2</v>
      </c>
      <c r="L40" s="1042">
        <v>1.1047180667434</v>
      </c>
      <c r="M40" s="1345">
        <f>TableB2!F40</f>
        <v>5.4757809070740997</v>
      </c>
    </row>
    <row r="41" spans="1:13" x14ac:dyDescent="0.2">
      <c r="A41" s="1148" t="s">
        <v>60</v>
      </c>
      <c r="B41" s="120">
        <v>66.922345011144003</v>
      </c>
      <c r="C41" s="1189">
        <v>42.610408115972</v>
      </c>
      <c r="D41" s="1033">
        <f>C41</f>
        <v>42.610408115972</v>
      </c>
      <c r="E41" s="1033">
        <v>0</v>
      </c>
      <c r="F41" s="1033">
        <v>0</v>
      </c>
      <c r="G41" s="1033">
        <v>0</v>
      </c>
      <c r="H41" s="1189">
        <v>7.5165766644743002</v>
      </c>
      <c r="I41" s="1033"/>
      <c r="J41" s="1033"/>
      <c r="K41" s="1033"/>
      <c r="L41" s="1042"/>
      <c r="M41" s="1345">
        <f>TableB2!F41</f>
        <v>16.795360230697</v>
      </c>
    </row>
    <row r="42" spans="1:13" x14ac:dyDescent="0.2">
      <c r="A42" s="1148" t="s">
        <v>61</v>
      </c>
      <c r="B42" s="120">
        <v>3.54413</v>
      </c>
      <c r="C42" s="1189">
        <v>3.0356700000000001</v>
      </c>
      <c r="D42" s="1033">
        <v>3.0356700000000001</v>
      </c>
      <c r="E42" s="1033">
        <v>0</v>
      </c>
      <c r="F42" s="1033">
        <v>0</v>
      </c>
      <c r="G42" s="1033">
        <v>0</v>
      </c>
      <c r="H42" s="1189">
        <v>0.14435000000000001</v>
      </c>
      <c r="I42" s="1033">
        <v>0.10979999999999999</v>
      </c>
      <c r="J42" s="1033">
        <v>1.8400000000000001E-3</v>
      </c>
      <c r="K42" s="1033">
        <v>0</v>
      </c>
      <c r="L42" s="1042">
        <v>3.2710000000000003E-2</v>
      </c>
      <c r="M42" s="1345">
        <f>TableB2!F42</f>
        <v>0.36410999999999999</v>
      </c>
    </row>
    <row r="43" spans="1:13" x14ac:dyDescent="0.2">
      <c r="A43" s="1148" t="s">
        <v>62</v>
      </c>
      <c r="B43" s="120">
        <v>80.513368983956994</v>
      </c>
      <c r="C43" s="1189"/>
      <c r="D43" s="1033"/>
      <c r="E43" s="1033"/>
      <c r="F43" s="1033"/>
      <c r="G43" s="1033"/>
      <c r="H43" s="1189"/>
      <c r="I43" s="1033"/>
      <c r="J43" s="1033"/>
      <c r="K43" s="1033"/>
      <c r="L43" s="1042"/>
      <c r="M43" s="1345">
        <f>TableB2!F43</f>
        <v>37.084277579431578</v>
      </c>
    </row>
    <row r="44" spans="1:13" x14ac:dyDescent="0.2">
      <c r="A44" s="1148" t="s">
        <v>63</v>
      </c>
      <c r="B44" s="120">
        <v>170.38</v>
      </c>
      <c r="C44" s="1189">
        <v>50.49</v>
      </c>
      <c r="D44" s="1033">
        <f>C44</f>
        <v>50.49</v>
      </c>
      <c r="E44" s="1033">
        <v>0</v>
      </c>
      <c r="F44" s="1033">
        <v>0</v>
      </c>
      <c r="G44" s="1033">
        <v>0</v>
      </c>
      <c r="H44" s="1189">
        <v>39.143000000000001</v>
      </c>
      <c r="I44" s="1033">
        <v>32.843000000000004</v>
      </c>
      <c r="J44" s="1033">
        <v>6.3</v>
      </c>
      <c r="K44" s="1033">
        <f>($H44-$I44-$J44)*0.25</f>
        <v>-6.6613381477509392E-16</v>
      </c>
      <c r="L44" s="1042">
        <f>($H44-$I44-$J44)*0.75</f>
        <v>-1.9984014443252818E-15</v>
      </c>
      <c r="M44" s="1345">
        <f>TableB2!F44</f>
        <v>80.747</v>
      </c>
    </row>
    <row r="45" spans="1:13" ht="34" x14ac:dyDescent="0.2">
      <c r="A45" s="112" t="s">
        <v>64</v>
      </c>
      <c r="B45" s="121"/>
      <c r="C45" s="1189"/>
      <c r="D45" s="1033"/>
      <c r="E45" s="1033"/>
      <c r="F45" s="1033"/>
      <c r="G45" s="1033"/>
      <c r="H45" s="1189"/>
      <c r="I45" s="1033"/>
      <c r="J45" s="1033"/>
      <c r="K45" s="1033"/>
      <c r="L45" s="1042"/>
      <c r="M45" s="1345">
        <f>TableB2!F45</f>
        <v>0</v>
      </c>
    </row>
    <row r="46" spans="1:13" x14ac:dyDescent="0.2">
      <c r="A46" s="1149" t="s">
        <v>65</v>
      </c>
      <c r="B46" s="121">
        <f>+TableB2!C46</f>
        <v>28.6</v>
      </c>
      <c r="C46" s="1189">
        <f>+TableB2!D46</f>
        <v>16.713376362039998</v>
      </c>
      <c r="D46" s="1033">
        <f>C46</f>
        <v>16.713376362039998</v>
      </c>
      <c r="E46" s="1033">
        <v>0</v>
      </c>
      <c r="F46" s="1033">
        <v>0</v>
      </c>
      <c r="G46" s="1033">
        <v>0</v>
      </c>
      <c r="H46" s="1189">
        <f>TableB2!E46</f>
        <v>4.7060989875599999</v>
      </c>
      <c r="I46" s="1033">
        <f>H46</f>
        <v>4.7060989875599999</v>
      </c>
      <c r="J46" s="1033">
        <v>0</v>
      </c>
      <c r="K46" s="1033">
        <v>0</v>
      </c>
      <c r="L46" s="1042">
        <v>0</v>
      </c>
      <c r="M46" s="1345">
        <f>TableB2!F46</f>
        <v>7.1451487725799998</v>
      </c>
    </row>
    <row r="47" spans="1:13" x14ac:dyDescent="0.2">
      <c r="A47" s="113" t="s">
        <v>66</v>
      </c>
      <c r="B47" s="121">
        <f>+TableB2!C47</f>
        <v>129.19020003003806</v>
      </c>
      <c r="C47" s="1189">
        <f>+TableB2!D47</f>
        <v>90.433140021026631</v>
      </c>
      <c r="D47" s="1033">
        <f t="shared" ref="D47:D89" si="0">C47</f>
        <v>90.433140021026631</v>
      </c>
      <c r="E47" s="1033">
        <v>0</v>
      </c>
      <c r="F47" s="1033">
        <v>0</v>
      </c>
      <c r="G47" s="1033">
        <v>0</v>
      </c>
      <c r="H47" s="1189">
        <f>TableB2!E47</f>
        <v>0</v>
      </c>
      <c r="I47" s="1033">
        <f t="shared" ref="I47:I89" si="1">H47</f>
        <v>0</v>
      </c>
      <c r="J47" s="1033">
        <v>0</v>
      </c>
      <c r="K47" s="1033">
        <v>0</v>
      </c>
      <c r="L47" s="1042">
        <v>0</v>
      </c>
      <c r="M47" s="1345">
        <f>TableB2!F47</f>
        <v>38.757060009011425</v>
      </c>
    </row>
    <row r="48" spans="1:13" x14ac:dyDescent="0.2">
      <c r="A48" s="113" t="s">
        <v>67</v>
      </c>
      <c r="B48" s="121">
        <f>+TableB2!C48</f>
        <v>5.31</v>
      </c>
      <c r="C48" s="1189">
        <f>+TableB2!D48</f>
        <v>3.2548936231000001</v>
      </c>
      <c r="D48" s="1033">
        <f t="shared" si="0"/>
        <v>3.2548936231000001</v>
      </c>
      <c r="E48" s="1033">
        <v>0</v>
      </c>
      <c r="F48" s="1033">
        <v>0</v>
      </c>
      <c r="G48" s="1033">
        <v>0</v>
      </c>
      <c r="H48" s="1189">
        <f>TableB2!E48</f>
        <v>0.51574077109999994</v>
      </c>
      <c r="I48" s="1033">
        <f t="shared" si="1"/>
        <v>0.51574077109999994</v>
      </c>
      <c r="J48" s="1033">
        <v>0</v>
      </c>
      <c r="K48" s="1033">
        <v>0</v>
      </c>
      <c r="L48" s="1042">
        <v>0</v>
      </c>
      <c r="M48" s="1345">
        <f>TableB2!F48</f>
        <v>1.5393656057999996</v>
      </c>
    </row>
    <row r="49" spans="1:13" x14ac:dyDescent="0.2">
      <c r="A49" s="113" t="s">
        <v>68</v>
      </c>
      <c r="B49" s="121">
        <f>+TableB2!C49</f>
        <v>2.04</v>
      </c>
      <c r="C49" s="1189">
        <f>+TableB2!D49</f>
        <v>1.9856036526</v>
      </c>
      <c r="D49" s="1033">
        <f t="shared" si="0"/>
        <v>1.9856036526</v>
      </c>
      <c r="E49" s="1033">
        <v>0</v>
      </c>
      <c r="F49" s="1033">
        <v>0</v>
      </c>
      <c r="G49" s="1033">
        <v>0</v>
      </c>
      <c r="H49" s="1189">
        <f>TableB2!E49</f>
        <v>1.0689373862</v>
      </c>
      <c r="I49" s="1033">
        <f t="shared" si="1"/>
        <v>1.0689373862</v>
      </c>
      <c r="J49" s="1033">
        <v>0</v>
      </c>
      <c r="K49" s="1033">
        <v>0</v>
      </c>
      <c r="L49" s="1042">
        <v>0</v>
      </c>
      <c r="M49" s="1345">
        <f>TableB2!F49</f>
        <v>-1.0145410388</v>
      </c>
    </row>
    <row r="50" spans="1:13" x14ac:dyDescent="0.2">
      <c r="A50" s="113" t="s">
        <v>69</v>
      </c>
      <c r="B50" s="121">
        <f>+TableB2!C50</f>
        <v>13.7</v>
      </c>
      <c r="C50" s="1189">
        <f>+TableB2!D50</f>
        <v>10.231280761199999</v>
      </c>
      <c r="D50" s="1033">
        <f t="shared" si="0"/>
        <v>10.231280761199999</v>
      </c>
      <c r="E50" s="1033">
        <v>0</v>
      </c>
      <c r="F50" s="1033">
        <v>0</v>
      </c>
      <c r="G50" s="1033">
        <v>0</v>
      </c>
      <c r="H50" s="1189">
        <f>TableB2!E50</f>
        <v>6.7355001169000008</v>
      </c>
      <c r="I50" s="1033">
        <f t="shared" si="1"/>
        <v>6.7355001169000008</v>
      </c>
      <c r="J50" s="1033">
        <v>0</v>
      </c>
      <c r="K50" s="1033">
        <v>0</v>
      </c>
      <c r="L50" s="1042">
        <v>0</v>
      </c>
      <c r="M50" s="1345">
        <f>TableB2!F50</f>
        <v>-3.2667808781000005</v>
      </c>
    </row>
    <row r="51" spans="1:13" x14ac:dyDescent="0.2">
      <c r="A51" s="113" t="s">
        <v>70</v>
      </c>
      <c r="B51" s="121">
        <f>+TableB2!C51</f>
        <v>41</v>
      </c>
      <c r="C51" s="1189">
        <f>+TableB2!D51</f>
        <v>28.695729999999998</v>
      </c>
      <c r="D51" s="1033">
        <f t="shared" si="0"/>
        <v>28.695729999999998</v>
      </c>
      <c r="E51" s="1033">
        <v>0</v>
      </c>
      <c r="F51" s="1033">
        <v>0</v>
      </c>
      <c r="G51" s="1033">
        <v>0</v>
      </c>
      <c r="H51" s="1189">
        <f>TableB2!E51</f>
        <v>9.3334899999999994</v>
      </c>
      <c r="I51" s="1033">
        <f t="shared" si="1"/>
        <v>9.3334899999999994</v>
      </c>
      <c r="J51" s="1033">
        <v>0</v>
      </c>
      <c r="K51" s="1033">
        <v>0</v>
      </c>
      <c r="L51" s="1042">
        <v>0</v>
      </c>
      <c r="M51" s="1345">
        <f>TableB2!F51</f>
        <v>2.9707800000000031</v>
      </c>
    </row>
    <row r="52" spans="1:13" x14ac:dyDescent="0.2">
      <c r="A52" s="113" t="s">
        <v>71</v>
      </c>
      <c r="B52" s="121">
        <f>+TableB2!C52</f>
        <v>7.06</v>
      </c>
      <c r="C52" s="1189">
        <f>+TableB2!D52</f>
        <v>6.9219943913000002</v>
      </c>
      <c r="D52" s="1033">
        <f t="shared" si="0"/>
        <v>6.9219943913000002</v>
      </c>
      <c r="E52" s="1033">
        <v>0</v>
      </c>
      <c r="F52" s="1033">
        <v>0</v>
      </c>
      <c r="G52" s="1033">
        <v>0</v>
      </c>
      <c r="H52" s="1189">
        <f>TableB2!E52</f>
        <v>0.46488415110000003</v>
      </c>
      <c r="I52" s="1033">
        <f t="shared" si="1"/>
        <v>0.46488415110000003</v>
      </c>
      <c r="J52" s="1033">
        <v>0</v>
      </c>
      <c r="K52" s="1033">
        <v>0</v>
      </c>
      <c r="L52" s="1042">
        <v>0</v>
      </c>
      <c r="M52" s="1345">
        <f>TableB2!F52</f>
        <v>-0.32687854240000058</v>
      </c>
    </row>
    <row r="53" spans="1:13" ht="34" x14ac:dyDescent="0.2">
      <c r="A53" s="112" t="s">
        <v>72</v>
      </c>
      <c r="B53" s="121"/>
      <c r="C53" s="1189"/>
      <c r="D53" s="1033"/>
      <c r="E53" s="1033"/>
      <c r="F53" s="1033"/>
      <c r="G53" s="1033"/>
      <c r="H53" s="1189"/>
      <c r="I53" s="1033"/>
      <c r="J53" s="1033"/>
      <c r="K53" s="1033"/>
      <c r="L53" s="1042"/>
      <c r="M53" s="1345"/>
    </row>
    <row r="54" spans="1:13" x14ac:dyDescent="0.2">
      <c r="A54" s="113" t="s">
        <v>73</v>
      </c>
      <c r="B54" s="121">
        <f>+TableB2!C54</f>
        <v>3.6200000000000003E-2</v>
      </c>
      <c r="C54" s="1189">
        <f>+TableB2!D54</f>
        <v>2.5340000000000001E-2</v>
      </c>
      <c r="D54" s="1033">
        <f t="shared" si="0"/>
        <v>2.5340000000000001E-2</v>
      </c>
      <c r="E54" s="1033">
        <v>0</v>
      </c>
      <c r="F54" s="1033">
        <v>0</v>
      </c>
      <c r="G54" s="1033">
        <v>0</v>
      </c>
      <c r="H54" s="1189">
        <f>TableB2!E54</f>
        <v>0</v>
      </c>
      <c r="I54" s="1033">
        <f t="shared" si="1"/>
        <v>0</v>
      </c>
      <c r="J54" s="1033">
        <v>0</v>
      </c>
      <c r="K54" s="1033">
        <v>0</v>
      </c>
      <c r="L54" s="1042">
        <v>0</v>
      </c>
      <c r="M54" s="1345">
        <f>TableB2!F54</f>
        <v>1.086E-2</v>
      </c>
    </row>
    <row r="55" spans="1:13" x14ac:dyDescent="0.2">
      <c r="A55" s="113" t="s">
        <v>74</v>
      </c>
      <c r="B55" s="121">
        <f>+TableB2!C55</f>
        <v>0.1085</v>
      </c>
      <c r="C55" s="1189">
        <f>+TableB2!D55</f>
        <v>7.5950000000000004E-2</v>
      </c>
      <c r="D55" s="1033">
        <f t="shared" si="0"/>
        <v>7.5950000000000004E-2</v>
      </c>
      <c r="E55" s="1033">
        <v>0</v>
      </c>
      <c r="F55" s="1033">
        <v>0</v>
      </c>
      <c r="G55" s="1033">
        <v>0</v>
      </c>
      <c r="H55" s="1189">
        <f>TableB2!E55</f>
        <v>0</v>
      </c>
      <c r="I55" s="1033">
        <f t="shared" si="1"/>
        <v>0</v>
      </c>
      <c r="J55" s="1033">
        <v>0</v>
      </c>
      <c r="K55" s="1033">
        <v>0</v>
      </c>
      <c r="L55" s="1042">
        <v>0</v>
      </c>
      <c r="M55" s="1345">
        <f>TableB2!F55</f>
        <v>3.2549999999999996E-2</v>
      </c>
    </row>
    <row r="56" spans="1:13" x14ac:dyDescent="0.2">
      <c r="A56" s="1148" t="str">
        <f>+TableA1!A56</f>
        <v>Antigua and Barbuda</v>
      </c>
      <c r="B56" s="121">
        <f>+TableB2!C56</f>
        <v>7.690000000000001E-2</v>
      </c>
      <c r="C56" s="1189">
        <f>+TableB2!D56</f>
        <v>5.3830000000000003E-2</v>
      </c>
      <c r="D56" s="1033">
        <f t="shared" si="0"/>
        <v>5.3830000000000003E-2</v>
      </c>
      <c r="E56" s="1033">
        <v>0</v>
      </c>
      <c r="F56" s="1033">
        <v>0</v>
      </c>
      <c r="G56" s="1033">
        <v>0</v>
      </c>
      <c r="H56" s="1189">
        <f>TableB2!E56</f>
        <v>0</v>
      </c>
      <c r="I56" s="1033">
        <f t="shared" si="1"/>
        <v>0</v>
      </c>
      <c r="J56" s="1033">
        <v>0</v>
      </c>
      <c r="K56" s="1033">
        <v>0</v>
      </c>
      <c r="L56" s="1042">
        <v>0</v>
      </c>
      <c r="M56" s="1345">
        <f>TableB2!F56</f>
        <v>2.3070000000000004E-2</v>
      </c>
    </row>
    <row r="57" spans="1:13" x14ac:dyDescent="0.2">
      <c r="A57" s="113" t="s">
        <v>76</v>
      </c>
      <c r="B57" s="121">
        <f>+TableB2!C57</f>
        <v>9.8715083800000006E-2</v>
      </c>
      <c r="C57" s="1189">
        <f>+TableB2!D57</f>
        <v>6.9100558660000005E-2</v>
      </c>
      <c r="D57" s="1033">
        <f t="shared" si="0"/>
        <v>6.9100558660000005E-2</v>
      </c>
      <c r="E57" s="1033">
        <v>0</v>
      </c>
      <c r="F57" s="1033">
        <v>0</v>
      </c>
      <c r="G57" s="1033">
        <v>0</v>
      </c>
      <c r="H57" s="1189">
        <f>TableB2!E57</f>
        <v>0</v>
      </c>
      <c r="I57" s="1033">
        <f t="shared" si="1"/>
        <v>0</v>
      </c>
      <c r="J57" s="1033">
        <v>0</v>
      </c>
      <c r="K57" s="1033">
        <v>0</v>
      </c>
      <c r="L57" s="1042">
        <v>0</v>
      </c>
      <c r="M57" s="1345">
        <f>TableB2!F57</f>
        <v>2.961452514E-2</v>
      </c>
    </row>
    <row r="58" spans="1:13" x14ac:dyDescent="0.2">
      <c r="A58" s="113" t="s">
        <v>152</v>
      </c>
      <c r="B58" s="121">
        <f>+TableB2!C58</f>
        <v>2.4410858728483822</v>
      </c>
      <c r="C58" s="1189">
        <f>+TableB2!D58</f>
        <v>1.7087601109938677</v>
      </c>
      <c r="D58" s="1033">
        <f t="shared" si="0"/>
        <v>1.7087601109938677</v>
      </c>
      <c r="E58" s="1033">
        <v>0</v>
      </c>
      <c r="F58" s="1033">
        <v>0</v>
      </c>
      <c r="G58" s="1033">
        <v>0</v>
      </c>
      <c r="H58" s="1189">
        <f>TableB2!E58</f>
        <v>0</v>
      </c>
      <c r="I58" s="1033">
        <f t="shared" si="1"/>
        <v>0</v>
      </c>
      <c r="J58" s="1033">
        <v>0</v>
      </c>
      <c r="K58" s="1033">
        <v>0</v>
      </c>
      <c r="L58" s="1042">
        <v>0</v>
      </c>
      <c r="M58" s="1345">
        <f>TableB2!F58</f>
        <v>0.73232576185451459</v>
      </c>
    </row>
    <row r="59" spans="1:13" x14ac:dyDescent="0.2">
      <c r="A59" s="113" t="s">
        <v>78</v>
      </c>
      <c r="B59" s="121">
        <f>+TableB2!C59</f>
        <v>0.72000805649591415</v>
      </c>
      <c r="C59" s="1189">
        <f>+TableB2!D59</f>
        <v>0.50400563954713995</v>
      </c>
      <c r="D59" s="1033">
        <f t="shared" si="0"/>
        <v>0.50400563954713995</v>
      </c>
      <c r="E59" s="1033">
        <v>0</v>
      </c>
      <c r="F59" s="1033">
        <v>0</v>
      </c>
      <c r="G59" s="1033">
        <v>0</v>
      </c>
      <c r="H59" s="1189">
        <f>TableB2!E59</f>
        <v>0</v>
      </c>
      <c r="I59" s="1033">
        <f t="shared" si="1"/>
        <v>0</v>
      </c>
      <c r="J59" s="1033">
        <v>0</v>
      </c>
      <c r="K59" s="1033">
        <v>0</v>
      </c>
      <c r="L59" s="1042">
        <v>0</v>
      </c>
      <c r="M59" s="1345">
        <f>TableB2!F59</f>
        <v>0.21600241694877423</v>
      </c>
    </row>
    <row r="60" spans="1:13" x14ac:dyDescent="0.2">
      <c r="A60" s="1148" t="str">
        <f>+TableA1!A60</f>
        <v>Barbados</v>
      </c>
      <c r="B60" s="121">
        <f>+TableB2!C60</f>
        <v>2.1307224236508158</v>
      </c>
      <c r="C60" s="1189">
        <f>+TableB2!D60</f>
        <v>1.4915056965555711</v>
      </c>
      <c r="D60" s="1033">
        <f t="shared" si="0"/>
        <v>1.4915056965555711</v>
      </c>
      <c r="E60" s="1033">
        <v>0</v>
      </c>
      <c r="F60" s="1033">
        <v>0</v>
      </c>
      <c r="G60" s="1033">
        <v>0</v>
      </c>
      <c r="H60" s="1189">
        <f>TableB2!E60</f>
        <v>0</v>
      </c>
      <c r="I60" s="1033">
        <f t="shared" si="1"/>
        <v>0</v>
      </c>
      <c r="J60" s="1033">
        <v>0</v>
      </c>
      <c r="K60" s="1033">
        <v>0</v>
      </c>
      <c r="L60" s="1042">
        <v>0</v>
      </c>
      <c r="M60" s="1345">
        <f>TableB2!F60</f>
        <v>0.63921672709524469</v>
      </c>
    </row>
    <row r="61" spans="1:13" x14ac:dyDescent="0.2">
      <c r="A61" s="113" t="s">
        <v>80</v>
      </c>
      <c r="B61" s="121">
        <f>+TableB2!C61</f>
        <v>6.6200000000000009E-2</v>
      </c>
      <c r="C61" s="1189">
        <f>+TableB2!D61</f>
        <v>4.6340000000000006E-2</v>
      </c>
      <c r="D61" s="1033">
        <f t="shared" si="0"/>
        <v>4.6340000000000006E-2</v>
      </c>
      <c r="E61" s="1033">
        <v>0</v>
      </c>
      <c r="F61" s="1033">
        <v>0</v>
      </c>
      <c r="G61" s="1033">
        <v>0</v>
      </c>
      <c r="H61" s="1189">
        <f>TableB2!E61</f>
        <v>0</v>
      </c>
      <c r="I61" s="1033">
        <f t="shared" si="1"/>
        <v>0</v>
      </c>
      <c r="J61" s="1033">
        <v>0</v>
      </c>
      <c r="K61" s="1033">
        <v>0</v>
      </c>
      <c r="L61" s="1042">
        <v>0</v>
      </c>
      <c r="M61" s="1345">
        <f>TableB2!F61</f>
        <v>1.9860000000000003E-2</v>
      </c>
    </row>
    <row r="62" spans="1:13" x14ac:dyDescent="0.2">
      <c r="A62" s="113" t="s">
        <v>81</v>
      </c>
      <c r="B62" s="121">
        <f>+TableB2!C62</f>
        <v>47.722737121784164</v>
      </c>
      <c r="C62" s="1189">
        <f>+TableB2!D62</f>
        <v>33.405915985248917</v>
      </c>
      <c r="D62" s="1033">
        <f t="shared" si="0"/>
        <v>33.405915985248917</v>
      </c>
      <c r="E62" s="1033">
        <v>0</v>
      </c>
      <c r="F62" s="1033">
        <v>0</v>
      </c>
      <c r="G62" s="1033">
        <v>0</v>
      </c>
      <c r="H62" s="1189">
        <f>TableB2!E62</f>
        <v>0</v>
      </c>
      <c r="I62" s="1033">
        <f t="shared" si="1"/>
        <v>0</v>
      </c>
      <c r="J62" s="1033">
        <v>0</v>
      </c>
      <c r="K62" s="1033">
        <v>0</v>
      </c>
      <c r="L62" s="1042">
        <v>0</v>
      </c>
      <c r="M62" s="1345">
        <f>TableB2!F62</f>
        <v>14.316821136535248</v>
      </c>
    </row>
    <row r="63" spans="1:13" x14ac:dyDescent="0.2">
      <c r="A63" s="113" t="s">
        <v>82</v>
      </c>
      <c r="B63" s="121">
        <f>+TableB2!C63</f>
        <v>1E-4</v>
      </c>
      <c r="C63" s="1189">
        <f>+TableB2!D63</f>
        <v>7.0000000000000007E-5</v>
      </c>
      <c r="D63" s="1033">
        <f t="shared" si="0"/>
        <v>7.0000000000000007E-5</v>
      </c>
      <c r="E63" s="1033">
        <v>0</v>
      </c>
      <c r="F63" s="1033">
        <v>0</v>
      </c>
      <c r="G63" s="1033">
        <v>0</v>
      </c>
      <c r="H63" s="1189">
        <f>TableB2!E63</f>
        <v>0</v>
      </c>
      <c r="I63" s="1033">
        <f t="shared" si="1"/>
        <v>0</v>
      </c>
      <c r="J63" s="1033">
        <v>0</v>
      </c>
      <c r="K63" s="1033">
        <v>0</v>
      </c>
      <c r="L63" s="1042">
        <v>0</v>
      </c>
      <c r="M63" s="1345">
        <f>TableB2!F63</f>
        <v>3.0000000000000001E-5</v>
      </c>
    </row>
    <row r="64" spans="1:13" x14ac:dyDescent="0.2">
      <c r="A64" s="113" t="s">
        <v>153</v>
      </c>
      <c r="B64" s="121">
        <f>+TableB2!C64</f>
        <v>0.53559617448905006</v>
      </c>
      <c r="C64" s="1189">
        <f>+TableB2!D64</f>
        <v>0.37491732214233509</v>
      </c>
      <c r="D64" s="1033">
        <f t="shared" si="0"/>
        <v>0.37491732214233509</v>
      </c>
      <c r="E64" s="1033">
        <v>0</v>
      </c>
      <c r="F64" s="1033">
        <v>0</v>
      </c>
      <c r="G64" s="1033">
        <v>0</v>
      </c>
      <c r="H64" s="1189">
        <f>TableB2!E64</f>
        <v>0</v>
      </c>
      <c r="I64" s="1033">
        <f t="shared" si="1"/>
        <v>0</v>
      </c>
      <c r="J64" s="1033">
        <v>0</v>
      </c>
      <c r="K64" s="1033">
        <v>0</v>
      </c>
      <c r="L64" s="1042">
        <v>0</v>
      </c>
      <c r="M64" s="1345">
        <f>TableB2!F64</f>
        <v>0.160678852346715</v>
      </c>
    </row>
    <row r="65" spans="1:13" x14ac:dyDescent="0.2">
      <c r="A65" s="113" t="s">
        <v>84</v>
      </c>
      <c r="B65" s="121">
        <f>+TableB2!C65</f>
        <v>32.253212825518716</v>
      </c>
      <c r="C65" s="1189">
        <f>+TableB2!D65</f>
        <v>22.5772489778631</v>
      </c>
      <c r="D65" s="1033">
        <f t="shared" si="0"/>
        <v>22.5772489778631</v>
      </c>
      <c r="E65" s="1033">
        <v>0</v>
      </c>
      <c r="F65" s="1033">
        <v>0</v>
      </c>
      <c r="G65" s="1033">
        <v>0</v>
      </c>
      <c r="H65" s="1189">
        <f>TableB2!E65</f>
        <v>0</v>
      </c>
      <c r="I65" s="1033">
        <f t="shared" si="1"/>
        <v>0</v>
      </c>
      <c r="J65" s="1033">
        <v>0</v>
      </c>
      <c r="K65" s="1033">
        <v>0</v>
      </c>
      <c r="L65" s="1042">
        <v>0</v>
      </c>
      <c r="M65" s="1345">
        <f>TableB2!F65</f>
        <v>9.6759638476556145</v>
      </c>
    </row>
    <row r="66" spans="1:13" x14ac:dyDescent="0.2">
      <c r="A66" s="113" t="s">
        <v>85</v>
      </c>
      <c r="B66" s="121">
        <f>+TableB2!C66</f>
        <v>0.48729023846046576</v>
      </c>
      <c r="C66" s="1189">
        <f>+TableB2!D66</f>
        <v>0.34110316692232601</v>
      </c>
      <c r="D66" s="1033">
        <f t="shared" si="0"/>
        <v>0.34110316692232601</v>
      </c>
      <c r="E66" s="1033">
        <v>0</v>
      </c>
      <c r="F66" s="1033">
        <v>0</v>
      </c>
      <c r="G66" s="1033">
        <v>0</v>
      </c>
      <c r="H66" s="1189">
        <f>TableB2!E66</f>
        <v>0</v>
      </c>
      <c r="I66" s="1033">
        <f t="shared" si="1"/>
        <v>0</v>
      </c>
      <c r="J66" s="1033">
        <v>0</v>
      </c>
      <c r="K66" s="1033">
        <v>0</v>
      </c>
      <c r="L66" s="1042">
        <v>0</v>
      </c>
      <c r="M66" s="1345">
        <f>TableB2!F66</f>
        <v>0.14618707153813973</v>
      </c>
    </row>
    <row r="67" spans="1:13" x14ac:dyDescent="0.2">
      <c r="A67" s="1148" t="str">
        <f>+TableA1!A67</f>
        <v>Cyprus</v>
      </c>
      <c r="B67" s="121">
        <f>+TableB2!C67</f>
        <v>5.2637361260589266</v>
      </c>
      <c r="C67" s="1189">
        <f>+TableB2!D67</f>
        <v>3.6846152882412486</v>
      </c>
      <c r="D67" s="1033">
        <f t="shared" si="0"/>
        <v>3.6846152882412486</v>
      </c>
      <c r="E67" s="1033">
        <v>0</v>
      </c>
      <c r="F67" s="1033">
        <v>0</v>
      </c>
      <c r="G67" s="1033">
        <v>0</v>
      </c>
      <c r="H67" s="1189">
        <f>TableB2!E67</f>
        <v>0</v>
      </c>
      <c r="I67" s="1033">
        <f t="shared" si="1"/>
        <v>0</v>
      </c>
      <c r="J67" s="1033">
        <v>0</v>
      </c>
      <c r="K67" s="1033">
        <v>0</v>
      </c>
      <c r="L67" s="1042">
        <v>0</v>
      </c>
      <c r="M67" s="1345">
        <f>TableB2!F67</f>
        <v>1.579120837817678</v>
      </c>
    </row>
    <row r="68" spans="1:13" x14ac:dyDescent="0.2">
      <c r="A68" s="113" t="s">
        <v>87</v>
      </c>
      <c r="B68" s="121">
        <f>+TableB2!C68</f>
        <v>2.3281000000000001</v>
      </c>
      <c r="C68" s="1189">
        <f>+TableB2!D68</f>
        <v>1.62967</v>
      </c>
      <c r="D68" s="1033">
        <f t="shared" si="0"/>
        <v>1.62967</v>
      </c>
      <c r="E68" s="1033">
        <v>0</v>
      </c>
      <c r="F68" s="1033">
        <v>0</v>
      </c>
      <c r="G68" s="1033">
        <v>0</v>
      </c>
      <c r="H68" s="1189">
        <f>TableB2!E68</f>
        <v>0</v>
      </c>
      <c r="I68" s="1033">
        <f t="shared" si="1"/>
        <v>0</v>
      </c>
      <c r="J68" s="1033">
        <v>0</v>
      </c>
      <c r="K68" s="1033">
        <v>0</v>
      </c>
      <c r="L68" s="1042">
        <v>0</v>
      </c>
      <c r="M68" s="1345">
        <f>TableB2!F68</f>
        <v>0.69843</v>
      </c>
    </row>
    <row r="69" spans="1:13" x14ac:dyDescent="0.2">
      <c r="A69" s="1148" t="str">
        <f>+TableA1!A69</f>
        <v>Grenada</v>
      </c>
      <c r="B69" s="121">
        <f>+TableB2!C69</f>
        <v>1.52E-2</v>
      </c>
      <c r="C69" s="1189">
        <f>+TableB2!D69</f>
        <v>1.064E-2</v>
      </c>
      <c r="D69" s="1033">
        <f t="shared" si="0"/>
        <v>1.064E-2</v>
      </c>
      <c r="E69" s="1033">
        <v>0</v>
      </c>
      <c r="F69" s="1033">
        <v>0</v>
      </c>
      <c r="G69" s="1033">
        <v>0</v>
      </c>
      <c r="H69" s="1189">
        <f>TableB2!E69</f>
        <v>0</v>
      </c>
      <c r="I69" s="1033">
        <f t="shared" si="1"/>
        <v>0</v>
      </c>
      <c r="J69" s="1033">
        <v>0</v>
      </c>
      <c r="K69" s="1033">
        <v>0</v>
      </c>
      <c r="L69" s="1042">
        <v>0</v>
      </c>
      <c r="M69" s="1345">
        <f>TableB2!F69</f>
        <v>4.5599999999999998E-3</v>
      </c>
    </row>
    <row r="70" spans="1:13" x14ac:dyDescent="0.2">
      <c r="A70" s="113" t="s">
        <v>89</v>
      </c>
      <c r="B70" s="121">
        <f>+TableB2!C70</f>
        <v>0.76690416711093745</v>
      </c>
      <c r="C70" s="1189">
        <f>+TableB2!D70</f>
        <v>0.53683291697765623</v>
      </c>
      <c r="D70" s="1033">
        <f t="shared" si="0"/>
        <v>0.53683291697765623</v>
      </c>
      <c r="E70" s="1033">
        <v>0</v>
      </c>
      <c r="F70" s="1033">
        <v>0</v>
      </c>
      <c r="G70" s="1033">
        <v>0</v>
      </c>
      <c r="H70" s="1189">
        <f>TableB2!E70</f>
        <v>0</v>
      </c>
      <c r="I70" s="1033">
        <f t="shared" si="1"/>
        <v>0</v>
      </c>
      <c r="J70" s="1033">
        <v>0</v>
      </c>
      <c r="K70" s="1033">
        <v>0</v>
      </c>
      <c r="L70" s="1042">
        <v>0</v>
      </c>
      <c r="M70" s="1345">
        <f>TableB2!F70</f>
        <v>0.23007125013328122</v>
      </c>
    </row>
    <row r="71" spans="1:13" x14ac:dyDescent="0.2">
      <c r="A71" s="113" t="s">
        <v>154</v>
      </c>
      <c r="B71" s="121">
        <f>+TableB2!C71</f>
        <v>0.30164808972880497</v>
      </c>
      <c r="C71" s="1189">
        <f>+TableB2!D71</f>
        <v>0.21115366281016348</v>
      </c>
      <c r="D71" s="1033">
        <f t="shared" si="0"/>
        <v>0.21115366281016348</v>
      </c>
      <c r="E71" s="1033">
        <v>0</v>
      </c>
      <c r="F71" s="1033">
        <v>0</v>
      </c>
      <c r="G71" s="1033">
        <v>0</v>
      </c>
      <c r="H71" s="1189">
        <f>TableB2!E71</f>
        <v>0</v>
      </c>
      <c r="I71" s="1033">
        <f t="shared" si="1"/>
        <v>0</v>
      </c>
      <c r="J71" s="1033">
        <v>0</v>
      </c>
      <c r="K71" s="1033">
        <v>0</v>
      </c>
      <c r="L71" s="1042">
        <v>0</v>
      </c>
      <c r="M71" s="1345">
        <f>TableB2!F71</f>
        <v>9.0494426918641485E-2</v>
      </c>
    </row>
    <row r="72" spans="1:13" x14ac:dyDescent="0.2">
      <c r="A72" s="113" t="s">
        <v>91</v>
      </c>
      <c r="B72" s="121">
        <f>+TableB2!C72</f>
        <v>137</v>
      </c>
      <c r="C72" s="1189">
        <f>+TableB2!D72</f>
        <v>95.9</v>
      </c>
      <c r="D72" s="1033">
        <f t="shared" si="0"/>
        <v>95.9</v>
      </c>
      <c r="E72" s="1033">
        <v>0</v>
      </c>
      <c r="F72" s="1033">
        <v>0</v>
      </c>
      <c r="G72" s="1033">
        <v>0</v>
      </c>
      <c r="H72" s="1189">
        <f>TableB2!E72</f>
        <v>0</v>
      </c>
      <c r="I72" s="1033">
        <f t="shared" si="1"/>
        <v>0</v>
      </c>
      <c r="J72" s="1033">
        <v>0</v>
      </c>
      <c r="K72" s="1033">
        <v>0</v>
      </c>
      <c r="L72" s="1042">
        <v>0</v>
      </c>
      <c r="M72" s="1345">
        <f>TableB2!F72</f>
        <v>41.1</v>
      </c>
    </row>
    <row r="73" spans="1:13" x14ac:dyDescent="0.2">
      <c r="A73" s="113" t="s">
        <v>92</v>
      </c>
      <c r="B73" s="121">
        <f>+TableB2!C73</f>
        <v>0.6025320598192031</v>
      </c>
      <c r="C73" s="1189">
        <f>+TableB2!D73</f>
        <v>0.42177244187344221</v>
      </c>
      <c r="D73" s="1033">
        <f t="shared" si="0"/>
        <v>0.42177244187344221</v>
      </c>
      <c r="E73" s="1033">
        <v>0</v>
      </c>
      <c r="F73" s="1033">
        <v>0</v>
      </c>
      <c r="G73" s="1033">
        <v>0</v>
      </c>
      <c r="H73" s="1189">
        <f>TableB2!E73</f>
        <v>0</v>
      </c>
      <c r="I73" s="1033">
        <f t="shared" si="1"/>
        <v>0</v>
      </c>
      <c r="J73" s="1033">
        <v>0</v>
      </c>
      <c r="K73" s="1033">
        <v>0</v>
      </c>
      <c r="L73" s="1042">
        <v>0</v>
      </c>
      <c r="M73" s="1345">
        <f>TableB2!F73</f>
        <v>0.18075961794576093</v>
      </c>
    </row>
    <row r="74" spans="1:13" x14ac:dyDescent="0.2">
      <c r="A74" s="113" t="s">
        <v>93</v>
      </c>
      <c r="B74" s="121">
        <f>+TableB2!C74</f>
        <v>0.436</v>
      </c>
      <c r="C74" s="1189">
        <f>+TableB2!D74</f>
        <v>0.30520000000000003</v>
      </c>
      <c r="D74" s="1033">
        <f t="shared" si="0"/>
        <v>0.30520000000000003</v>
      </c>
      <c r="E74" s="1033">
        <v>0</v>
      </c>
      <c r="F74" s="1033">
        <v>0</v>
      </c>
      <c r="G74" s="1033">
        <v>0</v>
      </c>
      <c r="H74" s="1189">
        <f>TableB2!E74</f>
        <v>0</v>
      </c>
      <c r="I74" s="1033">
        <f t="shared" si="1"/>
        <v>0</v>
      </c>
      <c r="J74" s="1033">
        <v>0</v>
      </c>
      <c r="K74" s="1033">
        <v>0</v>
      </c>
      <c r="L74" s="1042">
        <v>0</v>
      </c>
      <c r="M74" s="1345">
        <f>TableB2!F74</f>
        <v>0.1308</v>
      </c>
    </row>
    <row r="75" spans="1:13" x14ac:dyDescent="0.2">
      <c r="A75" s="113" t="s">
        <v>94</v>
      </c>
      <c r="B75" s="121">
        <f>+TableB2!C75</f>
        <v>7.4999999999999997E-3</v>
      </c>
      <c r="C75" s="1189">
        <f>+TableB2!D75</f>
        <v>5.2499999999999995E-3</v>
      </c>
      <c r="D75" s="1033">
        <f t="shared" si="0"/>
        <v>5.2499999999999995E-3</v>
      </c>
      <c r="E75" s="1033">
        <v>0</v>
      </c>
      <c r="F75" s="1033">
        <v>0</v>
      </c>
      <c r="G75" s="1033">
        <v>0</v>
      </c>
      <c r="H75" s="1189">
        <f>TableB2!E75</f>
        <v>0</v>
      </c>
      <c r="I75" s="1033">
        <f t="shared" si="1"/>
        <v>0</v>
      </c>
      <c r="J75" s="1033">
        <v>0</v>
      </c>
      <c r="K75" s="1033">
        <v>0</v>
      </c>
      <c r="L75" s="1042">
        <v>0</v>
      </c>
      <c r="M75" s="1345">
        <f>TableB2!F75</f>
        <v>2.2499999999999998E-3</v>
      </c>
    </row>
    <row r="76" spans="1:13" x14ac:dyDescent="0.2">
      <c r="A76" s="113" t="s">
        <v>95</v>
      </c>
      <c r="B76" s="121">
        <f>+TableB2!C76</f>
        <v>6.43</v>
      </c>
      <c r="C76" s="1189">
        <f>+TableB2!D76</f>
        <v>4.5009999999999994</v>
      </c>
      <c r="D76" s="1033">
        <f t="shared" si="0"/>
        <v>4.5009999999999994</v>
      </c>
      <c r="E76" s="1033">
        <v>0</v>
      </c>
      <c r="F76" s="1033">
        <v>0</v>
      </c>
      <c r="G76" s="1033">
        <v>0</v>
      </c>
      <c r="H76" s="1189">
        <f>TableB2!E76</f>
        <v>0</v>
      </c>
      <c r="I76" s="1033">
        <f t="shared" si="1"/>
        <v>0</v>
      </c>
      <c r="J76" s="1033">
        <v>0</v>
      </c>
      <c r="K76" s="1033">
        <v>0</v>
      </c>
      <c r="L76" s="1042">
        <v>0</v>
      </c>
      <c r="M76" s="1345">
        <f>TableB2!F76</f>
        <v>1.9289999999999998</v>
      </c>
    </row>
    <row r="77" spans="1:13" x14ac:dyDescent="0.2">
      <c r="A77" s="113" t="s">
        <v>96</v>
      </c>
      <c r="B77" s="121">
        <f>+TableB2!C77</f>
        <v>10.1</v>
      </c>
      <c r="C77" s="1189">
        <f>+TableB2!D77</f>
        <v>7.07</v>
      </c>
      <c r="D77" s="1033">
        <f t="shared" si="0"/>
        <v>7.07</v>
      </c>
      <c r="E77" s="1033">
        <v>0</v>
      </c>
      <c r="F77" s="1033">
        <v>0</v>
      </c>
      <c r="G77" s="1033">
        <v>0</v>
      </c>
      <c r="H77" s="1189">
        <f>TableB2!E77</f>
        <v>0</v>
      </c>
      <c r="I77" s="1033">
        <f t="shared" si="1"/>
        <v>0</v>
      </c>
      <c r="J77" s="1033">
        <v>0</v>
      </c>
      <c r="K77" s="1033">
        <v>0</v>
      </c>
      <c r="L77" s="1042">
        <v>0</v>
      </c>
      <c r="M77" s="1345">
        <f>TableB2!F77</f>
        <v>3.03</v>
      </c>
    </row>
    <row r="78" spans="1:13" x14ac:dyDescent="0.2">
      <c r="A78" s="113" t="s">
        <v>97</v>
      </c>
      <c r="B78" s="121">
        <f>+TableB2!C78</f>
        <v>0.12425690030132812</v>
      </c>
      <c r="C78" s="1189">
        <f>+TableB2!D78</f>
        <v>8.6979830210929684E-2</v>
      </c>
      <c r="D78" s="1033">
        <f t="shared" si="0"/>
        <v>8.6979830210929684E-2</v>
      </c>
      <c r="E78" s="1033">
        <v>0</v>
      </c>
      <c r="F78" s="1033">
        <v>0</v>
      </c>
      <c r="G78" s="1033">
        <v>0</v>
      </c>
      <c r="H78" s="1189">
        <f>TableB2!E78</f>
        <v>0</v>
      </c>
      <c r="I78" s="1033">
        <f t="shared" si="1"/>
        <v>0</v>
      </c>
      <c r="J78" s="1033">
        <v>0</v>
      </c>
      <c r="K78" s="1033">
        <v>0</v>
      </c>
      <c r="L78" s="1042">
        <v>0</v>
      </c>
      <c r="M78" s="1345">
        <f>TableB2!F78</f>
        <v>3.7277070090398434E-2</v>
      </c>
    </row>
    <row r="79" spans="1:13" x14ac:dyDescent="0.2">
      <c r="A79" s="1148" t="str">
        <f>+TableA1!A79</f>
        <v>Monaco</v>
      </c>
      <c r="B79" s="121">
        <f>+TableB2!C79</f>
        <v>0</v>
      </c>
      <c r="C79" s="1189">
        <f>+TableB2!D79</f>
        <v>0</v>
      </c>
      <c r="D79" s="1033">
        <f t="shared" si="0"/>
        <v>0</v>
      </c>
      <c r="E79" s="1033">
        <v>0</v>
      </c>
      <c r="F79" s="1033">
        <v>0</v>
      </c>
      <c r="G79" s="1033">
        <v>0</v>
      </c>
      <c r="H79" s="1189">
        <f>TableB2!E79</f>
        <v>0</v>
      </c>
      <c r="I79" s="1033">
        <f t="shared" si="1"/>
        <v>0</v>
      </c>
      <c r="J79" s="1033">
        <v>0</v>
      </c>
      <c r="K79" s="1033">
        <v>0</v>
      </c>
      <c r="L79" s="1042">
        <v>0</v>
      </c>
      <c r="M79" s="1345">
        <f>TableB2!F79</f>
        <v>0</v>
      </c>
    </row>
    <row r="80" spans="1:13" x14ac:dyDescent="0.2">
      <c r="A80" s="113" t="s">
        <v>99</v>
      </c>
      <c r="B80" s="121">
        <f>+TableB2!C80</f>
        <v>3.5999999999999999E-3</v>
      </c>
      <c r="C80" s="1189">
        <f>+TableB2!D80</f>
        <v>2.5199999999999997E-3</v>
      </c>
      <c r="D80" s="1033">
        <f t="shared" si="0"/>
        <v>2.5199999999999997E-3</v>
      </c>
      <c r="E80" s="1033">
        <v>0</v>
      </c>
      <c r="F80" s="1033">
        <v>0</v>
      </c>
      <c r="G80" s="1033">
        <v>0</v>
      </c>
      <c r="H80" s="1189">
        <f>TableB2!E80</f>
        <v>0</v>
      </c>
      <c r="I80" s="1033">
        <f t="shared" si="1"/>
        <v>0</v>
      </c>
      <c r="J80" s="1033">
        <v>0</v>
      </c>
      <c r="K80" s="1033">
        <v>0</v>
      </c>
      <c r="L80" s="1042">
        <v>0</v>
      </c>
      <c r="M80" s="1345">
        <f>TableB2!F80</f>
        <v>1.08E-3</v>
      </c>
    </row>
    <row r="81" spans="1:14" x14ac:dyDescent="0.2">
      <c r="A81" s="113" t="s">
        <v>100</v>
      </c>
      <c r="B81" s="121">
        <f>+TableB2!C81</f>
        <v>4.0199999999999996</v>
      </c>
      <c r="C81" s="1189">
        <f>+TableB2!D81</f>
        <v>2.8140000000000001</v>
      </c>
      <c r="D81" s="1033">
        <f t="shared" si="0"/>
        <v>2.8140000000000001</v>
      </c>
      <c r="E81" s="1033">
        <v>0</v>
      </c>
      <c r="F81" s="1033">
        <v>0</v>
      </c>
      <c r="G81" s="1033">
        <v>0</v>
      </c>
      <c r="H81" s="1189">
        <f>TableB2!E81</f>
        <v>0</v>
      </c>
      <c r="I81" s="1033">
        <f t="shared" si="1"/>
        <v>0</v>
      </c>
      <c r="J81" s="1033">
        <v>0</v>
      </c>
      <c r="K81" s="1033">
        <v>0</v>
      </c>
      <c r="L81" s="1042">
        <v>0</v>
      </c>
      <c r="M81" s="1345">
        <f>TableB2!F81</f>
        <v>1.2059999999999997</v>
      </c>
      <c r="N81" s="954"/>
    </row>
    <row r="82" spans="1:14" x14ac:dyDescent="0.2">
      <c r="A82" s="1148" t="str">
        <f>+TableA1!A82</f>
        <v>Seychelles</v>
      </c>
      <c r="B82" s="121">
        <f>+TableB2!C82</f>
        <v>6.9929293879999993E-2</v>
      </c>
      <c r="C82" s="1189">
        <f>+TableB2!D82</f>
        <v>4.8950505716000001E-2</v>
      </c>
      <c r="D82" s="1033">
        <f t="shared" si="0"/>
        <v>4.8950505716000001E-2</v>
      </c>
      <c r="E82" s="1033">
        <v>0</v>
      </c>
      <c r="F82" s="1033">
        <v>0</v>
      </c>
      <c r="G82" s="1033">
        <v>0</v>
      </c>
      <c r="H82" s="1189">
        <f>TableB2!E82</f>
        <v>0</v>
      </c>
      <c r="I82" s="1033">
        <f t="shared" si="1"/>
        <v>0</v>
      </c>
      <c r="J82" s="1033">
        <v>0</v>
      </c>
      <c r="K82" s="1033">
        <v>0</v>
      </c>
      <c r="L82" s="1042">
        <v>0</v>
      </c>
      <c r="M82" s="1345">
        <f>TableB2!F82</f>
        <v>2.0978788163999996E-2</v>
      </c>
      <c r="N82" s="954"/>
    </row>
    <row r="83" spans="1:14" x14ac:dyDescent="0.2">
      <c r="A83" s="113" t="s">
        <v>102</v>
      </c>
      <c r="B83" s="121">
        <f>+TableB2!C83</f>
        <v>48.948502210899605</v>
      </c>
      <c r="C83" s="1189">
        <f>+TableB2!D83</f>
        <v>34.263951547629723</v>
      </c>
      <c r="D83" s="1033">
        <f t="shared" si="0"/>
        <v>34.263951547629723</v>
      </c>
      <c r="E83" s="1033">
        <v>0</v>
      </c>
      <c r="F83" s="1033">
        <v>0</v>
      </c>
      <c r="G83" s="1033">
        <v>0</v>
      </c>
      <c r="H83" s="1189">
        <f>TableB2!E83</f>
        <v>0</v>
      </c>
      <c r="I83" s="1033">
        <f t="shared" si="1"/>
        <v>0</v>
      </c>
      <c r="J83" s="1033">
        <v>0</v>
      </c>
      <c r="K83" s="1033">
        <v>0</v>
      </c>
      <c r="L83" s="1042">
        <v>0</v>
      </c>
      <c r="M83" s="1345">
        <f>TableB2!F83</f>
        <v>14.684550663269881</v>
      </c>
      <c r="N83" s="954"/>
    </row>
    <row r="84" spans="1:14" x14ac:dyDescent="0.2">
      <c r="A84" s="1148" t="str">
        <f>+TableA1!A84</f>
        <v>St. Kitts and Nevis</v>
      </c>
      <c r="B84" s="121">
        <f>+TableB2!C84</f>
        <v>3.0000000000000003E-4</v>
      </c>
      <c r="C84" s="1189">
        <f>+TableB2!D84</f>
        <v>2.1000000000000001E-4</v>
      </c>
      <c r="D84" s="1033">
        <f t="shared" si="0"/>
        <v>2.1000000000000001E-4</v>
      </c>
      <c r="E84" s="1033">
        <v>0</v>
      </c>
      <c r="F84" s="1033">
        <v>0</v>
      </c>
      <c r="G84" s="1033">
        <v>0</v>
      </c>
      <c r="H84" s="1189">
        <f>TableB2!E84</f>
        <v>0</v>
      </c>
      <c r="I84" s="1033">
        <f t="shared" si="1"/>
        <v>0</v>
      </c>
      <c r="J84" s="1033">
        <v>0</v>
      </c>
      <c r="K84" s="1033">
        <v>0</v>
      </c>
      <c r="L84" s="1042">
        <v>0</v>
      </c>
      <c r="M84" s="1345">
        <f>TableB2!F84</f>
        <v>9.0000000000000006E-5</v>
      </c>
      <c r="N84" s="954"/>
    </row>
    <row r="85" spans="1:14" x14ac:dyDescent="0.2">
      <c r="A85" s="1148" t="str">
        <f>+TableA1!A85</f>
        <v>St. Lucia</v>
      </c>
      <c r="B85" s="121">
        <f>+TableB2!C85</f>
        <v>7.1900000000000006E-2</v>
      </c>
      <c r="C85" s="1189">
        <f>+TableB2!D85</f>
        <v>5.033E-2</v>
      </c>
      <c r="D85" s="1033">
        <f t="shared" si="0"/>
        <v>5.033E-2</v>
      </c>
      <c r="E85" s="1033">
        <v>0</v>
      </c>
      <c r="F85" s="1033">
        <v>0</v>
      </c>
      <c r="G85" s="1033">
        <v>0</v>
      </c>
      <c r="H85" s="1189">
        <f>TableB2!E85</f>
        <v>0</v>
      </c>
      <c r="I85" s="1033">
        <f t="shared" si="1"/>
        <v>0</v>
      </c>
      <c r="J85" s="1033">
        <v>0</v>
      </c>
      <c r="K85" s="1033">
        <v>0</v>
      </c>
      <c r="L85" s="1042">
        <v>0</v>
      </c>
      <c r="M85" s="1345">
        <f>TableB2!F85</f>
        <v>2.1570000000000002E-2</v>
      </c>
      <c r="N85" s="954"/>
    </row>
    <row r="86" spans="1:14" x14ac:dyDescent="0.2">
      <c r="A86" s="1148" t="str">
        <f>+TableA1!A86</f>
        <v>St. Vincent and the Grenadines</v>
      </c>
      <c r="B86" s="121">
        <f>+TableB2!C86</f>
        <v>1.6300000000000002E-2</v>
      </c>
      <c r="C86" s="1189">
        <f>+TableB2!D86</f>
        <v>1.1410000000000002E-2</v>
      </c>
      <c r="D86" s="1033">
        <f t="shared" si="0"/>
        <v>1.1410000000000002E-2</v>
      </c>
      <c r="E86" s="1033">
        <v>0</v>
      </c>
      <c r="F86" s="1033">
        <v>0</v>
      </c>
      <c r="G86" s="1033">
        <v>0</v>
      </c>
      <c r="H86" s="1189">
        <f>TableB2!E86</f>
        <v>0</v>
      </c>
      <c r="I86" s="1033">
        <f t="shared" si="1"/>
        <v>0</v>
      </c>
      <c r="J86" s="1033">
        <v>0</v>
      </c>
      <c r="K86" s="1033">
        <v>0</v>
      </c>
      <c r="L86" s="1042">
        <v>0</v>
      </c>
      <c r="M86" s="1345">
        <f>TableB2!F86</f>
        <v>4.8900000000000002E-3</v>
      </c>
      <c r="N86" s="954"/>
    </row>
    <row r="87" spans="1:14" x14ac:dyDescent="0.2">
      <c r="A87" s="1148" t="str">
        <f>+TableA1!A87</f>
        <v>Turks and Caicos</v>
      </c>
      <c r="B87" s="121">
        <f>+TableB2!C87</f>
        <v>0</v>
      </c>
      <c r="C87" s="1189">
        <f>+TableB2!D87</f>
        <v>0</v>
      </c>
      <c r="D87" s="1033">
        <f t="shared" si="0"/>
        <v>0</v>
      </c>
      <c r="E87" s="1033">
        <v>0</v>
      </c>
      <c r="F87" s="1033">
        <v>0</v>
      </c>
      <c r="G87" s="1033">
        <v>0</v>
      </c>
      <c r="H87" s="1189">
        <f>TableB2!E87</f>
        <v>0</v>
      </c>
      <c r="I87" s="1033">
        <f t="shared" si="1"/>
        <v>0</v>
      </c>
      <c r="J87" s="1033">
        <v>0</v>
      </c>
      <c r="K87" s="1033">
        <v>0</v>
      </c>
      <c r="L87" s="1042">
        <v>0</v>
      </c>
      <c r="M87" s="1345">
        <f>TableB2!F87</f>
        <v>0</v>
      </c>
      <c r="N87" s="954"/>
    </row>
    <row r="88" spans="1:14" x14ac:dyDescent="0.2">
      <c r="A88" s="1148" t="str">
        <f>+TableA1!A88</f>
        <v>Panama</v>
      </c>
      <c r="B88" s="121">
        <f>+TableB2!C88</f>
        <v>4.22</v>
      </c>
      <c r="C88" s="1189">
        <f>+TableB2!D88</f>
        <v>2.9539999999999997</v>
      </c>
      <c r="D88" s="1033">
        <f t="shared" si="0"/>
        <v>2.9539999999999997</v>
      </c>
      <c r="E88" s="1033">
        <v>0</v>
      </c>
      <c r="F88" s="1033">
        <v>0</v>
      </c>
      <c r="G88" s="1033">
        <v>0</v>
      </c>
      <c r="H88" s="1189">
        <f>TableB2!E88</f>
        <v>0</v>
      </c>
      <c r="I88" s="1033">
        <f t="shared" si="1"/>
        <v>0</v>
      </c>
      <c r="J88" s="1033">
        <v>0</v>
      </c>
      <c r="K88" s="1033">
        <v>0</v>
      </c>
      <c r="L88" s="1042">
        <v>0</v>
      </c>
      <c r="M88" s="1345">
        <f>TableB2!F88</f>
        <v>1.2659999999999998</v>
      </c>
      <c r="N88" s="954"/>
    </row>
    <row r="89" spans="1:14" ht="17" thickBot="1" x14ac:dyDescent="0.25">
      <c r="A89" s="114" t="s">
        <v>108</v>
      </c>
      <c r="B89" s="17">
        <f>+TableB2!C89</f>
        <v>35.126800000000003</v>
      </c>
      <c r="C89" s="18">
        <f>+TableB2!D89</f>
        <v>24.588760000000001</v>
      </c>
      <c r="D89" s="1191">
        <f t="shared" si="0"/>
        <v>24.588760000000001</v>
      </c>
      <c r="E89" s="1191">
        <v>0</v>
      </c>
      <c r="F89" s="1191">
        <v>0</v>
      </c>
      <c r="G89" s="1191">
        <v>0</v>
      </c>
      <c r="H89" s="18">
        <f>TableB2!E89</f>
        <v>0</v>
      </c>
      <c r="I89" s="1191">
        <f t="shared" si="1"/>
        <v>0</v>
      </c>
      <c r="J89" s="1191">
        <v>0</v>
      </c>
      <c r="K89" s="1191">
        <v>0</v>
      </c>
      <c r="L89" s="1347">
        <v>0</v>
      </c>
      <c r="M89" s="1348">
        <f>TableB2!F48</f>
        <v>1.5393656057999996</v>
      </c>
      <c r="N89" s="954"/>
    </row>
    <row r="90" spans="1:14" ht="18" thickTop="1" thickBot="1" x14ac:dyDescent="0.25">
      <c r="A90" s="954"/>
      <c r="B90" s="954"/>
      <c r="C90" s="954"/>
      <c r="D90" s="1003"/>
      <c r="E90" s="1003"/>
      <c r="F90" s="1003"/>
      <c r="G90" s="1003"/>
      <c r="H90" s="954"/>
      <c r="I90" s="1003"/>
      <c r="J90" s="1003"/>
      <c r="K90" s="1003"/>
      <c r="L90" s="1003"/>
      <c r="M90" s="954"/>
      <c r="N90" s="954"/>
    </row>
    <row r="91" spans="1:14" s="2" customFormat="1" x14ac:dyDescent="0.2">
      <c r="A91" s="2194" t="s">
        <v>389</v>
      </c>
      <c r="B91" s="2195"/>
      <c r="C91" s="2195"/>
      <c r="D91" s="2195"/>
      <c r="E91" s="2195"/>
      <c r="F91" s="2195"/>
      <c r="G91" s="2195"/>
      <c r="H91" s="2195"/>
      <c r="I91" s="2195"/>
      <c r="J91" s="2195"/>
      <c r="K91" s="2195"/>
      <c r="L91" s="2195"/>
      <c r="M91" s="2196"/>
      <c r="N91" s="954"/>
    </row>
    <row r="92" spans="1:14" s="2" customFormat="1" ht="17" thickBot="1" x14ac:dyDescent="0.25">
      <c r="A92" s="2197"/>
      <c r="B92" s="2198"/>
      <c r="C92" s="2198"/>
      <c r="D92" s="2198"/>
      <c r="E92" s="2198"/>
      <c r="F92" s="2198"/>
      <c r="G92" s="2198"/>
      <c r="H92" s="2198"/>
      <c r="I92" s="2198"/>
      <c r="J92" s="2198"/>
      <c r="K92" s="2198"/>
      <c r="L92" s="2198"/>
      <c r="M92" s="2199"/>
      <c r="N92" s="954"/>
    </row>
    <row r="93" spans="1:14" s="2" customFormat="1" x14ac:dyDescent="0.2">
      <c r="A93" s="954"/>
      <c r="B93" s="954"/>
      <c r="C93" s="954"/>
      <c r="D93" s="954"/>
      <c r="E93" s="954"/>
      <c r="F93" s="954"/>
      <c r="G93" s="954"/>
      <c r="H93" s="954"/>
      <c r="I93" s="954"/>
      <c r="J93" s="954"/>
      <c r="K93" s="954"/>
      <c r="L93" s="954"/>
      <c r="M93" s="954"/>
      <c r="N93" s="954"/>
    </row>
    <row r="94" spans="1:14" s="2" customFormat="1" x14ac:dyDescent="0.2">
      <c r="A94" s="954"/>
      <c r="B94" s="954"/>
      <c r="C94" s="954"/>
      <c r="D94" s="954"/>
      <c r="E94" s="954"/>
      <c r="F94" s="954"/>
      <c r="G94" s="954"/>
      <c r="H94" s="954"/>
      <c r="I94" s="954"/>
      <c r="J94" s="954"/>
      <c r="K94" s="954"/>
      <c r="L94" s="954"/>
      <c r="M94" s="954"/>
      <c r="N94" s="954"/>
    </row>
    <row r="95" spans="1:14" s="2" customFormat="1" x14ac:dyDescent="0.2">
      <c r="A95" s="954"/>
      <c r="B95" s="954"/>
      <c r="C95" s="954"/>
      <c r="D95" s="954"/>
      <c r="E95" s="954"/>
      <c r="F95" s="954"/>
      <c r="G95" s="954"/>
      <c r="H95" s="954"/>
      <c r="I95" s="954"/>
      <c r="J95" s="954"/>
      <c r="K95" s="954"/>
      <c r="L95" s="954"/>
      <c r="M95" s="954"/>
      <c r="N95" s="954"/>
    </row>
    <row r="96" spans="1:14" x14ac:dyDescent="0.2">
      <c r="A96" s="954"/>
      <c r="B96" s="954"/>
      <c r="C96" s="954"/>
      <c r="D96" s="954"/>
      <c r="E96" s="954"/>
      <c r="F96" s="954"/>
      <c r="G96" s="954"/>
      <c r="H96" s="954"/>
      <c r="I96" s="954"/>
      <c r="J96" s="954"/>
      <c r="K96" s="954"/>
      <c r="L96" s="1027"/>
      <c r="M96" s="954"/>
      <c r="N96" s="954"/>
    </row>
    <row r="97" spans="1:14" s="2" customFormat="1" x14ac:dyDescent="0.2">
      <c r="A97" s="954"/>
      <c r="B97" s="954"/>
      <c r="C97" s="954"/>
      <c r="D97" s="954"/>
      <c r="E97" s="954"/>
      <c r="F97" s="954"/>
      <c r="G97" s="954"/>
      <c r="H97" s="954"/>
      <c r="I97" s="954"/>
      <c r="J97" s="954"/>
      <c r="K97" s="954"/>
      <c r="L97" s="954"/>
      <c r="M97" s="954"/>
      <c r="N97" s="954"/>
    </row>
  </sheetData>
  <mergeCells count="7">
    <mergeCell ref="A91:M92"/>
    <mergeCell ref="M8:M9"/>
    <mergeCell ref="B7:M7"/>
    <mergeCell ref="A4:M4"/>
    <mergeCell ref="B8:B9"/>
    <mergeCell ref="C8:C9"/>
    <mergeCell ref="H8:H9"/>
  </mergeCells>
  <pageMargins left="0.75" right="0.75" top="1" bottom="1" header="0.5" footer="0.5"/>
  <pageSetup scale="44"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S97"/>
  <sheetViews>
    <sheetView workbookViewId="0">
      <pane xSplit="1" ySplit="9" topLeftCell="B40" activePane="bottomRight" state="frozen"/>
      <selection pane="topRight" activeCell="AR8" sqref="AR8"/>
      <selection pane="bottomLeft" activeCell="AR8" sqref="AR8"/>
      <selection pane="bottomRight" activeCell="A3" sqref="A3:O44"/>
    </sheetView>
  </sheetViews>
  <sheetFormatPr baseColWidth="10" defaultColWidth="10.83203125" defaultRowHeight="16" x14ac:dyDescent="0.2"/>
  <cols>
    <col min="1" max="1" width="16.6640625" style="1" customWidth="1"/>
    <col min="2" max="2" width="12.5" style="1" customWidth="1"/>
    <col min="3" max="3" width="11.83203125" style="1" customWidth="1"/>
    <col min="4" max="5" width="11.33203125" style="1" customWidth="1"/>
    <col min="6" max="6" width="11.83203125" style="1" customWidth="1"/>
    <col min="7" max="9" width="11.33203125" style="1" customWidth="1"/>
    <col min="10" max="14" width="11.83203125" style="1" customWidth="1"/>
    <col min="15" max="16384" width="10.83203125" style="1"/>
  </cols>
  <sheetData>
    <row r="2" spans="1:19" ht="17" thickBot="1" x14ac:dyDescent="0.25">
      <c r="A2" s="954"/>
      <c r="B2" s="954"/>
      <c r="C2" s="954"/>
      <c r="D2" s="954"/>
      <c r="E2" s="954"/>
      <c r="F2" s="954"/>
      <c r="G2" s="954"/>
      <c r="H2" s="954"/>
      <c r="I2" s="954"/>
      <c r="J2" s="954"/>
      <c r="K2" s="954"/>
      <c r="L2" s="954"/>
      <c r="M2" s="954"/>
      <c r="N2" s="954"/>
      <c r="O2" s="954"/>
      <c r="P2" s="954"/>
      <c r="Q2" s="954"/>
      <c r="R2" s="954"/>
      <c r="S2" s="954"/>
    </row>
    <row r="3" spans="1:19" ht="32.25" customHeight="1" thickTop="1" x14ac:dyDescent="0.2">
      <c r="A3" s="1951" t="s">
        <v>390</v>
      </c>
      <c r="B3" s="1952"/>
      <c r="C3" s="1952"/>
      <c r="D3" s="1952"/>
      <c r="E3" s="1952"/>
      <c r="F3" s="1952"/>
      <c r="G3" s="1952"/>
      <c r="H3" s="1952"/>
      <c r="I3" s="1952"/>
      <c r="J3" s="1952"/>
      <c r="K3" s="1952"/>
      <c r="L3" s="1952"/>
      <c r="M3" s="1952"/>
      <c r="N3" s="1952"/>
      <c r="O3" s="1953"/>
      <c r="P3" s="954"/>
      <c r="Q3" s="954"/>
      <c r="R3" s="954"/>
      <c r="S3" s="954"/>
    </row>
    <row r="4" spans="1:19" ht="12" customHeight="1" x14ac:dyDescent="0.2">
      <c r="A4" s="4"/>
      <c r="B4" s="620"/>
      <c r="C4" s="620"/>
      <c r="D4" s="620"/>
      <c r="E4" s="620"/>
      <c r="F4" s="620"/>
      <c r="G4" s="620"/>
      <c r="H4" s="620"/>
      <c r="I4" s="620"/>
      <c r="J4" s="1027"/>
      <c r="K4" s="1027"/>
      <c r="L4" s="1027"/>
      <c r="M4" s="1027"/>
      <c r="N4" s="1027"/>
      <c r="O4" s="1073"/>
      <c r="P4" s="954"/>
      <c r="Q4" s="954"/>
      <c r="R4" s="954"/>
      <c r="S4" s="954"/>
    </row>
    <row r="5" spans="1:19" ht="17" thickBot="1" x14ac:dyDescent="0.25">
      <c r="A5" s="1148"/>
      <c r="B5" s="3" t="s">
        <v>1</v>
      </c>
      <c r="C5" s="3" t="s">
        <v>2</v>
      </c>
      <c r="D5" s="3" t="s">
        <v>3</v>
      </c>
      <c r="E5" s="3" t="s">
        <v>4</v>
      </c>
      <c r="F5" s="3" t="s">
        <v>5</v>
      </c>
      <c r="G5" s="3" t="s">
        <v>6</v>
      </c>
      <c r="H5" s="3" t="s">
        <v>7</v>
      </c>
      <c r="I5" s="3" t="s">
        <v>8</v>
      </c>
      <c r="J5" s="3" t="s">
        <v>9</v>
      </c>
      <c r="K5" s="10" t="s">
        <v>10</v>
      </c>
      <c r="L5" s="3" t="s">
        <v>11</v>
      </c>
      <c r="M5" s="3" t="s">
        <v>12</v>
      </c>
      <c r="N5" s="3" t="s">
        <v>13</v>
      </c>
      <c r="O5" s="6" t="s">
        <v>177</v>
      </c>
      <c r="P5" s="954"/>
      <c r="Q5" s="954"/>
      <c r="R5" s="954"/>
      <c r="S5" s="954"/>
    </row>
    <row r="6" spans="1:19" ht="21" customHeight="1" x14ac:dyDescent="0.2">
      <c r="A6" s="1148"/>
      <c r="B6" s="2021" t="s">
        <v>362</v>
      </c>
      <c r="C6" s="2022"/>
      <c r="D6" s="2022"/>
      <c r="E6" s="2022"/>
      <c r="F6" s="2022"/>
      <c r="G6" s="2022"/>
      <c r="H6" s="2022"/>
      <c r="I6" s="2022"/>
      <c r="J6" s="2022"/>
      <c r="K6" s="2022"/>
      <c r="L6" s="2022"/>
      <c r="M6" s="2022"/>
      <c r="N6" s="2022"/>
      <c r="O6" s="2191"/>
      <c r="P6" s="954"/>
      <c r="Q6" s="954"/>
      <c r="R6" s="954"/>
      <c r="S6" s="954"/>
    </row>
    <row r="7" spans="1:19" ht="21" customHeight="1" x14ac:dyDescent="0.2">
      <c r="A7" s="1148"/>
      <c r="B7" s="2115" t="s">
        <v>312</v>
      </c>
      <c r="C7" s="2116"/>
      <c r="D7" s="2116"/>
      <c r="E7" s="2116"/>
      <c r="F7" s="2116"/>
      <c r="G7" s="2116"/>
      <c r="H7" s="2116"/>
      <c r="I7" s="2117"/>
      <c r="J7" s="2116" t="s">
        <v>363</v>
      </c>
      <c r="K7" s="2116"/>
      <c r="L7" s="2116"/>
      <c r="M7" s="2116"/>
      <c r="N7" s="2116"/>
      <c r="O7" s="2192"/>
      <c r="P7" s="954"/>
      <c r="Q7" s="954"/>
      <c r="R7" s="954"/>
      <c r="S7" s="954"/>
    </row>
    <row r="8" spans="1:19" ht="85" customHeight="1" x14ac:dyDescent="0.2">
      <c r="A8" s="1148"/>
      <c r="B8" s="2024" t="s">
        <v>364</v>
      </c>
      <c r="C8" s="1350" t="s">
        <v>365</v>
      </c>
      <c r="D8" s="1820" t="s">
        <v>366</v>
      </c>
      <c r="E8" s="1820" t="s">
        <v>367</v>
      </c>
      <c r="F8" s="2049" t="s">
        <v>368</v>
      </c>
      <c r="G8" s="1819" t="s">
        <v>365</v>
      </c>
      <c r="H8" s="1819" t="s">
        <v>366</v>
      </c>
      <c r="I8" s="1819" t="s">
        <v>367</v>
      </c>
      <c r="J8" s="2049" t="s">
        <v>364</v>
      </c>
      <c r="K8" s="1827" t="s">
        <v>369</v>
      </c>
      <c r="L8" s="1827" t="s">
        <v>370</v>
      </c>
      <c r="M8" s="2049" t="s">
        <v>368</v>
      </c>
      <c r="N8" s="1827" t="s">
        <v>369</v>
      </c>
      <c r="O8" s="1311" t="s">
        <v>370</v>
      </c>
      <c r="P8" s="954"/>
      <c r="Q8" s="954"/>
      <c r="R8" s="954"/>
      <c r="S8" s="954"/>
    </row>
    <row r="9" spans="1:19" ht="33" customHeight="1" x14ac:dyDescent="0.2">
      <c r="A9" s="1148"/>
      <c r="B9" s="2024"/>
      <c r="C9" s="19"/>
      <c r="D9" s="1828"/>
      <c r="E9" s="1828"/>
      <c r="F9" s="2067"/>
      <c r="G9" s="1313"/>
      <c r="H9" s="1313"/>
      <c r="I9" s="1313"/>
      <c r="J9" s="2067"/>
      <c r="K9" s="1314"/>
      <c r="L9" s="1314"/>
      <c r="M9" s="2067"/>
      <c r="N9" s="1314"/>
      <c r="O9" s="1315"/>
      <c r="P9" s="954"/>
      <c r="Q9" s="954"/>
      <c r="R9" s="954" t="s">
        <v>26</v>
      </c>
      <c r="S9" s="954"/>
    </row>
    <row r="10" spans="1:19" ht="14.25" customHeight="1" x14ac:dyDescent="0.2">
      <c r="A10" s="1316" t="s">
        <v>29</v>
      </c>
      <c r="B10" s="16">
        <v>0</v>
      </c>
      <c r="C10" s="1351">
        <v>0</v>
      </c>
      <c r="D10" s="1352">
        <v>0</v>
      </c>
      <c r="E10" s="1352">
        <v>0</v>
      </c>
      <c r="F10" s="1189">
        <v>0</v>
      </c>
      <c r="G10" s="1353">
        <v>0</v>
      </c>
      <c r="H10" s="1033">
        <v>0</v>
      </c>
      <c r="I10" s="1354">
        <v>0</v>
      </c>
      <c r="J10" s="1200">
        <v>0</v>
      </c>
      <c r="K10" s="1153">
        <v>0</v>
      </c>
      <c r="L10" s="1153">
        <v>0</v>
      </c>
      <c r="M10" s="1200">
        <v>0</v>
      </c>
      <c r="N10" s="1153">
        <v>0</v>
      </c>
      <c r="O10" s="1186">
        <v>0</v>
      </c>
      <c r="P10" s="954"/>
      <c r="Q10" s="954"/>
      <c r="R10" s="1355">
        <f>B10-C10-D10-E10</f>
        <v>0</v>
      </c>
      <c r="S10" s="1018">
        <f>F10-G10-H10-I10</f>
        <v>0</v>
      </c>
    </row>
    <row r="11" spans="1:19" ht="14.25" customHeight="1" x14ac:dyDescent="0.2">
      <c r="A11" s="1148" t="s">
        <v>30</v>
      </c>
      <c r="B11" s="120">
        <v>-9.2379367720466004</v>
      </c>
      <c r="C11" s="1356">
        <v>8.6522462562395999E-2</v>
      </c>
      <c r="D11" s="1354">
        <v>7.5429839156960998E-2</v>
      </c>
      <c r="E11" s="1354">
        <v>-9.3998890737659</v>
      </c>
      <c r="F11" s="1189">
        <v>-9.1259012756517013</v>
      </c>
      <c r="G11" s="1353">
        <v>0.49694952856350999</v>
      </c>
      <c r="H11" s="1033">
        <v>0.11425402107598001</v>
      </c>
      <c r="I11" s="1354">
        <v>-9.7371048252912011</v>
      </c>
      <c r="J11" s="1200">
        <v>78.506260206859011</v>
      </c>
      <c r="K11" s="1153">
        <v>82.278715296678996</v>
      </c>
      <c r="L11" s="1153">
        <v>-3.7724550898204003</v>
      </c>
      <c r="M11" s="1200">
        <v>80.537833424060992</v>
      </c>
      <c r="N11" s="1153">
        <v>75.482852476864011</v>
      </c>
      <c r="O11" s="1186">
        <v>5.0549809471965004</v>
      </c>
      <c r="P11" s="954"/>
      <c r="Q11" s="954"/>
      <c r="R11" s="1355">
        <f t="shared" ref="R11:R80" si="0">B11-C11-D11-E11</f>
        <v>-5.6843418860808015E-14</v>
      </c>
      <c r="S11" s="1018">
        <f t="shared" ref="S11:S80" si="1">F11-G11-H11-I11</f>
        <v>0</v>
      </c>
    </row>
    <row r="12" spans="1:19" ht="14.25" customHeight="1" x14ac:dyDescent="0.2">
      <c r="A12" s="1148" t="s">
        <v>31</v>
      </c>
      <c r="B12" s="120">
        <f>C12+D12+E12</f>
        <v>1.1883034022286869</v>
      </c>
      <c r="C12" s="1353">
        <f>K12*C$32/K$32</f>
        <v>3.6649715983332323</v>
      </c>
      <c r="D12" s="1354">
        <f>L12*D$32/L$32</f>
        <v>-4.03363169972633</v>
      </c>
      <c r="E12" s="1354">
        <f>K12*E$32/K$32</f>
        <v>1.5569635036217846</v>
      </c>
      <c r="F12" s="120">
        <f>G12+H12+I12</f>
        <v>0.82037998876394691</v>
      </c>
      <c r="G12" s="1353">
        <f>N12*G$32/N$32</f>
        <v>0.62526675492009542</v>
      </c>
      <c r="H12" s="1033">
        <f>O12*H$32/O$32</f>
        <v>0.19798070095542991</v>
      </c>
      <c r="I12" s="1354">
        <f>N12*I$32/N$32</f>
        <v>-2.8674671115784291E-3</v>
      </c>
      <c r="J12" s="1200">
        <v>27.678824169841999</v>
      </c>
      <c r="K12" s="1153">
        <v>121.63309744148</v>
      </c>
      <c r="L12" s="1153">
        <v>-93.954273271638996</v>
      </c>
      <c r="M12" s="1200">
        <v>19.773543821447998</v>
      </c>
      <c r="N12" s="1153">
        <v>15.001633097440999</v>
      </c>
      <c r="O12" s="1186">
        <v>4.7719107240064993</v>
      </c>
      <c r="P12" s="954"/>
      <c r="Q12" s="954"/>
      <c r="R12" s="1355">
        <f t="shared" si="0"/>
        <v>0</v>
      </c>
      <c r="S12" s="1018">
        <f t="shared" si="1"/>
        <v>3.4694469519536142E-18</v>
      </c>
    </row>
    <row r="13" spans="1:19" ht="14.25" customHeight="1" x14ac:dyDescent="0.2">
      <c r="A13" s="1148" t="s">
        <v>32</v>
      </c>
      <c r="B13" s="120">
        <v>0</v>
      </c>
      <c r="C13" s="1353">
        <v>0</v>
      </c>
      <c r="D13" s="1354">
        <v>0</v>
      </c>
      <c r="E13" s="1354">
        <v>0</v>
      </c>
      <c r="F13" s="1189">
        <v>0</v>
      </c>
      <c r="G13" s="1353">
        <v>0</v>
      </c>
      <c r="H13" s="1033">
        <v>0</v>
      </c>
      <c r="I13" s="1354">
        <v>0</v>
      </c>
      <c r="J13" s="1200">
        <v>0</v>
      </c>
      <c r="K13" s="1153">
        <v>0</v>
      </c>
      <c r="L13" s="1153">
        <v>0</v>
      </c>
      <c r="M13" s="1200">
        <v>0</v>
      </c>
      <c r="N13" s="1153">
        <v>0</v>
      </c>
      <c r="O13" s="1186">
        <v>0</v>
      </c>
      <c r="P13" s="954"/>
      <c r="Q13" s="954"/>
      <c r="R13" s="1355">
        <f t="shared" si="0"/>
        <v>0</v>
      </c>
      <c r="S13" s="1018">
        <f t="shared" si="1"/>
        <v>0</v>
      </c>
    </row>
    <row r="14" spans="1:19" ht="14.25" customHeight="1" x14ac:dyDescent="0.2">
      <c r="A14" s="1148" t="s">
        <v>33</v>
      </c>
      <c r="B14" s="120">
        <v>-0.100852</v>
      </c>
      <c r="C14" s="1353">
        <v>0</v>
      </c>
      <c r="D14" s="1354">
        <v>0</v>
      </c>
      <c r="E14" s="1354">
        <v>-0.100852</v>
      </c>
      <c r="F14" s="1189">
        <v>-0.10076899999812</v>
      </c>
      <c r="G14" s="1353">
        <v>0</v>
      </c>
      <c r="H14" s="1033">
        <v>0</v>
      </c>
      <c r="I14" s="1354">
        <v>-0.10076899999812</v>
      </c>
      <c r="J14" s="1200">
        <v>2.5757213763562001</v>
      </c>
      <c r="K14" s="1153">
        <v>2.5700983763561998</v>
      </c>
      <c r="L14" s="1153">
        <v>5.6230000000000004E-3</v>
      </c>
      <c r="M14" s="1200">
        <v>4.6740541135919003</v>
      </c>
      <c r="N14" s="1153">
        <v>1.7117258105919</v>
      </c>
      <c r="O14" s="1186">
        <v>2.9623283029999996</v>
      </c>
      <c r="P14" s="954"/>
      <c r="Q14" s="954"/>
      <c r="R14" s="1355">
        <f t="shared" si="0"/>
        <v>0</v>
      </c>
      <c r="S14" s="1018">
        <f t="shared" si="1"/>
        <v>0</v>
      </c>
    </row>
    <row r="15" spans="1:19" ht="14.25" customHeight="1" x14ac:dyDescent="0.2">
      <c r="A15" s="1148" t="s">
        <v>34</v>
      </c>
      <c r="B15" s="120">
        <v>0</v>
      </c>
      <c r="C15" s="1353">
        <v>0</v>
      </c>
      <c r="D15" s="1354">
        <v>0</v>
      </c>
      <c r="E15" s="1354">
        <v>0</v>
      </c>
      <c r="F15" s="1189">
        <v>0</v>
      </c>
      <c r="G15" s="1353">
        <v>0</v>
      </c>
      <c r="H15" s="1033">
        <v>0</v>
      </c>
      <c r="I15" s="1354">
        <v>0</v>
      </c>
      <c r="J15" s="1200">
        <v>0</v>
      </c>
      <c r="K15" s="1153">
        <v>0</v>
      </c>
      <c r="L15" s="1153">
        <v>0</v>
      </c>
      <c r="M15" s="1200">
        <v>0</v>
      </c>
      <c r="N15" s="1153">
        <v>0</v>
      </c>
      <c r="O15" s="1186">
        <v>0</v>
      </c>
      <c r="P15" s="954"/>
      <c r="Q15" s="954"/>
      <c r="R15" s="1355">
        <f t="shared" si="0"/>
        <v>0</v>
      </c>
      <c r="S15" s="1018">
        <f t="shared" si="1"/>
        <v>0</v>
      </c>
    </row>
    <row r="16" spans="1:19" ht="14.25" customHeight="1" x14ac:dyDescent="0.2">
      <c r="A16" s="1148" t="s">
        <v>35</v>
      </c>
      <c r="B16" s="120">
        <v>0.74240937342016999</v>
      </c>
      <c r="C16" s="1353">
        <v>0.47417253992328001</v>
      </c>
      <c r="D16" s="1354">
        <v>3.1224908555625001E-3</v>
      </c>
      <c r="E16" s="1354">
        <v>0.26541172272281</v>
      </c>
      <c r="F16" s="1189">
        <v>0.77824367323877008</v>
      </c>
      <c r="G16" s="1353">
        <v>0.5187795521455999</v>
      </c>
      <c r="H16" s="1033">
        <v>9.3526035626133999E-2</v>
      </c>
      <c r="I16" s="1354">
        <v>0.16578939542629001</v>
      </c>
      <c r="J16" s="1200">
        <v>21.412005856514998</v>
      </c>
      <c r="K16" s="1153">
        <v>20.98140556369</v>
      </c>
      <c r="L16" s="1153">
        <v>0.43060029282577</v>
      </c>
      <c r="M16" s="1200">
        <v>20.453733528551002</v>
      </c>
      <c r="N16" s="1153">
        <v>19.451976573939</v>
      </c>
      <c r="O16" s="1186">
        <v>1.001756954612</v>
      </c>
      <c r="P16" s="954"/>
      <c r="Q16" s="954"/>
      <c r="R16" s="1355">
        <f t="shared" si="0"/>
        <v>-2.9738008148250117E-4</v>
      </c>
      <c r="S16" s="1018">
        <f t="shared" si="1"/>
        <v>1.4869004074619108E-4</v>
      </c>
    </row>
    <row r="17" spans="1:19" ht="14.25" customHeight="1" x14ac:dyDescent="0.2">
      <c r="A17" s="1148" t="s">
        <v>36</v>
      </c>
      <c r="B17" s="120">
        <v>0</v>
      </c>
      <c r="C17" s="1353">
        <v>0</v>
      </c>
      <c r="D17" s="1354">
        <v>0</v>
      </c>
      <c r="E17" s="1354">
        <v>1.8721020521353E-2</v>
      </c>
      <c r="F17" s="1189">
        <v>0</v>
      </c>
      <c r="G17" s="1353">
        <v>0</v>
      </c>
      <c r="H17" s="1033">
        <v>0</v>
      </c>
      <c r="I17" s="1354">
        <v>2.0098724348307999E-2</v>
      </c>
      <c r="J17" s="1200">
        <v>0.48515514425694001</v>
      </c>
      <c r="K17" s="1153">
        <v>0.47372999455633996</v>
      </c>
      <c r="L17" s="1153">
        <v>1.1425149700599E-2</v>
      </c>
      <c r="M17" s="1200">
        <v>0.43754926510615</v>
      </c>
      <c r="N17" s="1153">
        <v>0.34919107240065</v>
      </c>
      <c r="O17" s="1186">
        <v>8.8358192705497995E-2</v>
      </c>
      <c r="P17" s="954"/>
      <c r="Q17" s="954"/>
      <c r="R17" s="1355">
        <f t="shared" si="0"/>
        <v>-1.8721020521353E-2</v>
      </c>
      <c r="S17" s="1018">
        <f t="shared" si="1"/>
        <v>-2.0098724348307999E-2</v>
      </c>
    </row>
    <row r="18" spans="1:19" ht="14.25" customHeight="1" x14ac:dyDescent="0.2">
      <c r="A18" s="1148" t="s">
        <v>37</v>
      </c>
      <c r="B18" s="120">
        <v>0</v>
      </c>
      <c r="C18" s="1353">
        <v>0</v>
      </c>
      <c r="D18" s="1354">
        <v>0</v>
      </c>
      <c r="E18" s="1354">
        <v>0</v>
      </c>
      <c r="F18" s="1189">
        <v>0</v>
      </c>
      <c r="G18" s="1353">
        <v>0</v>
      </c>
      <c r="H18" s="1033">
        <v>0</v>
      </c>
      <c r="I18" s="1354">
        <v>0</v>
      </c>
      <c r="J18" s="1200">
        <v>0</v>
      </c>
      <c r="K18" s="1153">
        <v>0</v>
      </c>
      <c r="L18" s="1153">
        <v>0</v>
      </c>
      <c r="M18" s="1200">
        <v>0</v>
      </c>
      <c r="N18" s="1153">
        <v>0</v>
      </c>
      <c r="O18" s="1186">
        <v>0</v>
      </c>
      <c r="P18" s="954"/>
      <c r="Q18" s="954"/>
      <c r="R18" s="1355">
        <f t="shared" si="0"/>
        <v>0</v>
      </c>
      <c r="S18" s="1018">
        <f t="shared" si="1"/>
        <v>0</v>
      </c>
    </row>
    <row r="19" spans="1:19" ht="14.25" customHeight="1" x14ac:dyDescent="0.2">
      <c r="A19" s="1148" t="s">
        <v>38</v>
      </c>
      <c r="B19" s="120">
        <v>0</v>
      </c>
      <c r="C19" s="1353">
        <v>0</v>
      </c>
      <c r="D19" s="1354">
        <v>0</v>
      </c>
      <c r="E19" s="1354">
        <v>0</v>
      </c>
      <c r="F19" s="1189">
        <v>0</v>
      </c>
      <c r="G19" s="1353">
        <v>0</v>
      </c>
      <c r="H19" s="1033">
        <v>0</v>
      </c>
      <c r="I19" s="1354">
        <v>0</v>
      </c>
      <c r="J19" s="1200">
        <v>0</v>
      </c>
      <c r="K19" s="1153">
        <v>0</v>
      </c>
      <c r="L19" s="1153">
        <v>0</v>
      </c>
      <c r="M19" s="1200">
        <v>0</v>
      </c>
      <c r="N19" s="1153">
        <v>0</v>
      </c>
      <c r="O19" s="1186">
        <v>0</v>
      </c>
      <c r="P19" s="954"/>
      <c r="Q19" s="954"/>
      <c r="R19" s="1355">
        <f t="shared" si="0"/>
        <v>0</v>
      </c>
      <c r="S19" s="1018">
        <f t="shared" si="1"/>
        <v>0</v>
      </c>
    </row>
    <row r="20" spans="1:19" ht="14.25" customHeight="1" x14ac:dyDescent="0.2">
      <c r="A20" s="1148" t="s">
        <v>39</v>
      </c>
      <c r="B20" s="120">
        <v>0</v>
      </c>
      <c r="C20" s="1353">
        <v>0</v>
      </c>
      <c r="D20" s="1354">
        <v>0</v>
      </c>
      <c r="E20" s="1354">
        <v>0</v>
      </c>
      <c r="F20" s="1189">
        <v>0</v>
      </c>
      <c r="G20" s="1353">
        <v>0</v>
      </c>
      <c r="H20" s="1033">
        <v>0</v>
      </c>
      <c r="I20" s="1354">
        <v>0</v>
      </c>
      <c r="J20" s="1200">
        <v>0</v>
      </c>
      <c r="K20" s="1153">
        <v>0</v>
      </c>
      <c r="L20" s="1153">
        <v>0</v>
      </c>
      <c r="M20" s="1200">
        <v>0</v>
      </c>
      <c r="N20" s="1153">
        <v>0</v>
      </c>
      <c r="O20" s="1186">
        <v>0</v>
      </c>
      <c r="P20" s="954"/>
      <c r="Q20" s="954"/>
      <c r="R20" s="1355">
        <f t="shared" si="0"/>
        <v>0</v>
      </c>
      <c r="S20" s="1018">
        <f t="shared" si="1"/>
        <v>0</v>
      </c>
    </row>
    <row r="21" spans="1:19" ht="14.25" customHeight="1" x14ac:dyDescent="0.2">
      <c r="A21" s="1148" t="s">
        <v>40</v>
      </c>
      <c r="B21" s="120">
        <v>0</v>
      </c>
      <c r="C21" s="1353">
        <v>0</v>
      </c>
      <c r="D21" s="1354">
        <v>0</v>
      </c>
      <c r="E21" s="1354">
        <v>0</v>
      </c>
      <c r="F21" s="1189">
        <v>0</v>
      </c>
      <c r="G21" s="1353">
        <v>0</v>
      </c>
      <c r="H21" s="1033">
        <v>0</v>
      </c>
      <c r="I21" s="1354">
        <v>0</v>
      </c>
      <c r="J21" s="1200">
        <v>0</v>
      </c>
      <c r="K21" s="1153">
        <v>0</v>
      </c>
      <c r="L21" s="1153">
        <v>0</v>
      </c>
      <c r="M21" s="1200">
        <v>0</v>
      </c>
      <c r="N21" s="1153">
        <v>0</v>
      </c>
      <c r="O21" s="1186">
        <v>0</v>
      </c>
      <c r="P21" s="954"/>
      <c r="Q21" s="954"/>
      <c r="R21" s="1355">
        <f t="shared" si="0"/>
        <v>0</v>
      </c>
      <c r="S21" s="1018">
        <f t="shared" si="1"/>
        <v>0</v>
      </c>
    </row>
    <row r="22" spans="1:19" ht="14.25" customHeight="1" x14ac:dyDescent="0.2">
      <c r="A22" s="1148" t="s">
        <v>41</v>
      </c>
      <c r="B22" s="120">
        <v>2.8677768003609998</v>
      </c>
      <c r="C22" s="1353">
        <v>2.2886520197425004</v>
      </c>
      <c r="D22" s="1354">
        <v>-0.67757621940299995</v>
      </c>
      <c r="E22" s="1354">
        <v>1.2567010000215</v>
      </c>
      <c r="F22" s="1189">
        <v>2.958726792123</v>
      </c>
      <c r="G22" s="1353">
        <v>0.46560268128971</v>
      </c>
      <c r="H22" s="1033">
        <v>-2.8101617513269998E-2</v>
      </c>
      <c r="I22" s="1354">
        <v>2.5212257283466002</v>
      </c>
      <c r="J22" s="1200">
        <v>112.48031434252999</v>
      </c>
      <c r="K22" s="1153">
        <v>108.64249715661001</v>
      </c>
      <c r="L22" s="1153">
        <v>3.8378171859191004</v>
      </c>
      <c r="M22" s="1200">
        <v>111.42608571677999</v>
      </c>
      <c r="N22" s="1153">
        <v>112.89650752189</v>
      </c>
      <c r="O22" s="1186">
        <v>-1.4704218051145999</v>
      </c>
      <c r="P22" s="954"/>
      <c r="Q22" s="954"/>
      <c r="R22" s="1355">
        <f t="shared" si="0"/>
        <v>0</v>
      </c>
      <c r="S22" s="1018">
        <f t="shared" si="1"/>
        <v>-4.0412118096355698E-14</v>
      </c>
    </row>
    <row r="23" spans="1:19" ht="14.25" customHeight="1" x14ac:dyDescent="0.2">
      <c r="A23" s="1148" t="s">
        <v>42</v>
      </c>
      <c r="B23" s="120">
        <v>5.5498229288053003E-3</v>
      </c>
      <c r="C23" s="1353">
        <v>1.2009452895120001E-2</v>
      </c>
      <c r="D23" s="1354">
        <v>-5.7621112375574003E-3</v>
      </c>
      <c r="E23" s="1354">
        <v>-6.9751872875695002E-4</v>
      </c>
      <c r="F23" s="1189">
        <v>7.0055141888197992E-3</v>
      </c>
      <c r="G23" s="1353">
        <v>0</v>
      </c>
      <c r="H23" s="1033">
        <v>0</v>
      </c>
      <c r="I23" s="1354">
        <v>7.0055141888197992E-3</v>
      </c>
      <c r="J23" s="1200">
        <v>3.4423438863677003</v>
      </c>
      <c r="K23" s="1153">
        <v>3.5241018011434999</v>
      </c>
      <c r="L23" s="1153">
        <v>-8.1757914775765994E-2</v>
      </c>
      <c r="M23" s="1200">
        <v>3.4422590032093998</v>
      </c>
      <c r="N23" s="1153">
        <v>3.4422590032093998</v>
      </c>
      <c r="O23" s="1186">
        <v>0</v>
      </c>
      <c r="P23" s="954"/>
      <c r="Q23" s="954"/>
      <c r="R23" s="1355">
        <f t="shared" si="0"/>
        <v>-3.5041414214731503E-16</v>
      </c>
      <c r="S23" s="1018">
        <f t="shared" si="1"/>
        <v>0</v>
      </c>
    </row>
    <row r="24" spans="1:19" ht="14.25" customHeight="1" x14ac:dyDescent="0.2">
      <c r="A24" s="1148" t="s">
        <v>43</v>
      </c>
      <c r="B24" s="120">
        <v>0</v>
      </c>
      <c r="C24" s="1353">
        <v>0</v>
      </c>
      <c r="D24" s="1354">
        <v>0</v>
      </c>
      <c r="E24" s="1354">
        <v>0</v>
      </c>
      <c r="F24" s="1189">
        <v>0</v>
      </c>
      <c r="G24" s="1353">
        <v>0</v>
      </c>
      <c r="H24" s="1033">
        <v>0</v>
      </c>
      <c r="I24" s="1354">
        <v>0</v>
      </c>
      <c r="J24" s="1200">
        <v>0</v>
      </c>
      <c r="K24" s="1153">
        <v>0</v>
      </c>
      <c r="L24" s="1153">
        <v>0</v>
      </c>
      <c r="M24" s="1200">
        <v>0</v>
      </c>
      <c r="N24" s="1153">
        <v>0</v>
      </c>
      <c r="O24" s="1186">
        <v>0</v>
      </c>
      <c r="P24" s="954"/>
      <c r="Q24" s="954"/>
      <c r="R24" s="1355">
        <f t="shared" si="0"/>
        <v>0</v>
      </c>
      <c r="S24" s="1018">
        <f t="shared" si="1"/>
        <v>0</v>
      </c>
    </row>
    <row r="25" spans="1:19" ht="14.25" customHeight="1" x14ac:dyDescent="0.2">
      <c r="A25" s="1148" t="s">
        <v>44</v>
      </c>
      <c r="B25" s="120">
        <v>0</v>
      </c>
      <c r="C25" s="1353">
        <v>0</v>
      </c>
      <c r="D25" s="1354">
        <v>0</v>
      </c>
      <c r="E25" s="1354">
        <v>0</v>
      </c>
      <c r="F25" s="1189">
        <v>0</v>
      </c>
      <c r="G25" s="1353">
        <v>0</v>
      </c>
      <c r="H25" s="1033">
        <v>0</v>
      </c>
      <c r="I25" s="1354">
        <v>0</v>
      </c>
      <c r="J25" s="1200">
        <v>0</v>
      </c>
      <c r="K25" s="1153">
        <v>0</v>
      </c>
      <c r="L25" s="1153">
        <v>0</v>
      </c>
      <c r="M25" s="1200">
        <v>0</v>
      </c>
      <c r="N25" s="1153">
        <v>0</v>
      </c>
      <c r="O25" s="1186">
        <v>0</v>
      </c>
      <c r="P25" s="954"/>
      <c r="Q25" s="954"/>
      <c r="R25" s="1355"/>
      <c r="S25" s="1018"/>
    </row>
    <row r="26" spans="1:19" ht="14.25" customHeight="1" x14ac:dyDescent="0.2">
      <c r="A26" s="1148" t="s">
        <v>45</v>
      </c>
      <c r="B26" s="120">
        <v>0</v>
      </c>
      <c r="C26" s="1353">
        <v>0</v>
      </c>
      <c r="D26" s="1354">
        <v>0</v>
      </c>
      <c r="E26" s="1354">
        <v>0</v>
      </c>
      <c r="F26" s="1189">
        <v>0</v>
      </c>
      <c r="G26" s="1353">
        <v>0</v>
      </c>
      <c r="H26" s="1033">
        <v>0</v>
      </c>
      <c r="I26" s="1354">
        <v>0</v>
      </c>
      <c r="J26" s="1200">
        <v>0</v>
      </c>
      <c r="K26" s="1153">
        <v>0</v>
      </c>
      <c r="L26" s="1153">
        <v>0</v>
      </c>
      <c r="M26" s="1200">
        <v>0</v>
      </c>
      <c r="N26" s="1153">
        <v>0</v>
      </c>
      <c r="O26" s="1186">
        <v>0</v>
      </c>
      <c r="P26" s="954"/>
      <c r="Q26" s="954"/>
      <c r="R26" s="1355">
        <f t="shared" si="0"/>
        <v>0</v>
      </c>
      <c r="S26" s="1018">
        <f t="shared" si="1"/>
        <v>0</v>
      </c>
    </row>
    <row r="27" spans="1:19" ht="14.25" customHeight="1" x14ac:dyDescent="0.2">
      <c r="A27" s="1148" t="s">
        <v>46</v>
      </c>
      <c r="B27" s="120">
        <v>0</v>
      </c>
      <c r="C27" s="1353">
        <v>0</v>
      </c>
      <c r="D27" s="1354">
        <v>0</v>
      </c>
      <c r="E27" s="1354">
        <v>0</v>
      </c>
      <c r="F27" s="1189">
        <v>0</v>
      </c>
      <c r="G27" s="1353">
        <v>0</v>
      </c>
      <c r="H27" s="1033">
        <v>0</v>
      </c>
      <c r="I27" s="1354">
        <v>0</v>
      </c>
      <c r="J27" s="1200">
        <v>0</v>
      </c>
      <c r="K27" s="1153">
        <v>0</v>
      </c>
      <c r="L27" s="1153">
        <v>0</v>
      </c>
      <c r="M27" s="1200">
        <v>0</v>
      </c>
      <c r="N27" s="1153">
        <v>0</v>
      </c>
      <c r="O27" s="1186">
        <v>0</v>
      </c>
      <c r="P27" s="954"/>
      <c r="Q27" s="954"/>
      <c r="R27" s="1355">
        <f t="shared" si="0"/>
        <v>0</v>
      </c>
      <c r="S27" s="1018">
        <f t="shared" si="1"/>
        <v>0</v>
      </c>
    </row>
    <row r="28" spans="1:19" ht="14.25" customHeight="1" x14ac:dyDescent="0.2">
      <c r="A28" s="1148" t="s">
        <v>47</v>
      </c>
      <c r="B28" s="120">
        <v>3.5351731448762996E-2</v>
      </c>
      <c r="C28" s="1353">
        <v>2.3321554770318001E-4</v>
      </c>
      <c r="D28" s="1354">
        <v>8.1386925795052991E-3</v>
      </c>
      <c r="E28" s="1354">
        <v>2.6979823321554998E-2</v>
      </c>
      <c r="F28" s="1189">
        <v>2.7307999999999998E-4</v>
      </c>
      <c r="G28" s="1353">
        <v>0</v>
      </c>
      <c r="H28" s="1033">
        <v>0</v>
      </c>
      <c r="I28" s="1354">
        <v>2.7307999999999998E-4</v>
      </c>
      <c r="J28" s="1200">
        <v>0.73584179953390005</v>
      </c>
      <c r="K28" s="1153">
        <v>0.70684179953390003</v>
      </c>
      <c r="L28" s="1153">
        <v>2.9000000000000001E-2</v>
      </c>
      <c r="M28" s="1200">
        <v>5.3105561000000003E-2</v>
      </c>
      <c r="N28" s="1153">
        <v>5.2805560999999994E-2</v>
      </c>
      <c r="O28" s="1186">
        <v>2.9999999999999997E-4</v>
      </c>
      <c r="P28" s="954"/>
      <c r="Q28" s="954"/>
      <c r="R28" s="1355">
        <f t="shared" si="0"/>
        <v>-4.8572257327350599E-16</v>
      </c>
      <c r="S28" s="1018">
        <f t="shared" si="1"/>
        <v>0</v>
      </c>
    </row>
    <row r="29" spans="1:19" x14ac:dyDescent="0.2">
      <c r="A29" s="1148" t="s">
        <v>48</v>
      </c>
      <c r="B29" s="120">
        <v>0</v>
      </c>
      <c r="C29" s="1353">
        <v>0</v>
      </c>
      <c r="D29" s="1354">
        <v>0</v>
      </c>
      <c r="E29" s="1354">
        <v>0</v>
      </c>
      <c r="F29" s="1189">
        <v>0</v>
      </c>
      <c r="G29" s="1353">
        <v>0</v>
      </c>
      <c r="H29" s="1033">
        <v>0</v>
      </c>
      <c r="I29" s="1354">
        <v>0</v>
      </c>
      <c r="J29" s="1200">
        <v>0</v>
      </c>
      <c r="K29" s="1153">
        <v>0</v>
      </c>
      <c r="L29" s="1153">
        <v>0</v>
      </c>
      <c r="M29" s="1200">
        <v>0</v>
      </c>
      <c r="N29" s="1153">
        <v>0</v>
      </c>
      <c r="O29" s="1186">
        <v>0</v>
      </c>
      <c r="P29" s="954"/>
      <c r="Q29" s="954"/>
      <c r="R29" s="1355">
        <f t="shared" si="0"/>
        <v>0</v>
      </c>
      <c r="S29" s="1018">
        <f t="shared" si="1"/>
        <v>0</v>
      </c>
    </row>
    <row r="30" spans="1:19" x14ac:dyDescent="0.2">
      <c r="A30" s="1148" t="s">
        <v>49</v>
      </c>
      <c r="B30" s="120">
        <v>46.729894620077999</v>
      </c>
      <c r="C30" s="1353">
        <v>45.608430393788005</v>
      </c>
      <c r="D30" s="1354">
        <v>1.7382140876317</v>
      </c>
      <c r="E30" s="1354">
        <v>-0.61674986134220999</v>
      </c>
      <c r="F30" s="1189">
        <v>82.60565723793701</v>
      </c>
      <c r="G30" s="1353">
        <v>69.899057127010991</v>
      </c>
      <c r="H30" s="1033">
        <v>15.533000554631</v>
      </c>
      <c r="I30" s="1354">
        <v>-2.8264004437049004</v>
      </c>
      <c r="J30" s="1200">
        <v>3456.1328252586</v>
      </c>
      <c r="K30" s="1153">
        <v>3143.4120849211004</v>
      </c>
      <c r="L30" s="1153">
        <v>312.72074033750999</v>
      </c>
      <c r="M30" s="1200">
        <v>4190.3113772454999</v>
      </c>
      <c r="N30" s="1153">
        <v>3976.5465432771002</v>
      </c>
      <c r="O30" s="1186">
        <v>213.76483396843</v>
      </c>
      <c r="P30" s="954"/>
      <c r="Q30" s="954"/>
      <c r="R30" s="1355">
        <f t="shared" si="0"/>
        <v>5.042632977847461E-13</v>
      </c>
      <c r="S30" s="1018">
        <f t="shared" si="1"/>
        <v>-8.1268325402561459E-14</v>
      </c>
    </row>
    <row r="31" spans="1:19" x14ac:dyDescent="0.2">
      <c r="A31" s="1148" t="s">
        <v>50</v>
      </c>
      <c r="B31" s="120">
        <v>0</v>
      </c>
      <c r="C31" s="1353">
        <v>0</v>
      </c>
      <c r="D31" s="1354">
        <v>0</v>
      </c>
      <c r="E31" s="1354">
        <v>0</v>
      </c>
      <c r="F31" s="1189">
        <v>0</v>
      </c>
      <c r="G31" s="1353">
        <v>0</v>
      </c>
      <c r="H31" s="1033">
        <v>0</v>
      </c>
      <c r="I31" s="1354">
        <v>0</v>
      </c>
      <c r="J31" s="1200">
        <v>0</v>
      </c>
      <c r="K31" s="1153">
        <v>0</v>
      </c>
      <c r="L31" s="1153">
        <v>0</v>
      </c>
      <c r="M31" s="1200">
        <v>0</v>
      </c>
      <c r="N31" s="1153">
        <v>0</v>
      </c>
      <c r="O31" s="1186">
        <v>0</v>
      </c>
      <c r="P31" s="954"/>
      <c r="Q31" s="954"/>
      <c r="R31" s="1355">
        <f t="shared" si="0"/>
        <v>0</v>
      </c>
      <c r="S31" s="1018">
        <f t="shared" si="1"/>
        <v>0</v>
      </c>
    </row>
    <row r="32" spans="1:19" x14ac:dyDescent="0.2">
      <c r="A32" s="1148" t="s">
        <v>51</v>
      </c>
      <c r="B32" s="120">
        <v>140.88186356073001</v>
      </c>
      <c r="C32" s="1357">
        <f>B32-D32-E32</f>
        <v>77.146595824781386</v>
      </c>
      <c r="D32" s="1358">
        <f>B32*L32/J32</f>
        <v>30.96163473358882</v>
      </c>
      <c r="E32" s="1359">
        <f>$B32/TableB2!$C32*TableB2!F32</f>
        <v>32.773633002359801</v>
      </c>
      <c r="F32" s="1360">
        <v>153.80476982805999</v>
      </c>
      <c r="G32" s="1357">
        <f>F32-H32-I32</f>
        <v>114.34149548704708</v>
      </c>
      <c r="H32" s="1358">
        <f>F32*O32/M32</f>
        <v>39.987643300689491</v>
      </c>
      <c r="I32" s="1359">
        <f>F32*TableB2!J32/TableB2!G32</f>
        <v>-0.52436895967657893</v>
      </c>
      <c r="J32" s="1009">
        <v>3281.5224823080998</v>
      </c>
      <c r="K32" s="1194">
        <v>2560.3416439848002</v>
      </c>
      <c r="L32" s="1194">
        <v>721.18083832334992</v>
      </c>
      <c r="M32" s="1200">
        <v>3707.1422972237001</v>
      </c>
      <c r="N32" s="1153">
        <v>2743.3237887861001</v>
      </c>
      <c r="O32" s="1186">
        <v>963.81850843766995</v>
      </c>
      <c r="P32" s="954"/>
      <c r="Q32" s="954"/>
      <c r="R32" s="1355">
        <f t="shared" si="0"/>
        <v>0</v>
      </c>
      <c r="S32" s="1018">
        <f t="shared" si="1"/>
        <v>-7.2164496600635175E-15</v>
      </c>
    </row>
    <row r="33" spans="1:19" x14ac:dyDescent="0.2">
      <c r="A33" s="1148" t="s">
        <v>52</v>
      </c>
      <c r="B33" s="120">
        <v>0</v>
      </c>
      <c r="C33" s="1353">
        <v>0</v>
      </c>
      <c r="D33" s="1354">
        <v>0</v>
      </c>
      <c r="E33" s="1354">
        <v>0</v>
      </c>
      <c r="F33" s="1189">
        <v>0</v>
      </c>
      <c r="G33" s="1353">
        <v>0</v>
      </c>
      <c r="H33" s="1033">
        <v>0</v>
      </c>
      <c r="I33" s="1354">
        <v>0</v>
      </c>
      <c r="J33" s="1200">
        <v>0</v>
      </c>
      <c r="K33" s="1153">
        <v>0</v>
      </c>
      <c r="L33" s="1153">
        <v>0</v>
      </c>
      <c r="M33" s="1200">
        <v>0</v>
      </c>
      <c r="N33" s="1153">
        <v>0</v>
      </c>
      <c r="O33" s="1186">
        <v>0</v>
      </c>
      <c r="P33" s="954"/>
      <c r="Q33" s="954"/>
      <c r="R33" s="1355">
        <f t="shared" si="0"/>
        <v>0</v>
      </c>
      <c r="S33" s="1018">
        <f t="shared" si="1"/>
        <v>0</v>
      </c>
    </row>
    <row r="34" spans="1:19" x14ac:dyDescent="0.2">
      <c r="A34" s="1074" t="s">
        <v>53</v>
      </c>
      <c r="B34" s="120">
        <v>-0.16901652964299002</v>
      </c>
      <c r="C34" s="1353">
        <v>0</v>
      </c>
      <c r="D34" s="1354">
        <v>1.6120432027578E-3</v>
      </c>
      <c r="E34" s="1354">
        <v>-0.17062857284575</v>
      </c>
      <c r="F34" s="1189">
        <v>1.6988455290602E-2</v>
      </c>
      <c r="G34" s="1353">
        <v>4.5509219647086999E-2</v>
      </c>
      <c r="H34" s="1033">
        <v>1.4880398794687999E-3</v>
      </c>
      <c r="I34" s="1354">
        <v>-3.0008804235953999E-2</v>
      </c>
      <c r="J34" s="1200">
        <v>1.9864926220204</v>
      </c>
      <c r="K34" s="1153">
        <v>2.0716231555051001</v>
      </c>
      <c r="L34" s="1153">
        <v>-8.5130533484677001E-2</v>
      </c>
      <c r="M34" s="1200">
        <v>1.9558456299658999</v>
      </c>
      <c r="N34" s="1153">
        <v>1.8904653802497</v>
      </c>
      <c r="O34" s="1186">
        <v>6.5380249716232006E-2</v>
      </c>
      <c r="P34" s="954"/>
      <c r="Q34" s="954"/>
      <c r="R34" s="1355">
        <f t="shared" si="0"/>
        <v>2.1926904736346842E-15</v>
      </c>
      <c r="S34" s="1018">
        <f t="shared" si="1"/>
        <v>2.0122792321330962E-16</v>
      </c>
    </row>
    <row r="35" spans="1:19" x14ac:dyDescent="0.2">
      <c r="A35" s="1148" t="s">
        <v>54</v>
      </c>
      <c r="B35" s="120">
        <f>C35+D35+E35</f>
        <v>5.6147842750038035E-2</v>
      </c>
      <c r="C35" s="1353">
        <f>K35*C$32/K$32</f>
        <v>3.9406895139223144E-2</v>
      </c>
      <c r="D35" s="1354">
        <f>L35*D$32/L$32</f>
        <v>0</v>
      </c>
      <c r="E35" s="1354">
        <f>K35*E$32/K$32</f>
        <v>1.6740947610814887E-2</v>
      </c>
      <c r="F35" s="120">
        <f>G35+H35+I35</f>
        <v>5.4260515911874974E-2</v>
      </c>
      <c r="G35" s="1353">
        <f>N35*G$32/N$32</f>
        <v>5.4510500524457703E-2</v>
      </c>
      <c r="H35" s="1033">
        <f>O35*H$32/O$32</f>
        <v>0</v>
      </c>
      <c r="I35" s="1354">
        <f>N35*I$32/N$32</f>
        <v>-2.499846125827305E-4</v>
      </c>
      <c r="J35" s="1200">
        <v>1.3078362513136998</v>
      </c>
      <c r="K35" s="1153">
        <f>J35</f>
        <v>1.3078362513136998</v>
      </c>
      <c r="L35" s="1153">
        <f>J35-K35</f>
        <v>0</v>
      </c>
      <c r="M35" s="1200">
        <v>1.3078362513136998</v>
      </c>
      <c r="N35" s="1153">
        <f>M35</f>
        <v>1.3078362513136998</v>
      </c>
      <c r="O35" s="1186">
        <f>M35-N35</f>
        <v>0</v>
      </c>
      <c r="P35" s="954"/>
      <c r="Q35" s="954"/>
      <c r="R35" s="1355">
        <f t="shared" si="0"/>
        <v>0</v>
      </c>
      <c r="S35" s="1018">
        <f t="shared" si="1"/>
        <v>1.1926223897340549E-18</v>
      </c>
    </row>
    <row r="36" spans="1:19" x14ac:dyDescent="0.2">
      <c r="A36" s="1148" t="s">
        <v>55</v>
      </c>
      <c r="B36" s="120">
        <f>C36+D36+E36</f>
        <v>0.57893741651283814</v>
      </c>
      <c r="C36" s="1353">
        <f>K36*C$32/K$32</f>
        <v>0.43584687303486425</v>
      </c>
      <c r="D36" s="1354">
        <f>L36*D$32/L$32</f>
        <v>-4.2067146363763491E-2</v>
      </c>
      <c r="E36" s="1354">
        <f>K36*E$32/K$32</f>
        <v>0.18515768984173744</v>
      </c>
      <c r="F36" s="120">
        <f>G36+H36+I36</f>
        <v>0.37215674085598122</v>
      </c>
      <c r="G36" s="1353">
        <f>N36*G$32/N$32</f>
        <v>0.34024603588003816</v>
      </c>
      <c r="H36" s="1033">
        <f>O36*H$32/O$32</f>
        <v>3.3471069908276058E-2</v>
      </c>
      <c r="I36" s="1354">
        <f>N36*I$32/N$32</f>
        <v>-1.5603649323329589E-3</v>
      </c>
      <c r="J36" s="1200">
        <v>13.48502994012</v>
      </c>
      <c r="K36" s="1153">
        <v>14.464888405007999</v>
      </c>
      <c r="L36" s="1153">
        <v>-0.97985846488841</v>
      </c>
      <c r="M36" s="1200">
        <v>8.9700598802395</v>
      </c>
      <c r="N36" s="1153">
        <v>8.1633097441481013</v>
      </c>
      <c r="O36" s="1186">
        <v>0.80675013609145008</v>
      </c>
      <c r="P36" s="954"/>
      <c r="Q36" s="954"/>
      <c r="R36" s="1355">
        <f t="shared" si="0"/>
        <v>0</v>
      </c>
      <c r="S36" s="1018">
        <f t="shared" si="1"/>
        <v>-3.8163916471489756E-17</v>
      </c>
    </row>
    <row r="37" spans="1:19" x14ac:dyDescent="0.2">
      <c r="A37" s="1148" t="s">
        <v>336</v>
      </c>
      <c r="B37" s="120">
        <v>0</v>
      </c>
      <c r="C37" s="1353">
        <v>0</v>
      </c>
      <c r="D37" s="1354">
        <v>0</v>
      </c>
      <c r="E37" s="1354">
        <v>0</v>
      </c>
      <c r="F37" s="1189">
        <v>0</v>
      </c>
      <c r="G37" s="1353">
        <v>0</v>
      </c>
      <c r="H37" s="1033">
        <v>0</v>
      </c>
      <c r="I37" s="1354">
        <v>0</v>
      </c>
      <c r="J37" s="1200">
        <v>0</v>
      </c>
      <c r="K37" s="1153">
        <v>0</v>
      </c>
      <c r="L37" s="1153">
        <v>0</v>
      </c>
      <c r="M37" s="1200">
        <v>0</v>
      </c>
      <c r="N37" s="1153">
        <v>0</v>
      </c>
      <c r="O37" s="1186">
        <v>0</v>
      </c>
      <c r="P37" s="954"/>
      <c r="Q37" s="954"/>
      <c r="R37" s="1355">
        <f t="shared" si="0"/>
        <v>0</v>
      </c>
      <c r="S37" s="1018">
        <f t="shared" si="1"/>
        <v>0</v>
      </c>
    </row>
    <row r="38" spans="1:19" x14ac:dyDescent="0.2">
      <c r="A38" s="1074" t="s">
        <v>57</v>
      </c>
      <c r="B38" s="120">
        <v>0</v>
      </c>
      <c r="C38" s="1353">
        <v>0</v>
      </c>
      <c r="D38" s="1354">
        <v>0</v>
      </c>
      <c r="E38" s="1354">
        <v>0</v>
      </c>
      <c r="F38" s="1189">
        <v>0</v>
      </c>
      <c r="G38" s="1353">
        <v>0</v>
      </c>
      <c r="H38" s="1033">
        <v>0</v>
      </c>
      <c r="I38" s="1354">
        <v>0</v>
      </c>
      <c r="J38" s="1200">
        <v>0</v>
      </c>
      <c r="K38" s="1153">
        <v>0</v>
      </c>
      <c r="L38" s="1153">
        <v>0</v>
      </c>
      <c r="M38" s="1200">
        <v>0</v>
      </c>
      <c r="N38" s="1153">
        <v>0</v>
      </c>
      <c r="O38" s="1186">
        <v>0</v>
      </c>
      <c r="P38" s="954"/>
      <c r="Q38" s="954"/>
      <c r="R38" s="1355">
        <f t="shared" si="0"/>
        <v>0</v>
      </c>
      <c r="S38" s="1018">
        <f t="shared" si="1"/>
        <v>0</v>
      </c>
    </row>
    <row r="39" spans="1:19" x14ac:dyDescent="0.2">
      <c r="A39" s="1148" t="s">
        <v>58</v>
      </c>
      <c r="B39" s="120">
        <f>C39+D39+E39</f>
        <v>1.1829748970227549</v>
      </c>
      <c r="C39" s="1353">
        <f>K39*C$32/K$32</f>
        <v>0.8302610650037382</v>
      </c>
      <c r="D39" s="1354">
        <f>L39*D$32/L$32</f>
        <v>0</v>
      </c>
      <c r="E39" s="1354">
        <f>K39*E$32/K$32</f>
        <v>0.35271383201901663</v>
      </c>
      <c r="F39" s="120">
        <f>G39+H39+I39</f>
        <v>1.0892326312660479</v>
      </c>
      <c r="G39" s="1353">
        <f>N39*G$32/N$32</f>
        <v>1.0942508547894243</v>
      </c>
      <c r="H39" s="1033">
        <f>O39*H$32/O$32</f>
        <v>0</v>
      </c>
      <c r="I39" s="1354">
        <f>N39*I$32/N$32</f>
        <v>-5.018223523376413E-3</v>
      </c>
      <c r="J39" s="1200">
        <v>27.554708764290002</v>
      </c>
      <c r="K39" s="1153">
        <f>J39</f>
        <v>27.554708764290002</v>
      </c>
      <c r="L39" s="1153">
        <f>J39-K39</f>
        <v>0</v>
      </c>
      <c r="M39" s="1200">
        <v>26.253674469243002</v>
      </c>
      <c r="N39" s="1153">
        <f>M39</f>
        <v>26.253674469243002</v>
      </c>
      <c r="O39" s="1186">
        <f>M39-N39</f>
        <v>0</v>
      </c>
      <c r="P39" s="954"/>
      <c r="Q39" s="954"/>
      <c r="R39" s="1355">
        <f t="shared" si="0"/>
        <v>0</v>
      </c>
      <c r="S39" s="1018">
        <f t="shared" si="1"/>
        <v>-2.8622937353617317E-17</v>
      </c>
    </row>
    <row r="40" spans="1:19" x14ac:dyDescent="0.2">
      <c r="A40" s="1148" t="s">
        <v>59</v>
      </c>
      <c r="B40" s="120">
        <f>C40+D40+E40</f>
        <v>0.60302698267599419</v>
      </c>
      <c r="C40" s="1353">
        <f>K40*C$32/K$32</f>
        <v>0.52368637122273709</v>
      </c>
      <c r="D40" s="1354">
        <v>-6.9993949675537001E-2</v>
      </c>
      <c r="E40" s="1042">
        <f>M40*E$32/M$32</f>
        <v>0.14933456112879412</v>
      </c>
      <c r="F40" s="1189">
        <v>0.27238323466955</v>
      </c>
      <c r="G40" s="1353">
        <v>0.27226460085654003</v>
      </c>
      <c r="H40" s="1033">
        <v>1.1863381300938001E-4</v>
      </c>
      <c r="I40" s="1354">
        <v>0</v>
      </c>
      <c r="J40" s="1200">
        <v>21.932873661263997</v>
      </c>
      <c r="K40" s="1153">
        <v>17.380106151075999</v>
      </c>
      <c r="L40" s="1153">
        <v>4.5527675101886</v>
      </c>
      <c r="M40" s="1200">
        <v>16.891763813857001</v>
      </c>
      <c r="N40" s="1153">
        <v>16.891763813857001</v>
      </c>
      <c r="O40" s="1186">
        <v>0</v>
      </c>
      <c r="P40" s="954"/>
      <c r="Q40" s="954"/>
      <c r="R40" s="1355">
        <f t="shared" si="0"/>
        <v>0</v>
      </c>
      <c r="S40" s="1018">
        <f t="shared" si="1"/>
        <v>5.9177109826974439E-16</v>
      </c>
    </row>
    <row r="41" spans="1:19" x14ac:dyDescent="0.2">
      <c r="A41" s="1148" t="s">
        <v>60</v>
      </c>
      <c r="B41" s="120">
        <v>6.7404546679830002</v>
      </c>
      <c r="C41" s="1353">
        <v>5.3009216980151992</v>
      </c>
      <c r="D41" s="1354">
        <v>8.5626090616232012E-2</v>
      </c>
      <c r="E41" s="1354">
        <v>1.3539068793516</v>
      </c>
      <c r="F41" s="1189">
        <v>3.8068766249713999</v>
      </c>
      <c r="G41" s="1353">
        <v>7.9134737898783998</v>
      </c>
      <c r="H41" s="1033">
        <v>0.14328691676191999</v>
      </c>
      <c r="I41" s="1354">
        <v>-4.2498840816688999</v>
      </c>
      <c r="J41" s="1200">
        <v>123.17453508013</v>
      </c>
      <c r="K41" s="1153">
        <v>102.6349993549</v>
      </c>
      <c r="L41" s="1153">
        <v>20.539535725229001</v>
      </c>
      <c r="M41" s="1200">
        <v>97.795929790838002</v>
      </c>
      <c r="N41" s="1153">
        <v>98.272404363965009</v>
      </c>
      <c r="O41" s="1186">
        <v>-0.47647457312771002</v>
      </c>
      <c r="P41" s="954"/>
      <c r="Q41" s="954"/>
      <c r="R41" s="1355">
        <f t="shared" si="0"/>
        <v>-3.1086244689504383E-14</v>
      </c>
      <c r="S41" s="1018">
        <f t="shared" si="1"/>
        <v>-2.042810365310288E-14</v>
      </c>
    </row>
    <row r="42" spans="1:19" x14ac:dyDescent="0.2">
      <c r="A42" s="1148" t="s">
        <v>61</v>
      </c>
      <c r="B42" s="120">
        <v>0</v>
      </c>
      <c r="C42" s="1353">
        <v>0</v>
      </c>
      <c r="D42" s="1354">
        <v>0</v>
      </c>
      <c r="E42" s="1354">
        <v>0</v>
      </c>
      <c r="F42" s="1189">
        <v>0</v>
      </c>
      <c r="G42" s="1353">
        <v>0</v>
      </c>
      <c r="H42" s="1033">
        <v>0</v>
      </c>
      <c r="I42" s="1354">
        <v>0</v>
      </c>
      <c r="J42" s="1200">
        <v>0</v>
      </c>
      <c r="K42" s="1153">
        <v>0</v>
      </c>
      <c r="L42" s="1153">
        <v>0</v>
      </c>
      <c r="M42" s="1200">
        <v>0</v>
      </c>
      <c r="N42" s="1153">
        <v>0</v>
      </c>
      <c r="O42" s="1186">
        <v>0</v>
      </c>
      <c r="P42" s="954"/>
      <c r="Q42" s="954"/>
      <c r="R42" s="1355">
        <f t="shared" si="0"/>
        <v>0</v>
      </c>
      <c r="S42" s="1018">
        <f t="shared" si="1"/>
        <v>0</v>
      </c>
    </row>
    <row r="43" spans="1:19" x14ac:dyDescent="0.2">
      <c r="A43" s="1148" t="s">
        <v>62</v>
      </c>
      <c r="B43" s="120"/>
      <c r="C43" s="1353"/>
      <c r="D43" s="1354"/>
      <c r="E43" s="1354"/>
      <c r="F43" s="1189"/>
      <c r="G43" s="1353"/>
      <c r="H43" s="1033"/>
      <c r="I43" s="1354"/>
      <c r="J43" s="1200"/>
      <c r="K43" s="1153"/>
      <c r="L43" s="1153"/>
      <c r="M43" s="1200"/>
      <c r="N43" s="1153"/>
      <c r="O43" s="1186"/>
      <c r="P43" s="954"/>
      <c r="Q43" s="954"/>
      <c r="R43" s="1355">
        <f t="shared" si="0"/>
        <v>0</v>
      </c>
      <c r="S43" s="1018">
        <f t="shared" si="1"/>
        <v>0</v>
      </c>
    </row>
    <row r="44" spans="1:19" ht="17" thickBot="1" x14ac:dyDescent="0.25">
      <c r="A44" s="1239" t="s">
        <v>63</v>
      </c>
      <c r="B44" s="417">
        <v>0</v>
      </c>
      <c r="C44" s="1192">
        <v>0</v>
      </c>
      <c r="D44" s="1361">
        <v>0</v>
      </c>
      <c r="E44" s="1361">
        <v>0</v>
      </c>
      <c r="F44" s="18">
        <v>0</v>
      </c>
      <c r="G44" s="1192">
        <v>0</v>
      </c>
      <c r="H44" s="1191">
        <v>0</v>
      </c>
      <c r="I44" s="1361">
        <v>0</v>
      </c>
      <c r="J44" s="280">
        <v>0</v>
      </c>
      <c r="K44" s="1241">
        <v>0</v>
      </c>
      <c r="L44" s="1241">
        <v>0</v>
      </c>
      <c r="M44" s="280">
        <v>0</v>
      </c>
      <c r="N44" s="1241">
        <v>0</v>
      </c>
      <c r="O44" s="1242">
        <v>0</v>
      </c>
      <c r="P44" s="954"/>
      <c r="Q44" s="954"/>
      <c r="R44" s="1355">
        <f t="shared" si="0"/>
        <v>0</v>
      </c>
      <c r="S44" s="1018">
        <f t="shared" si="1"/>
        <v>0</v>
      </c>
    </row>
    <row r="45" spans="1:19" ht="34" hidden="1" x14ac:dyDescent="0.2">
      <c r="A45" s="112" t="s">
        <v>64</v>
      </c>
      <c r="B45" s="121"/>
      <c r="C45" s="12"/>
      <c r="D45" s="1033"/>
      <c r="E45" s="1362"/>
      <c r="F45" s="1189"/>
      <c r="G45" s="1353"/>
      <c r="H45" s="1033"/>
      <c r="I45" s="1354"/>
      <c r="J45" s="1200"/>
      <c r="K45" s="1027"/>
      <c r="L45" s="1027"/>
      <c r="M45" s="1363"/>
      <c r="N45" s="1027"/>
      <c r="O45" s="1073"/>
      <c r="P45" s="954"/>
      <c r="Q45" s="954"/>
      <c r="R45" s="1355">
        <f t="shared" si="0"/>
        <v>0</v>
      </c>
      <c r="S45" s="1018">
        <f t="shared" si="1"/>
        <v>0</v>
      </c>
    </row>
    <row r="46" spans="1:19" hidden="1" x14ac:dyDescent="0.2">
      <c r="A46" s="1149" t="s">
        <v>65</v>
      </c>
      <c r="B46" s="121"/>
      <c r="C46" s="12"/>
      <c r="D46" s="1033"/>
      <c r="E46" s="1354"/>
      <c r="F46" s="1189"/>
      <c r="G46" s="1353"/>
      <c r="H46" s="1033"/>
      <c r="I46" s="1354"/>
      <c r="J46" s="1200"/>
      <c r="K46" s="1153"/>
      <c r="L46" s="1153"/>
      <c r="M46" s="1363"/>
      <c r="N46" s="1027"/>
      <c r="O46" s="1073"/>
      <c r="P46" s="954"/>
      <c r="Q46" s="954"/>
      <c r="R46" s="1355">
        <f t="shared" si="0"/>
        <v>0</v>
      </c>
      <c r="S46" s="1018">
        <f t="shared" si="1"/>
        <v>0</v>
      </c>
    </row>
    <row r="47" spans="1:19" hidden="1" x14ac:dyDescent="0.2">
      <c r="A47" s="113" t="s">
        <v>66</v>
      </c>
      <c r="B47" s="121"/>
      <c r="C47" s="12"/>
      <c r="D47" s="1033"/>
      <c r="E47" s="1362"/>
      <c r="F47" s="1189"/>
      <c r="G47" s="1353"/>
      <c r="H47" s="1033"/>
      <c r="I47" s="1354"/>
      <c r="J47" s="1200"/>
      <c r="K47" s="1153"/>
      <c r="L47" s="1153"/>
      <c r="M47" s="1363"/>
      <c r="N47" s="1027"/>
      <c r="O47" s="1073"/>
      <c r="P47" s="954"/>
      <c r="Q47" s="954"/>
      <c r="R47" s="1355">
        <f t="shared" si="0"/>
        <v>0</v>
      </c>
      <c r="S47" s="1018">
        <f t="shared" si="1"/>
        <v>0</v>
      </c>
    </row>
    <row r="48" spans="1:19" hidden="1" x14ac:dyDescent="0.2">
      <c r="A48" s="113" t="s">
        <v>67</v>
      </c>
      <c r="B48" s="121"/>
      <c r="C48" s="12"/>
      <c r="D48" s="1033"/>
      <c r="E48" s="1362"/>
      <c r="F48" s="1189"/>
      <c r="G48" s="1353"/>
      <c r="H48" s="1033"/>
      <c r="I48" s="1354"/>
      <c r="J48" s="1200"/>
      <c r="K48" s="1153"/>
      <c r="L48" s="1153"/>
      <c r="M48" s="1363"/>
      <c r="N48" s="1027"/>
      <c r="O48" s="1073"/>
      <c r="P48" s="954"/>
      <c r="Q48" s="954"/>
      <c r="R48" s="1355"/>
      <c r="S48" s="1018"/>
    </row>
    <row r="49" spans="1:19" hidden="1" x14ac:dyDescent="0.2">
      <c r="A49" s="113" t="s">
        <v>68</v>
      </c>
      <c r="B49" s="121"/>
      <c r="C49" s="12"/>
      <c r="D49" s="1033"/>
      <c r="E49" s="1362"/>
      <c r="F49" s="1189"/>
      <c r="G49" s="1353"/>
      <c r="H49" s="1033"/>
      <c r="I49" s="1354"/>
      <c r="J49" s="1200"/>
      <c r="K49" s="1153"/>
      <c r="L49" s="1153"/>
      <c r="M49" s="1363"/>
      <c r="N49" s="1027"/>
      <c r="O49" s="1073"/>
      <c r="P49" s="954"/>
      <c r="Q49" s="954"/>
      <c r="R49" s="1355"/>
      <c r="S49" s="1018"/>
    </row>
    <row r="50" spans="1:19" hidden="1" x14ac:dyDescent="0.2">
      <c r="A50" s="113" t="s">
        <v>69</v>
      </c>
      <c r="B50" s="121"/>
      <c r="C50" s="12"/>
      <c r="D50" s="1033"/>
      <c r="E50" s="1362"/>
      <c r="F50" s="1189"/>
      <c r="G50" s="1353"/>
      <c r="H50" s="1033"/>
      <c r="I50" s="1354"/>
      <c r="J50" s="1200"/>
      <c r="K50" s="1153"/>
      <c r="L50" s="1153"/>
      <c r="M50" s="1363"/>
      <c r="N50" s="1027"/>
      <c r="O50" s="1073"/>
      <c r="P50" s="954"/>
      <c r="Q50" s="954"/>
      <c r="R50" s="1355"/>
      <c r="S50" s="1018"/>
    </row>
    <row r="51" spans="1:19" hidden="1" x14ac:dyDescent="0.2">
      <c r="A51" s="113" t="s">
        <v>70</v>
      </c>
      <c r="B51" s="121"/>
      <c r="C51" s="12"/>
      <c r="D51" s="1033"/>
      <c r="E51" s="1362"/>
      <c r="F51" s="1189"/>
      <c r="G51" s="1353"/>
      <c r="H51" s="1033"/>
      <c r="I51" s="1354"/>
      <c r="J51" s="1200"/>
      <c r="K51" s="1153"/>
      <c r="L51" s="1153"/>
      <c r="M51" s="1363"/>
      <c r="N51" s="1027"/>
      <c r="O51" s="1073"/>
      <c r="P51" s="954"/>
      <c r="Q51" s="954"/>
      <c r="R51" s="1355"/>
      <c r="S51" s="1018"/>
    </row>
    <row r="52" spans="1:19" hidden="1" x14ac:dyDescent="0.2">
      <c r="A52" s="113" t="s">
        <v>71</v>
      </c>
      <c r="B52" s="121"/>
      <c r="C52" s="12"/>
      <c r="D52" s="1033"/>
      <c r="E52" s="1362"/>
      <c r="F52" s="1189"/>
      <c r="G52" s="1353"/>
      <c r="H52" s="1033"/>
      <c r="I52" s="1354"/>
      <c r="J52" s="1200"/>
      <c r="K52" s="1153"/>
      <c r="L52" s="1153"/>
      <c r="M52" s="1363"/>
      <c r="N52" s="1027"/>
      <c r="O52" s="1073"/>
      <c r="P52" s="954"/>
      <c r="Q52" s="954"/>
      <c r="R52" s="1355"/>
      <c r="S52" s="1018"/>
    </row>
    <row r="53" spans="1:19" ht="34" hidden="1" x14ac:dyDescent="0.2">
      <c r="A53" s="112" t="s">
        <v>72</v>
      </c>
      <c r="B53" s="121"/>
      <c r="C53" s="12"/>
      <c r="D53" s="1033"/>
      <c r="E53" s="1362"/>
      <c r="F53" s="1189"/>
      <c r="G53" s="1353"/>
      <c r="H53" s="1033"/>
      <c r="I53" s="1354"/>
      <c r="J53" s="1200"/>
      <c r="K53" s="1153"/>
      <c r="L53" s="1153"/>
      <c r="M53" s="1363"/>
      <c r="N53" s="1027"/>
      <c r="O53" s="1073"/>
      <c r="P53" s="954"/>
      <c r="Q53" s="954"/>
      <c r="R53" s="1355"/>
      <c r="S53" s="1018"/>
    </row>
    <row r="54" spans="1:19" hidden="1" x14ac:dyDescent="0.2">
      <c r="A54" s="113" t="s">
        <v>73</v>
      </c>
      <c r="B54" s="121"/>
      <c r="C54" s="12"/>
      <c r="D54" s="1033"/>
      <c r="E54" s="1362"/>
      <c r="F54" s="1189"/>
      <c r="G54" s="1353"/>
      <c r="H54" s="1033"/>
      <c r="I54" s="1354"/>
      <c r="J54" s="1200"/>
      <c r="K54" s="1153"/>
      <c r="L54" s="1153"/>
      <c r="M54" s="1363"/>
      <c r="N54" s="1027"/>
      <c r="O54" s="1073"/>
      <c r="P54" s="954"/>
      <c r="Q54" s="954"/>
      <c r="R54" s="1355"/>
      <c r="S54" s="1018"/>
    </row>
    <row r="55" spans="1:19" hidden="1" x14ac:dyDescent="0.2">
      <c r="A55" s="113" t="s">
        <v>74</v>
      </c>
      <c r="B55" s="121"/>
      <c r="C55" s="12"/>
      <c r="D55" s="1033"/>
      <c r="E55" s="1362"/>
      <c r="F55" s="1189"/>
      <c r="G55" s="1353"/>
      <c r="H55" s="1033"/>
      <c r="I55" s="1354"/>
      <c r="J55" s="1200"/>
      <c r="K55" s="1153"/>
      <c r="L55" s="1153"/>
      <c r="M55" s="1363"/>
      <c r="N55" s="1027"/>
      <c r="O55" s="1073"/>
      <c r="P55" s="954"/>
      <c r="Q55" s="954"/>
      <c r="R55" s="1355"/>
      <c r="S55" s="1018"/>
    </row>
    <row r="56" spans="1:19" hidden="1" x14ac:dyDescent="0.2">
      <c r="A56" s="1148" t="str">
        <f>+TableA1!A56</f>
        <v>Antigua and Barbuda</v>
      </c>
      <c r="B56" s="121"/>
      <c r="C56" s="12"/>
      <c r="D56" s="1033"/>
      <c r="E56" s="1362"/>
      <c r="F56" s="1189"/>
      <c r="G56" s="1353"/>
      <c r="H56" s="1033"/>
      <c r="I56" s="1354"/>
      <c r="J56" s="1200"/>
      <c r="K56" s="1153"/>
      <c r="L56" s="1153"/>
      <c r="M56" s="1363"/>
      <c r="N56" s="1027"/>
      <c r="O56" s="1073"/>
      <c r="P56" s="954"/>
      <c r="Q56" s="954"/>
      <c r="R56" s="1355"/>
      <c r="S56" s="1018"/>
    </row>
    <row r="57" spans="1:19" hidden="1" x14ac:dyDescent="0.2">
      <c r="A57" s="113" t="s">
        <v>76</v>
      </c>
      <c r="B57" s="121"/>
      <c r="C57" s="12"/>
      <c r="D57" s="1033"/>
      <c r="E57" s="1362"/>
      <c r="F57" s="1189"/>
      <c r="G57" s="1353"/>
      <c r="H57" s="1033"/>
      <c r="I57" s="1354"/>
      <c r="J57" s="1200"/>
      <c r="K57" s="1153"/>
      <c r="L57" s="1153"/>
      <c r="M57" s="1363"/>
      <c r="N57" s="1027"/>
      <c r="O57" s="1073"/>
      <c r="P57" s="954"/>
      <c r="Q57" s="954"/>
      <c r="R57" s="1355"/>
      <c r="S57" s="1018"/>
    </row>
    <row r="58" spans="1:19" hidden="1" x14ac:dyDescent="0.2">
      <c r="A58" s="113" t="s">
        <v>152</v>
      </c>
      <c r="B58" s="121"/>
      <c r="C58" s="12"/>
      <c r="D58" s="1033"/>
      <c r="E58" s="1362"/>
      <c r="F58" s="1189"/>
      <c r="G58" s="1353"/>
      <c r="H58" s="1033"/>
      <c r="I58" s="1354"/>
      <c r="J58" s="1200"/>
      <c r="K58" s="1153"/>
      <c r="L58" s="1153"/>
      <c r="M58" s="1363"/>
      <c r="N58" s="1027"/>
      <c r="O58" s="1073"/>
      <c r="P58" s="954"/>
      <c r="Q58" s="954"/>
      <c r="R58" s="1355"/>
      <c r="S58" s="1018"/>
    </row>
    <row r="59" spans="1:19" hidden="1" x14ac:dyDescent="0.2">
      <c r="A59" s="113" t="s">
        <v>78</v>
      </c>
      <c r="B59" s="121"/>
      <c r="C59" s="12"/>
      <c r="D59" s="1033"/>
      <c r="E59" s="1362"/>
      <c r="F59" s="1189"/>
      <c r="G59" s="1353"/>
      <c r="H59" s="1033"/>
      <c r="I59" s="1354"/>
      <c r="J59" s="1200"/>
      <c r="K59" s="1153"/>
      <c r="L59" s="1153"/>
      <c r="M59" s="1363"/>
      <c r="N59" s="1027"/>
      <c r="O59" s="1073"/>
      <c r="P59" s="954"/>
      <c r="Q59" s="954"/>
      <c r="R59" s="1355"/>
      <c r="S59" s="1018"/>
    </row>
    <row r="60" spans="1:19" hidden="1" x14ac:dyDescent="0.2">
      <c r="A60" s="1148" t="str">
        <f>+TableA1!A60</f>
        <v>Barbados</v>
      </c>
      <c r="B60" s="121"/>
      <c r="C60" s="12"/>
      <c r="D60" s="1033"/>
      <c r="E60" s="1362"/>
      <c r="F60" s="1189"/>
      <c r="G60" s="1353"/>
      <c r="H60" s="1033"/>
      <c r="I60" s="1354"/>
      <c r="J60" s="1200"/>
      <c r="K60" s="1153"/>
      <c r="L60" s="1153"/>
      <c r="M60" s="1363"/>
      <c r="N60" s="1027"/>
      <c r="O60" s="1073"/>
      <c r="P60" s="954"/>
      <c r="Q60" s="954"/>
      <c r="R60" s="1355"/>
      <c r="S60" s="1018"/>
    </row>
    <row r="61" spans="1:19" hidden="1" x14ac:dyDescent="0.2">
      <c r="A61" s="113" t="s">
        <v>80</v>
      </c>
      <c r="B61" s="121"/>
      <c r="C61" s="12"/>
      <c r="D61" s="1033"/>
      <c r="E61" s="1362"/>
      <c r="F61" s="1189"/>
      <c r="G61" s="1353"/>
      <c r="H61" s="1033"/>
      <c r="I61" s="1354"/>
      <c r="J61" s="1200"/>
      <c r="K61" s="1153"/>
      <c r="L61" s="1153"/>
      <c r="M61" s="1363"/>
      <c r="N61" s="1027"/>
      <c r="O61" s="1073"/>
      <c r="P61" s="954"/>
      <c r="Q61" s="954"/>
      <c r="R61" s="1355"/>
      <c r="S61" s="1018"/>
    </row>
    <row r="62" spans="1:19" hidden="1" x14ac:dyDescent="0.2">
      <c r="A62" s="113" t="s">
        <v>81</v>
      </c>
      <c r="B62" s="121"/>
      <c r="C62" s="12"/>
      <c r="D62" s="1033"/>
      <c r="E62" s="1362"/>
      <c r="F62" s="1189"/>
      <c r="G62" s="1353"/>
      <c r="H62" s="1033"/>
      <c r="I62" s="1354"/>
      <c r="J62" s="1200"/>
      <c r="K62" s="1153"/>
      <c r="L62" s="1153"/>
      <c r="M62" s="1363"/>
      <c r="N62" s="1027"/>
      <c r="O62" s="1073"/>
      <c r="P62" s="954"/>
      <c r="Q62" s="954"/>
      <c r="R62" s="1355"/>
      <c r="S62" s="1018"/>
    </row>
    <row r="63" spans="1:19" hidden="1" x14ac:dyDescent="0.2">
      <c r="A63" s="113" t="s">
        <v>82</v>
      </c>
      <c r="B63" s="121"/>
      <c r="C63" s="12"/>
      <c r="D63" s="1033"/>
      <c r="E63" s="1362"/>
      <c r="F63" s="1189"/>
      <c r="G63" s="1353"/>
      <c r="H63" s="1033"/>
      <c r="I63" s="1354"/>
      <c r="J63" s="1200"/>
      <c r="K63" s="1153"/>
      <c r="L63" s="1153"/>
      <c r="M63" s="1363"/>
      <c r="N63" s="1027"/>
      <c r="O63" s="1073"/>
      <c r="P63" s="954"/>
      <c r="Q63" s="954"/>
      <c r="R63" s="1355"/>
      <c r="S63" s="1018"/>
    </row>
    <row r="64" spans="1:19" hidden="1" x14ac:dyDescent="0.2">
      <c r="A64" s="113" t="s">
        <v>153</v>
      </c>
      <c r="B64" s="121"/>
      <c r="C64" s="12"/>
      <c r="D64" s="1033"/>
      <c r="E64" s="1362"/>
      <c r="F64" s="1189"/>
      <c r="G64" s="1353"/>
      <c r="H64" s="1033"/>
      <c r="I64" s="1354"/>
      <c r="J64" s="1200"/>
      <c r="K64" s="1153"/>
      <c r="L64" s="1153"/>
      <c r="M64" s="1363"/>
      <c r="N64" s="1027"/>
      <c r="O64" s="1073"/>
      <c r="P64" s="954"/>
      <c r="Q64" s="954"/>
      <c r="R64" s="1355"/>
      <c r="S64" s="1018"/>
    </row>
    <row r="65" spans="1:19" hidden="1" x14ac:dyDescent="0.2">
      <c r="A65" s="113" t="s">
        <v>84</v>
      </c>
      <c r="B65" s="121"/>
      <c r="C65" s="12"/>
      <c r="D65" s="1033"/>
      <c r="E65" s="1362"/>
      <c r="F65" s="1189"/>
      <c r="G65" s="1353"/>
      <c r="H65" s="1033"/>
      <c r="I65" s="1354"/>
      <c r="J65" s="1200"/>
      <c r="K65" s="1153"/>
      <c r="L65" s="1153"/>
      <c r="M65" s="1363"/>
      <c r="N65" s="1027"/>
      <c r="O65" s="1073"/>
      <c r="P65" s="954"/>
      <c r="Q65" s="954"/>
      <c r="R65" s="1355"/>
      <c r="S65" s="1018"/>
    </row>
    <row r="66" spans="1:19" hidden="1" x14ac:dyDescent="0.2">
      <c r="A66" s="113" t="s">
        <v>85</v>
      </c>
      <c r="B66" s="121"/>
      <c r="C66" s="12"/>
      <c r="D66" s="1033"/>
      <c r="E66" s="1362"/>
      <c r="F66" s="1189"/>
      <c r="G66" s="1353"/>
      <c r="H66" s="1033"/>
      <c r="I66" s="1354"/>
      <c r="J66" s="1200"/>
      <c r="K66" s="1153"/>
      <c r="L66" s="1153"/>
      <c r="M66" s="1363"/>
      <c r="N66" s="1027"/>
      <c r="O66" s="1073"/>
      <c r="P66" s="954"/>
      <c r="Q66" s="954"/>
      <c r="R66" s="1355"/>
      <c r="S66" s="1018"/>
    </row>
    <row r="67" spans="1:19" hidden="1" x14ac:dyDescent="0.2">
      <c r="A67" s="1148" t="str">
        <f>+TableA1!A67</f>
        <v>Cyprus</v>
      </c>
      <c r="B67" s="121"/>
      <c r="C67" s="12"/>
      <c r="D67" s="1033"/>
      <c r="E67" s="1362"/>
      <c r="F67" s="1189"/>
      <c r="G67" s="1353"/>
      <c r="H67" s="1033"/>
      <c r="I67" s="1354"/>
      <c r="J67" s="1200"/>
      <c r="K67" s="1153"/>
      <c r="L67" s="1153"/>
      <c r="M67" s="1363"/>
      <c r="N67" s="1027"/>
      <c r="O67" s="1073"/>
      <c r="P67" s="954"/>
      <c r="Q67" s="954"/>
      <c r="R67" s="1355"/>
      <c r="S67" s="1018"/>
    </row>
    <row r="68" spans="1:19" hidden="1" x14ac:dyDescent="0.2">
      <c r="A68" s="113" t="s">
        <v>87</v>
      </c>
      <c r="B68" s="121"/>
      <c r="C68" s="12"/>
      <c r="D68" s="1033"/>
      <c r="E68" s="1362"/>
      <c r="F68" s="1189"/>
      <c r="G68" s="1353"/>
      <c r="H68" s="1033"/>
      <c r="I68" s="1354"/>
      <c r="J68" s="1200"/>
      <c r="K68" s="1153"/>
      <c r="L68" s="1153"/>
      <c r="M68" s="1363"/>
      <c r="N68" s="1027"/>
      <c r="O68" s="1073"/>
      <c r="P68" s="954"/>
      <c r="Q68" s="954"/>
      <c r="R68" s="1355"/>
      <c r="S68" s="1018"/>
    </row>
    <row r="69" spans="1:19" hidden="1" x14ac:dyDescent="0.2">
      <c r="A69" s="1148" t="str">
        <f>+TableA1!A69</f>
        <v>Grenada</v>
      </c>
      <c r="B69" s="121"/>
      <c r="C69" s="12"/>
      <c r="D69" s="1033"/>
      <c r="E69" s="1362"/>
      <c r="F69" s="1189"/>
      <c r="G69" s="1353"/>
      <c r="H69" s="1033"/>
      <c r="I69" s="1354"/>
      <c r="J69" s="1200"/>
      <c r="K69" s="1153"/>
      <c r="L69" s="1153"/>
      <c r="M69" s="1363"/>
      <c r="N69" s="1027"/>
      <c r="O69" s="1073"/>
      <c r="P69" s="954"/>
      <c r="Q69" s="954"/>
      <c r="R69" s="1355"/>
      <c r="S69" s="1018"/>
    </row>
    <row r="70" spans="1:19" hidden="1" x14ac:dyDescent="0.2">
      <c r="A70" s="113" t="s">
        <v>89</v>
      </c>
      <c r="B70" s="121"/>
      <c r="C70" s="12"/>
      <c r="D70" s="1033"/>
      <c r="E70" s="1362"/>
      <c r="F70" s="1189"/>
      <c r="G70" s="1353"/>
      <c r="H70" s="1033"/>
      <c r="I70" s="1354"/>
      <c r="J70" s="1200"/>
      <c r="K70" s="1153"/>
      <c r="L70" s="1153"/>
      <c r="M70" s="1363"/>
      <c r="N70" s="1027"/>
      <c r="O70" s="1073"/>
      <c r="P70" s="954"/>
      <c r="Q70" s="954"/>
      <c r="R70" s="1355"/>
      <c r="S70" s="1018"/>
    </row>
    <row r="71" spans="1:19" hidden="1" x14ac:dyDescent="0.2">
      <c r="A71" s="113" t="s">
        <v>154</v>
      </c>
      <c r="B71" s="121"/>
      <c r="C71" s="12"/>
      <c r="D71" s="1033"/>
      <c r="E71" s="1362"/>
      <c r="F71" s="1189"/>
      <c r="G71" s="1353"/>
      <c r="H71" s="1033"/>
      <c r="I71" s="1354"/>
      <c r="J71" s="1200"/>
      <c r="K71" s="1153"/>
      <c r="L71" s="1153"/>
      <c r="M71" s="1363"/>
      <c r="N71" s="1027"/>
      <c r="O71" s="1073"/>
      <c r="P71" s="954"/>
      <c r="Q71" s="954"/>
      <c r="R71" s="1355"/>
      <c r="S71" s="1018"/>
    </row>
    <row r="72" spans="1:19" hidden="1" x14ac:dyDescent="0.2">
      <c r="A72" s="113" t="s">
        <v>91</v>
      </c>
      <c r="B72" s="121"/>
      <c r="C72" s="12"/>
      <c r="D72" s="1033"/>
      <c r="E72" s="1362"/>
      <c r="F72" s="1189"/>
      <c r="G72" s="1353"/>
      <c r="H72" s="1033"/>
      <c r="I72" s="1354"/>
      <c r="J72" s="1200"/>
      <c r="K72" s="1153"/>
      <c r="L72" s="1153"/>
      <c r="M72" s="1363"/>
      <c r="N72" s="1027"/>
      <c r="O72" s="1073"/>
      <c r="P72" s="954"/>
      <c r="Q72" s="954"/>
      <c r="R72" s="1355"/>
      <c r="S72" s="1018"/>
    </row>
    <row r="73" spans="1:19" hidden="1" x14ac:dyDescent="0.2">
      <c r="A73" s="113" t="s">
        <v>92</v>
      </c>
      <c r="B73" s="121"/>
      <c r="C73" s="12"/>
      <c r="D73" s="1033"/>
      <c r="E73" s="1362"/>
      <c r="F73" s="1189"/>
      <c r="G73" s="1353"/>
      <c r="H73" s="1033"/>
      <c r="I73" s="1354"/>
      <c r="J73" s="1200"/>
      <c r="K73" s="1153"/>
      <c r="L73" s="1153"/>
      <c r="M73" s="1363"/>
      <c r="N73" s="1027"/>
      <c r="O73" s="1073"/>
      <c r="P73" s="954"/>
      <c r="Q73" s="954"/>
      <c r="R73" s="1355"/>
      <c r="S73" s="1018"/>
    </row>
    <row r="74" spans="1:19" hidden="1" x14ac:dyDescent="0.2">
      <c r="A74" s="113" t="s">
        <v>93</v>
      </c>
      <c r="B74" s="121"/>
      <c r="C74" s="12"/>
      <c r="D74" s="1033"/>
      <c r="E74" s="1362"/>
      <c r="F74" s="1189"/>
      <c r="G74" s="1353"/>
      <c r="H74" s="1033"/>
      <c r="I74" s="1354"/>
      <c r="J74" s="1200"/>
      <c r="K74" s="1153"/>
      <c r="L74" s="1153"/>
      <c r="M74" s="1363"/>
      <c r="N74" s="1027"/>
      <c r="O74" s="1073"/>
      <c r="P74" s="954"/>
      <c r="Q74" s="954"/>
      <c r="R74" s="1355"/>
      <c r="S74" s="1018"/>
    </row>
    <row r="75" spans="1:19" hidden="1" x14ac:dyDescent="0.2">
      <c r="A75" s="113" t="s">
        <v>94</v>
      </c>
      <c r="B75" s="121"/>
      <c r="C75" s="12"/>
      <c r="D75" s="1033"/>
      <c r="E75" s="1362"/>
      <c r="F75" s="1189"/>
      <c r="G75" s="1353"/>
      <c r="H75" s="1033"/>
      <c r="I75" s="1354"/>
      <c r="J75" s="1200"/>
      <c r="K75" s="1153"/>
      <c r="L75" s="1153"/>
      <c r="M75" s="1363"/>
      <c r="N75" s="1027"/>
      <c r="O75" s="1073"/>
      <c r="P75" s="954"/>
      <c r="Q75" s="954"/>
      <c r="R75" s="1355"/>
      <c r="S75" s="1018"/>
    </row>
    <row r="76" spans="1:19" hidden="1" x14ac:dyDescent="0.2">
      <c r="A76" s="113" t="s">
        <v>95</v>
      </c>
      <c r="B76" s="121"/>
      <c r="C76" s="12"/>
      <c r="D76" s="1033"/>
      <c r="E76" s="1362"/>
      <c r="F76" s="1189"/>
      <c r="G76" s="1353"/>
      <c r="H76" s="1033"/>
      <c r="I76" s="1354"/>
      <c r="J76" s="1200"/>
      <c r="K76" s="1153"/>
      <c r="L76" s="1153"/>
      <c r="M76" s="1363"/>
      <c r="N76" s="1027"/>
      <c r="O76" s="1073"/>
      <c r="P76" s="954"/>
      <c r="Q76" s="954"/>
      <c r="R76" s="1355">
        <f t="shared" si="0"/>
        <v>0</v>
      </c>
      <c r="S76" s="1018">
        <f t="shared" si="1"/>
        <v>0</v>
      </c>
    </row>
    <row r="77" spans="1:19" hidden="1" x14ac:dyDescent="0.2">
      <c r="A77" s="113" t="s">
        <v>96</v>
      </c>
      <c r="B77" s="121"/>
      <c r="C77" s="12"/>
      <c r="D77" s="1033"/>
      <c r="E77" s="1362"/>
      <c r="F77" s="1189"/>
      <c r="G77" s="1353"/>
      <c r="H77" s="1033"/>
      <c r="I77" s="1354"/>
      <c r="J77" s="1200"/>
      <c r="K77" s="1153"/>
      <c r="L77" s="1153"/>
      <c r="M77" s="1363"/>
      <c r="N77" s="1027"/>
      <c r="O77" s="1073"/>
      <c r="P77" s="954"/>
      <c r="Q77" s="954"/>
      <c r="R77" s="1355"/>
      <c r="S77" s="1018"/>
    </row>
    <row r="78" spans="1:19" hidden="1" x14ac:dyDescent="0.2">
      <c r="A78" s="113" t="s">
        <v>97</v>
      </c>
      <c r="B78" s="121"/>
      <c r="C78" s="12"/>
      <c r="D78" s="1033"/>
      <c r="E78" s="1362"/>
      <c r="F78" s="1189"/>
      <c r="G78" s="1353"/>
      <c r="H78" s="1033"/>
      <c r="I78" s="1354"/>
      <c r="J78" s="1200"/>
      <c r="K78" s="1153"/>
      <c r="L78" s="1153"/>
      <c r="M78" s="1363"/>
      <c r="N78" s="1027"/>
      <c r="O78" s="1073"/>
      <c r="P78" s="954"/>
      <c r="Q78" s="954"/>
      <c r="R78" s="1355"/>
      <c r="S78" s="1018"/>
    </row>
    <row r="79" spans="1:19" hidden="1" x14ac:dyDescent="0.2">
      <c r="A79" s="1148" t="str">
        <f>+TableA1!A79</f>
        <v>Monaco</v>
      </c>
      <c r="B79" s="121"/>
      <c r="C79" s="12"/>
      <c r="D79" s="1033"/>
      <c r="E79" s="1362"/>
      <c r="F79" s="1189"/>
      <c r="G79" s="1353"/>
      <c r="H79" s="1033"/>
      <c r="I79" s="1354"/>
      <c r="J79" s="1200"/>
      <c r="K79" s="1153"/>
      <c r="L79" s="1153"/>
      <c r="M79" s="1363"/>
      <c r="N79" s="1027"/>
      <c r="O79" s="1073"/>
      <c r="P79" s="954"/>
      <c r="Q79" s="954"/>
      <c r="R79" s="1355"/>
      <c r="S79" s="1018"/>
    </row>
    <row r="80" spans="1:19" hidden="1" x14ac:dyDescent="0.2">
      <c r="A80" s="113" t="s">
        <v>99</v>
      </c>
      <c r="B80" s="121"/>
      <c r="C80" s="12"/>
      <c r="D80" s="1033"/>
      <c r="E80" s="1362"/>
      <c r="F80" s="1189"/>
      <c r="G80" s="1353"/>
      <c r="H80" s="1033"/>
      <c r="I80" s="1354"/>
      <c r="J80" s="1363"/>
      <c r="K80" s="1027"/>
      <c r="L80" s="1027"/>
      <c r="M80" s="1363"/>
      <c r="N80" s="1027"/>
      <c r="O80" s="1073"/>
      <c r="P80" s="954"/>
      <c r="Q80" s="954"/>
      <c r="R80" s="1355">
        <f t="shared" si="0"/>
        <v>0</v>
      </c>
      <c r="S80" s="1018">
        <f t="shared" si="1"/>
        <v>0</v>
      </c>
    </row>
    <row r="81" spans="1:15" hidden="1" x14ac:dyDescent="0.2">
      <c r="A81" s="113" t="s">
        <v>100</v>
      </c>
      <c r="B81" s="121"/>
      <c r="C81" s="12"/>
      <c r="D81" s="1033"/>
      <c r="E81" s="1362"/>
      <c r="F81" s="1189"/>
      <c r="G81" s="1353"/>
      <c r="H81" s="1033"/>
      <c r="I81" s="1354"/>
      <c r="J81" s="1363"/>
      <c r="K81" s="1027"/>
      <c r="L81" s="1027"/>
      <c r="M81" s="1363"/>
      <c r="N81" s="1027"/>
      <c r="O81" s="1073"/>
    </row>
    <row r="82" spans="1:15" hidden="1" x14ac:dyDescent="0.2">
      <c r="A82" s="1148" t="str">
        <f>+TableA1!A82</f>
        <v>Seychelles</v>
      </c>
      <c r="B82" s="121"/>
      <c r="C82" s="12"/>
      <c r="D82" s="1033"/>
      <c r="E82" s="1362"/>
      <c r="F82" s="1189"/>
      <c r="G82" s="1033"/>
      <c r="H82" s="1033"/>
      <c r="I82" s="1354"/>
      <c r="J82" s="1363"/>
      <c r="K82" s="1027"/>
      <c r="L82" s="1027"/>
      <c r="M82" s="1363"/>
      <c r="N82" s="1027"/>
      <c r="O82" s="1073"/>
    </row>
    <row r="83" spans="1:15" hidden="1" x14ac:dyDescent="0.2">
      <c r="A83" s="113" t="s">
        <v>102</v>
      </c>
      <c r="B83" s="121"/>
      <c r="C83" s="12"/>
      <c r="D83" s="1033"/>
      <c r="E83" s="1033"/>
      <c r="F83" s="1189"/>
      <c r="G83" s="1033"/>
      <c r="H83" s="1033"/>
      <c r="I83" s="1033"/>
      <c r="J83" s="1363"/>
      <c r="K83" s="1027"/>
      <c r="L83" s="1027"/>
      <c r="M83" s="1363"/>
      <c r="N83" s="1027"/>
      <c r="O83" s="1073"/>
    </row>
    <row r="84" spans="1:15" hidden="1" x14ac:dyDescent="0.2">
      <c r="A84" s="1148" t="str">
        <f>+TableA1!A84</f>
        <v>St. Kitts and Nevis</v>
      </c>
      <c r="B84" s="121"/>
      <c r="C84" s="12"/>
      <c r="D84" s="1033"/>
      <c r="E84" s="1033"/>
      <c r="F84" s="1189"/>
      <c r="G84" s="1033"/>
      <c r="H84" s="1033"/>
      <c r="I84" s="1033"/>
      <c r="J84" s="1363"/>
      <c r="K84" s="1027"/>
      <c r="L84" s="1027"/>
      <c r="M84" s="1363"/>
      <c r="N84" s="1027"/>
      <c r="O84" s="1073"/>
    </row>
    <row r="85" spans="1:15" hidden="1" x14ac:dyDescent="0.2">
      <c r="A85" s="1148" t="str">
        <f>+TableA1!A85</f>
        <v>St. Lucia</v>
      </c>
      <c r="B85" s="121"/>
      <c r="C85" s="12"/>
      <c r="D85" s="1033"/>
      <c r="E85" s="1033"/>
      <c r="F85" s="1189"/>
      <c r="G85" s="1033"/>
      <c r="H85" s="1033"/>
      <c r="I85" s="1033"/>
      <c r="J85" s="1363"/>
      <c r="K85" s="1027"/>
      <c r="L85" s="1027"/>
      <c r="M85" s="1363"/>
      <c r="N85" s="1027"/>
      <c r="O85" s="1073"/>
    </row>
    <row r="86" spans="1:15" hidden="1" x14ac:dyDescent="0.2">
      <c r="A86" s="1148" t="str">
        <f>+TableA1!A86</f>
        <v>St. Vincent and the Grenadines</v>
      </c>
      <c r="B86" s="121"/>
      <c r="C86" s="12"/>
      <c r="D86" s="1033"/>
      <c r="E86" s="1033"/>
      <c r="F86" s="1189"/>
      <c r="G86" s="1033"/>
      <c r="H86" s="1033"/>
      <c r="I86" s="1033"/>
      <c r="J86" s="1363"/>
      <c r="K86" s="1027"/>
      <c r="L86" s="1027"/>
      <c r="M86" s="1363"/>
      <c r="N86" s="1027"/>
      <c r="O86" s="1073"/>
    </row>
    <row r="87" spans="1:15" hidden="1" x14ac:dyDescent="0.2">
      <c r="A87" s="1148" t="str">
        <f>+TableA1!A87</f>
        <v>Turks and Caicos</v>
      </c>
      <c r="B87" s="121"/>
      <c r="C87" s="12"/>
      <c r="D87" s="1033"/>
      <c r="E87" s="1033"/>
      <c r="F87" s="1189"/>
      <c r="G87" s="1033"/>
      <c r="H87" s="1033"/>
      <c r="I87" s="1033"/>
      <c r="J87" s="1363"/>
      <c r="K87" s="1027"/>
      <c r="L87" s="1027"/>
      <c r="M87" s="1363"/>
      <c r="N87" s="1027"/>
      <c r="O87" s="1073"/>
    </row>
    <row r="88" spans="1:15" hidden="1" x14ac:dyDescent="0.2">
      <c r="A88" s="1148" t="str">
        <f>+TableA1!A88</f>
        <v>Panama</v>
      </c>
      <c r="B88" s="121"/>
      <c r="C88" s="12"/>
      <c r="D88" s="1033"/>
      <c r="E88" s="1033"/>
      <c r="F88" s="1189"/>
      <c r="G88" s="1033"/>
      <c r="H88" s="1033"/>
      <c r="I88" s="1033"/>
      <c r="J88" s="1363"/>
      <c r="K88" s="1027"/>
      <c r="L88" s="1027"/>
      <c r="M88" s="1363"/>
      <c r="N88" s="1027"/>
      <c r="O88" s="1073"/>
    </row>
    <row r="89" spans="1:15" ht="17" hidden="1" thickBot="1" x14ac:dyDescent="0.25">
      <c r="A89" s="114" t="s">
        <v>108</v>
      </c>
      <c r="B89" s="17"/>
      <c r="C89" s="20"/>
      <c r="D89" s="1191"/>
      <c r="E89" s="1191"/>
      <c r="F89" s="18"/>
      <c r="G89" s="1191"/>
      <c r="H89" s="1191"/>
      <c r="I89" s="1191"/>
      <c r="J89" s="1364"/>
      <c r="K89" s="1255"/>
      <c r="L89" s="1255"/>
      <c r="M89" s="1364"/>
      <c r="N89" s="1255"/>
      <c r="O89" s="1365"/>
    </row>
    <row r="90" spans="1:15" ht="18" thickTop="1" thickBot="1" x14ac:dyDescent="0.25">
      <c r="A90" s="954"/>
      <c r="B90" s="954"/>
      <c r="C90" s="954"/>
      <c r="D90" s="1003"/>
      <c r="E90" s="1003"/>
      <c r="F90" s="954"/>
      <c r="G90" s="1003"/>
      <c r="H90" s="1003"/>
      <c r="I90" s="1003"/>
      <c r="J90" s="954"/>
      <c r="K90" s="954"/>
      <c r="L90" s="954"/>
      <c r="M90" s="954"/>
      <c r="N90" s="954"/>
      <c r="O90" s="954"/>
    </row>
    <row r="91" spans="1:15" s="2" customFormat="1" x14ac:dyDescent="0.2">
      <c r="A91" s="2194" t="s">
        <v>389</v>
      </c>
      <c r="B91" s="2195"/>
      <c r="C91" s="2195"/>
      <c r="D91" s="2195"/>
      <c r="E91" s="2195"/>
      <c r="F91" s="2195"/>
      <c r="G91" s="2195"/>
      <c r="H91" s="2195"/>
      <c r="I91" s="2195"/>
      <c r="J91" s="2195"/>
      <c r="K91" s="2195"/>
      <c r="L91" s="2195"/>
      <c r="M91" s="2195"/>
      <c r="N91" s="2195"/>
      <c r="O91" s="2196"/>
    </row>
    <row r="92" spans="1:15" s="2" customFormat="1" ht="17" thickBot="1" x14ac:dyDescent="0.25">
      <c r="A92" s="2197"/>
      <c r="B92" s="2198"/>
      <c r="C92" s="2198"/>
      <c r="D92" s="2198"/>
      <c r="E92" s="2198"/>
      <c r="F92" s="2198"/>
      <c r="G92" s="2198"/>
      <c r="H92" s="2198"/>
      <c r="I92" s="2198"/>
      <c r="J92" s="2198"/>
      <c r="K92" s="2198"/>
      <c r="L92" s="2198"/>
      <c r="M92" s="2198"/>
      <c r="N92" s="2198"/>
      <c r="O92" s="2199"/>
    </row>
    <row r="93" spans="1:15" s="2" customFormat="1" x14ac:dyDescent="0.2">
      <c r="A93" s="954"/>
      <c r="B93" s="954"/>
      <c r="C93" s="954"/>
      <c r="D93" s="954"/>
      <c r="E93" s="954"/>
      <c r="F93" s="954"/>
      <c r="G93" s="954"/>
      <c r="H93" s="954"/>
      <c r="I93" s="954"/>
      <c r="J93" s="954"/>
    </row>
    <row r="94" spans="1:15" s="2" customFormat="1" x14ac:dyDescent="0.2">
      <c r="A94" s="954"/>
      <c r="B94" s="954"/>
      <c r="C94" s="954"/>
      <c r="D94" s="954"/>
      <c r="E94" s="954"/>
      <c r="F94" s="954"/>
      <c r="G94" s="954"/>
      <c r="H94" s="954"/>
      <c r="I94" s="954"/>
      <c r="J94" s="954"/>
    </row>
    <row r="95" spans="1:15" s="2" customFormat="1" x14ac:dyDescent="0.2">
      <c r="A95" s="954"/>
      <c r="B95" s="954"/>
      <c r="C95" s="954"/>
      <c r="D95" s="954"/>
      <c r="E95" s="954"/>
      <c r="F95" s="954"/>
      <c r="G95" s="954"/>
      <c r="H95" s="954"/>
      <c r="I95" s="954"/>
      <c r="J95" s="954"/>
    </row>
    <row r="97" spans="1:10" s="2" customFormat="1" x14ac:dyDescent="0.2">
      <c r="A97" s="954"/>
      <c r="B97" s="954"/>
      <c r="C97" s="954"/>
      <c r="D97" s="954"/>
      <c r="E97" s="954"/>
      <c r="F97" s="954"/>
      <c r="G97" s="954"/>
      <c r="H97" s="954"/>
      <c r="I97" s="954"/>
      <c r="J97" s="954"/>
    </row>
  </sheetData>
  <mergeCells count="9">
    <mergeCell ref="A91:O92"/>
    <mergeCell ref="A3:O3"/>
    <mergeCell ref="B8:B9"/>
    <mergeCell ref="F8:F9"/>
    <mergeCell ref="J8:J9"/>
    <mergeCell ref="B7:I7"/>
    <mergeCell ref="J7:O7"/>
    <mergeCell ref="M8:M9"/>
    <mergeCell ref="B6:O6"/>
  </mergeCells>
  <phoneticPr fontId="37" type="noConversion"/>
  <pageMargins left="0.75" right="0.75" top="1" bottom="1" header="0.5" footer="0.5"/>
  <pageSetup scale="63" orientation="landscape"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3:J98"/>
  <sheetViews>
    <sheetView workbookViewId="0">
      <pane xSplit="1" ySplit="9" topLeftCell="B82" activePane="bottomRight" state="frozen"/>
      <selection pane="topRight" activeCell="AR8" sqref="AR8"/>
      <selection pane="bottomLeft" activeCell="AR8" sqref="AR8"/>
      <selection pane="bottomRight" activeCell="A4" sqref="A4:J4"/>
    </sheetView>
  </sheetViews>
  <sheetFormatPr baseColWidth="10" defaultColWidth="10.83203125" defaultRowHeight="16" x14ac:dyDescent="0.2"/>
  <cols>
    <col min="1" max="1" width="32" style="1" customWidth="1"/>
    <col min="2" max="7" width="12.5" style="1" customWidth="1"/>
    <col min="8" max="16384" width="10.83203125" style="1"/>
  </cols>
  <sheetData>
    <row r="3" spans="1:10" ht="17" thickBot="1" x14ac:dyDescent="0.25">
      <c r="A3" s="954"/>
      <c r="B3" s="954"/>
      <c r="C3" s="954"/>
      <c r="D3" s="954"/>
      <c r="E3" s="954"/>
      <c r="F3" s="954"/>
      <c r="G3" s="954"/>
      <c r="H3" s="954"/>
      <c r="I3" s="954"/>
      <c r="J3" s="954"/>
    </row>
    <row r="4" spans="1:10" ht="32.25" customHeight="1" x14ac:dyDescent="0.2">
      <c r="A4" s="2090" t="s">
        <v>391</v>
      </c>
      <c r="B4" s="2091"/>
      <c r="C4" s="2091"/>
      <c r="D4" s="2091"/>
      <c r="E4" s="2091"/>
      <c r="F4" s="2091"/>
      <c r="G4" s="2091"/>
      <c r="H4" s="2091"/>
      <c r="I4" s="2091"/>
      <c r="J4" s="2092"/>
    </row>
    <row r="5" spans="1:10" ht="12" customHeight="1" x14ac:dyDescent="0.2">
      <c r="A5" s="118"/>
      <c r="B5" s="620"/>
      <c r="C5" s="620"/>
      <c r="D5" s="620"/>
      <c r="E5" s="620"/>
      <c r="F5" s="620"/>
      <c r="G5" s="620"/>
      <c r="H5" s="1027"/>
      <c r="I5" s="1027"/>
      <c r="J5" s="953"/>
    </row>
    <row r="6" spans="1:10" ht="17" thickBot="1" x14ac:dyDescent="0.25">
      <c r="A6" s="955"/>
      <c r="B6" s="3" t="s">
        <v>1</v>
      </c>
      <c r="C6" s="3" t="s">
        <v>2</v>
      </c>
      <c r="D6" s="3" t="s">
        <v>3</v>
      </c>
      <c r="E6" s="3" t="s">
        <v>4</v>
      </c>
      <c r="F6" s="3" t="s">
        <v>5</v>
      </c>
      <c r="G6" s="3" t="s">
        <v>6</v>
      </c>
      <c r="H6" s="3" t="s">
        <v>7</v>
      </c>
      <c r="I6" s="3" t="s">
        <v>8</v>
      </c>
      <c r="J6" s="802" t="s">
        <v>9</v>
      </c>
    </row>
    <row r="7" spans="1:10" ht="21" customHeight="1" x14ac:dyDescent="0.2">
      <c r="A7" s="955"/>
      <c r="B7" s="2201" t="s">
        <v>362</v>
      </c>
      <c r="C7" s="2202"/>
      <c r="D7" s="2202"/>
      <c r="E7" s="2202"/>
      <c r="F7" s="2202"/>
      <c r="G7" s="2202"/>
      <c r="H7" s="2202"/>
      <c r="I7" s="2202"/>
      <c r="J7" s="2203"/>
    </row>
    <row r="8" spans="1:10" ht="85" customHeight="1" x14ac:dyDescent="0.2">
      <c r="A8" s="955"/>
      <c r="B8" s="2072" t="s">
        <v>364</v>
      </c>
      <c r="C8" s="1818" t="s">
        <v>369</v>
      </c>
      <c r="D8" s="1819" t="s">
        <v>370</v>
      </c>
      <c r="E8" s="2049" t="s">
        <v>368</v>
      </c>
      <c r="F8" s="1819" t="s">
        <v>392</v>
      </c>
      <c r="G8" s="1819" t="s">
        <v>370</v>
      </c>
      <c r="H8" s="2084" t="s">
        <v>393</v>
      </c>
      <c r="I8" s="1819" t="s">
        <v>392</v>
      </c>
      <c r="J8" s="1243" t="s">
        <v>370</v>
      </c>
    </row>
    <row r="9" spans="1:10" ht="33" customHeight="1" x14ac:dyDescent="0.2">
      <c r="A9" s="955"/>
      <c r="B9" s="2028"/>
      <c r="C9" s="1312"/>
      <c r="D9" s="1313"/>
      <c r="E9" s="2067"/>
      <c r="F9" s="1313"/>
      <c r="G9" s="1313"/>
      <c r="H9" s="2200"/>
      <c r="I9" s="1313"/>
      <c r="J9" s="1366"/>
    </row>
    <row r="10" spans="1:10" ht="14.25" customHeight="1" x14ac:dyDescent="0.2">
      <c r="A10" s="1367" t="s">
        <v>29</v>
      </c>
      <c r="B10" s="157">
        <f>TableB2!C10/TableB2!K10</f>
        <v>4.4731775702672942E-2</v>
      </c>
      <c r="C10" s="1368">
        <f>(TableB2!D10+TableB2!F10)/TableB2!L10</f>
        <v>5.1209426096637777E-2</v>
      </c>
      <c r="D10" s="1155">
        <f>TableB2!E10/TableB2!M10</f>
        <v>2.7648692390162839E-2</v>
      </c>
      <c r="E10" s="1369">
        <f>TableB2!G10/TableB2!N10</f>
        <v>3.4297837331832365E-2</v>
      </c>
      <c r="F10" s="1370">
        <f>(TableB2!H10+TableB2!J10)/TableB2!O10</f>
        <v>3.352326311882449E-2</v>
      </c>
      <c r="G10" s="1155">
        <f>TableB2!I10/TableB2!P10</f>
        <v>-8.3423212597586019E-2</v>
      </c>
      <c r="H10" s="1369">
        <f>E10-B10</f>
        <v>-1.0433938370840577E-2</v>
      </c>
      <c r="I10" s="1371">
        <f>F10-C10</f>
        <v>-1.7686162977813287E-2</v>
      </c>
      <c r="J10" s="1372">
        <f>G10-D10</f>
        <v>-0.11107190498774885</v>
      </c>
    </row>
    <row r="11" spans="1:10" ht="14.25" customHeight="1" x14ac:dyDescent="0.2">
      <c r="A11" s="955" t="s">
        <v>30</v>
      </c>
      <c r="B11" s="157">
        <f>TableB2!C11/TableB2!K11</f>
        <v>2.4928434131518597E-3</v>
      </c>
      <c r="C11" s="1368">
        <f>(TableB2!D11+TableB2!F11)/TableB2!L11</f>
        <v>1.7414435919413547E-4</v>
      </c>
      <c r="D11" s="1155">
        <f>TableB2!E11/TableB2!M11</f>
        <v>7.3268091440004263E-2</v>
      </c>
      <c r="E11" s="1369">
        <f>TableB2!G11/TableB2!N11</f>
        <v>5.8308406090890295E-3</v>
      </c>
      <c r="F11" s="1370">
        <f>(TableB2!H11+TableB2!J11)/TableB2!O11</f>
        <v>4.5571818197796118E-3</v>
      </c>
      <c r="G11" s="1155">
        <f>TableB2!I11/TableB2!P11</f>
        <v>1.7597453828314354E-2</v>
      </c>
      <c r="H11" s="1369">
        <f t="shared" ref="H11:H46" si="0">E11-B11</f>
        <v>3.3379971959371698E-3</v>
      </c>
      <c r="I11" s="1371">
        <f t="shared" ref="I11:I46" si="1">F11-C11</f>
        <v>4.3830374605854762E-3</v>
      </c>
      <c r="J11" s="1372">
        <f t="shared" ref="J11:J46" si="2">G11-D11</f>
        <v>-5.5670637611689909E-2</v>
      </c>
    </row>
    <row r="12" spans="1:10" ht="14.25" customHeight="1" x14ac:dyDescent="0.2">
      <c r="A12" s="955" t="s">
        <v>31</v>
      </c>
      <c r="B12" s="157">
        <f>TableB2!C12/TableB2!K12</f>
        <v>3.7579621502276742E-2</v>
      </c>
      <c r="C12" s="1370">
        <f>(TableB2!D12+TableB2!F12)/TableB2!L12</f>
        <v>3.4906349130745154E-2</v>
      </c>
      <c r="D12" s="1155">
        <f>TableB2!E12/TableB2!M12</f>
        <v>2.5164662048362964E-2</v>
      </c>
      <c r="E12" s="1369">
        <f>TableB2!G12/TableB2!N12</f>
        <v>2.2819262974588521E-2</v>
      </c>
      <c r="F12" s="1370">
        <f>(TableB2!H12+TableB2!J12)/TableB2!O12</f>
        <v>2.0940139582971109E-2</v>
      </c>
      <c r="G12" s="1155">
        <f>TableB2!I12/TableB2!P12</f>
        <v>4.8860430113959276E-2</v>
      </c>
      <c r="H12" s="1369">
        <f t="shared" si="0"/>
        <v>-1.4760358527688221E-2</v>
      </c>
      <c r="I12" s="1371">
        <f t="shared" si="1"/>
        <v>-1.3966209547774045E-2</v>
      </c>
      <c r="J12" s="1372">
        <f t="shared" si="2"/>
        <v>2.3695768065596312E-2</v>
      </c>
    </row>
    <row r="13" spans="1:10" ht="14.25" customHeight="1" x14ac:dyDescent="0.2">
      <c r="A13" s="955" t="s">
        <v>32</v>
      </c>
      <c r="B13" s="157">
        <f>TableB2!C13/TableB2!K13</f>
        <v>4.3262739874422904E-2</v>
      </c>
      <c r="C13" s="1370">
        <f>(TableB2!D13+TableB2!F13)/TableB2!L13</f>
        <v>4.4837231754001033E-2</v>
      </c>
      <c r="D13" s="1155">
        <f>TableB2!E13/TableB2!M13</f>
        <v>3.3660716384501112E-2</v>
      </c>
      <c r="E13" s="1369">
        <f>TableB2!G13/TableB2!N13</f>
        <v>3.6474139466469227E-2</v>
      </c>
      <c r="F13" s="1370">
        <f>(TableB2!H13+TableB2!J13)/TableB2!O13</f>
        <v>3.4914420979531222E-2</v>
      </c>
      <c r="G13" s="1155">
        <f>TableB2!I13/TableB2!P13</f>
        <v>6.1501311561945986E-2</v>
      </c>
      <c r="H13" s="1369">
        <f t="shared" si="0"/>
        <v>-6.7886004079536766E-3</v>
      </c>
      <c r="I13" s="1371">
        <f t="shared" si="1"/>
        <v>-9.9228107744698119E-3</v>
      </c>
      <c r="J13" s="1372">
        <f t="shared" si="2"/>
        <v>2.7840595177444874E-2</v>
      </c>
    </row>
    <row r="14" spans="1:10" ht="14.25" customHeight="1" x14ac:dyDescent="0.2">
      <c r="A14" s="955" t="s">
        <v>33</v>
      </c>
      <c r="B14" s="157">
        <f>TableB2!C14/TableB2!K14</f>
        <v>4.4189051058531256E-2</v>
      </c>
      <c r="C14" s="1370">
        <f>(TableB2!D14+TableB2!F14)/TableB2!L14</f>
        <v>4.5056863856611722E-2</v>
      </c>
      <c r="D14" s="1155">
        <f>TableB2!E14/TableB2!M14</f>
        <v>4.0887565384516517E-2</v>
      </c>
      <c r="E14" s="1369">
        <f>TableB2!G14/TableB2!N14</f>
        <v>3.4856163403347677E-2</v>
      </c>
      <c r="F14" s="1370">
        <f>(TableB2!H14+TableB2!J14)/TableB2!O14</f>
        <v>4.3161732450554324E-2</v>
      </c>
      <c r="G14" s="1155">
        <f>TableB2!I14/TableB2!P14</f>
        <v>1.1436037744409296E-2</v>
      </c>
      <c r="H14" s="1369">
        <f t="shared" si="0"/>
        <v>-9.332887655183579E-3</v>
      </c>
      <c r="I14" s="1371">
        <f t="shared" si="1"/>
        <v>-1.8951314060573973E-3</v>
      </c>
      <c r="J14" s="1372">
        <f t="shared" si="2"/>
        <v>-2.9451527640107222E-2</v>
      </c>
    </row>
    <row r="15" spans="1:10" ht="14.25" customHeight="1" x14ac:dyDescent="0.2">
      <c r="A15" s="955" t="s">
        <v>34</v>
      </c>
      <c r="B15" s="157">
        <f>TableB2!C15/TableB2!K15</f>
        <v>0.12409996808986552</v>
      </c>
      <c r="C15" s="1370">
        <f>(TableB2!D15+TableB2!F15)/TableB2!L15</f>
        <v>0.12783212067154578</v>
      </c>
      <c r="D15" s="1155">
        <f>TableB2!E15/TableB2!M15</f>
        <v>6.6948224482641455E-2</v>
      </c>
      <c r="E15" s="1369">
        <f>TableB2!G15/TableB2!N15</f>
        <v>0.10009461689409051</v>
      </c>
      <c r="F15" s="1370">
        <f>(TableB2!H15+TableB2!J15)/TableB2!O15</f>
        <v>0.10456621430429627</v>
      </c>
      <c r="G15" s="1155">
        <f>TableB2!I15/TableB2!P15</f>
        <v>8.4574186567541749E-3</v>
      </c>
      <c r="H15" s="1369">
        <f t="shared" si="0"/>
        <v>-2.4005351195775015E-2</v>
      </c>
      <c r="I15" s="1371">
        <f t="shared" si="1"/>
        <v>-2.3265906367249511E-2</v>
      </c>
      <c r="J15" s="1372">
        <f t="shared" si="2"/>
        <v>-5.8490805825887282E-2</v>
      </c>
    </row>
    <row r="16" spans="1:10" ht="14.25" customHeight="1" x14ac:dyDescent="0.2">
      <c r="A16" s="955" t="s">
        <v>35</v>
      </c>
      <c r="B16" s="157">
        <f>TableB2!C16/TableB2!K16</f>
        <v>4.7034122120152871E-2</v>
      </c>
      <c r="C16" s="1370">
        <f>(TableB2!D16+TableB2!F16)/TableB2!L16</f>
        <v>5.0385600642230549E-2</v>
      </c>
      <c r="D16" s="1155">
        <f>TableB2!E16/TableB2!M16</f>
        <v>2.1022648557522498E-2</v>
      </c>
      <c r="E16" s="1369">
        <f>TableB2!G16/TableB2!N16</f>
        <v>6.8182690281906891E-2</v>
      </c>
      <c r="F16" s="1370">
        <f>(TableB2!H16+TableB2!J16)/TableB2!O16</f>
        <v>7.2167276916540984E-2</v>
      </c>
      <c r="G16" s="1155">
        <f>TableB2!I16/TableB2!P16</f>
        <v>4.0828951221077138E-2</v>
      </c>
      <c r="H16" s="1369">
        <f t="shared" si="0"/>
        <v>2.1148568161754019E-2</v>
      </c>
      <c r="I16" s="1371">
        <f t="shared" si="1"/>
        <v>2.1781676274310435E-2</v>
      </c>
      <c r="J16" s="1372">
        <f t="shared" si="2"/>
        <v>1.980630266355464E-2</v>
      </c>
    </row>
    <row r="17" spans="1:10" ht="14.25" customHeight="1" x14ac:dyDescent="0.2">
      <c r="A17" s="955" t="s">
        <v>36</v>
      </c>
      <c r="B17" s="157">
        <f>TableB2!C17/TableB2!K17</f>
        <v>7.0086293034984232E-2</v>
      </c>
      <c r="C17" s="1370">
        <f>(TableB2!D17+TableB2!F17)/TableB2!L17</f>
        <v>7.2324937248870208E-2</v>
      </c>
      <c r="D17" s="1155">
        <f>TableB2!E17/TableB2!M17</f>
        <v>1.8810926255787685E-2</v>
      </c>
      <c r="E17" s="1369">
        <f>TableB2!G17/TableB2!N17</f>
        <v>5.3756381882788543E-2</v>
      </c>
      <c r="F17" s="1370">
        <f>(TableB2!H17+TableB2!J17)/TableB2!O17</f>
        <v>6.3801519776012727E-2</v>
      </c>
      <c r="G17" s="1155">
        <f>TableB2!I17/TableB2!P17</f>
        <v>2.9489456430476246E-2</v>
      </c>
      <c r="H17" s="1369">
        <f t="shared" si="0"/>
        <v>-1.6329911152195689E-2</v>
      </c>
      <c r="I17" s="1371">
        <f t="shared" si="1"/>
        <v>-8.5234174728574807E-3</v>
      </c>
      <c r="J17" s="1372">
        <f t="shared" si="2"/>
        <v>1.0678530174688561E-2</v>
      </c>
    </row>
    <row r="18" spans="1:10" ht="14.25" customHeight="1" x14ac:dyDescent="0.2">
      <c r="A18" s="955" t="s">
        <v>37</v>
      </c>
      <c r="B18" s="157">
        <f>TableB2!C18/TableB2!K18</f>
        <v>5.0104402249351671E-2</v>
      </c>
      <c r="C18" s="1370">
        <f>(TableB2!D18+TableB2!F18)/TableB2!L18</f>
        <v>5.1365179054588747E-2</v>
      </c>
      <c r="D18" s="1155">
        <f>TableB2!E18/TableB2!M18</f>
        <v>4.4753618573662071E-2</v>
      </c>
      <c r="E18" s="1369">
        <f>TableB2!G18/TableB2!N18</f>
        <v>7.7974742949784626E-2</v>
      </c>
      <c r="F18" s="1370">
        <f>(TableB2!H18+TableB2!J18)/TableB2!O18</f>
        <v>6.4823572821995884E-2</v>
      </c>
      <c r="G18" s="1155">
        <f>TableB2!I18/TableB2!P18</f>
        <v>-3.4588649836158857E-2</v>
      </c>
      <c r="H18" s="1369">
        <f t="shared" si="0"/>
        <v>2.7870340700432955E-2</v>
      </c>
      <c r="I18" s="1371">
        <f t="shared" si="1"/>
        <v>1.3458393767407137E-2</v>
      </c>
      <c r="J18" s="1372">
        <f t="shared" si="2"/>
        <v>-7.9342268409820921E-2</v>
      </c>
    </row>
    <row r="19" spans="1:10" ht="14.25" customHeight="1" x14ac:dyDescent="0.2">
      <c r="A19" s="955" t="s">
        <v>38</v>
      </c>
      <c r="B19" s="157">
        <f>TableB2!C19/TableB2!K19</f>
        <v>3.7719568122186735E-2</v>
      </c>
      <c r="C19" s="1370">
        <f>(TableB2!D19+TableB2!F19)/TableB2!L19</f>
        <v>3.6896394344925303E-2</v>
      </c>
      <c r="D19" s="1155">
        <f>TableB2!E19/TableB2!M19</f>
        <v>4.6216593571896808E-2</v>
      </c>
      <c r="E19" s="1369">
        <f>TableB2!G19/TableB2!N19</f>
        <v>5.6431339733279649E-2</v>
      </c>
      <c r="F19" s="1370">
        <f>(TableB2!H19+TableB2!J19)/TableB2!O19</f>
        <v>5.861646122321594E-2</v>
      </c>
      <c r="G19" s="1155">
        <f>TableB2!I19/TableB2!P19</f>
        <v>2.5402893029513884E-2</v>
      </c>
      <c r="H19" s="1369">
        <f t="shared" si="0"/>
        <v>1.8711771611092914E-2</v>
      </c>
      <c r="I19" s="1371">
        <f t="shared" si="1"/>
        <v>2.1720066878290638E-2</v>
      </c>
      <c r="J19" s="1372">
        <f t="shared" si="2"/>
        <v>-2.0813700542382924E-2</v>
      </c>
    </row>
    <row r="20" spans="1:10" ht="14.25" customHeight="1" x14ac:dyDescent="0.2">
      <c r="A20" s="955" t="s">
        <v>39</v>
      </c>
      <c r="B20" s="157">
        <f>TableB2!C20/TableB2!K20</f>
        <v>4.2616252366886223E-2</v>
      </c>
      <c r="C20" s="1370">
        <f>(TableB2!D20+TableB2!F20)/TableB2!L20</f>
        <v>4.5625413393947614E-2</v>
      </c>
      <c r="D20" s="1155">
        <f>TableB2!E20/TableB2!M20</f>
        <v>3.3842118592741374E-2</v>
      </c>
      <c r="E20" s="1369">
        <f>TableB2!G20/TableB2!N20</f>
        <v>5.5273496445924525E-2</v>
      </c>
      <c r="F20" s="1370">
        <f>(TableB2!H20+TableB2!J20)/TableB2!O20</f>
        <v>5.3053739810083204E-2</v>
      </c>
      <c r="G20" s="1155">
        <f>TableB2!I20/TableB2!P20</f>
        <v>2.132830169785839E-2</v>
      </c>
      <c r="H20" s="1369">
        <f t="shared" si="0"/>
        <v>1.2657244079038302E-2</v>
      </c>
      <c r="I20" s="1371">
        <f t="shared" si="1"/>
        <v>7.4283264161355902E-3</v>
      </c>
      <c r="J20" s="1372">
        <f t="shared" si="2"/>
        <v>-1.2513816894882984E-2</v>
      </c>
    </row>
    <row r="21" spans="1:10" ht="14.25" customHeight="1" x14ac:dyDescent="0.2">
      <c r="A21" s="955" t="s">
        <v>40</v>
      </c>
      <c r="B21" s="157">
        <f>TableB2!C21/TableB2!K21</f>
        <v>4.2923566873036466E-2</v>
      </c>
      <c r="C21" s="1370">
        <f>(TableB2!D21+TableB2!F21)/TableB2!L21</f>
        <v>5.5878821075274358E-2</v>
      </c>
      <c r="D21" s="1155">
        <f>TableB2!E21/TableB2!M21</f>
        <v>8.6772186544707367E-3</v>
      </c>
      <c r="E21" s="1369">
        <f>TableB2!G21/TableB2!N21</f>
        <v>6.6017264930692293E-2</v>
      </c>
      <c r="F21" s="1370">
        <f>(TableB2!H21+TableB2!J21)/TableB2!O21</f>
        <v>7.1125868690636959E-2</v>
      </c>
      <c r="G21" s="1155">
        <f>TableB2!I21/TableB2!P21</f>
        <v>1.7721213660904451E-3</v>
      </c>
      <c r="H21" s="1369">
        <f t="shared" si="0"/>
        <v>2.3093698057655827E-2</v>
      </c>
      <c r="I21" s="1371">
        <f t="shared" si="1"/>
        <v>1.5247047615362601E-2</v>
      </c>
      <c r="J21" s="1372">
        <f t="shared" si="2"/>
        <v>-6.9050972883802917E-3</v>
      </c>
    </row>
    <row r="22" spans="1:10" ht="14.25" customHeight="1" x14ac:dyDescent="0.2">
      <c r="A22" s="955" t="s">
        <v>41</v>
      </c>
      <c r="B22" s="157">
        <f>TableB2!C22/TableB2!K22</f>
        <v>5.9041743462149736E-2</v>
      </c>
      <c r="C22" s="1370">
        <f>(TableB2!D22+TableB2!F22)/TableB2!L22</f>
        <v>5.94050016011647E-2</v>
      </c>
      <c r="D22" s="1155">
        <f>TableB2!E22/TableB2!M22</f>
        <v>0.17023949772474115</v>
      </c>
      <c r="E22" s="1369">
        <f>TableB2!G22/TableB2!N22</f>
        <v>2.6871398965845918E-2</v>
      </c>
      <c r="F22" s="1370">
        <f>(TableB2!H22+TableB2!J22)/TableB2!O22</f>
        <v>2.7201717381918941E-2</v>
      </c>
      <c r="G22" s="1155">
        <f>TableB2!I22/TableB2!P22</f>
        <v>-0.11007017988997438</v>
      </c>
      <c r="H22" s="1369">
        <f t="shared" si="0"/>
        <v>-3.2170344496303821E-2</v>
      </c>
      <c r="I22" s="1371">
        <f t="shared" si="1"/>
        <v>-3.2203284219245759E-2</v>
      </c>
      <c r="J22" s="1372">
        <f t="shared" si="2"/>
        <v>-0.28030967761471554</v>
      </c>
    </row>
    <row r="23" spans="1:10" ht="14.25" customHeight="1" x14ac:dyDescent="0.2">
      <c r="A23" s="955" t="s">
        <v>42</v>
      </c>
      <c r="B23" s="157">
        <f>TableB2!C23/TableB2!K23</f>
        <v>3.2499731715704095E-3</v>
      </c>
      <c r="C23" s="1370">
        <f>(TableB2!D23+TableB2!F23)/TableB2!L23</f>
        <v>-9.2114681103859855E-3</v>
      </c>
      <c r="D23" s="1155">
        <f>TableB2!E23/TableB2!M23</f>
        <v>2.9516678544143717E-2</v>
      </c>
      <c r="E23" s="1369">
        <f>TableB2!G23/TableB2!N23</f>
        <v>2.6208202154784775E-2</v>
      </c>
      <c r="F23" s="1370">
        <f>(TableB2!H23+TableB2!J23)/TableB2!O23</f>
        <v>2.0273759546773809E-2</v>
      </c>
      <c r="G23" s="1155">
        <f>TableB2!I23/TableB2!P23</f>
        <v>4.2023621306564209E-2</v>
      </c>
      <c r="H23" s="1369">
        <f t="shared" si="0"/>
        <v>2.2958228983214365E-2</v>
      </c>
      <c r="I23" s="1371">
        <f t="shared" si="1"/>
        <v>2.9485227657159795E-2</v>
      </c>
      <c r="J23" s="1372">
        <f t="shared" si="2"/>
        <v>1.2506942762420491E-2</v>
      </c>
    </row>
    <row r="24" spans="1:10" ht="14.25" customHeight="1" x14ac:dyDescent="0.2">
      <c r="A24" s="955" t="s">
        <v>43</v>
      </c>
      <c r="B24" s="157">
        <f>TableB2!C24/TableB2!K24</f>
        <v>7.2847163796137052E-2</v>
      </c>
      <c r="C24" s="1370">
        <f>(TableB2!D24+TableB2!F24)/TableB2!L24</f>
        <v>9.9209278259838746E-2</v>
      </c>
      <c r="D24" s="1155">
        <f>TableB2!E24/TableB2!M24</f>
        <v>3.7794064710645484E-3</v>
      </c>
      <c r="E24" s="1369">
        <f>TableB2!G24/TableB2!N24</f>
        <v>1.2933110981682094E-2</v>
      </c>
      <c r="F24" s="1370">
        <f>(TableB2!H24+TableB2!J24)/TableB2!O24</f>
        <v>1.6332825359742054E-2</v>
      </c>
      <c r="G24" s="1155">
        <f>TableB2!I24/TableB2!P24</f>
        <v>-1.6856754177804842E-2</v>
      </c>
      <c r="H24" s="1369">
        <f t="shared" si="0"/>
        <v>-5.9914052814454957E-2</v>
      </c>
      <c r="I24" s="1371">
        <f t="shared" si="1"/>
        <v>-8.2876452900096695E-2</v>
      </c>
      <c r="J24" s="1372">
        <f t="shared" si="2"/>
        <v>-2.0636160648869389E-2</v>
      </c>
    </row>
    <row r="25" spans="1:10" ht="14.25" customHeight="1" x14ac:dyDescent="0.2">
      <c r="A25" s="955" t="s">
        <v>44</v>
      </c>
      <c r="B25" s="157"/>
      <c r="C25" s="1370"/>
      <c r="D25" s="1155"/>
      <c r="E25" s="1369"/>
      <c r="F25" s="1370"/>
      <c r="G25" s="1155"/>
      <c r="H25" s="1369"/>
      <c r="I25" s="1371"/>
      <c r="J25" s="1372"/>
    </row>
    <row r="26" spans="1:10" ht="14.25" customHeight="1" x14ac:dyDescent="0.2">
      <c r="A26" s="955" t="s">
        <v>45</v>
      </c>
      <c r="B26" s="157">
        <f>TableB2!C26/TableB2!K26</f>
        <v>3.4316614726526772E-2</v>
      </c>
      <c r="C26" s="1370">
        <f>(TableB2!D26+TableB2!F26)/TableB2!L26</f>
        <v>3.5539645186220735E-2</v>
      </c>
      <c r="D26" s="1155">
        <f>TableB2!E26/TableB2!M26</f>
        <v>2.3470282925670449E-2</v>
      </c>
      <c r="E26" s="1369">
        <f>TableB2!G26/TableB2!N26</f>
        <v>2.5987330823333384E-2</v>
      </c>
      <c r="F26" s="1370">
        <f>(TableB2!H26+TableB2!J26)/TableB2!O26</f>
        <v>2.6811157472604593E-2</v>
      </c>
      <c r="G26" s="1155">
        <f>TableB2!I26/TableB2!P26</f>
        <v>-9.76302913517723E-2</v>
      </c>
      <c r="H26" s="1369">
        <f t="shared" si="0"/>
        <v>-8.329283903193388E-3</v>
      </c>
      <c r="I26" s="1371">
        <f t="shared" si="1"/>
        <v>-8.7284877136161419E-3</v>
      </c>
      <c r="J26" s="1372">
        <f t="shared" si="2"/>
        <v>-0.12110057427744275</v>
      </c>
    </row>
    <row r="27" spans="1:10" ht="14.25" customHeight="1" x14ac:dyDescent="0.2">
      <c r="A27" s="955" t="s">
        <v>46</v>
      </c>
      <c r="B27" s="157"/>
      <c r="C27" s="1370"/>
      <c r="D27" s="1155"/>
      <c r="E27" s="1369"/>
      <c r="F27" s="1370"/>
      <c r="G27" s="1155"/>
      <c r="H27" s="1369"/>
      <c r="I27" s="1371"/>
      <c r="J27" s="1372"/>
    </row>
    <row r="28" spans="1:10" ht="14.25" customHeight="1" x14ac:dyDescent="0.2">
      <c r="A28" s="955" t="s">
        <v>47</v>
      </c>
      <c r="B28" s="157">
        <f>TableB2!C28/TableB2!K28</f>
        <v>1.3327354517106078E-2</v>
      </c>
      <c r="C28" s="1370">
        <f>(TableB2!D28+TableB2!F28)/TableB2!L28</f>
        <v>1.2887341399851026E-2</v>
      </c>
      <c r="D28" s="1155">
        <f>TableB2!E28/TableB2!M28</f>
        <v>2.2115052828820769E-2</v>
      </c>
      <c r="E28" s="1369">
        <f>TableB2!G28/TableB2!N28</f>
        <v>-4.4842766690314083E-4</v>
      </c>
      <c r="F28" s="1370">
        <f>(TableB2!H28+TableB2!J28)/TableB2!O28</f>
        <v>-2.3060904625988891E-3</v>
      </c>
      <c r="G28" s="1155">
        <f>TableB2!I28/TableB2!P28</f>
        <v>1.088705902709108E-2</v>
      </c>
      <c r="H28" s="1369">
        <f t="shared" si="0"/>
        <v>-1.377578218400922E-2</v>
      </c>
      <c r="I28" s="1371">
        <f t="shared" si="1"/>
        <v>-1.5193431862449914E-2</v>
      </c>
      <c r="J28" s="1372">
        <f t="shared" si="2"/>
        <v>-1.1227993801729688E-2</v>
      </c>
    </row>
    <row r="29" spans="1:10" x14ac:dyDescent="0.2">
      <c r="A29" s="955" t="s">
        <v>48</v>
      </c>
      <c r="B29" s="157">
        <f>TableB2!C29/TableB2!K29</f>
        <v>7.8101620505223332E-2</v>
      </c>
      <c r="C29" s="1370">
        <f>(TableB2!D29+TableB2!F29)/TableB2!L29</f>
        <v>9.2360487610232703E-2</v>
      </c>
      <c r="D29" s="1155">
        <f>TableB2!E29/TableB2!M29</f>
        <v>1.8666090866367894E-2</v>
      </c>
      <c r="E29" s="1369">
        <f>TableB2!G29/TableB2!N29</f>
        <v>0.10749413566584214</v>
      </c>
      <c r="F29" s="1370">
        <f>(TableB2!H29+TableB2!J29)/TableB2!O29</f>
        <v>0.14322596878826505</v>
      </c>
      <c r="G29" s="1155">
        <f>TableB2!I29/TableB2!P29</f>
        <v>1.6566787964052445E-2</v>
      </c>
      <c r="H29" s="1369">
        <f t="shared" si="0"/>
        <v>2.9392515160618804E-2</v>
      </c>
      <c r="I29" s="1371">
        <f t="shared" si="1"/>
        <v>5.0865481178032343E-2</v>
      </c>
      <c r="J29" s="1372">
        <f t="shared" si="2"/>
        <v>-2.0993029023154489E-3</v>
      </c>
    </row>
    <row r="30" spans="1:10" x14ac:dyDescent="0.2">
      <c r="A30" s="955" t="s">
        <v>49</v>
      </c>
      <c r="B30" s="157">
        <f>TableB2!C30/TableB2!K30</f>
        <v>1.7638368813208717E-2</v>
      </c>
      <c r="C30" s="1370">
        <f>(TableB2!D30+TableB2!F30)/TableB2!L30</f>
        <v>1.8863365138142373E-2</v>
      </c>
      <c r="D30" s="1155">
        <f>TableB2!E30/TableB2!M30</f>
        <v>5.000837987175006E-3</v>
      </c>
      <c r="E30" s="1369">
        <f>TableB2!G30/TableB2!N30</f>
        <v>2.0614132393282136E-2</v>
      </c>
      <c r="F30" s="1370">
        <f>(TableB2!H30+TableB2!J30)/TableB2!O30</f>
        <v>1.7845871096707308E-2</v>
      </c>
      <c r="G30" s="1155">
        <f>TableB2!I30/TableB2!P30</f>
        <v>6.495365934241383E-2</v>
      </c>
      <c r="H30" s="1369">
        <f t="shared" si="0"/>
        <v>2.9757635800734192E-3</v>
      </c>
      <c r="I30" s="1371">
        <f t="shared" si="1"/>
        <v>-1.0174940414350644E-3</v>
      </c>
      <c r="J30" s="1372">
        <f t="shared" si="2"/>
        <v>5.9952821355238828E-2</v>
      </c>
    </row>
    <row r="31" spans="1:10" x14ac:dyDescent="0.2">
      <c r="A31" s="955" t="s">
        <v>50</v>
      </c>
      <c r="B31" s="157"/>
      <c r="C31" s="1370">
        <f>(TableB2!D31+TableB2!F31)/TableB2!L31</f>
        <v>4.0573258687939692E-2</v>
      </c>
      <c r="D31" s="1155"/>
      <c r="E31" s="1369"/>
      <c r="F31" s="1370"/>
      <c r="G31" s="1155"/>
      <c r="H31" s="1369"/>
      <c r="I31" s="1371"/>
      <c r="J31" s="1372"/>
    </row>
    <row r="32" spans="1:10" x14ac:dyDescent="0.2">
      <c r="A32" s="955" t="s">
        <v>51</v>
      </c>
      <c r="B32" s="157">
        <f>TableB2!C32/TableB2!K32</f>
        <v>4.5068230850008766E-2</v>
      </c>
      <c r="C32" s="1370">
        <f>(TableB2!D32+TableB2!F32)/TableB2!L32</f>
        <v>5.311593005333639E-2</v>
      </c>
      <c r="D32" s="1155">
        <f>TableB2!E32/TableB2!M32</f>
        <v>2.0350804007925775E-2</v>
      </c>
      <c r="E32" s="1369">
        <f>TableB2!G32/TableB2!N32</f>
        <v>4.323262274682068E-2</v>
      </c>
      <c r="F32" s="1370">
        <f>(TableB2!H32+TableB2!J32)/TableB2!O32</f>
        <v>4.720580412915712E-2</v>
      </c>
      <c r="G32" s="1155">
        <f>TableB2!I32/TableB2!P32</f>
        <v>3.2012231953872122E-2</v>
      </c>
      <c r="H32" s="1369">
        <f t="shared" si="0"/>
        <v>-1.8356081031880855E-3</v>
      </c>
      <c r="I32" s="1371">
        <f t="shared" si="1"/>
        <v>-5.91012592417927E-3</v>
      </c>
      <c r="J32" s="1372">
        <f t="shared" si="2"/>
        <v>1.1661427945946348E-2</v>
      </c>
    </row>
    <row r="33" spans="1:10" x14ac:dyDescent="0.2">
      <c r="A33" s="955" t="s">
        <v>52</v>
      </c>
      <c r="B33" s="157">
        <f>TableB2!C33/TableB2!K33</f>
        <v>8.8396064631452886E-2</v>
      </c>
      <c r="C33" s="1370">
        <f>(TableB2!D33+TableB2!F33)/TableB2!L33</f>
        <v>0.11670557027212669</v>
      </c>
      <c r="D33" s="1155">
        <f>TableB2!E33/TableB2!M33</f>
        <v>2.9665007628270481E-2</v>
      </c>
      <c r="E33" s="1369">
        <f>TableB2!G33/TableB2!N33</f>
        <v>3.001807315888614E-2</v>
      </c>
      <c r="F33" s="1370">
        <f>(TableB2!H33+TableB2!J33)/TableB2!O33</f>
        <v>3.6544628621063661E-2</v>
      </c>
      <c r="G33" s="1155">
        <f>TableB2!I33/TableB2!P33</f>
        <v>4.3844906188038177E-3</v>
      </c>
      <c r="H33" s="1369">
        <f t="shared" si="0"/>
        <v>-5.8377991472566747E-2</v>
      </c>
      <c r="I33" s="1371">
        <f t="shared" si="1"/>
        <v>-8.0160941651063022E-2</v>
      </c>
      <c r="J33" s="1372">
        <f t="shared" si="2"/>
        <v>-2.5280517009466662E-2</v>
      </c>
    </row>
    <row r="34" spans="1:10" x14ac:dyDescent="0.2">
      <c r="A34" s="1231" t="s">
        <v>53</v>
      </c>
      <c r="B34" s="157">
        <f>TableB2!C34/TableB2!K34</f>
        <v>4.039585632031354E-2</v>
      </c>
      <c r="C34" s="1370">
        <f>(TableB2!D34+TableB2!F34)/TableB2!L34</f>
        <v>3.8554027137206584E-2</v>
      </c>
      <c r="D34" s="1155">
        <f>TableB2!E34/TableB2!M34</f>
        <v>4.4098875325236896E-2</v>
      </c>
      <c r="E34" s="1369">
        <f>TableB2!G34/TableB2!N34</f>
        <v>5.2058814781354004E-2</v>
      </c>
      <c r="F34" s="1370">
        <f>(TableB2!H34+TableB2!J34)/TableB2!O34</f>
        <v>4.8247942064149223E-2</v>
      </c>
      <c r="G34" s="1155">
        <f>TableB2!I34/TableB2!P34</f>
        <v>-0.10203335474447203</v>
      </c>
      <c r="H34" s="1369">
        <f t="shared" si="0"/>
        <v>1.1662958461040464E-2</v>
      </c>
      <c r="I34" s="1371">
        <f t="shared" si="1"/>
        <v>9.6939149269426386E-3</v>
      </c>
      <c r="J34" s="1372">
        <f t="shared" si="2"/>
        <v>-0.14613223006970893</v>
      </c>
    </row>
    <row r="35" spans="1:10" x14ac:dyDescent="0.2">
      <c r="A35" s="955" t="s">
        <v>54</v>
      </c>
      <c r="B35" s="157">
        <f>TableB2!C35/TableB2!K35</f>
        <v>9.8167447318969633E-2</v>
      </c>
      <c r="C35" s="1370">
        <f>(TableB2!D35+TableB2!F35)/TableB2!L35</f>
        <v>0.11555923695627993</v>
      </c>
      <c r="D35" s="1155">
        <f>TableB2!E35/TableB2!M35</f>
        <v>4.5616909681224768E-2</v>
      </c>
      <c r="E35" s="1369">
        <f>TableB2!G35/TableB2!N35</f>
        <v>3.0482207238506465E-2</v>
      </c>
      <c r="F35" s="1370">
        <f>(TableB2!H35+TableB2!J35)/TableB2!O35</f>
        <v>2.8378957409121261E-2</v>
      </c>
      <c r="G35" s="1155">
        <f>TableB2!I35/TableB2!P35</f>
        <v>-2.3136343699766472E-3</v>
      </c>
      <c r="H35" s="1369">
        <f t="shared" si="0"/>
        <v>-6.7685240080463172E-2</v>
      </c>
      <c r="I35" s="1371">
        <f t="shared" si="1"/>
        <v>-8.7180279547158665E-2</v>
      </c>
      <c r="J35" s="1372">
        <f t="shared" si="2"/>
        <v>-4.7930544051201417E-2</v>
      </c>
    </row>
    <row r="36" spans="1:10" x14ac:dyDescent="0.2">
      <c r="A36" s="955" t="s">
        <v>55</v>
      </c>
      <c r="B36" s="157">
        <f>TableB2!C36/TableB2!K36</f>
        <v>4.1452911050980194E-2</v>
      </c>
      <c r="C36" s="1370">
        <f>(TableB2!D36+TableB2!F36)/TableB2!L36</f>
        <v>3.9224796710890387E-2</v>
      </c>
      <c r="D36" s="1155">
        <f>TableB2!E36/TableB2!M36</f>
        <v>5.9804213721429203E-2</v>
      </c>
      <c r="E36" s="1369">
        <f>TableB2!G36/TableB2!N36</f>
        <v>3.3722622932337708E-2</v>
      </c>
      <c r="F36" s="1370">
        <f>(TableB2!H36+TableB2!J36)/TableB2!O36</f>
        <v>3.3268297581414752E-2</v>
      </c>
      <c r="G36" s="1155">
        <f>TableB2!I36/TableB2!P36</f>
        <v>2.7596091312603994E-2</v>
      </c>
      <c r="H36" s="1369">
        <f t="shared" si="0"/>
        <v>-7.7302881186424866E-3</v>
      </c>
      <c r="I36" s="1371">
        <f t="shared" si="1"/>
        <v>-5.9564991294756356E-3</v>
      </c>
      <c r="J36" s="1372">
        <f t="shared" si="2"/>
        <v>-3.2208122408825209E-2</v>
      </c>
    </row>
    <row r="37" spans="1:10" x14ac:dyDescent="0.2">
      <c r="A37" s="955" t="s">
        <v>336</v>
      </c>
      <c r="B37" s="157">
        <f>TableB2!C37/TableB2!K37</f>
        <v>9.6075501422922968E-2</v>
      </c>
      <c r="C37" s="1370">
        <f>(TableB2!D37+TableB2!F37)/TableB2!L37</f>
        <v>0.10517750329412269</v>
      </c>
      <c r="D37" s="1155">
        <f>TableB2!E37/TableB2!M37</f>
        <v>4.4572161805035558E-2</v>
      </c>
      <c r="E37" s="1369">
        <f>TableB2!G37/TableB2!N37</f>
        <v>0.14231458349873014</v>
      </c>
      <c r="F37" s="1370">
        <f>(TableB2!H37+TableB2!J37)/TableB2!O37</f>
        <v>0.1775669311983902</v>
      </c>
      <c r="G37" s="1155">
        <f>TableB2!I37/TableB2!P37</f>
        <v>2.6541783315726077E-2</v>
      </c>
      <c r="H37" s="1369">
        <f t="shared" si="0"/>
        <v>4.6239082075807167E-2</v>
      </c>
      <c r="I37" s="1371">
        <f t="shared" si="1"/>
        <v>7.2389427904267514E-2</v>
      </c>
      <c r="J37" s="1372">
        <f t="shared" si="2"/>
        <v>-1.8030378489309482E-2</v>
      </c>
    </row>
    <row r="38" spans="1:10" x14ac:dyDescent="0.2">
      <c r="A38" s="1231" t="s">
        <v>57</v>
      </c>
      <c r="B38" s="157">
        <f>TableB2!C38/TableB2!K38</f>
        <v>8.5282720595138958E-2</v>
      </c>
      <c r="C38" s="1370">
        <f>(TableB2!D38+TableB2!F38)/TableB2!L38</f>
        <v>9.5699844653802851E-2</v>
      </c>
      <c r="D38" s="1155">
        <f>TableB2!E38/TableB2!M38</f>
        <v>2.8806912160011799E-2</v>
      </c>
      <c r="E38" s="1369">
        <f>TableB2!G38/TableB2!N38</f>
        <v>9.1989737366230239E-3</v>
      </c>
      <c r="F38" s="1370">
        <f>(TableB2!H38+TableB2!J38)/TableB2!O38</f>
        <v>5.0574700187299426E-3</v>
      </c>
      <c r="G38" s="1155">
        <f>TableB2!I38/TableB2!P38</f>
        <v>1.9779305661177093E-2</v>
      </c>
      <c r="H38" s="1369">
        <f t="shared" si="0"/>
        <v>-7.6083746858515933E-2</v>
      </c>
      <c r="I38" s="1371">
        <f t="shared" si="1"/>
        <v>-9.0642374635072909E-2</v>
      </c>
      <c r="J38" s="1372">
        <f t="shared" si="2"/>
        <v>-9.0276064988347067E-3</v>
      </c>
    </row>
    <row r="39" spans="1:10" x14ac:dyDescent="0.2">
      <c r="A39" s="955" t="s">
        <v>58</v>
      </c>
      <c r="B39" s="157">
        <f>TableB2!C39/TableB2!K39</f>
        <v>3.9233183979785653E-2</v>
      </c>
      <c r="C39" s="1370">
        <f>(TableB2!D39+TableB2!F39)/TableB2!L39</f>
        <v>4.0488400008503393E-2</v>
      </c>
      <c r="D39" s="1155">
        <f>TableB2!E39/TableB2!M39</f>
        <v>3.3200961291942152E-2</v>
      </c>
      <c r="E39" s="1369">
        <f>TableB2!G39/TableB2!N39</f>
        <v>6.1335410970657804E-2</v>
      </c>
      <c r="F39" s="1370">
        <f>(TableB2!H39+TableB2!J39)/TableB2!O39</f>
        <v>5.9199159366181697E-2</v>
      </c>
      <c r="G39" s="1155">
        <f>TableB2!I39/TableB2!P39</f>
        <v>3.29431685998582E-2</v>
      </c>
      <c r="H39" s="1369">
        <f t="shared" si="0"/>
        <v>2.2102226990872151E-2</v>
      </c>
      <c r="I39" s="1371">
        <f t="shared" si="1"/>
        <v>1.8710759357678304E-2</v>
      </c>
      <c r="J39" s="1372">
        <f t="shared" si="2"/>
        <v>-2.5779269208395239E-4</v>
      </c>
    </row>
    <row r="40" spans="1:10" x14ac:dyDescent="0.2">
      <c r="A40" s="955" t="s">
        <v>59</v>
      </c>
      <c r="B40" s="157">
        <f>TableB2!C40/TableB2!K40</f>
        <v>6.86234260248091E-2</v>
      </c>
      <c r="C40" s="1370">
        <f>(TableB2!D40+TableB2!F40)/TableB2!L40</f>
        <v>7.8393596946110394E-2</v>
      </c>
      <c r="D40" s="1155">
        <f>TableB2!E40/TableB2!M40</f>
        <v>2.7746935485664394E-2</v>
      </c>
      <c r="E40" s="1369">
        <f>TableB2!G40/TableB2!N40</f>
        <v>7.6477242481107918E-2</v>
      </c>
      <c r="F40" s="1370">
        <f>(TableB2!H40+TableB2!J40)/TableB2!O40</f>
        <v>7.8922218237978681E-2</v>
      </c>
      <c r="G40" s="1155">
        <f>TableB2!I40/TableB2!P40</f>
        <v>4.860297481298357E-2</v>
      </c>
      <c r="H40" s="1369">
        <f t="shared" si="0"/>
        <v>7.8538164562988177E-3</v>
      </c>
      <c r="I40" s="1371">
        <f t="shared" si="1"/>
        <v>5.2862129186828644E-4</v>
      </c>
      <c r="J40" s="1372">
        <f t="shared" si="2"/>
        <v>2.0856039327319175E-2</v>
      </c>
    </row>
    <row r="41" spans="1:10" x14ac:dyDescent="0.2">
      <c r="A41" s="955" t="s">
        <v>60</v>
      </c>
      <c r="B41" s="157">
        <f>TableB2!C41/TableB2!K41</f>
        <v>6.8383489047376012E-2</v>
      </c>
      <c r="C41" s="1370">
        <f>(TableB2!D41+TableB2!F41)/TableB2!L41</f>
        <v>6.870054497996711E-2</v>
      </c>
      <c r="D41" s="1155">
        <f>TableB2!E41/TableB2!M41</f>
        <v>5.5932906791692917E-2</v>
      </c>
      <c r="E41" s="1369">
        <f>TableB2!G41/TableB2!N41</f>
        <v>8.0064771537768128E-2</v>
      </c>
      <c r="F41" s="1370">
        <f>(TableB2!H41+TableB2!J41)/TableB2!O41</f>
        <v>8.5057102388278016E-2</v>
      </c>
      <c r="G41" s="1155">
        <f>TableB2!I41/TableB2!P41</f>
        <v>3.88969333527934E-2</v>
      </c>
      <c r="H41" s="1369">
        <f t="shared" si="0"/>
        <v>1.1681282490392117E-2</v>
      </c>
      <c r="I41" s="1371">
        <f t="shared" si="1"/>
        <v>1.6356557408310907E-2</v>
      </c>
      <c r="J41" s="1372">
        <f t="shared" si="2"/>
        <v>-1.7035973438899517E-2</v>
      </c>
    </row>
    <row r="42" spans="1:10" x14ac:dyDescent="0.2">
      <c r="A42" s="955" t="s">
        <v>61</v>
      </c>
      <c r="B42" s="157">
        <f>TableB2!C42/TableB2!K42</f>
        <v>2.2724420872951557E-2</v>
      </c>
      <c r="C42" s="1370">
        <f>(TableB2!D42+TableB2!F42)/TableB2!L42</f>
        <v>2.3035745320646141E-2</v>
      </c>
      <c r="D42" s="1155">
        <f>TableB2!E42/TableB2!M42</f>
        <v>1.7183431838490932E-2</v>
      </c>
      <c r="E42" s="1369">
        <f>TableB2!G42/TableB2!N42</f>
        <v>6.2664701992967854E-3</v>
      </c>
      <c r="F42" s="1370">
        <f>(TableB2!H42+TableB2!J42)/TableB2!O42</f>
        <v>7.9747692712447901E-3</v>
      </c>
      <c r="G42" s="1155">
        <f>TableB2!I42/TableB2!P42</f>
        <v>3.0638684175687012E-4</v>
      </c>
      <c r="H42" s="1369">
        <f t="shared" si="0"/>
        <v>-1.645795067365477E-2</v>
      </c>
      <c r="I42" s="1371">
        <f t="shared" si="1"/>
        <v>-1.5060976049401351E-2</v>
      </c>
      <c r="J42" s="1372">
        <f t="shared" si="2"/>
        <v>-1.6877044996734061E-2</v>
      </c>
    </row>
    <row r="43" spans="1:10" x14ac:dyDescent="0.2">
      <c r="A43" s="955" t="s">
        <v>62</v>
      </c>
      <c r="B43" s="157">
        <f>TableB2!C43/TableB2!K43</f>
        <v>5.1945520818747593E-2</v>
      </c>
      <c r="C43" s="1370">
        <f>(TableB2!D43+TableB2!F43)/TableB2!L25</f>
        <v>3.4052300322936992</v>
      </c>
      <c r="D43" s="1155">
        <f>TableB2!E43/TableB2!M25</f>
        <v>1.0904432036861469</v>
      </c>
      <c r="E43" s="1369">
        <f>TableB2!G43/TableB2!N43</f>
        <v>5.5881700116768122E-2</v>
      </c>
      <c r="F43" s="1370"/>
      <c r="G43" s="1155"/>
      <c r="H43" s="1369">
        <f t="shared" si="0"/>
        <v>3.9361792980205298E-3</v>
      </c>
      <c r="I43" s="1371"/>
      <c r="J43" s="1372"/>
    </row>
    <row r="44" spans="1:10" x14ac:dyDescent="0.2">
      <c r="A44" s="955" t="s">
        <v>63</v>
      </c>
      <c r="B44" s="157">
        <f>TableB2!C44/TableB2!K44</f>
        <v>2.7892038367271731E-2</v>
      </c>
      <c r="C44" s="1370">
        <f>(TableB2!D44+TableB2!F44)/TableB2!L44</f>
        <v>2.585227384652964E-2</v>
      </c>
      <c r="D44" s="1155">
        <f>TableB2!E44/TableB2!M44</f>
        <v>4.424402831163006E-2</v>
      </c>
      <c r="E44" s="1369">
        <f>TableB2!G44/TableB2!N44</f>
        <v>7.0872018633194034E-2</v>
      </c>
      <c r="F44" s="1370">
        <f>(TableB2!H44+TableB2!J44)/TableB2!O44</f>
        <v>7.1946843697692706E-2</v>
      </c>
      <c r="G44" s="1155">
        <f>TableB2!I44/TableB2!P44</f>
        <v>4.2576900860088876E-2</v>
      </c>
      <c r="H44" s="1369">
        <f t="shared" si="0"/>
        <v>4.2979980265922299E-2</v>
      </c>
      <c r="I44" s="1371">
        <f t="shared" si="1"/>
        <v>4.6094569851163066E-2</v>
      </c>
      <c r="J44" s="1372">
        <f t="shared" si="2"/>
        <v>-1.6671274515411838E-3</v>
      </c>
    </row>
    <row r="45" spans="1:10" ht="17" x14ac:dyDescent="0.2">
      <c r="A45" s="803" t="s">
        <v>64</v>
      </c>
      <c r="B45" s="119"/>
      <c r="C45" s="22"/>
      <c r="D45" s="1155"/>
      <c r="E45" s="1369"/>
      <c r="F45" s="1370"/>
      <c r="G45" s="1155"/>
      <c r="H45" s="1369"/>
      <c r="I45" s="1371"/>
      <c r="J45" s="1372"/>
    </row>
    <row r="46" spans="1:10" x14ac:dyDescent="0.2">
      <c r="A46" s="933" t="s">
        <v>65</v>
      </c>
      <c r="B46" s="119">
        <f>TableB2!C46/TableB2!K46</f>
        <v>6.2173913043478267E-2</v>
      </c>
      <c r="C46" s="22">
        <f>(TableB2!D46+TableB2!F46)/TableB2!L46</f>
        <v>6.0708715355267173E-2</v>
      </c>
      <c r="D46" s="1155">
        <f>TableB2!E46/TableB2!M46</f>
        <v>6.9899133892197776E-2</v>
      </c>
      <c r="E46" s="1369">
        <f>TableB2!G46/TableB2!N46</f>
        <v>5.0269332065517244E-2</v>
      </c>
      <c r="F46" s="1370">
        <f>(TableB2!H46+TableB2!J46)/TableB2!O46</f>
        <v>2.7694062541351355E-2</v>
      </c>
      <c r="G46" s="1155">
        <f>TableB2!I46/TableB2!P46</f>
        <v>-1.0200960639473685E-3</v>
      </c>
      <c r="H46" s="1369">
        <f t="shared" si="0"/>
        <v>-1.1904580977961023E-2</v>
      </c>
      <c r="I46" s="1371">
        <f t="shared" si="1"/>
        <v>-3.3014652813915815E-2</v>
      </c>
      <c r="J46" s="1372">
        <f t="shared" si="2"/>
        <v>-7.0919229956145149E-2</v>
      </c>
    </row>
    <row r="47" spans="1:10" x14ac:dyDescent="0.2">
      <c r="A47" s="123" t="s">
        <v>66</v>
      </c>
      <c r="B47" s="119">
        <f>TableB2!C47/TableB2!K47</f>
        <v>5.0073720941875219E-2</v>
      </c>
      <c r="C47" s="22">
        <f>(TableB2!D47+TableB2!F47)/TableB2!L47</f>
        <v>5.4054477000015921E-2</v>
      </c>
      <c r="D47" s="1155">
        <f>TableB2!E47/TableB2!M47</f>
        <v>0</v>
      </c>
      <c r="E47" s="1369">
        <f>TableB2!G47/TableB2!N47</f>
        <v>0.18304496905888518</v>
      </c>
      <c r="F47" s="1370">
        <f>(TableB2!H47+TableB2!J47)/TableB2!O47</f>
        <v>0.20528036660183002</v>
      </c>
      <c r="G47" s="1155">
        <f>TableB2!I47/TableB2!P47</f>
        <v>0</v>
      </c>
      <c r="H47" s="1369">
        <f t="shared" ref="H47:H88" si="3">E47-B47</f>
        <v>0.13297124811700994</v>
      </c>
      <c r="I47" s="1371">
        <f t="shared" ref="I47:I88" si="4">F47-C47</f>
        <v>0.1512258896018141</v>
      </c>
      <c r="J47" s="1372">
        <f t="shared" ref="J47:J88" si="5">G47-D47</f>
        <v>0</v>
      </c>
    </row>
    <row r="48" spans="1:10" x14ac:dyDescent="0.2">
      <c r="A48" s="123" t="s">
        <v>67</v>
      </c>
      <c r="B48" s="119">
        <f>TableB2!C48/TableB2!K48</f>
        <v>0.14122340425531912</v>
      </c>
      <c r="C48" s="22">
        <f>(TableB2!D48+TableB2!F48)/TableB2!L48</f>
        <v>0.13134956791506849</v>
      </c>
      <c r="D48" s="1155">
        <f>TableB2!E48/TableB2!M48</f>
        <v>0.46885524645454479</v>
      </c>
      <c r="E48" s="1369">
        <f>TableB2!G48/TableB2!N48</f>
        <v>0.19462189085792347</v>
      </c>
      <c r="F48" s="1370">
        <f>(TableB2!H48+TableB2!J48)/TableB2!O48</f>
        <v>0.19628451777777778</v>
      </c>
      <c r="G48" s="1155">
        <f>TableB2!I48/TableB2!P48</f>
        <v>9.4864275666666428E-2</v>
      </c>
      <c r="H48" s="1369">
        <f t="shared" si="3"/>
        <v>5.339848660260435E-2</v>
      </c>
      <c r="I48" s="1371">
        <f t="shared" si="4"/>
        <v>6.4934949862709285E-2</v>
      </c>
      <c r="J48" s="1372">
        <f t="shared" si="5"/>
        <v>-0.37399097078787835</v>
      </c>
    </row>
    <row r="49" spans="1:10" x14ac:dyDescent="0.2">
      <c r="A49" s="123" t="s">
        <v>68</v>
      </c>
      <c r="B49" s="119">
        <f>TableB2!C49/TableB2!K49</f>
        <v>6.6666666666666666E-2</v>
      </c>
      <c r="C49" s="22">
        <f>(TableB2!D49+TableB2!F49)/TableB2!L49</f>
        <v>3.5311367774545459E-2</v>
      </c>
      <c r="D49" s="1155">
        <f>TableB2!E49/TableB2!M49</f>
        <v>0.34481851167741923</v>
      </c>
      <c r="E49" s="1369">
        <f>TableB2!G49/TableB2!N49</f>
        <v>2.6649836405693943E-2</v>
      </c>
      <c r="F49" s="1370">
        <f>(TableB2!H49+TableB2!J49)/TableB2!O49</f>
        <v>3.072999172268907E-2</v>
      </c>
      <c r="G49" s="1155">
        <f>TableB2!I49/TableB2!P49</f>
        <v>4.066651162790696E-3</v>
      </c>
      <c r="H49" s="1369">
        <f t="shared" si="3"/>
        <v>-4.0016830260972719E-2</v>
      </c>
      <c r="I49" s="1371">
        <f t="shared" si="4"/>
        <v>-4.5813760518563888E-3</v>
      </c>
      <c r="J49" s="1372">
        <f t="shared" si="5"/>
        <v>-0.34075186051462852</v>
      </c>
    </row>
    <row r="50" spans="1:10" x14ac:dyDescent="0.2">
      <c r="A50" s="123" t="s">
        <v>69</v>
      </c>
      <c r="B50" s="119">
        <f>TableB2!C50/TableB2!K50</f>
        <v>4.3910256410256407E-2</v>
      </c>
      <c r="C50" s="22">
        <f>(TableB2!D50+TableB2!F50)/TableB2!L50</f>
        <v>2.3608474179999995E-2</v>
      </c>
      <c r="D50" s="1155">
        <f>TableB2!E50/TableB2!M50</f>
        <v>0.3962058892294118</v>
      </c>
      <c r="E50" s="1369">
        <f>TableB2!G50/TableB2!N50</f>
        <v>5.91809396403302E-2</v>
      </c>
      <c r="F50" s="1370">
        <f>(TableB2!H50+TableB2!J50)/TableB2!O50</f>
        <v>7.3460168601470588E-2</v>
      </c>
      <c r="G50" s="1155">
        <f>TableB2!I50/TableB2!P50</f>
        <v>1.3840605119047622E-3</v>
      </c>
      <c r="H50" s="1369">
        <f t="shared" si="3"/>
        <v>1.5270683230073794E-2</v>
      </c>
      <c r="I50" s="1371">
        <f t="shared" si="4"/>
        <v>4.9851694421470596E-2</v>
      </c>
      <c r="J50" s="1372">
        <f t="shared" si="5"/>
        <v>-0.39482182871750704</v>
      </c>
    </row>
    <row r="51" spans="1:10" x14ac:dyDescent="0.2">
      <c r="A51" s="123" t="s">
        <v>70</v>
      </c>
      <c r="B51" s="119">
        <f>TableB2!C51/TableB2!K51</f>
        <v>0.15953307392996108</v>
      </c>
      <c r="C51" s="22">
        <f>(TableB2!D51+TableB2!F51)/TableB2!L51</f>
        <v>0.15754482587064678</v>
      </c>
      <c r="D51" s="1155">
        <f>TableB2!E51/TableB2!M51</f>
        <v>0.16666946428571427</v>
      </c>
      <c r="E51" s="1369">
        <f>TableB2!G51/TableB2!N51</f>
        <v>6.0218919860627176E-2</v>
      </c>
      <c r="F51" s="1370">
        <f>(TableB2!H51+TableB2!J51)/TableB2!O51</f>
        <v>4.6931737588652489E-2</v>
      </c>
      <c r="G51" s="1155">
        <f>TableB2!I51/TableB2!P51</f>
        <v>0.80961599999999989</v>
      </c>
      <c r="H51" s="1369">
        <f t="shared" si="3"/>
        <v>-9.9314154069333901E-2</v>
      </c>
      <c r="I51" s="1371">
        <f t="shared" si="4"/>
        <v>-0.11061308828199429</v>
      </c>
      <c r="J51" s="1372">
        <f t="shared" si="5"/>
        <v>0.64294653571428562</v>
      </c>
    </row>
    <row r="52" spans="1:10" x14ac:dyDescent="0.2">
      <c r="A52" s="123" t="s">
        <v>71</v>
      </c>
      <c r="B52" s="119">
        <f>TableB2!C52/TableB2!K52</f>
        <v>5.5590551181102357E-2</v>
      </c>
      <c r="C52" s="22">
        <f>(TableB2!D52+TableB2!F52)/TableB2!L52</f>
        <v>6.4030250960194171E-2</v>
      </c>
      <c r="D52" s="1155">
        <f>TableB2!E52/TableB2!M52</f>
        <v>1.9370172962500001E-2</v>
      </c>
      <c r="E52" s="1369">
        <f>TableB2!G52/TableB2!N52</f>
        <v>2.1463090905161287E-2</v>
      </c>
      <c r="F52" s="1370">
        <f>(TableB2!H52+TableB2!J52)/TableB2!O52</f>
        <v>1.9337127967567567E-2</v>
      </c>
      <c r="G52" s="1155">
        <f>TableB2!I52/TableB2!P52</f>
        <v>6.6412021585714284E-2</v>
      </c>
      <c r="H52" s="1369">
        <f t="shared" si="3"/>
        <v>-3.4127460275941074E-2</v>
      </c>
      <c r="I52" s="1371">
        <f t="shared" si="4"/>
        <v>-4.4693122992626608E-2</v>
      </c>
      <c r="J52" s="1372">
        <f t="shared" si="5"/>
        <v>4.7041848623214283E-2</v>
      </c>
    </row>
    <row r="53" spans="1:10" ht="17" x14ac:dyDescent="0.2">
      <c r="A53" s="803" t="s">
        <v>72</v>
      </c>
      <c r="B53" s="119"/>
      <c r="C53" s="22"/>
      <c r="D53" s="1155"/>
      <c r="E53" s="1369"/>
      <c r="F53" s="1370"/>
      <c r="G53" s="1155"/>
      <c r="H53" s="1369"/>
      <c r="I53" s="1371"/>
      <c r="J53" s="1372"/>
    </row>
    <row r="54" spans="1:10" x14ac:dyDescent="0.2">
      <c r="A54" s="123" t="s">
        <v>73</v>
      </c>
      <c r="B54" s="119">
        <f>TableB2!C54/TableB2!K54</f>
        <v>7.3427991886409749E-2</v>
      </c>
      <c r="C54" s="22">
        <f>(TableB2!D54+TableB2!F54)/TableB2!L54</f>
        <v>0.62243466861239516</v>
      </c>
      <c r="D54" s="1155">
        <f>TableB2!E54/TableB2!M54</f>
        <v>0</v>
      </c>
      <c r="E54" s="1369">
        <f>TableB2!G54/TableB2!N54</f>
        <v>4.1257485029940123E-2</v>
      </c>
      <c r="F54" s="1370">
        <f>(TableB2!H54+TableB2!J54)/TableB2!O54</f>
        <v>1.0694299838445078</v>
      </c>
      <c r="G54" s="1155">
        <f>TableB2!I54/TableB2!P54</f>
        <v>0</v>
      </c>
      <c r="H54" s="1369">
        <f t="shared" si="3"/>
        <v>-3.2170506856469626E-2</v>
      </c>
      <c r="I54" s="1371">
        <f t="shared" si="4"/>
        <v>0.44699531523211267</v>
      </c>
      <c r="J54" s="1372">
        <f t="shared" si="5"/>
        <v>0</v>
      </c>
    </row>
    <row r="55" spans="1:10" x14ac:dyDescent="0.2">
      <c r="A55" s="123" t="s">
        <v>74</v>
      </c>
      <c r="B55" s="119">
        <f>TableB2!C55/TableB2!K55</f>
        <v>1.4542133493059195</v>
      </c>
      <c r="C55" s="22">
        <f>(TableB2!D55+TableB2!F55)/TableB2!L55</f>
        <v>15.619442461113552</v>
      </c>
      <c r="D55" s="1155">
        <f>TableB2!E55/TableB2!M55</f>
        <v>0</v>
      </c>
      <c r="E55" s="1369">
        <f>TableB2!G55/TableB2!N55</f>
        <v>6.3596491228070165E-3</v>
      </c>
      <c r="F55" s="1370">
        <f>(TableB2!H55+TableB2!J55)/TableB2!O55</f>
        <v>1.726190476190476E-2</v>
      </c>
      <c r="G55" s="1155">
        <f>TableB2!I55/TableB2!P55</f>
        <v>0</v>
      </c>
      <c r="H55" s="1369">
        <f t="shared" si="3"/>
        <v>-1.4478537001831124</v>
      </c>
      <c r="I55" s="1371">
        <f t="shared" si="4"/>
        <v>-15.602180556351648</v>
      </c>
      <c r="J55" s="1372">
        <f t="shared" si="5"/>
        <v>0</v>
      </c>
    </row>
    <row r="56" spans="1:10" x14ac:dyDescent="0.2">
      <c r="A56" s="955" t="str">
        <f>+TableA1!A56</f>
        <v>Antigua and Barbuda</v>
      </c>
      <c r="B56" s="119">
        <f>TableB2!C56/TableB2!K56</f>
        <v>1.1571729810233067</v>
      </c>
      <c r="C56" s="22">
        <f>(TableB2!D56+TableB2!F56)/TableB2!L56</f>
        <v>1.1569209220343215</v>
      </c>
      <c r="D56" s="1155">
        <f>TableB2!E56/TableB2!M56</f>
        <v>0</v>
      </c>
      <c r="E56" s="1369">
        <f>TableB2!G56/TableB2!N56</f>
        <v>0</v>
      </c>
      <c r="F56" s="1370">
        <f>(TableB2!H56+TableB2!J56)/TableB2!O56</f>
        <v>0</v>
      </c>
      <c r="G56" s="1155">
        <f>TableB2!I56/TableB2!P56</f>
        <v>0</v>
      </c>
      <c r="H56" s="1369">
        <f t="shared" si="3"/>
        <v>-1.1571729810233067</v>
      </c>
      <c r="I56" s="1371">
        <f t="shared" si="4"/>
        <v>-1.1569209220343215</v>
      </c>
      <c r="J56" s="1372">
        <f t="shared" si="5"/>
        <v>0</v>
      </c>
    </row>
    <row r="57" spans="1:10" x14ac:dyDescent="0.2">
      <c r="A57" s="123" t="s">
        <v>76</v>
      </c>
      <c r="B57" s="119">
        <f>TableB2!C57/TableB2!K57</f>
        <v>2.4374094765432102E-2</v>
      </c>
      <c r="C57" s="22">
        <f>(TableB2!D57+TableB2!F57)/TableB2!L57</f>
        <v>3.0004584741641339E-2</v>
      </c>
      <c r="D57" s="1155">
        <f>TableB2!E57/TableB2!M57</f>
        <v>0</v>
      </c>
      <c r="E57" s="1369">
        <f>TableB2!G57/TableB2!N57</f>
        <v>0.54285714285714293</v>
      </c>
      <c r="F57" s="1370">
        <f>(TableB2!H57+TableB2!J57)/TableB2!O57</f>
        <v>0.79877857797896035</v>
      </c>
      <c r="G57" s="1155">
        <f>TableB2!I57/TableB2!P57</f>
        <v>0</v>
      </c>
      <c r="H57" s="1369">
        <f t="shared" si="3"/>
        <v>0.51848304809171086</v>
      </c>
      <c r="I57" s="1371">
        <f t="shared" si="4"/>
        <v>0.76877399323731899</v>
      </c>
      <c r="J57" s="1372">
        <f t="shared" si="5"/>
        <v>0</v>
      </c>
    </row>
    <row r="58" spans="1:10" x14ac:dyDescent="0.2">
      <c r="A58" s="123" t="s">
        <v>152</v>
      </c>
      <c r="B58" s="119">
        <f>TableB2!C58/TableB2!K58</f>
        <v>2.9481713440197854E-2</v>
      </c>
      <c r="C58" s="22">
        <f>(TableB2!D58+TableB2!F58)/TableB2!L58</f>
        <v>9.1426437185332665E-2</v>
      </c>
      <c r="D58" s="1155">
        <f>TableB2!E58/TableB2!M58</f>
        <v>0</v>
      </c>
      <c r="E58" s="1369">
        <f>TableB2!G58/TableB2!N58</f>
        <v>1.7316995232468598E-2</v>
      </c>
      <c r="F58" s="1370">
        <f>(TableB2!H58+TableB2!J58)/TableB2!O58</f>
        <v>2.655632810221004E-2</v>
      </c>
      <c r="G58" s="1155">
        <f>TableB2!I58/TableB2!P58</f>
        <v>0</v>
      </c>
      <c r="H58" s="1369">
        <f t="shared" si="3"/>
        <v>-1.2164718207729255E-2</v>
      </c>
      <c r="I58" s="1371">
        <f t="shared" si="4"/>
        <v>-6.4870109083122629E-2</v>
      </c>
      <c r="J58" s="1372">
        <f t="shared" si="5"/>
        <v>0</v>
      </c>
    </row>
    <row r="59" spans="1:10" x14ac:dyDescent="0.2">
      <c r="A59" s="123" t="s">
        <v>78</v>
      </c>
      <c r="B59" s="119">
        <f>TableB2!C59/TableB2!K59</f>
        <v>2.5441980794908628E-2</v>
      </c>
      <c r="C59" s="22">
        <f>(TableB2!D59+TableB2!F59)/TableB2!L59</f>
        <v>3.1579300723505004E-2</v>
      </c>
      <c r="D59" s="1155">
        <f>TableB2!E59/TableB2!M59</f>
        <v>0</v>
      </c>
      <c r="E59" s="1369">
        <f>TableB2!G59/TableB2!N59</f>
        <v>3.8316831683168323E-2</v>
      </c>
      <c r="F59" s="1370">
        <f>(TableB2!H59+TableB2!J59)/TableB2!O59</f>
        <v>4.2527472527472535E-2</v>
      </c>
      <c r="G59" s="1155">
        <f>TableB2!I59/TableB2!P59</f>
        <v>0</v>
      </c>
      <c r="H59" s="1369">
        <f t="shared" si="3"/>
        <v>1.2874850888259695E-2</v>
      </c>
      <c r="I59" s="1371">
        <f t="shared" si="4"/>
        <v>1.0948171803967531E-2</v>
      </c>
      <c r="J59" s="1372">
        <f t="shared" si="5"/>
        <v>0</v>
      </c>
    </row>
    <row r="60" spans="1:10" x14ac:dyDescent="0.2">
      <c r="A60" s="955" t="str">
        <f>+TableA1!A60</f>
        <v>Barbados</v>
      </c>
      <c r="B60" s="119">
        <f>TableB2!C60/TableB2!K60</f>
        <v>2.8871577556244116E-2</v>
      </c>
      <c r="C60" s="22">
        <f>(TableB2!D60+TableB2!F60)/TableB2!L60</f>
        <v>0.11903477227099531</v>
      </c>
      <c r="D60" s="1155">
        <f>TableB2!E60/TableB2!M60</f>
        <v>0</v>
      </c>
      <c r="E60" s="1369">
        <f>TableB2!G60/TableB2!N60</f>
        <v>1.4592084367239933E-2</v>
      </c>
      <c r="F60" s="1370">
        <f>(TableB2!H60+TableB2!J60)/TableB2!O60</f>
        <v>2.4677789738714595E-2</v>
      </c>
      <c r="G60" s="1155">
        <f>TableB2!I60/TableB2!P60</f>
        <v>0</v>
      </c>
      <c r="H60" s="1369">
        <f t="shared" si="3"/>
        <v>-1.4279493189004183E-2</v>
      </c>
      <c r="I60" s="1371">
        <f t="shared" si="4"/>
        <v>-9.4356982532280712E-2</v>
      </c>
      <c r="J60" s="1372">
        <f t="shared" si="5"/>
        <v>0</v>
      </c>
    </row>
    <row r="61" spans="1:10" x14ac:dyDescent="0.2">
      <c r="A61" s="123" t="s">
        <v>80</v>
      </c>
      <c r="B61" s="119">
        <f>TableB2!C61/TableB2!K61</f>
        <v>0.18440111420612817</v>
      </c>
      <c r="C61" s="22">
        <f>(TableB2!D61+TableB2!F61)/TableB2!L61</f>
        <v>0.19820359281437128</v>
      </c>
      <c r="D61" s="1155">
        <f>TableB2!E61/TableB2!M61</f>
        <v>0</v>
      </c>
      <c r="E61" s="1369">
        <f>TableB2!G61/TableB2!N61</f>
        <v>6.0224990049751251E-4</v>
      </c>
      <c r="F61" s="1370">
        <f>(TableB2!H61+TableB2!J61)/TableB2!O61</f>
        <v>8.6465878571428576E-4</v>
      </c>
      <c r="G61" s="1155">
        <f>TableB2!I61/TableB2!P61</f>
        <v>0</v>
      </c>
      <c r="H61" s="1369">
        <f t="shared" si="3"/>
        <v>-0.18379886430563067</v>
      </c>
      <c r="I61" s="1371">
        <f t="shared" si="4"/>
        <v>-0.19733893402865699</v>
      </c>
      <c r="J61" s="1372">
        <f t="shared" si="5"/>
        <v>0</v>
      </c>
    </row>
    <row r="62" spans="1:10" x14ac:dyDescent="0.2">
      <c r="A62" s="123" t="s">
        <v>81</v>
      </c>
      <c r="B62" s="119">
        <f>TableB2!C62/TableB2!K62</f>
        <v>7.5510660002823041E-2</v>
      </c>
      <c r="C62" s="22">
        <f>(TableB2!D62+TableB2!F62)/TableB2!L62</f>
        <v>7.8620654236876711E-2</v>
      </c>
      <c r="D62" s="1155">
        <f>TableB2!E62/TableB2!M62</f>
        <v>0</v>
      </c>
      <c r="E62" s="1369">
        <f>TableB2!G62/TableB2!N62</f>
        <v>4.5394287755763013E-2</v>
      </c>
      <c r="F62" s="1370">
        <f>(TableB2!H62+TableB2!J62)/TableB2!O62</f>
        <v>6.316113227856654E-2</v>
      </c>
      <c r="G62" s="1155">
        <f>TableB2!I62/TableB2!P62</f>
        <v>0</v>
      </c>
      <c r="H62" s="1369">
        <f t="shared" si="3"/>
        <v>-3.0116372247060028E-2</v>
      </c>
      <c r="I62" s="1371">
        <f t="shared" si="4"/>
        <v>-1.5459521958310171E-2</v>
      </c>
      <c r="J62" s="1372">
        <f t="shared" si="5"/>
        <v>0</v>
      </c>
    </row>
    <row r="63" spans="1:10" x14ac:dyDescent="0.2">
      <c r="A63" s="123" t="s">
        <v>82</v>
      </c>
      <c r="B63" s="119"/>
      <c r="C63" s="22"/>
      <c r="D63" s="1155"/>
      <c r="E63" s="1369"/>
      <c r="F63" s="1370"/>
      <c r="G63" s="1155"/>
      <c r="H63" s="1369"/>
      <c r="I63" s="1371"/>
      <c r="J63" s="1372"/>
    </row>
    <row r="64" spans="1:10" x14ac:dyDescent="0.2">
      <c r="A64" s="123" t="s">
        <v>153</v>
      </c>
      <c r="B64" s="119">
        <f>TableB2!C64/TableB2!K64</f>
        <v>8.3296450153818051E-4</v>
      </c>
      <c r="C64" s="22">
        <f>(TableB2!D64+TableB2!F64)/TableB2!L64</f>
        <v>1.0886101107501019E-3</v>
      </c>
      <c r="D64" s="1155">
        <f>TableB2!E64/TableB2!M64</f>
        <v>0</v>
      </c>
      <c r="E64" s="1369">
        <f>TableB2!G64/TableB2!N64</f>
        <v>4.0218570828020293E-3</v>
      </c>
      <c r="F64" s="1370">
        <f>(TableB2!H64+TableB2!J64)/TableB2!O64</f>
        <v>4.7291347591740824E-3</v>
      </c>
      <c r="G64" s="1155">
        <f>TableB2!I64/TableB2!P64</f>
        <v>0</v>
      </c>
      <c r="H64" s="1369">
        <f t="shared" si="3"/>
        <v>3.1888925812638487E-3</v>
      </c>
      <c r="I64" s="1371">
        <f t="shared" si="4"/>
        <v>3.6405246484239803E-3</v>
      </c>
      <c r="J64" s="1372">
        <f t="shared" si="5"/>
        <v>0</v>
      </c>
    </row>
    <row r="65" spans="1:10" x14ac:dyDescent="0.2">
      <c r="A65" s="123" t="s">
        <v>84</v>
      </c>
      <c r="B65" s="119">
        <f>TableB2!C65/TableB2!K65</f>
        <v>5.8218795713932701E-2</v>
      </c>
      <c r="C65" s="22">
        <f>(TableB2!D65+TableB2!F65)/TableB2!L65</f>
        <v>6.5289904505098612E-2</v>
      </c>
      <c r="D65" s="1155">
        <f>TableB2!E65/TableB2!M65</f>
        <v>0</v>
      </c>
      <c r="E65" s="1369">
        <f>TableB2!G65/TableB2!N65</f>
        <v>2.8490676011213179E-2</v>
      </c>
      <c r="F65" s="1370">
        <f>(TableB2!H65+TableB2!J65)/TableB2!O65</f>
        <v>4.4414231918850133E-2</v>
      </c>
      <c r="G65" s="1155">
        <f>TableB2!I65/TableB2!P65</f>
        <v>0</v>
      </c>
      <c r="H65" s="1369">
        <f t="shared" si="3"/>
        <v>-2.9728119702719522E-2</v>
      </c>
      <c r="I65" s="1371">
        <f t="shared" si="4"/>
        <v>-2.0875672586248478E-2</v>
      </c>
      <c r="J65" s="1372">
        <f t="shared" si="5"/>
        <v>0</v>
      </c>
    </row>
    <row r="66" spans="1:10" x14ac:dyDescent="0.2">
      <c r="A66" s="123" t="s">
        <v>85</v>
      </c>
      <c r="B66" s="119">
        <f>TableB2!C66/TableB2!K66</f>
        <v>0.58288306035940884</v>
      </c>
      <c r="C66" s="22">
        <f>(TableB2!D66+TableB2!F66)/TableB2!L66</f>
        <v>0.93529796249609543</v>
      </c>
      <c r="D66" s="1155">
        <f>TableB2!E66/TableB2!M66</f>
        <v>0</v>
      </c>
      <c r="E66" s="1369">
        <f>TableB2!G66/TableB2!N66</f>
        <v>4.9654343807763395</v>
      </c>
      <c r="F66" s="1370">
        <f>(TableB2!H66+TableB2!J66)/TableB2!O66</f>
        <v>5.6553684210526312</v>
      </c>
      <c r="G66" s="1155">
        <f>TableB2!I66/TableB2!P66</f>
        <v>0</v>
      </c>
      <c r="H66" s="1369">
        <f t="shared" si="3"/>
        <v>4.3825513204169306</v>
      </c>
      <c r="I66" s="1371">
        <f t="shared" si="4"/>
        <v>4.7200704585565356</v>
      </c>
      <c r="J66" s="1372">
        <f t="shared" si="5"/>
        <v>0</v>
      </c>
    </row>
    <row r="67" spans="1:10" x14ac:dyDescent="0.2">
      <c r="A67" s="955" t="str">
        <f>+TableA1!A67</f>
        <v>Cyprus</v>
      </c>
      <c r="B67" s="119">
        <f>TableB2!C67/TableB2!K67</f>
        <v>3.025135704631567E-2</v>
      </c>
      <c r="C67" s="22">
        <f>(TableB2!D67+TableB2!F67)/TableB2!L67</f>
        <v>3.2898350787868291E-2</v>
      </c>
      <c r="D67" s="1155">
        <f>TableB2!E67/TableB2!M67</f>
        <v>0</v>
      </c>
      <c r="E67" s="1369">
        <f>TableB2!G67/TableB2!N67</f>
        <v>1.7100282011860334E-2</v>
      </c>
      <c r="F67" s="1370">
        <f>(TableB2!H67+TableB2!J67)/TableB2!O67</f>
        <v>1.8713516163922628E-2</v>
      </c>
      <c r="G67" s="1155">
        <f>TableB2!I67/TableB2!P67</f>
        <v>0</v>
      </c>
      <c r="H67" s="1369">
        <f t="shared" si="3"/>
        <v>-1.3151075034455336E-2</v>
      </c>
      <c r="I67" s="1371">
        <f t="shared" si="4"/>
        <v>-1.4184834623945663E-2</v>
      </c>
      <c r="J67" s="1372">
        <f t="shared" si="5"/>
        <v>0</v>
      </c>
    </row>
    <row r="68" spans="1:10" x14ac:dyDescent="0.2">
      <c r="A68" s="123" t="s">
        <v>87</v>
      </c>
      <c r="B68" s="119">
        <f>TableB2!C68/TableB2!K68</f>
        <v>3.5167673716012086E-2</v>
      </c>
      <c r="C68" s="22">
        <f>(TableB2!D68+TableB2!F68)/TableB2!L68</f>
        <v>2.1164545454545457E-2</v>
      </c>
      <c r="D68" s="1155">
        <f>TableB2!E68/TableB2!M68</f>
        <v>0</v>
      </c>
      <c r="E68" s="1369">
        <f>TableB2!G68/TableB2!N68</f>
        <v>1.1769572728478363E-3</v>
      </c>
      <c r="F68" s="1370">
        <f>(TableB2!H68+TableB2!J68)/TableB2!O68</f>
        <v>1.4089536583611118E-3</v>
      </c>
      <c r="G68" s="1155">
        <f>TableB2!I68/TableB2!P68</f>
        <v>0</v>
      </c>
      <c r="H68" s="1369">
        <f t="shared" si="3"/>
        <v>-3.3990716443164253E-2</v>
      </c>
      <c r="I68" s="1371">
        <f t="shared" si="4"/>
        <v>-1.9755591796184344E-2</v>
      </c>
      <c r="J68" s="1372">
        <f t="shared" si="5"/>
        <v>0</v>
      </c>
    </row>
    <row r="69" spans="1:10" x14ac:dyDescent="0.2">
      <c r="A69" s="955" t="str">
        <f>+TableA1!A69</f>
        <v>Grenada</v>
      </c>
      <c r="B69" s="119">
        <f>TableB2!C69/TableB2!K69</f>
        <v>1.7460911638766365</v>
      </c>
      <c r="C69" s="22">
        <f>(TableB2!D69+TableB2!F69)/TableB2!L69</f>
        <v>8.0116050713772129</v>
      </c>
      <c r="D69" s="1155">
        <f>TableB2!E69/TableB2!M69</f>
        <v>0</v>
      </c>
      <c r="E69" s="1369">
        <f>TableB2!G69/TableB2!N69</f>
        <v>0</v>
      </c>
      <c r="F69" s="1370">
        <f>(TableB2!H69+TableB2!J69)/TableB2!O69</f>
        <v>0</v>
      </c>
      <c r="G69" s="1155">
        <f>TableB2!I69/TableB2!P69</f>
        <v>0</v>
      </c>
      <c r="H69" s="1369">
        <f t="shared" si="3"/>
        <v>-1.7460911638766365</v>
      </c>
      <c r="I69" s="1371">
        <f t="shared" si="4"/>
        <v>-8.0116050713772129</v>
      </c>
      <c r="J69" s="1372">
        <f t="shared" si="5"/>
        <v>0</v>
      </c>
    </row>
    <row r="70" spans="1:10" x14ac:dyDescent="0.2">
      <c r="A70" s="123" t="s">
        <v>89</v>
      </c>
      <c r="B70" s="119">
        <f>TableB2!C70/TableB2!K70</f>
        <v>4.2843808218488127E-2</v>
      </c>
      <c r="C70" s="22">
        <f>(TableB2!D70+TableB2!F70)/TableB2!L70</f>
        <v>3.5341205857646892E-2</v>
      </c>
      <c r="D70" s="1155">
        <f>TableB2!E70/TableB2!M70</f>
        <v>0</v>
      </c>
      <c r="E70" s="1369">
        <f>TableB2!G70/TableB2!N70</f>
        <v>8.6106487834315612E-2</v>
      </c>
      <c r="F70" s="1370">
        <f>(TableB2!H70+TableB2!J70)/TableB2!O70</f>
        <v>0.12936377556150733</v>
      </c>
      <c r="G70" s="1155">
        <f>TableB2!I70/TableB2!P70</f>
        <v>0</v>
      </c>
      <c r="H70" s="1369">
        <f t="shared" si="3"/>
        <v>4.3262679615827485E-2</v>
      </c>
      <c r="I70" s="1371">
        <f t="shared" si="4"/>
        <v>9.4022569703860442E-2</v>
      </c>
      <c r="J70" s="1372">
        <f t="shared" si="5"/>
        <v>0</v>
      </c>
    </row>
    <row r="71" spans="1:10" x14ac:dyDescent="0.2">
      <c r="A71" s="123" t="s">
        <v>154</v>
      </c>
      <c r="B71" s="119">
        <f>TableB2!C71/TableB2!K71</f>
        <v>2.4725253256459422E-3</v>
      </c>
      <c r="C71" s="22">
        <f>(TableB2!D71+TableB2!F71)/TableB2!L71</f>
        <v>3.9431122840366661E-3</v>
      </c>
      <c r="D71" s="1155">
        <f>TableB2!E71/TableB2!M71</f>
        <v>0</v>
      </c>
      <c r="E71" s="1369">
        <f>TableB2!G71/TableB2!N71</f>
        <v>1.6316931216931219E-2</v>
      </c>
      <c r="F71" s="1370">
        <f>(TableB2!H71+TableB2!J71)/TableB2!O71</f>
        <v>1.8034502923976611E-2</v>
      </c>
      <c r="G71" s="1155">
        <f>TableB2!I71/TableB2!P71</f>
        <v>0</v>
      </c>
      <c r="H71" s="1369">
        <f t="shared" si="3"/>
        <v>1.3844405891285277E-2</v>
      </c>
      <c r="I71" s="1371">
        <f t="shared" si="4"/>
        <v>1.4091390639939945E-2</v>
      </c>
      <c r="J71" s="1372">
        <f t="shared" si="5"/>
        <v>0</v>
      </c>
    </row>
    <row r="72" spans="1:10" x14ac:dyDescent="0.2">
      <c r="A72" s="123" t="s">
        <v>91</v>
      </c>
      <c r="B72" s="119">
        <f>TableB2!C72/TableB2!K72</f>
        <v>9.8561151079136697E-2</v>
      </c>
      <c r="C72" s="22">
        <f>(TableB2!D72+TableB2!F72)/TableB2!L72</f>
        <v>0.1</v>
      </c>
      <c r="D72" s="1155">
        <f>TableB2!E72/TableB2!M72</f>
        <v>0</v>
      </c>
      <c r="E72" s="1369">
        <f>TableB2!G72/TableB2!N72</f>
        <v>8.8177202454565229E-2</v>
      </c>
      <c r="F72" s="1370">
        <f>(TableB2!H72+TableB2!J72)/TableB2!O72</f>
        <v>0.10056573503082646</v>
      </c>
      <c r="G72" s="1155">
        <f>TableB2!I72/TableB2!P72</f>
        <v>0</v>
      </c>
      <c r="H72" s="1369">
        <f t="shared" si="3"/>
        <v>-1.0383948624571468E-2</v>
      </c>
      <c r="I72" s="1371">
        <f t="shared" si="4"/>
        <v>5.6573503082645027E-4</v>
      </c>
      <c r="J72" s="1372">
        <f t="shared" si="5"/>
        <v>0</v>
      </c>
    </row>
    <row r="73" spans="1:10" x14ac:dyDescent="0.2">
      <c r="A73" s="123" t="s">
        <v>92</v>
      </c>
      <c r="B73" s="119">
        <f>TableB2!C73/TableB2!K73</f>
        <v>0.11860867319275652</v>
      </c>
      <c r="C73" s="22">
        <f>(TableB2!D73+TableB2!F73)/TableB2!L73</f>
        <v>4.0168803987946873E-2</v>
      </c>
      <c r="D73" s="1155">
        <f>TableB2!E73/TableB2!M73</f>
        <v>0</v>
      </c>
      <c r="E73" s="1369">
        <f>TableB2!G73/TableB2!N73</f>
        <v>2.4296990351610342E-3</v>
      </c>
      <c r="F73" s="1370">
        <f>(TableB2!H73+TableB2!J73)/TableB2!O73</f>
        <v>3.3248513112729941E-3</v>
      </c>
      <c r="G73" s="1155">
        <f>TableB2!I73/TableB2!P73</f>
        <v>0</v>
      </c>
      <c r="H73" s="1369">
        <f t="shared" si="3"/>
        <v>-0.11617897415759548</v>
      </c>
      <c r="I73" s="1371">
        <f t="shared" si="4"/>
        <v>-3.6843952676673876E-2</v>
      </c>
      <c r="J73" s="1372">
        <f t="shared" si="5"/>
        <v>0</v>
      </c>
    </row>
    <row r="74" spans="1:10" x14ac:dyDescent="0.2">
      <c r="A74" s="123" t="s">
        <v>93</v>
      </c>
      <c r="B74" s="119">
        <f>TableB2!C74/TableB2!K74</f>
        <v>0.30489510489510491</v>
      </c>
      <c r="C74" s="22">
        <f>(TableB2!D74+TableB2!F74)/TableB2!L74</f>
        <v>0.4274509803921569</v>
      </c>
      <c r="D74" s="1155">
        <f>TableB2!E74/TableB2!M74</f>
        <v>0</v>
      </c>
      <c r="E74" s="1369">
        <f>TableB2!G74/TableB2!N74</f>
        <v>6.7062089587345247E-2</v>
      </c>
      <c r="F74" s="1370">
        <f>(TableB2!H74+TableB2!J74)/TableB2!O74</f>
        <v>7.0760724426705363E-2</v>
      </c>
      <c r="G74" s="1155">
        <f>TableB2!I74/TableB2!P74</f>
        <v>0</v>
      </c>
      <c r="H74" s="1369">
        <f t="shared" si="3"/>
        <v>-0.23783301530775966</v>
      </c>
      <c r="I74" s="1371">
        <f t="shared" si="4"/>
        <v>-0.35669025596545156</v>
      </c>
      <c r="J74" s="1372">
        <f t="shared" si="5"/>
        <v>0</v>
      </c>
    </row>
    <row r="75" spans="1:10" x14ac:dyDescent="0.2">
      <c r="A75" s="123" t="s">
        <v>94</v>
      </c>
      <c r="B75" s="119">
        <f>TableB2!C75/TableB2!K75</f>
        <v>2.7777777777777775E-3</v>
      </c>
      <c r="C75" s="22">
        <f>(TableB2!D75+TableB2!F75)/TableB2!L75</f>
        <v>3.2188841201716738E-3</v>
      </c>
      <c r="D75" s="1155">
        <f>TableB2!E75/TableB2!M75</f>
        <v>0</v>
      </c>
      <c r="E75" s="1369">
        <f>TableB2!G75/TableB2!N75</f>
        <v>7.2973627510126676E-2</v>
      </c>
      <c r="F75" s="1370">
        <f>(TableB2!H75+TableB2!J75)/TableB2!O75</f>
        <v>8.4279400786343495E-2</v>
      </c>
      <c r="G75" s="1155">
        <f>TableB2!I75/TableB2!P75</f>
        <v>0</v>
      </c>
      <c r="H75" s="1369">
        <f t="shared" si="3"/>
        <v>7.0195849732348894E-2</v>
      </c>
      <c r="I75" s="1371">
        <f t="shared" si="4"/>
        <v>8.1060516666171825E-2</v>
      </c>
      <c r="J75" s="1372">
        <f t="shared" si="5"/>
        <v>0</v>
      </c>
    </row>
    <row r="76" spans="1:10" x14ac:dyDescent="0.2">
      <c r="A76" s="123" t="s">
        <v>95</v>
      </c>
      <c r="B76" s="119">
        <f>TableB2!C76/TableB2!K76</f>
        <v>0.22172413793103446</v>
      </c>
      <c r="C76" s="22">
        <f>(TableB2!D76+TableB2!F76)/TableB2!L76</f>
        <v>0.25617529880478085</v>
      </c>
      <c r="D76" s="1155">
        <f>TableB2!E76/TableB2!M76</f>
        <v>0</v>
      </c>
      <c r="E76" s="1369">
        <f>TableB2!G76/TableB2!N76</f>
        <v>2.5113268608414237E-2</v>
      </c>
      <c r="F76" s="1370">
        <f>(TableB2!H76+TableB2!J76)/TableB2!O76</f>
        <v>6.928571428571427E-2</v>
      </c>
      <c r="G76" s="1155">
        <f>TableB2!I76/TableB2!P76</f>
        <v>0</v>
      </c>
      <c r="H76" s="1369">
        <f t="shared" si="3"/>
        <v>-0.19661086932262023</v>
      </c>
      <c r="I76" s="1371">
        <f t="shared" si="4"/>
        <v>-0.18688958451906656</v>
      </c>
      <c r="J76" s="1372">
        <f t="shared" si="5"/>
        <v>0</v>
      </c>
    </row>
    <row r="77" spans="1:10" x14ac:dyDescent="0.2">
      <c r="A77" s="123" t="s">
        <v>96</v>
      </c>
      <c r="B77" s="119">
        <f>TableB2!C77/TableB2!K77</f>
        <v>6.0843373493975901E-2</v>
      </c>
      <c r="C77" s="22">
        <f>(TableB2!D77+TableB2!F77)/TableB2!L77</f>
        <v>7.3722627737226279E-2</v>
      </c>
      <c r="D77" s="1155">
        <f>TableB2!E77/TableB2!M77</f>
        <v>0</v>
      </c>
      <c r="E77" s="1369">
        <f>TableB2!G77/TableB2!N77</f>
        <v>1.2692400735378464E-2</v>
      </c>
      <c r="F77" s="1370">
        <f>(TableB2!H77+TableB2!J77)/TableB2!O77</f>
        <v>2.592655028263284E-2</v>
      </c>
      <c r="G77" s="1155">
        <f>TableB2!I77/TableB2!P77</f>
        <v>0</v>
      </c>
      <c r="H77" s="1369">
        <f t="shared" si="3"/>
        <v>-4.8150972758597435E-2</v>
      </c>
      <c r="I77" s="1371">
        <f t="shared" si="4"/>
        <v>-4.7796077454593439E-2</v>
      </c>
      <c r="J77" s="1372">
        <f t="shared" si="5"/>
        <v>0</v>
      </c>
    </row>
    <row r="78" spans="1:10" x14ac:dyDescent="0.2">
      <c r="A78" s="123" t="s">
        <v>97</v>
      </c>
      <c r="B78" s="119">
        <f>TableB2!C78/TableB2!K78</f>
        <v>3.1220326708876412E-2</v>
      </c>
      <c r="C78" s="22">
        <f>(TableB2!D78+TableB2!F78)/TableB2!L78</f>
        <v>0.19912964791879506</v>
      </c>
      <c r="D78" s="1155">
        <f>TableB2!E78/TableB2!M78</f>
        <v>0</v>
      </c>
      <c r="E78" s="1369">
        <f>TableB2!G78/TableB2!N78</f>
        <v>7.4648042372323753E-2</v>
      </c>
      <c r="F78" s="1370">
        <f>(TableB2!H78+TableB2!J78)/TableB2!O78</f>
        <v>0.2441800422179024</v>
      </c>
      <c r="G78" s="1155">
        <f>TableB2!I78/TableB2!P78</f>
        <v>0</v>
      </c>
      <c r="H78" s="1369">
        <f t="shared" si="3"/>
        <v>4.3427715663447344E-2</v>
      </c>
      <c r="I78" s="1371">
        <f t="shared" si="4"/>
        <v>4.5050394299107344E-2</v>
      </c>
      <c r="J78" s="1372">
        <f t="shared" si="5"/>
        <v>0</v>
      </c>
    </row>
    <row r="79" spans="1:10" x14ac:dyDescent="0.2">
      <c r="A79" s="955" t="str">
        <f>+TableA1!A79</f>
        <v>Monaco</v>
      </c>
      <c r="B79" s="119">
        <f>TableB2!C79/TableB2!K79</f>
        <v>0</v>
      </c>
      <c r="C79" s="22">
        <f>(TableB2!D79+TableB2!F79)/TableB2!L79</f>
        <v>0</v>
      </c>
      <c r="D79" s="1155">
        <f>TableB2!E79/TableB2!M79</f>
        <v>0</v>
      </c>
      <c r="E79" s="1369">
        <f>TableB2!G79/TableB2!N79</f>
        <v>0</v>
      </c>
      <c r="F79" s="1370">
        <f>(TableB2!H79+TableB2!J79)/TableB2!O79</f>
        <v>0</v>
      </c>
      <c r="G79" s="1155">
        <f>TableB2!I79/TableB2!P79</f>
        <v>0</v>
      </c>
      <c r="H79" s="1369">
        <f t="shared" si="3"/>
        <v>0</v>
      </c>
      <c r="I79" s="1371">
        <f t="shared" si="4"/>
        <v>0</v>
      </c>
      <c r="J79" s="1372">
        <f t="shared" si="5"/>
        <v>0</v>
      </c>
    </row>
    <row r="80" spans="1:10" x14ac:dyDescent="0.2">
      <c r="A80" s="123" t="s">
        <v>99</v>
      </c>
      <c r="B80" s="119">
        <f>TableB2!C80/TableB2!K80</f>
        <v>8.3916083916083916E-3</v>
      </c>
      <c r="C80" s="22">
        <f>(TableB2!D80+TableB2!F80)/TableB2!L80</f>
        <v>1.299638989169675E-2</v>
      </c>
      <c r="D80" s="1155">
        <f>TableB2!E80/TableB2!M80</f>
        <v>0</v>
      </c>
      <c r="E80" s="1369">
        <f>TableB2!G80/TableB2!N80</f>
        <v>9.8571194515161432E-4</v>
      </c>
      <c r="F80" s="1370">
        <f>(TableB2!H80+TableB2!J80)/TableB2!O80</f>
        <v>2.5164832689832687E-3</v>
      </c>
      <c r="G80" s="1155">
        <f>TableB2!I80/TableB2!P80</f>
        <v>0</v>
      </c>
      <c r="H80" s="1369">
        <f t="shared" si="3"/>
        <v>-7.4058964464567773E-3</v>
      </c>
      <c r="I80" s="1371">
        <f t="shared" si="4"/>
        <v>-1.0479906622713482E-2</v>
      </c>
      <c r="J80" s="1372">
        <f t="shared" si="5"/>
        <v>0</v>
      </c>
    </row>
    <row r="81" spans="1:10" x14ac:dyDescent="0.2">
      <c r="A81" s="123" t="s">
        <v>100</v>
      </c>
      <c r="B81" s="119">
        <f>TableB2!C81/TableB2!K81</f>
        <v>1.4944237918215612E-2</v>
      </c>
      <c r="C81" s="22">
        <f>(TableB2!D81+TableB2!F81)/TableB2!L81</f>
        <v>2.3786982248520709E-2</v>
      </c>
      <c r="D81" s="1155">
        <f>TableB2!E81/TableB2!M81</f>
        <v>0</v>
      </c>
      <c r="E81" s="1369">
        <f>TableB2!G81/TableB2!N81</f>
        <v>1.6748580688687783E-2</v>
      </c>
      <c r="F81" s="1370">
        <f>(TableB2!H81+TableB2!J81)/TableB2!O81</f>
        <v>2.1272622598850575E-2</v>
      </c>
      <c r="G81" s="1155">
        <f>TableB2!I81/TableB2!P81</f>
        <v>0</v>
      </c>
      <c r="H81" s="1369">
        <f t="shared" si="3"/>
        <v>1.8043427704721709E-3</v>
      </c>
      <c r="I81" s="1371">
        <f t="shared" si="4"/>
        <v>-2.5143596496701344E-3</v>
      </c>
      <c r="J81" s="1372">
        <f t="shared" si="5"/>
        <v>0</v>
      </c>
    </row>
    <row r="82" spans="1:10" x14ac:dyDescent="0.2">
      <c r="A82" s="955" t="str">
        <f>+TableA1!A82</f>
        <v>Seychelles</v>
      </c>
      <c r="B82" s="119">
        <f>TableB2!C82/TableB2!K82</f>
        <v>7.1869777882836577E-2</v>
      </c>
      <c r="C82" s="22">
        <f>(TableB2!D82+TableB2!F82)/TableB2!L82</f>
        <v>7.5599236627027014E-2</v>
      </c>
      <c r="D82" s="1155">
        <f>TableB2!E82/TableB2!M82</f>
        <v>0</v>
      </c>
      <c r="E82" s="1369">
        <f>TableB2!G82/TableB2!N82</f>
        <v>2.5156226074895974E-4</v>
      </c>
      <c r="F82" s="1370">
        <f>(TableB2!H82+TableB2!J82)/TableB2!O82</f>
        <v>2.9979568595041322E-4</v>
      </c>
      <c r="G82" s="1155">
        <f>TableB2!I82/TableB2!P82</f>
        <v>0</v>
      </c>
      <c r="H82" s="1369">
        <f t="shared" si="3"/>
        <v>-7.1618215622087616E-2</v>
      </c>
      <c r="I82" s="1371">
        <f t="shared" si="4"/>
        <v>-7.5299440941076601E-2</v>
      </c>
      <c r="J82" s="1372">
        <f t="shared" si="5"/>
        <v>0</v>
      </c>
    </row>
    <row r="83" spans="1:10" x14ac:dyDescent="0.2">
      <c r="A83" s="123" t="s">
        <v>102</v>
      </c>
      <c r="B83" s="119">
        <f>TableB2!C83/TableB2!K83</f>
        <v>5.6262646219424832E-2</v>
      </c>
      <c r="C83" s="22">
        <f>(TableB2!D83+TableB2!F83)/TableB2!L83</f>
        <v>9.3235242306475438E-2</v>
      </c>
      <c r="D83" s="1155">
        <f>TableB2!E83/TableB2!M83</f>
        <v>0</v>
      </c>
      <c r="E83" s="1369">
        <f>TableB2!G83/TableB2!N83</f>
        <v>7.4093739765676318E-3</v>
      </c>
      <c r="F83" s="1370">
        <f>(TableB2!H83+TableB2!J83)/TableB2!O83</f>
        <v>9.5722259177044248E-3</v>
      </c>
      <c r="G83" s="1155">
        <f>TableB2!I83/TableB2!P83</f>
        <v>0</v>
      </c>
      <c r="H83" s="1369">
        <f t="shared" si="3"/>
        <v>-4.8853272242857203E-2</v>
      </c>
      <c r="I83" s="1371">
        <f t="shared" si="4"/>
        <v>-8.3663016388771008E-2</v>
      </c>
      <c r="J83" s="1372">
        <f t="shared" si="5"/>
        <v>0</v>
      </c>
    </row>
    <row r="84" spans="1:10" x14ac:dyDescent="0.2">
      <c r="A84" s="955" t="str">
        <f>+TableA1!A84</f>
        <v>St. Kitts and Nevis</v>
      </c>
      <c r="B84" s="119">
        <f>TableB2!C84/TableB2!K84</f>
        <v>2.5423728813559325E-3</v>
      </c>
      <c r="C84" s="22">
        <f>(TableB2!D84+TableB2!F84)/TableB2!L84</f>
        <v>6.2083436001573724E-3</v>
      </c>
      <c r="D84" s="1155">
        <f>TableB2!E84/TableB2!M84</f>
        <v>0</v>
      </c>
      <c r="E84" s="1369">
        <f>TableB2!G84/TableB2!N84</f>
        <v>0</v>
      </c>
      <c r="F84" s="1370">
        <f>(TableB2!H84+TableB2!J84)/TableB2!O84</f>
        <v>0</v>
      </c>
      <c r="G84" s="1155">
        <f>TableB2!I84/TableB2!P84</f>
        <v>0</v>
      </c>
      <c r="H84" s="1369">
        <f t="shared" si="3"/>
        <v>-2.5423728813559325E-3</v>
      </c>
      <c r="I84" s="1371">
        <f t="shared" si="4"/>
        <v>-6.2083436001573724E-3</v>
      </c>
      <c r="J84" s="1372">
        <f t="shared" si="5"/>
        <v>0</v>
      </c>
    </row>
    <row r="85" spans="1:10" x14ac:dyDescent="0.2">
      <c r="A85" s="955" t="str">
        <f>+TableA1!A85</f>
        <v>St. Lucia</v>
      </c>
      <c r="B85" s="119">
        <f>TableB2!C85/TableB2!K85</f>
        <v>0.10481049562682215</v>
      </c>
      <c r="C85" s="22">
        <f>(TableB2!D85+TableB2!F85)/TableB2!L85</f>
        <v>1.5719399094264097</v>
      </c>
      <c r="D85" s="1155">
        <f>TableB2!E85/TableB2!M85</f>
        <v>0</v>
      </c>
      <c r="E85" s="1369">
        <f>TableB2!G85/TableB2!N85</f>
        <v>2.100840336134454E-2</v>
      </c>
      <c r="F85" s="1370">
        <f>(TableB2!H85+TableB2!J85)/TableB2!O85</f>
        <v>0.37701667740119105</v>
      </c>
      <c r="G85" s="1155">
        <f>TableB2!I85/TableB2!P85</f>
        <v>0</v>
      </c>
      <c r="H85" s="1369">
        <f t="shared" si="3"/>
        <v>-8.3802092265477607E-2</v>
      </c>
      <c r="I85" s="1371">
        <f t="shared" si="4"/>
        <v>-1.1949232320252188</v>
      </c>
      <c r="J85" s="1372">
        <f t="shared" si="5"/>
        <v>0</v>
      </c>
    </row>
    <row r="86" spans="1:10" x14ac:dyDescent="0.2">
      <c r="A86" s="955" t="str">
        <f>+TableA1!A86</f>
        <v>St. Vincent and the Grenadines</v>
      </c>
      <c r="B86" s="119">
        <f>TableB2!C86/TableB2!K86</f>
        <v>0.3218828657903744</v>
      </c>
      <c r="C86" s="22">
        <f>(TableB2!D86+TableB2!F86)/TableB2!L86</f>
        <v>0.39793509156848872</v>
      </c>
      <c r="D86" s="1155">
        <f>TableB2!E86/TableB2!M86</f>
        <v>0</v>
      </c>
      <c r="E86" s="1369">
        <f>TableB2!G86/TableB2!N86</f>
        <v>0</v>
      </c>
      <c r="F86" s="1370">
        <f>(TableB2!H86+TableB2!J86)/TableB2!O86</f>
        <v>0</v>
      </c>
      <c r="G86" s="1155">
        <f>TableB2!I86/TableB2!P86</f>
        <v>0</v>
      </c>
      <c r="H86" s="1369">
        <f t="shared" si="3"/>
        <v>-0.3218828657903744</v>
      </c>
      <c r="I86" s="1371">
        <f t="shared" si="4"/>
        <v>-0.39793509156848872</v>
      </c>
      <c r="J86" s="1372">
        <f t="shared" si="5"/>
        <v>0</v>
      </c>
    </row>
    <row r="87" spans="1:10" x14ac:dyDescent="0.2">
      <c r="A87" s="955" t="str">
        <f>+TableA1!A87</f>
        <v>Turks and Caicos</v>
      </c>
      <c r="B87" s="119">
        <f>TableB2!C87/TableB2!K87</f>
        <v>0</v>
      </c>
      <c r="C87" s="22">
        <f>(TableB2!D87+TableB2!F87)/TableB2!L87</f>
        <v>0</v>
      </c>
      <c r="D87" s="1155">
        <f>TableB2!E87/TableB2!M87</f>
        <v>0</v>
      </c>
      <c r="E87" s="1369">
        <f>TableB2!G87/TableB2!N87</f>
        <v>0</v>
      </c>
      <c r="F87" s="1370">
        <f>(TableB2!H87+TableB2!J87)/TableB2!O87</f>
        <v>0</v>
      </c>
      <c r="G87" s="1155">
        <f>TableB2!I87/TableB2!P87</f>
        <v>0</v>
      </c>
      <c r="H87" s="1369">
        <f t="shared" si="3"/>
        <v>0</v>
      </c>
      <c r="I87" s="1371">
        <f t="shared" si="4"/>
        <v>0</v>
      </c>
      <c r="J87" s="1372">
        <f t="shared" si="5"/>
        <v>0</v>
      </c>
    </row>
    <row r="88" spans="1:10" x14ac:dyDescent="0.2">
      <c r="A88" s="955" t="str">
        <f>+TableA1!A88</f>
        <v>Panama</v>
      </c>
      <c r="B88" s="119">
        <f>TableB2!C88/TableB2!K88</f>
        <v>0.10629722921914356</v>
      </c>
      <c r="C88" s="22">
        <f>(TableB2!D88+TableB2!F88)/TableB2!L88</f>
        <v>0.1306501547987616</v>
      </c>
      <c r="D88" s="1155">
        <f>TableB2!E88/TableB2!M88</f>
        <v>0</v>
      </c>
      <c r="E88" s="1369">
        <f>TableB2!G88/TableB2!N88</f>
        <v>3.5708564033699465E-2</v>
      </c>
      <c r="F88" s="1370">
        <f>(TableB2!H88+TableB2!J88)/TableB2!O88</f>
        <v>4.9023621808977236E-2</v>
      </c>
      <c r="G88" s="1155">
        <f>TableB2!I88/TableB2!P88</f>
        <v>0</v>
      </c>
      <c r="H88" s="1369">
        <f t="shared" si="3"/>
        <v>-7.0588665185444099E-2</v>
      </c>
      <c r="I88" s="1371">
        <f t="shared" si="4"/>
        <v>-8.1626532989784367E-2</v>
      </c>
      <c r="J88" s="1372">
        <f t="shared" si="5"/>
        <v>0</v>
      </c>
    </row>
    <row r="89" spans="1:10" ht="17" thickBot="1" x14ac:dyDescent="0.25">
      <c r="A89" s="804" t="s">
        <v>108</v>
      </c>
      <c r="B89" s="805"/>
      <c r="C89" s="806"/>
      <c r="D89" s="1373"/>
      <c r="E89" s="807"/>
      <c r="F89" s="1374"/>
      <c r="G89" s="1373"/>
      <c r="H89" s="807"/>
      <c r="I89" s="1375"/>
      <c r="J89" s="1376"/>
    </row>
    <row r="90" spans="1:10" ht="17" thickBot="1" x14ac:dyDescent="0.25">
      <c r="A90" s="954"/>
      <c r="B90" s="954"/>
      <c r="C90" s="954"/>
      <c r="D90" s="1003"/>
      <c r="E90" s="954"/>
      <c r="F90" s="1003"/>
      <c r="G90" s="1003"/>
      <c r="H90" s="954"/>
      <c r="I90" s="954"/>
      <c r="J90" s="954"/>
    </row>
    <row r="91" spans="1:10" s="2" customFormat="1" x14ac:dyDescent="0.2">
      <c r="A91" s="2194" t="s">
        <v>389</v>
      </c>
      <c r="B91" s="2195"/>
      <c r="C91" s="2195"/>
      <c r="D91" s="2195"/>
      <c r="E91" s="2195"/>
      <c r="F91" s="2195"/>
      <c r="G91" s="2195"/>
      <c r="H91" s="2195"/>
      <c r="I91" s="2195"/>
      <c r="J91" s="2196"/>
    </row>
    <row r="92" spans="1:10" s="2" customFormat="1" ht="17" thickBot="1" x14ac:dyDescent="0.25">
      <c r="A92" s="2197"/>
      <c r="B92" s="2198"/>
      <c r="C92" s="2198"/>
      <c r="D92" s="2198"/>
      <c r="E92" s="2198"/>
      <c r="F92" s="2198"/>
      <c r="G92" s="2198"/>
      <c r="H92" s="2198"/>
      <c r="I92" s="2198"/>
      <c r="J92" s="2199"/>
    </row>
    <row r="93" spans="1:10" s="2" customFormat="1" x14ac:dyDescent="0.2">
      <c r="A93" s="954"/>
      <c r="B93" s="954"/>
      <c r="C93" s="954"/>
      <c r="D93" s="954"/>
      <c r="E93" s="954"/>
      <c r="F93" s="954"/>
      <c r="G93" s="954"/>
    </row>
    <row r="94" spans="1:10" s="2" customFormat="1" x14ac:dyDescent="0.2">
      <c r="A94" s="954"/>
      <c r="B94" s="954"/>
      <c r="C94" s="954"/>
      <c r="D94" s="954"/>
      <c r="E94" s="954"/>
      <c r="F94" s="954"/>
      <c r="G94" s="954"/>
    </row>
    <row r="95" spans="1:10" s="2" customFormat="1" x14ac:dyDescent="0.2">
      <c r="A95" s="954"/>
      <c r="B95" s="954"/>
      <c r="C95" s="954"/>
      <c r="D95" s="954"/>
      <c r="E95" s="954"/>
      <c r="F95" s="954"/>
      <c r="G95" s="954"/>
    </row>
    <row r="96" spans="1:10" s="2" customFormat="1" x14ac:dyDescent="0.2">
      <c r="A96" s="954"/>
      <c r="B96" s="954"/>
      <c r="C96" s="954"/>
      <c r="D96" s="954"/>
      <c r="E96" s="954"/>
      <c r="F96" s="954"/>
      <c r="G96" s="954"/>
    </row>
    <row r="98" spans="1:7" s="2" customFormat="1" x14ac:dyDescent="0.2">
      <c r="A98" s="954"/>
      <c r="B98" s="954"/>
      <c r="C98" s="954"/>
      <c r="D98" s="954"/>
      <c r="E98" s="954"/>
      <c r="F98" s="954"/>
      <c r="G98" s="954"/>
    </row>
  </sheetData>
  <mergeCells count="6">
    <mergeCell ref="A91:J92"/>
    <mergeCell ref="H8:H9"/>
    <mergeCell ref="B7:J7"/>
    <mergeCell ref="A4:J4"/>
    <mergeCell ref="B8:B9"/>
    <mergeCell ref="E8:E9"/>
  </mergeCells>
  <pageMargins left="0.7" right="0.7" top="0.75" bottom="0.75" header="0.3" footer="0.3"/>
  <pageSetup scale="47"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C252"/>
  <sheetViews>
    <sheetView workbookViewId="0">
      <pane xSplit="1" ySplit="8" topLeftCell="K53" activePane="bottomRight" state="frozen"/>
      <selection pane="topRight"/>
      <selection pane="bottomLeft"/>
      <selection pane="bottomRight" activeCell="L2" sqref="L2:W5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3" style="29" customWidth="1"/>
    <col min="12" max="23" width="12.83203125" style="29" customWidth="1"/>
    <col min="24" max="24" width="3.6640625" style="29" customWidth="1"/>
    <col min="25" max="16384" width="10.83203125" style="29"/>
  </cols>
  <sheetData>
    <row r="1" spans="1:29" ht="14" thickBot="1" x14ac:dyDescent="0.2">
      <c r="A1" s="54"/>
      <c r="B1" s="53"/>
      <c r="C1" s="52"/>
      <c r="D1" s="52"/>
      <c r="E1" s="52"/>
      <c r="F1" s="52"/>
      <c r="G1" s="52"/>
      <c r="H1" s="52"/>
      <c r="I1" s="52"/>
      <c r="J1" s="52"/>
      <c r="K1" s="49"/>
      <c r="L1" s="49"/>
      <c r="M1" s="49"/>
    </row>
    <row r="2" spans="1:29" s="50" customFormat="1" ht="33" customHeight="1" thickTop="1" x14ac:dyDescent="0.15">
      <c r="A2" s="29"/>
      <c r="B2" s="29"/>
      <c r="C2" s="29"/>
      <c r="D2" s="29"/>
      <c r="E2" s="29"/>
      <c r="F2" s="29"/>
      <c r="G2" s="29"/>
      <c r="H2" s="29"/>
      <c r="I2" s="29"/>
      <c r="J2" s="29"/>
      <c r="K2" s="51"/>
      <c r="L2" s="2214" t="s">
        <v>394</v>
      </c>
      <c r="M2" s="2215"/>
      <c r="N2" s="2215"/>
      <c r="O2" s="2215"/>
      <c r="P2" s="2215"/>
      <c r="Q2" s="2215"/>
      <c r="R2" s="2215"/>
      <c r="S2" s="2215"/>
      <c r="T2" s="2215"/>
      <c r="U2" s="2215"/>
      <c r="V2" s="2215"/>
      <c r="W2" s="2216"/>
    </row>
    <row r="3" spans="1:29" s="50" customFormat="1" ht="14.25" customHeight="1" x14ac:dyDescent="0.15">
      <c r="A3" s="29"/>
      <c r="B3" s="29"/>
      <c r="C3" s="29"/>
      <c r="D3" s="29"/>
      <c r="E3" s="29"/>
      <c r="F3" s="29"/>
      <c r="G3" s="29"/>
      <c r="H3" s="29"/>
      <c r="I3" s="29"/>
      <c r="J3" s="29"/>
      <c r="K3" s="51"/>
      <c r="L3" s="348"/>
      <c r="M3" s="349"/>
      <c r="N3" s="349"/>
      <c r="O3" s="349"/>
      <c r="P3" s="349"/>
      <c r="Q3" s="349"/>
      <c r="R3" s="349"/>
      <c r="S3" s="349"/>
      <c r="T3" s="349"/>
      <c r="U3" s="349"/>
      <c r="V3" s="349"/>
      <c r="W3" s="350"/>
    </row>
    <row r="4" spans="1:29" x14ac:dyDescent="0.15">
      <c r="K4" s="34"/>
      <c r="L4" s="102"/>
      <c r="M4" s="1377" t="s">
        <v>1</v>
      </c>
      <c r="N4" s="1377" t="s">
        <v>2</v>
      </c>
      <c r="O4" s="1377" t="s">
        <v>3</v>
      </c>
      <c r="P4" s="1377" t="s">
        <v>4</v>
      </c>
      <c r="Q4" s="1377" t="s">
        <v>5</v>
      </c>
      <c r="R4" s="1377" t="s">
        <v>6</v>
      </c>
      <c r="S4" s="67" t="s">
        <v>7</v>
      </c>
      <c r="T4" s="1377" t="s">
        <v>8</v>
      </c>
      <c r="U4" s="1377" t="s">
        <v>9</v>
      </c>
      <c r="V4" s="1377" t="s">
        <v>10</v>
      </c>
      <c r="W4" s="104" t="s">
        <v>11</v>
      </c>
      <c r="X4" s="49"/>
    </row>
    <row r="5" spans="1:29" ht="16" customHeight="1" thickBot="1" x14ac:dyDescent="0.2">
      <c r="K5" s="48"/>
      <c r="L5" s="102"/>
      <c r="M5" s="421"/>
      <c r="N5" s="2217" t="s">
        <v>395</v>
      </c>
      <c r="O5" s="2218"/>
      <c r="P5" s="2218"/>
      <c r="Q5" s="2218"/>
      <c r="R5" s="2218"/>
      <c r="S5" s="2218"/>
      <c r="T5" s="2218"/>
      <c r="U5" s="2218"/>
      <c r="V5" s="2218"/>
      <c r="W5" s="2219"/>
    </row>
    <row r="6" spans="1:29" ht="32.25" customHeight="1" x14ac:dyDescent="0.2">
      <c r="K6" s="34"/>
      <c r="L6" s="102"/>
      <c r="M6" s="2211" t="s">
        <v>396</v>
      </c>
      <c r="N6" s="2220" t="s">
        <v>328</v>
      </c>
      <c r="O6" s="2210" t="s">
        <v>397</v>
      </c>
      <c r="P6" s="2210" t="s">
        <v>398</v>
      </c>
      <c r="Q6" s="2210" t="s">
        <v>330</v>
      </c>
      <c r="R6" s="1378"/>
      <c r="S6" s="1378"/>
      <c r="T6" s="1378"/>
      <c r="U6" s="1378"/>
      <c r="V6" s="1378"/>
      <c r="W6" s="2221" t="s">
        <v>331</v>
      </c>
    </row>
    <row r="7" spans="1:29" ht="25" customHeight="1" thickBot="1" x14ac:dyDescent="0.25">
      <c r="K7" s="34"/>
      <c r="L7" s="102"/>
      <c r="M7" s="2211"/>
      <c r="N7" s="2152"/>
      <c r="O7" s="2154"/>
      <c r="P7" s="2154"/>
      <c r="Q7" s="2154"/>
      <c r="R7" s="2213" t="s">
        <v>125</v>
      </c>
      <c r="S7" s="2154" t="s">
        <v>332</v>
      </c>
      <c r="T7" s="1293"/>
      <c r="U7" s="1293"/>
      <c r="V7" s="2161" t="s">
        <v>399</v>
      </c>
      <c r="W7" s="2156"/>
    </row>
    <row r="8" spans="1:29" ht="61" customHeight="1" thickBot="1" x14ac:dyDescent="0.2">
      <c r="K8" s="34"/>
      <c r="L8" s="103"/>
      <c r="M8" s="2212"/>
      <c r="N8" s="2153"/>
      <c r="O8" s="2155"/>
      <c r="P8" s="2155"/>
      <c r="Q8" s="2155"/>
      <c r="R8" s="2159"/>
      <c r="S8" s="2155" t="s">
        <v>332</v>
      </c>
      <c r="T8" s="397" t="s">
        <v>334</v>
      </c>
      <c r="U8" s="398" t="s">
        <v>335</v>
      </c>
      <c r="V8" s="2162"/>
      <c r="W8" s="2157"/>
    </row>
    <row r="9" spans="1:29" ht="12.75" hidden="1" customHeight="1" x14ac:dyDescent="0.15">
      <c r="K9" s="34"/>
      <c r="L9" s="38">
        <v>1970</v>
      </c>
      <c r="M9" s="352">
        <v>14</v>
      </c>
      <c r="N9" s="419">
        <v>184.61704</v>
      </c>
      <c r="O9" s="36">
        <v>159.38301000000001</v>
      </c>
      <c r="P9" s="36"/>
      <c r="Q9" s="36">
        <v>21.633673999999999</v>
      </c>
      <c r="R9" s="37">
        <v>0.86045711000000002</v>
      </c>
      <c r="S9" s="61">
        <v>13.198475999999999</v>
      </c>
      <c r="T9" s="64"/>
      <c r="U9" s="65"/>
      <c r="V9" s="35"/>
      <c r="W9" s="56">
        <v>3.6003559999999997</v>
      </c>
    </row>
    <row r="10" spans="1:29" ht="12.75" hidden="1" customHeight="1" x14ac:dyDescent="0.15">
      <c r="K10" s="34"/>
      <c r="L10" s="38">
        <f t="shared" ref="L10:L47" si="0">L9+1</f>
        <v>1971</v>
      </c>
      <c r="M10" s="352">
        <v>20</v>
      </c>
      <c r="N10" s="419">
        <v>257.50610255999999</v>
      </c>
      <c r="O10" s="36">
        <v>225.68699443000003</v>
      </c>
      <c r="P10" s="36"/>
      <c r="Q10" s="36">
        <v>25.922380647000001</v>
      </c>
      <c r="R10" s="37">
        <v>1.1980906200000001</v>
      </c>
      <c r="S10" s="61">
        <v>14.475921216000001</v>
      </c>
      <c r="T10" s="64"/>
      <c r="U10" s="65"/>
      <c r="V10" s="35"/>
      <c r="W10" s="56">
        <v>5.8967274829999479</v>
      </c>
    </row>
    <row r="11" spans="1:29" ht="12.75" hidden="1" customHeight="1" x14ac:dyDescent="0.15">
      <c r="K11" s="34"/>
      <c r="L11" s="38">
        <f t="shared" si="0"/>
        <v>1972</v>
      </c>
      <c r="M11" s="352">
        <v>23</v>
      </c>
      <c r="N11" s="419">
        <v>309.59936167999996</v>
      </c>
      <c r="O11" s="36">
        <v>268.20753964999994</v>
      </c>
      <c r="P11" s="36"/>
      <c r="Q11" s="44">
        <v>33.790628561999995</v>
      </c>
      <c r="R11" s="45">
        <v>1.41022987</v>
      </c>
      <c r="S11" s="100">
        <v>16.445797138000003</v>
      </c>
      <c r="T11" s="100"/>
      <c r="U11" s="66"/>
      <c r="V11" s="99"/>
      <c r="W11" s="60">
        <v>7.6011934680000417</v>
      </c>
    </row>
    <row r="12" spans="1:29" ht="12.75" hidden="1" customHeight="1" x14ac:dyDescent="0.15">
      <c r="K12" s="34"/>
      <c r="L12" s="38">
        <f t="shared" si="0"/>
        <v>1973</v>
      </c>
      <c r="M12" s="352">
        <v>23</v>
      </c>
      <c r="N12" s="419">
        <v>424.89523181000004</v>
      </c>
      <c r="O12" s="36">
        <v>364.33756830999999</v>
      </c>
      <c r="P12" s="36"/>
      <c r="Q12" s="44">
        <v>49.740275382</v>
      </c>
      <c r="R12" s="45">
        <v>1.5681824499999999</v>
      </c>
      <c r="S12" s="100">
        <v>25.941071351999998</v>
      </c>
      <c r="T12" s="100"/>
      <c r="U12" s="66"/>
      <c r="V12" s="99"/>
      <c r="W12" s="60">
        <v>10.817388118000025</v>
      </c>
    </row>
    <row r="13" spans="1:29" ht="12.75" hidden="1" customHeight="1" x14ac:dyDescent="0.15">
      <c r="K13" s="34"/>
      <c r="L13" s="38">
        <f t="shared" si="0"/>
        <v>1974</v>
      </c>
      <c r="M13" s="352">
        <v>37</v>
      </c>
      <c r="N13" s="419">
        <v>597.04969229999995</v>
      </c>
      <c r="O13" s="36">
        <v>519.32204029000002</v>
      </c>
      <c r="P13" s="36"/>
      <c r="Q13" s="44">
        <v>64.21533229740001</v>
      </c>
      <c r="R13" s="45">
        <v>1.4988017534</v>
      </c>
      <c r="S13" s="100">
        <v>29.040370952999996</v>
      </c>
      <c r="T13" s="100"/>
      <c r="U13" s="66"/>
      <c r="V13" s="99"/>
      <c r="W13" s="60">
        <v>13.512319712600009</v>
      </c>
    </row>
    <row r="14" spans="1:29" ht="14" x14ac:dyDescent="0.15">
      <c r="K14" s="34"/>
      <c r="L14" s="38">
        <f t="shared" si="0"/>
        <v>1975</v>
      </c>
      <c r="M14" s="353">
        <v>54</v>
      </c>
      <c r="N14" s="419">
        <v>898.55987483890749</v>
      </c>
      <c r="O14" s="36">
        <v>784.55356105706142</v>
      </c>
      <c r="P14" s="36"/>
      <c r="Q14" s="44">
        <v>78.415370669857197</v>
      </c>
      <c r="R14" s="45">
        <v>2.4506000000000001</v>
      </c>
      <c r="S14" s="66">
        <v>24.7424</v>
      </c>
      <c r="T14" s="100">
        <v>24.370899999999999</v>
      </c>
      <c r="U14" s="66">
        <f>+S14-T14</f>
        <v>0.37150000000000105</v>
      </c>
      <c r="V14" s="99">
        <f>+Q14-R14-S14</f>
        <v>51.222370669857199</v>
      </c>
      <c r="W14" s="98">
        <f t="shared" ref="W14:W32" si="1">N14-O14-Q14</f>
        <v>35.590943111988878</v>
      </c>
      <c r="Y14" s="30"/>
      <c r="Z14" s="32"/>
      <c r="AA14" s="32"/>
      <c r="AB14" s="32"/>
      <c r="AC14" s="32"/>
    </row>
    <row r="15" spans="1:29" ht="14" x14ac:dyDescent="0.15">
      <c r="K15" s="34"/>
      <c r="L15" s="38">
        <f t="shared" si="0"/>
        <v>1976</v>
      </c>
      <c r="M15" s="353">
        <v>78</v>
      </c>
      <c r="N15" s="419">
        <v>1090.8694892388357</v>
      </c>
      <c r="O15" s="36">
        <v>958.00769849788253</v>
      </c>
      <c r="P15" s="36"/>
      <c r="Q15" s="44">
        <v>86.248113980951317</v>
      </c>
      <c r="R15" s="45">
        <v>2.5333399999999999</v>
      </c>
      <c r="S15" s="66">
        <v>28.601299999999998</v>
      </c>
      <c r="T15" s="100">
        <v>28.241800000000001</v>
      </c>
      <c r="U15" s="66">
        <f t="shared" ref="U15:U54" si="2">+S15-T15</f>
        <v>0.35949999999999704</v>
      </c>
      <c r="V15" s="99">
        <f t="shared" ref="V15:V54" si="3">+Q15-R15-S15</f>
        <v>55.113473980951326</v>
      </c>
      <c r="W15" s="98">
        <f t="shared" si="1"/>
        <v>46.613676760001894</v>
      </c>
      <c r="Y15" s="30"/>
      <c r="Z15" s="32"/>
      <c r="AA15" s="32"/>
      <c r="AB15" s="32"/>
      <c r="AC15" s="32"/>
    </row>
    <row r="16" spans="1:29" ht="14" x14ac:dyDescent="0.15">
      <c r="K16" s="34"/>
      <c r="L16" s="38">
        <f t="shared" si="0"/>
        <v>1977</v>
      </c>
      <c r="M16" s="353">
        <v>104</v>
      </c>
      <c r="N16" s="419">
        <v>1435.1299973931707</v>
      </c>
      <c r="O16" s="36">
        <v>1263.9508755958611</v>
      </c>
      <c r="P16" s="36"/>
      <c r="Q16" s="44">
        <v>108.22494004480031</v>
      </c>
      <c r="R16" s="45">
        <v>5.0104300000000004</v>
      </c>
      <c r="S16" s="66">
        <v>29.2882</v>
      </c>
      <c r="T16" s="100">
        <v>28.880600000000001</v>
      </c>
      <c r="U16" s="66">
        <f t="shared" si="2"/>
        <v>0.40759999999999863</v>
      </c>
      <c r="V16" s="99">
        <f t="shared" si="3"/>
        <v>73.926310044800303</v>
      </c>
      <c r="W16" s="98">
        <f t="shared" si="1"/>
        <v>62.954181752509257</v>
      </c>
      <c r="Y16" s="30"/>
      <c r="Z16" s="32"/>
      <c r="AA16" s="32"/>
      <c r="AB16" s="32"/>
      <c r="AC16" s="32"/>
    </row>
    <row r="17" spans="11:29" ht="14" x14ac:dyDescent="0.15">
      <c r="K17" s="34"/>
      <c r="L17" s="38">
        <f t="shared" si="0"/>
        <v>1978</v>
      </c>
      <c r="M17" s="353">
        <v>110</v>
      </c>
      <c r="N17" s="419">
        <v>1694.0812714539431</v>
      </c>
      <c r="O17" s="36">
        <v>1470.4501026949793</v>
      </c>
      <c r="P17" s="36"/>
      <c r="Q17" s="44">
        <v>146.33718259874112</v>
      </c>
      <c r="R17" s="45">
        <v>7.0099099999999996</v>
      </c>
      <c r="S17" s="66">
        <v>36.620100000000001</v>
      </c>
      <c r="T17" s="100">
        <v>36.258800000000001</v>
      </c>
      <c r="U17" s="66">
        <f t="shared" si="2"/>
        <v>0.36129999999999995</v>
      </c>
      <c r="V17" s="99">
        <f t="shared" si="3"/>
        <v>102.70717259874112</v>
      </c>
      <c r="W17" s="98">
        <f t="shared" si="1"/>
        <v>77.293986160222772</v>
      </c>
      <c r="Y17" s="30"/>
      <c r="Z17" s="32"/>
      <c r="AA17" s="32"/>
      <c r="AB17" s="32"/>
      <c r="AC17" s="32"/>
    </row>
    <row r="18" spans="11:29" ht="14" x14ac:dyDescent="0.15">
      <c r="K18" s="34"/>
      <c r="L18" s="38">
        <f t="shared" si="0"/>
        <v>1979</v>
      </c>
      <c r="M18" s="353">
        <v>114</v>
      </c>
      <c r="N18" s="419">
        <v>2192.7641473900057</v>
      </c>
      <c r="O18" s="36">
        <v>1869.1493886613016</v>
      </c>
      <c r="P18" s="36"/>
      <c r="Q18" s="44">
        <v>224.66831954216943</v>
      </c>
      <c r="R18" s="97">
        <v>8.77407</v>
      </c>
      <c r="S18" s="95">
        <v>60.368899999999996</v>
      </c>
      <c r="T18" s="96">
        <v>59.843499999999999</v>
      </c>
      <c r="U18" s="95">
        <f t="shared" si="2"/>
        <v>0.52539999999999765</v>
      </c>
      <c r="V18" s="94">
        <f t="shared" si="3"/>
        <v>155.52534954216944</v>
      </c>
      <c r="W18" s="93">
        <f t="shared" si="1"/>
        <v>98.946439186534718</v>
      </c>
      <c r="X18" s="41"/>
      <c r="Y18" s="40"/>
      <c r="Z18" s="39"/>
      <c r="AA18" s="39"/>
      <c r="AB18" s="32"/>
      <c r="AC18" s="32"/>
    </row>
    <row r="19" spans="11:29" ht="14" x14ac:dyDescent="0.15">
      <c r="K19" s="34"/>
      <c r="L19" s="42">
        <f t="shared" si="0"/>
        <v>1980</v>
      </c>
      <c r="M19" s="354">
        <v>119</v>
      </c>
      <c r="N19" s="59">
        <v>2683.1741492133087</v>
      </c>
      <c r="O19" s="1379">
        <v>2266.7699827959468</v>
      </c>
      <c r="P19" s="1379"/>
      <c r="Q19" s="1380">
        <v>299.452004654441</v>
      </c>
      <c r="R19" s="45">
        <v>10.4053</v>
      </c>
      <c r="S19" s="66">
        <v>58.498100000000001</v>
      </c>
      <c r="T19" s="100">
        <v>57.651800000000001</v>
      </c>
      <c r="U19" s="66">
        <f t="shared" si="2"/>
        <v>0.84629999999999939</v>
      </c>
      <c r="V19" s="99">
        <f t="shared" si="3"/>
        <v>230.54860465444099</v>
      </c>
      <c r="W19" s="98">
        <f t="shared" si="1"/>
        <v>116.95216176292092</v>
      </c>
      <c r="X19" s="41"/>
      <c r="Y19" s="40"/>
      <c r="Z19" s="39"/>
      <c r="AA19" s="39"/>
      <c r="AB19" s="32"/>
      <c r="AC19" s="32"/>
    </row>
    <row r="20" spans="11:29" ht="14" x14ac:dyDescent="0.15">
      <c r="K20" s="34"/>
      <c r="L20" s="38">
        <f t="shared" si="0"/>
        <v>1981</v>
      </c>
      <c r="M20" s="353">
        <v>122</v>
      </c>
      <c r="N20" s="419">
        <v>2790.0645727121696</v>
      </c>
      <c r="O20" s="36">
        <v>2303.6569226608158</v>
      </c>
      <c r="P20" s="36"/>
      <c r="Q20" s="44">
        <v>369.53561165732259</v>
      </c>
      <c r="R20" s="45">
        <v>9.8137299999999996</v>
      </c>
      <c r="S20" s="66">
        <v>50.964399999999998</v>
      </c>
      <c r="T20" s="100">
        <v>50.276000000000003</v>
      </c>
      <c r="U20" s="66">
        <f t="shared" si="2"/>
        <v>0.68839999999999435</v>
      </c>
      <c r="V20" s="99">
        <f t="shared" si="3"/>
        <v>308.75748165732256</v>
      </c>
      <c r="W20" s="98">
        <f t="shared" si="1"/>
        <v>116.87203839403122</v>
      </c>
      <c r="X20" s="41"/>
      <c r="Y20" s="40"/>
      <c r="Z20" s="39"/>
      <c r="AA20" s="39"/>
      <c r="AB20" s="32"/>
      <c r="AC20" s="32"/>
    </row>
    <row r="21" spans="11:29" ht="14" x14ac:dyDescent="0.15">
      <c r="K21" s="34"/>
      <c r="L21" s="38">
        <f t="shared" si="0"/>
        <v>1982</v>
      </c>
      <c r="M21" s="353">
        <v>126</v>
      </c>
      <c r="N21" s="419">
        <v>2679.1367074669793</v>
      </c>
      <c r="O21" s="36">
        <v>2189.3576047404727</v>
      </c>
      <c r="P21" s="36"/>
      <c r="Q21" s="44">
        <v>373.91625759692414</v>
      </c>
      <c r="R21" s="45">
        <v>10.499499999999999</v>
      </c>
      <c r="S21" s="66">
        <v>41.553400000000003</v>
      </c>
      <c r="T21" s="100">
        <v>41.250999999999998</v>
      </c>
      <c r="U21" s="66">
        <f t="shared" si="2"/>
        <v>0.30240000000000578</v>
      </c>
      <c r="V21" s="99">
        <f t="shared" si="3"/>
        <v>321.86335759692412</v>
      </c>
      <c r="W21" s="98">
        <f t="shared" si="1"/>
        <v>115.86284512958247</v>
      </c>
      <c r="X21" s="41"/>
      <c r="Y21" s="40"/>
      <c r="Z21" s="39"/>
      <c r="AA21" s="39"/>
      <c r="AB21" s="32"/>
      <c r="AC21" s="32"/>
    </row>
    <row r="22" spans="11:29" ht="14" x14ac:dyDescent="0.15">
      <c r="K22" s="34"/>
      <c r="L22" s="38">
        <f t="shared" si="0"/>
        <v>1983</v>
      </c>
      <c r="M22" s="353">
        <v>126</v>
      </c>
      <c r="N22" s="419">
        <v>2580.0629988500332</v>
      </c>
      <c r="O22" s="36">
        <v>2131.9608696352748</v>
      </c>
      <c r="P22" s="36"/>
      <c r="Q22" s="44">
        <v>331.51981478040778</v>
      </c>
      <c r="R22" s="45">
        <v>10.5519</v>
      </c>
      <c r="S22" s="66">
        <v>45.649700000000003</v>
      </c>
      <c r="T22" s="100">
        <v>45.175800000000002</v>
      </c>
      <c r="U22" s="66">
        <f t="shared" si="2"/>
        <v>0.47390000000000043</v>
      </c>
      <c r="V22" s="99">
        <f t="shared" si="3"/>
        <v>275.3182147804078</v>
      </c>
      <c r="W22" s="98">
        <f t="shared" si="1"/>
        <v>116.58231443435062</v>
      </c>
      <c r="X22" s="41"/>
      <c r="Y22" s="40"/>
      <c r="Z22" s="39"/>
      <c r="AA22" s="39"/>
      <c r="AB22" s="32"/>
      <c r="AC22" s="32"/>
    </row>
    <row r="23" spans="11:29" ht="14" x14ac:dyDescent="0.15">
      <c r="K23" s="34"/>
      <c r="L23" s="38">
        <f t="shared" si="0"/>
        <v>1984</v>
      </c>
      <c r="M23" s="353">
        <v>127</v>
      </c>
      <c r="N23" s="419">
        <v>2732.154933889381</v>
      </c>
      <c r="O23" s="36">
        <v>2245.2681179667866</v>
      </c>
      <c r="P23" s="36"/>
      <c r="Q23" s="44">
        <v>367.69291249042095</v>
      </c>
      <c r="R23" s="45">
        <v>9.8876000000000008</v>
      </c>
      <c r="S23" s="66">
        <v>54.2378</v>
      </c>
      <c r="T23" s="100">
        <v>53.752200000000002</v>
      </c>
      <c r="U23" s="66">
        <f t="shared" si="2"/>
        <v>0.48559999999999803</v>
      </c>
      <c r="V23" s="99">
        <f t="shared" si="3"/>
        <v>303.56751249042094</v>
      </c>
      <c r="W23" s="98">
        <f t="shared" si="1"/>
        <v>119.1939034321735</v>
      </c>
      <c r="X23" s="41"/>
      <c r="Y23" s="40"/>
      <c r="Z23" s="39"/>
      <c r="AA23" s="39"/>
      <c r="AB23" s="32"/>
      <c r="AC23" s="32"/>
    </row>
    <row r="24" spans="11:29" ht="14" x14ac:dyDescent="0.15">
      <c r="K24" s="34"/>
      <c r="L24" s="38">
        <f t="shared" si="0"/>
        <v>1985</v>
      </c>
      <c r="M24" s="353">
        <v>129</v>
      </c>
      <c r="N24" s="419">
        <v>2751.8428162255955</v>
      </c>
      <c r="O24" s="36">
        <v>2272.5873414379289</v>
      </c>
      <c r="P24" s="36"/>
      <c r="Q24" s="44">
        <v>356.65332769244191</v>
      </c>
      <c r="R24" s="45">
        <v>10.130699999999999</v>
      </c>
      <c r="S24" s="66">
        <v>51.9285</v>
      </c>
      <c r="T24" s="100">
        <v>51.476399999999998</v>
      </c>
      <c r="U24" s="66">
        <f t="shared" si="2"/>
        <v>0.4521000000000015</v>
      </c>
      <c r="V24" s="99">
        <f t="shared" si="3"/>
        <v>294.59412769244193</v>
      </c>
      <c r="W24" s="98">
        <f t="shared" si="1"/>
        <v>122.60214709522467</v>
      </c>
      <c r="X24" s="41"/>
      <c r="Y24" s="40"/>
      <c r="Z24" s="39"/>
      <c r="AA24" s="39"/>
      <c r="AB24" s="32"/>
      <c r="AC24" s="32"/>
    </row>
    <row r="25" spans="11:29" ht="14" x14ac:dyDescent="0.15">
      <c r="K25" s="34"/>
      <c r="L25" s="38">
        <f t="shared" si="0"/>
        <v>1986</v>
      </c>
      <c r="M25" s="353">
        <v>131</v>
      </c>
      <c r="N25" s="419">
        <v>3055.8241631232631</v>
      </c>
      <c r="O25" s="36">
        <v>2518.7051829962193</v>
      </c>
      <c r="P25" s="36"/>
      <c r="Q25" s="44">
        <v>392.35797518149184</v>
      </c>
      <c r="R25" s="45">
        <v>13.632400000000001</v>
      </c>
      <c r="S25" s="66">
        <v>62.438899999999997</v>
      </c>
      <c r="T25" s="100">
        <v>64.924400000000006</v>
      </c>
      <c r="U25" s="66">
        <f t="shared" si="2"/>
        <v>-2.4855000000000089</v>
      </c>
      <c r="V25" s="99">
        <f t="shared" si="3"/>
        <v>316.28667518149183</v>
      </c>
      <c r="W25" s="98">
        <f t="shared" si="1"/>
        <v>144.76100494555203</v>
      </c>
      <c r="X25" s="41"/>
      <c r="Y25" s="40"/>
      <c r="Z25" s="39"/>
      <c r="AA25" s="39"/>
      <c r="AB25" s="32"/>
      <c r="AC25" s="32"/>
    </row>
    <row r="26" spans="11:29" ht="14" x14ac:dyDescent="0.15">
      <c r="K26" s="34"/>
      <c r="L26" s="38">
        <f t="shared" si="0"/>
        <v>1987</v>
      </c>
      <c r="M26" s="353">
        <v>130</v>
      </c>
      <c r="N26" s="419">
        <v>3601.4419575787356</v>
      </c>
      <c r="O26" s="36">
        <v>2967.8427079335474</v>
      </c>
      <c r="P26" s="36"/>
      <c r="Q26" s="44">
        <v>460.66665085719728</v>
      </c>
      <c r="R26" s="45">
        <v>16.103000000000002</v>
      </c>
      <c r="S26" s="66">
        <v>81.906700000000001</v>
      </c>
      <c r="T26" s="100">
        <v>83.226699999999994</v>
      </c>
      <c r="U26" s="66">
        <f t="shared" si="2"/>
        <v>-1.3199999999999932</v>
      </c>
      <c r="V26" s="99">
        <f t="shared" si="3"/>
        <v>362.65695085719727</v>
      </c>
      <c r="W26" s="98">
        <f t="shared" si="1"/>
        <v>172.93259878799086</v>
      </c>
      <c r="X26" s="41"/>
      <c r="Y26" s="40"/>
      <c r="Z26" s="39"/>
      <c r="AA26" s="39"/>
      <c r="AB26" s="32"/>
      <c r="AC26" s="32"/>
    </row>
    <row r="27" spans="11:29" ht="14" x14ac:dyDescent="0.15">
      <c r="K27" s="34"/>
      <c r="L27" s="38">
        <f t="shared" si="0"/>
        <v>1988</v>
      </c>
      <c r="M27" s="353">
        <v>129</v>
      </c>
      <c r="N27" s="419">
        <v>4170.7670140537975</v>
      </c>
      <c r="O27" s="36">
        <v>3384.339133363032</v>
      </c>
      <c r="P27" s="36"/>
      <c r="Q27" s="44">
        <v>584.54230942107779</v>
      </c>
      <c r="R27" s="45">
        <v>18.043500000000002</v>
      </c>
      <c r="S27" s="66">
        <v>110.08499999999999</v>
      </c>
      <c r="T27" s="100">
        <v>109.048</v>
      </c>
      <c r="U27" s="66">
        <f t="shared" si="2"/>
        <v>1.0369999999999919</v>
      </c>
      <c r="V27" s="99">
        <f t="shared" si="3"/>
        <v>456.41380942107781</v>
      </c>
      <c r="W27" s="98">
        <f t="shared" si="1"/>
        <v>201.88557126968772</v>
      </c>
      <c r="X27" s="41"/>
      <c r="Y27" s="40"/>
      <c r="Z27" s="39"/>
      <c r="AA27" s="39"/>
      <c r="AB27" s="32"/>
      <c r="AC27" s="32"/>
    </row>
    <row r="28" spans="11:29" ht="14" x14ac:dyDescent="0.15">
      <c r="K28" s="34"/>
      <c r="L28" s="38">
        <f t="shared" si="0"/>
        <v>1989</v>
      </c>
      <c r="M28" s="353">
        <v>128</v>
      </c>
      <c r="N28" s="419">
        <v>4580.2171075149427</v>
      </c>
      <c r="O28" s="36">
        <v>3647.6599081205445</v>
      </c>
      <c r="P28" s="36"/>
      <c r="Q28" s="44">
        <v>717.24142169473726</v>
      </c>
      <c r="R28" s="97">
        <v>18.6402</v>
      </c>
      <c r="S28" s="95">
        <v>118.77500000000001</v>
      </c>
      <c r="T28" s="96">
        <v>115.321</v>
      </c>
      <c r="U28" s="95">
        <f t="shared" si="2"/>
        <v>3.4540000000000077</v>
      </c>
      <c r="V28" s="94">
        <f t="shared" si="3"/>
        <v>579.82622169473723</v>
      </c>
      <c r="W28" s="93">
        <f t="shared" si="1"/>
        <v>215.31577769966088</v>
      </c>
      <c r="X28" s="41"/>
      <c r="Y28" s="40"/>
      <c r="Z28" s="39"/>
      <c r="AA28" s="39"/>
      <c r="AB28" s="32"/>
      <c r="AC28" s="32"/>
    </row>
    <row r="29" spans="11:29" ht="14" x14ac:dyDescent="0.15">
      <c r="K29" s="34"/>
      <c r="L29" s="42">
        <f t="shared" si="0"/>
        <v>1990</v>
      </c>
      <c r="M29" s="354">
        <v>129</v>
      </c>
      <c r="N29" s="59">
        <v>5366.444767591398</v>
      </c>
      <c r="O29" s="1379">
        <v>4227.0113542471072</v>
      </c>
      <c r="P29" s="1379"/>
      <c r="Q29" s="1380">
        <v>870.40168248156021</v>
      </c>
      <c r="R29" s="45">
        <v>21.6434</v>
      </c>
      <c r="S29" s="66">
        <v>123.19799999999999</v>
      </c>
      <c r="T29" s="100">
        <v>118.258</v>
      </c>
      <c r="U29" s="66">
        <f t="shared" si="2"/>
        <v>4.9399999999999977</v>
      </c>
      <c r="V29" s="99">
        <f t="shared" si="3"/>
        <v>725.56028248156019</v>
      </c>
      <c r="W29" s="98">
        <f t="shared" si="1"/>
        <v>269.03173086273057</v>
      </c>
      <c r="X29" s="41"/>
      <c r="Y29" s="40"/>
      <c r="Z29" s="39"/>
      <c r="AA29" s="39"/>
      <c r="AB29" s="32"/>
      <c r="AC29" s="32"/>
    </row>
    <row r="30" spans="11:29" ht="14" x14ac:dyDescent="0.15">
      <c r="K30" s="34"/>
      <c r="L30" s="38">
        <f t="shared" si="0"/>
        <v>1991</v>
      </c>
      <c r="M30" s="353">
        <v>127</v>
      </c>
      <c r="N30" s="419">
        <v>5561.7188620048655</v>
      </c>
      <c r="O30" s="36">
        <v>4342.264480006439</v>
      </c>
      <c r="P30" s="36"/>
      <c r="Q30" s="44">
        <v>889.72694861708271</v>
      </c>
      <c r="R30" s="45">
        <v>21.7057</v>
      </c>
      <c r="S30" s="66">
        <v>108.61499999999999</v>
      </c>
      <c r="T30" s="100">
        <v>104.553</v>
      </c>
      <c r="U30" s="66">
        <f t="shared" si="2"/>
        <v>4.0619999999999976</v>
      </c>
      <c r="V30" s="99">
        <f t="shared" si="3"/>
        <v>759.40624861708272</v>
      </c>
      <c r="W30" s="98">
        <f t="shared" si="1"/>
        <v>329.72743338134376</v>
      </c>
      <c r="X30" s="41"/>
      <c r="Y30" s="40"/>
      <c r="Z30" s="39"/>
      <c r="AA30" s="39"/>
      <c r="AB30" s="32"/>
      <c r="AC30" s="32"/>
    </row>
    <row r="31" spans="11:29" ht="14" x14ac:dyDescent="0.15">
      <c r="K31" s="34"/>
      <c r="L31" s="38">
        <f t="shared" si="0"/>
        <v>1992</v>
      </c>
      <c r="M31" s="353">
        <v>129</v>
      </c>
      <c r="N31" s="419">
        <v>5865.6752096917635</v>
      </c>
      <c r="O31" s="36">
        <v>4662.8478493827106</v>
      </c>
      <c r="P31" s="36"/>
      <c r="Q31" s="44">
        <v>905.28560594367775</v>
      </c>
      <c r="R31" s="45">
        <v>23.246099999999998</v>
      </c>
      <c r="S31" s="66">
        <v>108.41200000000001</v>
      </c>
      <c r="T31" s="100">
        <v>105.35599999999999</v>
      </c>
      <c r="U31" s="66">
        <f t="shared" si="2"/>
        <v>3.0560000000000116</v>
      </c>
      <c r="V31" s="99">
        <f t="shared" si="3"/>
        <v>773.62750594367776</v>
      </c>
      <c r="W31" s="98">
        <f t="shared" si="1"/>
        <v>297.54175436537514</v>
      </c>
      <c r="X31" s="41"/>
      <c r="Y31" s="40"/>
      <c r="Z31" s="39"/>
      <c r="AA31" s="39"/>
      <c r="AB31" s="32"/>
      <c r="AC31" s="32"/>
    </row>
    <row r="32" spans="11:29" ht="14" x14ac:dyDescent="0.15">
      <c r="K32" s="34"/>
      <c r="L32" s="38">
        <f t="shared" si="0"/>
        <v>1993</v>
      </c>
      <c r="M32" s="353">
        <v>130</v>
      </c>
      <c r="N32" s="419">
        <v>5832.2967343208029</v>
      </c>
      <c r="O32" s="36">
        <v>4640.129924619805</v>
      </c>
      <c r="P32" s="36"/>
      <c r="Q32" s="44">
        <v>908.99288142733587</v>
      </c>
      <c r="R32" s="45">
        <v>23.2714</v>
      </c>
      <c r="S32" s="66">
        <v>126.83799999999999</v>
      </c>
      <c r="T32" s="100">
        <v>123.22499999999999</v>
      </c>
      <c r="U32" s="66">
        <f t="shared" si="2"/>
        <v>3.6129999999999995</v>
      </c>
      <c r="V32" s="99">
        <f t="shared" si="3"/>
        <v>758.88348142733594</v>
      </c>
      <c r="W32" s="98">
        <f t="shared" si="1"/>
        <v>283.173928273662</v>
      </c>
      <c r="X32" s="41"/>
      <c r="Y32" s="40"/>
      <c r="Z32" s="39"/>
      <c r="AA32" s="39"/>
      <c r="AB32" s="32"/>
      <c r="AC32" s="32"/>
    </row>
    <row r="33" spans="3:29" s="41" customFormat="1" ht="14" x14ac:dyDescent="0.15">
      <c r="K33" s="47"/>
      <c r="L33" s="46">
        <f t="shared" si="0"/>
        <v>1994</v>
      </c>
      <c r="M33" s="355">
        <v>131</v>
      </c>
      <c r="N33" s="420">
        <v>6519.02</v>
      </c>
      <c r="O33" s="44">
        <v>5311.91</v>
      </c>
      <c r="P33" s="44"/>
      <c r="Q33" s="44">
        <v>914.12300000000005</v>
      </c>
      <c r="R33" s="45">
        <v>23.819299999999998</v>
      </c>
      <c r="S33" s="66">
        <v>160.422</v>
      </c>
      <c r="T33" s="100">
        <v>156.001</v>
      </c>
      <c r="U33" s="66">
        <f t="shared" si="2"/>
        <v>4.4209999999999923</v>
      </c>
      <c r="V33" s="99">
        <f t="shared" si="3"/>
        <v>729.88170000000002</v>
      </c>
      <c r="W33" s="60">
        <v>292.99099999999999</v>
      </c>
      <c r="Y33" s="40"/>
      <c r="Z33" s="39"/>
      <c r="AA33" s="39"/>
      <c r="AB33" s="39"/>
      <c r="AC33" s="39"/>
    </row>
    <row r="34" spans="3:29" ht="14" x14ac:dyDescent="0.15">
      <c r="K34" s="34"/>
      <c r="L34" s="38">
        <f t="shared" si="0"/>
        <v>1995</v>
      </c>
      <c r="M34" s="353">
        <v>130</v>
      </c>
      <c r="N34" s="419">
        <v>7745</v>
      </c>
      <c r="O34" s="36">
        <v>6328.7</v>
      </c>
      <c r="P34" s="36"/>
      <c r="Q34" s="44">
        <v>1093.54</v>
      </c>
      <c r="R34" s="45">
        <v>28.610399999999998</v>
      </c>
      <c r="S34" s="66">
        <v>193.29499999999999</v>
      </c>
      <c r="T34" s="100">
        <v>187.46299999999999</v>
      </c>
      <c r="U34" s="66">
        <f t="shared" si="2"/>
        <v>5.8319999999999936</v>
      </c>
      <c r="V34" s="99">
        <f t="shared" si="3"/>
        <v>871.63459999999998</v>
      </c>
      <c r="W34" s="60">
        <v>322.77</v>
      </c>
      <c r="X34" s="41"/>
      <c r="Y34" s="40"/>
      <c r="Z34" s="39"/>
      <c r="AA34" s="39"/>
      <c r="AB34" s="32"/>
      <c r="AC34" s="32"/>
    </row>
    <row r="35" spans="3:29" ht="14" x14ac:dyDescent="0.15">
      <c r="K35" s="34"/>
      <c r="L35" s="38">
        <f t="shared" si="0"/>
        <v>1996</v>
      </c>
      <c r="M35" s="353">
        <v>131</v>
      </c>
      <c r="N35" s="419">
        <v>8090.18</v>
      </c>
      <c r="O35" s="36">
        <v>6673.82</v>
      </c>
      <c r="P35" s="36"/>
      <c r="Q35" s="44">
        <v>1049.6200000000001</v>
      </c>
      <c r="R35" s="45">
        <v>28.603999999999999</v>
      </c>
      <c r="S35" s="66">
        <v>239.166</v>
      </c>
      <c r="T35" s="100">
        <v>229.49</v>
      </c>
      <c r="U35" s="66">
        <f t="shared" si="2"/>
        <v>9.6759999999999877</v>
      </c>
      <c r="V35" s="99">
        <f t="shared" si="3"/>
        <v>781.85000000000014</v>
      </c>
      <c r="W35" s="60">
        <v>366.74299999999999</v>
      </c>
      <c r="X35" s="41"/>
      <c r="Y35" s="40"/>
      <c r="Z35" s="39"/>
      <c r="AA35" s="39"/>
      <c r="AB35" s="32"/>
      <c r="AC35" s="32"/>
    </row>
    <row r="36" spans="3:29" ht="14" x14ac:dyDescent="0.15">
      <c r="K36" s="34"/>
      <c r="L36" s="38">
        <f t="shared" si="0"/>
        <v>1997</v>
      </c>
      <c r="M36" s="353">
        <v>137</v>
      </c>
      <c r="N36" s="419">
        <v>8388.44</v>
      </c>
      <c r="O36" s="36">
        <v>6926.87</v>
      </c>
      <c r="P36" s="36"/>
      <c r="Q36" s="44">
        <v>1107.3800000000001</v>
      </c>
      <c r="R36" s="45">
        <v>37.125900000000001</v>
      </c>
      <c r="S36" s="66">
        <v>264.93900000000002</v>
      </c>
      <c r="T36" s="100">
        <v>247.261</v>
      </c>
      <c r="U36" s="66">
        <f t="shared" si="2"/>
        <v>17.678000000000026</v>
      </c>
      <c r="V36" s="99">
        <f t="shared" si="3"/>
        <v>805.31510000000003</v>
      </c>
      <c r="W36" s="60">
        <v>354.19299999999998</v>
      </c>
      <c r="X36" s="41"/>
      <c r="Y36" s="40"/>
      <c r="Z36" s="39"/>
      <c r="AA36" s="39"/>
      <c r="AB36" s="32"/>
      <c r="AC36" s="32"/>
    </row>
    <row r="37" spans="3:29" ht="14" x14ac:dyDescent="0.15">
      <c r="K37" s="34"/>
      <c r="L37" s="38">
        <f t="shared" si="0"/>
        <v>1998</v>
      </c>
      <c r="M37" s="353">
        <v>140</v>
      </c>
      <c r="N37" s="419">
        <v>8419.2999999999993</v>
      </c>
      <c r="O37" s="36">
        <v>6842.27</v>
      </c>
      <c r="P37" s="36"/>
      <c r="Q37" s="44">
        <v>1207.0899999999999</v>
      </c>
      <c r="R37" s="45">
        <v>37.721699999999998</v>
      </c>
      <c r="S37" s="66">
        <v>267.77499999999998</v>
      </c>
      <c r="T37" s="100">
        <v>243.78</v>
      </c>
      <c r="U37" s="66">
        <f t="shared" si="2"/>
        <v>23.994999999999976</v>
      </c>
      <c r="V37" s="99">
        <f t="shared" si="3"/>
        <v>901.59329999999989</v>
      </c>
      <c r="W37" s="60">
        <v>369.94600000000003</v>
      </c>
      <c r="X37" s="41"/>
      <c r="Y37" s="40"/>
      <c r="Z37" s="39"/>
      <c r="AA37" s="39"/>
      <c r="AB37" s="32"/>
      <c r="AC37" s="32"/>
    </row>
    <row r="38" spans="3:29" ht="14" x14ac:dyDescent="0.15">
      <c r="K38" s="34"/>
      <c r="L38" s="38">
        <f t="shared" si="0"/>
        <v>1999</v>
      </c>
      <c r="M38" s="353">
        <v>142</v>
      </c>
      <c r="N38" s="419">
        <v>8715.65</v>
      </c>
      <c r="O38" s="36">
        <v>7076.27</v>
      </c>
      <c r="P38" s="36"/>
      <c r="Q38" s="44">
        <v>1259.25</v>
      </c>
      <c r="R38" s="97">
        <v>38.305399999999999</v>
      </c>
      <c r="S38" s="95">
        <v>348.495</v>
      </c>
      <c r="T38" s="96">
        <v>315.10199999999998</v>
      </c>
      <c r="U38" s="95">
        <f t="shared" si="2"/>
        <v>33.393000000000029</v>
      </c>
      <c r="V38" s="94">
        <f t="shared" si="3"/>
        <v>872.44960000000003</v>
      </c>
      <c r="W38" s="92">
        <v>380.12799999999999</v>
      </c>
      <c r="X38" s="41"/>
      <c r="Y38" s="40"/>
      <c r="Z38" s="39"/>
      <c r="AA38" s="39"/>
      <c r="AB38" s="32"/>
      <c r="AC38" s="32"/>
    </row>
    <row r="39" spans="3:29" ht="14" x14ac:dyDescent="0.15">
      <c r="K39" s="34"/>
      <c r="L39" s="42">
        <f t="shared" si="0"/>
        <v>2000</v>
      </c>
      <c r="M39" s="354">
        <v>142</v>
      </c>
      <c r="N39" s="59">
        <v>9666.59</v>
      </c>
      <c r="O39" s="1379">
        <v>7869.88</v>
      </c>
      <c r="P39" s="1379"/>
      <c r="Q39" s="1380">
        <v>1431.46</v>
      </c>
      <c r="R39" s="45">
        <v>38.636299999999999</v>
      </c>
      <c r="S39" s="66">
        <v>408.93799999999999</v>
      </c>
      <c r="T39" s="100">
        <v>366.238</v>
      </c>
      <c r="U39" s="66">
        <f t="shared" si="2"/>
        <v>42.699999999999989</v>
      </c>
      <c r="V39" s="99">
        <f t="shared" si="3"/>
        <v>983.88570000000016</v>
      </c>
      <c r="W39" s="60">
        <v>365.24900000000002</v>
      </c>
      <c r="X39" s="41"/>
      <c r="Y39" s="40"/>
      <c r="Z39" s="39"/>
      <c r="AA39" s="39"/>
      <c r="AB39" s="32"/>
      <c r="AC39" s="32"/>
    </row>
    <row r="40" spans="3:29" ht="14" x14ac:dyDescent="0.15">
      <c r="K40" s="34"/>
      <c r="L40" s="38">
        <f t="shared" si="0"/>
        <v>2001</v>
      </c>
      <c r="M40" s="353">
        <v>143</v>
      </c>
      <c r="N40" s="419">
        <v>9335.08</v>
      </c>
      <c r="O40" s="36">
        <v>7614.77</v>
      </c>
      <c r="P40" s="36"/>
      <c r="Q40" s="44">
        <v>1331.17</v>
      </c>
      <c r="R40" s="45">
        <v>40.971299999999999</v>
      </c>
      <c r="S40" s="66">
        <v>348.05700000000002</v>
      </c>
      <c r="T40" s="100">
        <v>307.50099999999998</v>
      </c>
      <c r="U40" s="66">
        <f t="shared" si="2"/>
        <v>40.55600000000004</v>
      </c>
      <c r="V40" s="99">
        <f t="shared" si="3"/>
        <v>942.14170000000013</v>
      </c>
      <c r="W40" s="60">
        <v>389.137</v>
      </c>
      <c r="X40" s="41"/>
      <c r="Y40" s="40"/>
      <c r="Z40" s="39"/>
      <c r="AA40" s="39"/>
      <c r="AB40" s="32"/>
      <c r="AC40" s="32"/>
    </row>
    <row r="41" spans="3:29" ht="14" x14ac:dyDescent="0.15">
      <c r="K41" s="34"/>
      <c r="L41" s="38">
        <f t="shared" si="0"/>
        <v>2002</v>
      </c>
      <c r="M41" s="353">
        <v>153</v>
      </c>
      <c r="N41" s="419">
        <v>9747.9600000000009</v>
      </c>
      <c r="O41" s="36">
        <v>8033.43</v>
      </c>
      <c r="P41" s="36"/>
      <c r="Q41" s="44">
        <v>1278.73</v>
      </c>
      <c r="R41" s="45">
        <v>50.529400000000003</v>
      </c>
      <c r="S41" s="66">
        <v>389.75599999999997</v>
      </c>
      <c r="T41" s="100">
        <v>344.30700000000002</v>
      </c>
      <c r="U41" s="66">
        <f t="shared" si="2"/>
        <v>45.448999999999955</v>
      </c>
      <c r="V41" s="99">
        <f t="shared" si="3"/>
        <v>838.44460000000015</v>
      </c>
      <c r="W41" s="60">
        <v>435.80099999999999</v>
      </c>
      <c r="X41" s="41"/>
      <c r="Y41" s="40"/>
      <c r="Z41" s="39"/>
      <c r="AA41" s="39"/>
      <c r="AB41" s="32"/>
      <c r="AC41" s="32"/>
    </row>
    <row r="42" spans="3:29" ht="14" x14ac:dyDescent="0.15">
      <c r="K42" s="34"/>
      <c r="L42" s="38">
        <f t="shared" si="0"/>
        <v>2003</v>
      </c>
      <c r="M42" s="353">
        <v>156</v>
      </c>
      <c r="N42" s="419">
        <v>11366.800000000001</v>
      </c>
      <c r="O42" s="36">
        <v>9356.2900000000009</v>
      </c>
      <c r="P42" s="36"/>
      <c r="Q42" s="44">
        <v>1498.93</v>
      </c>
      <c r="R42" s="45">
        <v>63.22</v>
      </c>
      <c r="S42" s="66">
        <v>539.43600000000004</v>
      </c>
      <c r="T42" s="100">
        <v>484.46</v>
      </c>
      <c r="U42" s="66">
        <f t="shared" si="2"/>
        <v>54.976000000000056</v>
      </c>
      <c r="V42" s="99">
        <f t="shared" si="3"/>
        <v>896.274</v>
      </c>
      <c r="W42" s="60">
        <v>511.59199999999998</v>
      </c>
      <c r="X42" s="41"/>
      <c r="Y42" s="40"/>
      <c r="Z42" s="39"/>
      <c r="AA42" s="39"/>
      <c r="AB42" s="32"/>
      <c r="AC42" s="32"/>
    </row>
    <row r="43" spans="3:29" ht="14" x14ac:dyDescent="0.15">
      <c r="K43" s="34"/>
      <c r="L43" s="38">
        <f t="shared" si="0"/>
        <v>2004</v>
      </c>
      <c r="M43" s="353">
        <v>158</v>
      </c>
      <c r="N43" s="419">
        <v>13850.800000000001</v>
      </c>
      <c r="O43" s="36">
        <v>11354.73</v>
      </c>
      <c r="P43" s="36"/>
      <c r="Q43" s="44">
        <v>1890.57</v>
      </c>
      <c r="R43" s="45">
        <v>75.842100000000002</v>
      </c>
      <c r="S43" s="66">
        <v>821.596</v>
      </c>
      <c r="T43" s="100">
        <v>730.89800000000002</v>
      </c>
      <c r="U43" s="66">
        <f t="shared" si="2"/>
        <v>90.697999999999979</v>
      </c>
      <c r="V43" s="99">
        <f t="shared" si="3"/>
        <v>993.13189999999986</v>
      </c>
      <c r="W43" s="60">
        <v>605.52</v>
      </c>
      <c r="Y43" s="30"/>
      <c r="Z43" s="32"/>
      <c r="AA43" s="32"/>
      <c r="AB43" s="32"/>
      <c r="AC43" s="32"/>
    </row>
    <row r="44" spans="3:29" ht="14" x14ac:dyDescent="0.15">
      <c r="K44" s="34"/>
      <c r="L44" s="38">
        <f t="shared" si="0"/>
        <v>2005</v>
      </c>
      <c r="M44" s="353">
        <v>169</v>
      </c>
      <c r="N44" s="419">
        <v>16049.300000000001</v>
      </c>
      <c r="O44" s="36">
        <v>12924.79</v>
      </c>
      <c r="P44" s="36"/>
      <c r="Q44" s="44">
        <v>2431.75</v>
      </c>
      <c r="R44" s="45">
        <v>85.974999999999994</v>
      </c>
      <c r="S44" s="66">
        <v>1066.23</v>
      </c>
      <c r="T44" s="100">
        <v>959.62</v>
      </c>
      <c r="U44" s="66">
        <f t="shared" si="2"/>
        <v>106.61000000000001</v>
      </c>
      <c r="V44" s="99">
        <f t="shared" si="3"/>
        <v>1279.5450000000001</v>
      </c>
      <c r="W44" s="60">
        <v>692.7</v>
      </c>
      <c r="Y44" s="30"/>
      <c r="Z44" s="32"/>
      <c r="AA44" s="32"/>
      <c r="AB44" s="32"/>
      <c r="AC44" s="32"/>
    </row>
    <row r="45" spans="3:29" ht="14" x14ac:dyDescent="0.15">
      <c r="K45" s="34"/>
      <c r="L45" s="38">
        <f t="shared" si="0"/>
        <v>2006</v>
      </c>
      <c r="M45" s="353">
        <v>171</v>
      </c>
      <c r="N45" s="419">
        <v>18770.900000000001</v>
      </c>
      <c r="O45" s="36">
        <v>14882.01</v>
      </c>
      <c r="P45" s="36"/>
      <c r="Q45" s="44">
        <v>3128.26</v>
      </c>
      <c r="R45" s="45">
        <v>94.942700000000002</v>
      </c>
      <c r="S45" s="66">
        <v>1263.1099999999999</v>
      </c>
      <c r="T45" s="100">
        <v>1113.83</v>
      </c>
      <c r="U45" s="66">
        <f t="shared" si="2"/>
        <v>149.27999999999997</v>
      </c>
      <c r="V45" s="99">
        <f t="shared" si="3"/>
        <v>1770.2073000000003</v>
      </c>
      <c r="W45" s="60">
        <v>760.61900000000003</v>
      </c>
      <c r="Y45" s="30"/>
      <c r="Z45" s="32"/>
      <c r="AA45" s="32"/>
      <c r="AB45" s="32"/>
      <c r="AC45" s="32"/>
    </row>
    <row r="46" spans="3:29" ht="14" x14ac:dyDescent="0.15">
      <c r="K46" s="34"/>
      <c r="L46" s="38">
        <f t="shared" si="0"/>
        <v>2007</v>
      </c>
      <c r="M46" s="353">
        <v>172</v>
      </c>
      <c r="N46" s="419">
        <v>22217.600000000002</v>
      </c>
      <c r="O46" s="36">
        <v>17321.27</v>
      </c>
      <c r="P46" s="36"/>
      <c r="Q46" s="44">
        <v>4024.14</v>
      </c>
      <c r="R46" s="45">
        <v>113.59699999999999</v>
      </c>
      <c r="S46" s="66">
        <v>1547.83</v>
      </c>
      <c r="T46" s="100">
        <v>1351.55</v>
      </c>
      <c r="U46" s="66">
        <f t="shared" si="2"/>
        <v>196.27999999999997</v>
      </c>
      <c r="V46" s="99">
        <f t="shared" si="3"/>
        <v>2362.7129999999997</v>
      </c>
      <c r="W46" s="60">
        <v>872.20699999999999</v>
      </c>
      <c r="Y46" s="30"/>
      <c r="Z46" s="32"/>
      <c r="AA46" s="32"/>
      <c r="AB46" s="32"/>
      <c r="AC46" s="32"/>
    </row>
    <row r="47" spans="3:29" ht="14" x14ac:dyDescent="0.15">
      <c r="K47" s="34"/>
      <c r="L47" s="38">
        <f t="shared" si="0"/>
        <v>2008</v>
      </c>
      <c r="M47" s="353">
        <v>172</v>
      </c>
      <c r="N47" s="419">
        <v>24896</v>
      </c>
      <c r="O47" s="36">
        <v>19873.28</v>
      </c>
      <c r="P47" s="36"/>
      <c r="Q47" s="44">
        <v>4047.7200000000003</v>
      </c>
      <c r="R47" s="45">
        <v>131.601</v>
      </c>
      <c r="S47" s="66">
        <v>1423.08</v>
      </c>
      <c r="T47" s="100">
        <v>1206.2</v>
      </c>
      <c r="U47" s="66">
        <f t="shared" si="2"/>
        <v>216.87999999999988</v>
      </c>
      <c r="V47" s="99">
        <f t="shared" si="3"/>
        <v>2493.0390000000002</v>
      </c>
      <c r="W47" s="60">
        <v>974.99599999999998</v>
      </c>
      <c r="Y47" s="30"/>
      <c r="Z47" s="32"/>
      <c r="AA47" s="32"/>
      <c r="AB47" s="32"/>
      <c r="AC47" s="32"/>
    </row>
    <row r="48" spans="3:29" ht="14" x14ac:dyDescent="0.15">
      <c r="C48" s="30"/>
      <c r="D48" s="30"/>
      <c r="E48" s="30"/>
      <c r="F48" s="30"/>
      <c r="G48" s="30"/>
      <c r="H48" s="30"/>
      <c r="I48" s="30"/>
      <c r="J48" s="30"/>
      <c r="L48" s="43">
        <f t="shared" ref="L48:L54" si="4">L47+1</f>
        <v>2009</v>
      </c>
      <c r="M48" s="356">
        <v>174</v>
      </c>
      <c r="N48" s="101">
        <v>19697.63</v>
      </c>
      <c r="O48" s="1381">
        <v>12219.204</v>
      </c>
      <c r="P48" s="1381">
        <v>3535.75</v>
      </c>
      <c r="Q48" s="1382">
        <v>3180.7579999999998</v>
      </c>
      <c r="R48" s="97">
        <v>126.83499999999999</v>
      </c>
      <c r="S48" s="95">
        <v>1290.5899999999999</v>
      </c>
      <c r="T48" s="96">
        <v>1122.98</v>
      </c>
      <c r="U48" s="95">
        <f t="shared" si="2"/>
        <v>167.6099999999999</v>
      </c>
      <c r="V48" s="94">
        <f>+Q48-R48-S48</f>
        <v>1763.3329999999999</v>
      </c>
      <c r="W48" s="92">
        <v>761.91800000000001</v>
      </c>
    </row>
    <row r="49" spans="3:23" ht="14" x14ac:dyDescent="0.15">
      <c r="C49" s="30"/>
      <c r="D49" s="30"/>
      <c r="E49" s="30"/>
      <c r="F49" s="30"/>
      <c r="G49" s="30"/>
      <c r="H49" s="30"/>
      <c r="I49" s="30"/>
      <c r="J49" s="30"/>
      <c r="L49" s="38">
        <f t="shared" si="4"/>
        <v>2010</v>
      </c>
      <c r="M49" s="353">
        <v>174</v>
      </c>
      <c r="N49" s="419">
        <v>22997.917000000001</v>
      </c>
      <c r="O49" s="36">
        <v>14896.36</v>
      </c>
      <c r="P49" s="36">
        <v>3815.2730000000001</v>
      </c>
      <c r="Q49" s="44">
        <v>3490.4050000000002</v>
      </c>
      <c r="R49" s="45">
        <v>136.54300000000001</v>
      </c>
      <c r="S49" s="66">
        <v>1656.07</v>
      </c>
      <c r="T49" s="100">
        <v>1483.29</v>
      </c>
      <c r="U49" s="66">
        <f t="shared" si="2"/>
        <v>172.77999999999997</v>
      </c>
      <c r="V49" s="99">
        <f t="shared" si="3"/>
        <v>1697.7920000000001</v>
      </c>
      <c r="W49" s="60">
        <v>795.87900000000002</v>
      </c>
    </row>
    <row r="50" spans="3:23" ht="14" x14ac:dyDescent="0.15">
      <c r="C50" s="30"/>
      <c r="D50" s="30"/>
      <c r="E50" s="30"/>
      <c r="F50" s="30"/>
      <c r="G50" s="30"/>
      <c r="H50" s="30"/>
      <c r="I50" s="30"/>
      <c r="J50" s="30"/>
      <c r="L50" s="38">
        <f t="shared" si="4"/>
        <v>2011</v>
      </c>
      <c r="M50" s="353">
        <v>176</v>
      </c>
      <c r="N50" s="419">
        <v>27122.772000000001</v>
      </c>
      <c r="O50" s="36">
        <v>17942.983</v>
      </c>
      <c r="P50" s="36">
        <v>4355.9449999999997</v>
      </c>
      <c r="Q50" s="44">
        <v>3921.3620000000001</v>
      </c>
      <c r="R50" s="45">
        <v>155.35499999999999</v>
      </c>
      <c r="S50" s="66">
        <v>1841.02</v>
      </c>
      <c r="T50" s="100">
        <v>1607.73</v>
      </c>
      <c r="U50" s="66">
        <f t="shared" si="2"/>
        <v>233.28999999999996</v>
      </c>
      <c r="V50" s="99">
        <f t="shared" si="3"/>
        <v>1924.9870000000001</v>
      </c>
      <c r="W50" s="60">
        <v>902.48199999999997</v>
      </c>
    </row>
    <row r="51" spans="3:23" ht="14" x14ac:dyDescent="0.15">
      <c r="C51" s="31"/>
      <c r="D51" s="30"/>
      <c r="E51" s="30"/>
      <c r="F51" s="30"/>
      <c r="G51" s="30"/>
      <c r="H51" s="30"/>
      <c r="I51" s="30"/>
      <c r="J51" s="30"/>
      <c r="L51" s="38">
        <f t="shared" si="4"/>
        <v>2012</v>
      </c>
      <c r="M51" s="353">
        <v>178</v>
      </c>
      <c r="N51" s="419">
        <v>27394.687000000002</v>
      </c>
      <c r="O51" s="36">
        <v>18182.382000000001</v>
      </c>
      <c r="P51" s="36">
        <v>4469.0569999999998</v>
      </c>
      <c r="Q51" s="44">
        <v>3807.2579999999998</v>
      </c>
      <c r="R51" s="45">
        <v>157.97300000000001</v>
      </c>
      <c r="S51" s="66">
        <v>1760.48</v>
      </c>
      <c r="T51" s="100">
        <v>1513.04</v>
      </c>
      <c r="U51" s="66">
        <f t="shared" si="2"/>
        <v>247.44000000000005</v>
      </c>
      <c r="V51" s="99">
        <f t="shared" si="3"/>
        <v>1888.8049999999998</v>
      </c>
      <c r="W51" s="60">
        <v>935.99</v>
      </c>
    </row>
    <row r="52" spans="3:23" ht="14" x14ac:dyDescent="0.15">
      <c r="C52" s="30"/>
      <c r="D52" s="30"/>
      <c r="E52" s="30"/>
      <c r="F52" s="30"/>
      <c r="G52" s="30"/>
      <c r="H52" s="30"/>
      <c r="I52" s="30"/>
      <c r="J52" s="30"/>
      <c r="L52" s="38">
        <f t="shared" si="4"/>
        <v>2013</v>
      </c>
      <c r="M52" s="353">
        <v>176</v>
      </c>
      <c r="N52" s="419">
        <v>28232.206999999999</v>
      </c>
      <c r="O52" s="36">
        <v>18587.05</v>
      </c>
      <c r="P52" s="36">
        <v>4755.6270000000004</v>
      </c>
      <c r="Q52" s="44">
        <v>3886.6959999999999</v>
      </c>
      <c r="R52" s="45">
        <v>170.69900000000001</v>
      </c>
      <c r="S52" s="66">
        <v>1840.53</v>
      </c>
      <c r="T52" s="100">
        <v>1572.21</v>
      </c>
      <c r="U52" s="66">
        <f t="shared" si="2"/>
        <v>268.31999999999994</v>
      </c>
      <c r="V52" s="99">
        <f t="shared" si="3"/>
        <v>1875.4669999999999</v>
      </c>
      <c r="W52" s="60">
        <v>1002.8339999999999</v>
      </c>
    </row>
    <row r="53" spans="3:23" ht="14" x14ac:dyDescent="0.15">
      <c r="C53" s="30"/>
      <c r="D53" s="30"/>
      <c r="E53" s="30"/>
      <c r="F53" s="30"/>
      <c r="G53" s="30"/>
      <c r="H53" s="30"/>
      <c r="I53" s="30"/>
      <c r="J53" s="30"/>
      <c r="L53" s="38">
        <f t="shared" si="4"/>
        <v>2014</v>
      </c>
      <c r="M53" s="353">
        <v>165</v>
      </c>
      <c r="N53" s="419">
        <v>28819.9</v>
      </c>
      <c r="O53" s="36">
        <v>18624.773000000001</v>
      </c>
      <c r="P53" s="36">
        <v>5093.8029999999999</v>
      </c>
      <c r="Q53" s="44">
        <v>4047.4250000000002</v>
      </c>
      <c r="R53" s="45">
        <v>185.79599999999999</v>
      </c>
      <c r="S53" s="66">
        <v>1907.48</v>
      </c>
      <c r="T53" s="100">
        <v>1633.82</v>
      </c>
      <c r="U53" s="66">
        <f t="shared" si="2"/>
        <v>273.66000000000008</v>
      </c>
      <c r="V53" s="99">
        <f t="shared" si="3"/>
        <v>1954.1490000000003</v>
      </c>
      <c r="W53" s="60">
        <v>1053.8989999999999</v>
      </c>
    </row>
    <row r="54" spans="3:23" ht="15" thickBot="1" x14ac:dyDescent="0.2">
      <c r="C54" s="30"/>
      <c r="D54" s="30"/>
      <c r="E54" s="30"/>
      <c r="F54" s="30"/>
      <c r="G54" s="30"/>
      <c r="H54" s="30"/>
      <c r="I54" s="30"/>
      <c r="J54" s="30"/>
      <c r="L54" s="33">
        <f t="shared" si="4"/>
        <v>2015</v>
      </c>
      <c r="M54" s="1383">
        <v>155</v>
      </c>
      <c r="N54" s="91">
        <v>25675.608</v>
      </c>
      <c r="O54" s="1384">
        <v>16201.614</v>
      </c>
      <c r="P54" s="1384">
        <v>4833.1210000000001</v>
      </c>
      <c r="Q54" s="1385">
        <v>3673.096</v>
      </c>
      <c r="R54" s="90">
        <v>175.785</v>
      </c>
      <c r="S54" s="88">
        <v>1659.53</v>
      </c>
      <c r="T54" s="89">
        <v>1415.69</v>
      </c>
      <c r="U54" s="88">
        <f t="shared" si="2"/>
        <v>243.83999999999992</v>
      </c>
      <c r="V54" s="87">
        <f t="shared" si="3"/>
        <v>1837.7810000000002</v>
      </c>
      <c r="W54" s="86">
        <v>967.77700000000004</v>
      </c>
    </row>
    <row r="55" spans="3:23" ht="15" thickTop="1" thickBot="1" x14ac:dyDescent="0.2">
      <c r="C55" s="30"/>
      <c r="D55" s="30"/>
      <c r="E55" s="30"/>
      <c r="F55" s="30"/>
      <c r="G55" s="30"/>
      <c r="H55" s="30"/>
      <c r="I55" s="30"/>
      <c r="J55" s="30"/>
    </row>
    <row r="56" spans="3:23" ht="15.75" customHeight="1" x14ac:dyDescent="0.15">
      <c r="C56" s="30"/>
      <c r="D56" s="30"/>
      <c r="E56" s="30"/>
      <c r="F56" s="30"/>
      <c r="G56" s="30"/>
      <c r="H56" s="30"/>
      <c r="I56" s="30"/>
      <c r="J56" s="30"/>
      <c r="L56" s="2204" t="s">
        <v>389</v>
      </c>
      <c r="M56" s="2205"/>
      <c r="N56" s="2205"/>
      <c r="O56" s="2205"/>
      <c r="P56" s="2205"/>
      <c r="Q56" s="2205"/>
      <c r="R56" s="2205"/>
      <c r="S56" s="2205"/>
      <c r="T56" s="2205"/>
      <c r="U56" s="2205"/>
      <c r="V56" s="2205"/>
      <c r="W56" s="2206"/>
    </row>
    <row r="57" spans="3:23" ht="15.75" customHeight="1" thickBot="1" x14ac:dyDescent="0.2">
      <c r="C57" s="30"/>
      <c r="D57" s="30"/>
      <c r="E57" s="30"/>
      <c r="F57" s="30"/>
      <c r="G57" s="30"/>
      <c r="H57" s="30"/>
      <c r="I57" s="30"/>
      <c r="J57" s="30"/>
      <c r="L57" s="2207"/>
      <c r="M57" s="2208"/>
      <c r="N57" s="2208"/>
      <c r="O57" s="2208"/>
      <c r="P57" s="2208"/>
      <c r="Q57" s="2208"/>
      <c r="R57" s="2208"/>
      <c r="S57" s="2208"/>
      <c r="T57" s="2208"/>
      <c r="U57" s="2208"/>
      <c r="V57" s="2208"/>
      <c r="W57" s="2209"/>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row r="250" spans="3:10" x14ac:dyDescent="0.15">
      <c r="C250" s="30"/>
      <c r="D250" s="30"/>
      <c r="E250" s="30"/>
      <c r="F250" s="30"/>
      <c r="G250" s="30"/>
      <c r="H250" s="30"/>
      <c r="I250" s="30"/>
      <c r="J250" s="30"/>
    </row>
    <row r="251" spans="3:10" x14ac:dyDescent="0.15">
      <c r="C251" s="30"/>
      <c r="D251" s="30"/>
      <c r="E251" s="30"/>
      <c r="F251" s="30"/>
      <c r="G251" s="30"/>
      <c r="H251" s="30"/>
      <c r="I251" s="30"/>
      <c r="J251" s="30"/>
    </row>
    <row r="252" spans="3:10" x14ac:dyDescent="0.15">
      <c r="C252" s="30"/>
      <c r="D252" s="30"/>
      <c r="E252" s="30"/>
      <c r="F252" s="30"/>
      <c r="G252" s="30"/>
      <c r="H252" s="30"/>
      <c r="I252" s="30"/>
      <c r="J252" s="30"/>
    </row>
  </sheetData>
  <mergeCells count="12">
    <mergeCell ref="L2:W2"/>
    <mergeCell ref="N5:W5"/>
    <mergeCell ref="N6:N8"/>
    <mergeCell ref="O6:O8"/>
    <mergeCell ref="Q6:Q8"/>
    <mergeCell ref="W6:W8"/>
    <mergeCell ref="V7:V8"/>
    <mergeCell ref="L56:W57"/>
    <mergeCell ref="P6:P8"/>
    <mergeCell ref="M6:M8"/>
    <mergeCell ref="R7:R8"/>
    <mergeCell ref="S7:S8"/>
  </mergeCells>
  <phoneticPr fontId="37" type="noConversion"/>
  <pageMargins left="0.7" right="0.7" top="0.75" bottom="0.75" header="0.3" footer="0.3"/>
  <pageSetup paperSize="9" scale="55"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C252"/>
  <sheetViews>
    <sheetView workbookViewId="0">
      <pane xSplit="1" ySplit="8" topLeftCell="K50" activePane="bottomRight" state="frozen"/>
      <selection pane="topRight"/>
      <selection pane="bottomLeft"/>
      <selection pane="bottomRight" activeCell="V64" sqref="V6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2.33203125" style="29" customWidth="1"/>
    <col min="12" max="23" width="12.83203125" style="29" customWidth="1"/>
    <col min="24" max="24" width="3.1640625" style="29" customWidth="1"/>
    <col min="25" max="16384" width="10.83203125" style="29"/>
  </cols>
  <sheetData>
    <row r="1" spans="1:29" ht="14" thickBot="1" x14ac:dyDescent="0.2">
      <c r="A1" s="54"/>
      <c r="B1" s="53"/>
      <c r="C1" s="52"/>
      <c r="D1" s="52"/>
      <c r="E1" s="52"/>
      <c r="F1" s="52"/>
      <c r="G1" s="52"/>
      <c r="H1" s="52"/>
      <c r="I1" s="52"/>
      <c r="J1" s="52"/>
      <c r="K1" s="49"/>
      <c r="L1" s="49"/>
      <c r="M1" s="49"/>
    </row>
    <row r="2" spans="1:29" s="57" customFormat="1" ht="33" customHeight="1" thickTop="1" x14ac:dyDescent="0.15">
      <c r="A2" s="29"/>
      <c r="B2" s="29"/>
      <c r="C2" s="29"/>
      <c r="D2" s="29"/>
      <c r="E2" s="29"/>
      <c r="F2" s="29"/>
      <c r="G2" s="29"/>
      <c r="H2" s="29"/>
      <c r="I2" s="29"/>
      <c r="J2" s="29"/>
      <c r="K2" s="58"/>
      <c r="L2" s="2214" t="s">
        <v>400</v>
      </c>
      <c r="M2" s="2215"/>
      <c r="N2" s="2215"/>
      <c r="O2" s="2215"/>
      <c r="P2" s="2215"/>
      <c r="Q2" s="2215"/>
      <c r="R2" s="2215"/>
      <c r="S2" s="2215"/>
      <c r="T2" s="2215"/>
      <c r="U2" s="2215"/>
      <c r="V2" s="2215"/>
      <c r="W2" s="2216"/>
    </row>
    <row r="3" spans="1:29" s="57" customFormat="1" ht="14.25" customHeight="1" x14ac:dyDescent="0.15">
      <c r="A3" s="29"/>
      <c r="B3" s="29"/>
      <c r="C3" s="29"/>
      <c r="D3" s="29"/>
      <c r="E3" s="29"/>
      <c r="F3" s="29"/>
      <c r="G3" s="29"/>
      <c r="H3" s="29"/>
      <c r="I3" s="29"/>
      <c r="J3" s="29"/>
      <c r="K3" s="58"/>
      <c r="L3" s="348"/>
      <c r="M3" s="349"/>
      <c r="N3" s="349"/>
      <c r="O3" s="349"/>
      <c r="P3" s="349"/>
      <c r="Q3" s="349"/>
      <c r="R3" s="349"/>
      <c r="S3" s="349"/>
      <c r="T3" s="349"/>
      <c r="U3" s="349"/>
      <c r="V3" s="349"/>
      <c r="W3" s="350"/>
    </row>
    <row r="4" spans="1:29" x14ac:dyDescent="0.15">
      <c r="K4" s="34"/>
      <c r="L4" s="102"/>
      <c r="M4" s="1377" t="s">
        <v>1</v>
      </c>
      <c r="N4" s="1377" t="s">
        <v>2</v>
      </c>
      <c r="O4" s="1377" t="s">
        <v>3</v>
      </c>
      <c r="P4" s="1377" t="s">
        <v>4</v>
      </c>
      <c r="Q4" s="1377" t="s">
        <v>5</v>
      </c>
      <c r="R4" s="1377" t="s">
        <v>6</v>
      </c>
      <c r="S4" s="67" t="s">
        <v>7</v>
      </c>
      <c r="T4" s="1377" t="s">
        <v>8</v>
      </c>
      <c r="U4" s="1377" t="s">
        <v>9</v>
      </c>
      <c r="V4" s="1377" t="s">
        <v>10</v>
      </c>
      <c r="W4" s="104" t="s">
        <v>11</v>
      </c>
      <c r="X4" s="49"/>
    </row>
    <row r="5" spans="1:29" ht="16" customHeight="1" thickBot="1" x14ac:dyDescent="0.2">
      <c r="K5" s="48"/>
      <c r="L5" s="102"/>
      <c r="M5" s="351"/>
      <c r="N5" s="2217" t="s">
        <v>395</v>
      </c>
      <c r="O5" s="2218"/>
      <c r="P5" s="2218"/>
      <c r="Q5" s="2218"/>
      <c r="R5" s="2218"/>
      <c r="S5" s="2218"/>
      <c r="T5" s="2218"/>
      <c r="U5" s="2218"/>
      <c r="V5" s="2218"/>
      <c r="W5" s="2219"/>
    </row>
    <row r="6" spans="1:29" ht="32.25" customHeight="1" x14ac:dyDescent="0.2">
      <c r="K6" s="34"/>
      <c r="L6" s="102"/>
      <c r="M6" s="2222" t="s">
        <v>396</v>
      </c>
      <c r="N6" s="2220" t="s">
        <v>328</v>
      </c>
      <c r="O6" s="2210" t="s">
        <v>397</v>
      </c>
      <c r="P6" s="2210" t="s">
        <v>398</v>
      </c>
      <c r="Q6" s="2210" t="s">
        <v>330</v>
      </c>
      <c r="R6" s="1378"/>
      <c r="S6" s="1378"/>
      <c r="T6" s="1378"/>
      <c r="U6" s="1378"/>
      <c r="V6" s="1378"/>
      <c r="W6" s="2221" t="s">
        <v>331</v>
      </c>
    </row>
    <row r="7" spans="1:29" ht="25" customHeight="1" thickBot="1" x14ac:dyDescent="0.25">
      <c r="K7" s="34"/>
      <c r="L7" s="102"/>
      <c r="M7" s="2211"/>
      <c r="N7" s="2152"/>
      <c r="O7" s="2154"/>
      <c r="P7" s="2154"/>
      <c r="Q7" s="2154"/>
      <c r="R7" s="2213" t="s">
        <v>125</v>
      </c>
      <c r="S7" s="2154" t="s">
        <v>332</v>
      </c>
      <c r="T7" s="1293"/>
      <c r="U7" s="1293"/>
      <c r="V7" s="2161" t="s">
        <v>399</v>
      </c>
      <c r="W7" s="2156"/>
    </row>
    <row r="8" spans="1:29" ht="61" customHeight="1" thickBot="1" x14ac:dyDescent="0.2">
      <c r="K8" s="34"/>
      <c r="L8" s="103"/>
      <c r="M8" s="2212"/>
      <c r="N8" s="2153"/>
      <c r="O8" s="2155"/>
      <c r="P8" s="2155"/>
      <c r="Q8" s="2155"/>
      <c r="R8" s="2159"/>
      <c r="S8" s="2155" t="s">
        <v>332</v>
      </c>
      <c r="T8" s="397" t="s">
        <v>334</v>
      </c>
      <c r="U8" s="398" t="s">
        <v>335</v>
      </c>
      <c r="V8" s="2162"/>
      <c r="W8" s="2157"/>
    </row>
    <row r="9" spans="1:29" ht="12.75" hidden="1" customHeight="1" x14ac:dyDescent="0.15">
      <c r="K9" s="34"/>
      <c r="L9" s="38">
        <v>1970</v>
      </c>
      <c r="M9" s="352">
        <v>14</v>
      </c>
      <c r="N9" s="419">
        <v>184.61704</v>
      </c>
      <c r="O9" s="36">
        <v>159.38301000000001</v>
      </c>
      <c r="P9" s="36"/>
      <c r="Q9" s="36">
        <v>21.633673999999999</v>
      </c>
      <c r="R9" s="37">
        <v>0.86045711000000002</v>
      </c>
      <c r="S9" s="61">
        <v>13.198475999999999</v>
      </c>
      <c r="T9" s="64"/>
      <c r="U9" s="65"/>
      <c r="V9" s="35"/>
      <c r="W9" s="56">
        <v>3.6003559999999997</v>
      </c>
    </row>
    <row r="10" spans="1:29" ht="12.75" hidden="1" customHeight="1" x14ac:dyDescent="0.15">
      <c r="K10" s="34"/>
      <c r="L10" s="38">
        <f t="shared" ref="L10:L47" si="0">L9+1</f>
        <v>1971</v>
      </c>
      <c r="M10" s="352">
        <v>20</v>
      </c>
      <c r="N10" s="419">
        <v>257.50610255999999</v>
      </c>
      <c r="O10" s="36">
        <v>225.68699443000003</v>
      </c>
      <c r="P10" s="36"/>
      <c r="Q10" s="36">
        <v>25.922380647000001</v>
      </c>
      <c r="R10" s="37">
        <v>1.1980906200000001</v>
      </c>
      <c r="S10" s="61">
        <v>14.475921216000001</v>
      </c>
      <c r="T10" s="64"/>
      <c r="U10" s="65"/>
      <c r="V10" s="35"/>
      <c r="W10" s="56">
        <v>5.8967274829999479</v>
      </c>
    </row>
    <row r="11" spans="1:29" ht="12.75" hidden="1" customHeight="1" x14ac:dyDescent="0.15">
      <c r="K11" s="34"/>
      <c r="L11" s="38">
        <f t="shared" si="0"/>
        <v>1972</v>
      </c>
      <c r="M11" s="352">
        <v>23</v>
      </c>
      <c r="N11" s="419">
        <v>309.59936167999996</v>
      </c>
      <c r="O11" s="36">
        <v>268.20753964999994</v>
      </c>
      <c r="P11" s="36"/>
      <c r="Q11" s="44">
        <v>33.790628561999995</v>
      </c>
      <c r="R11" s="45">
        <v>1.41022987</v>
      </c>
      <c r="S11" s="100">
        <v>16.445797138000003</v>
      </c>
      <c r="T11" s="100"/>
      <c r="U11" s="66"/>
      <c r="V11" s="99"/>
      <c r="W11" s="60">
        <v>7.6011934680000417</v>
      </c>
    </row>
    <row r="12" spans="1:29" ht="12.75" hidden="1" customHeight="1" x14ac:dyDescent="0.15">
      <c r="K12" s="34"/>
      <c r="L12" s="38">
        <f t="shared" si="0"/>
        <v>1973</v>
      </c>
      <c r="M12" s="352">
        <v>23</v>
      </c>
      <c r="N12" s="419">
        <v>424.89523181000004</v>
      </c>
      <c r="O12" s="36">
        <v>364.33756830999999</v>
      </c>
      <c r="P12" s="36"/>
      <c r="Q12" s="44">
        <v>49.740275382</v>
      </c>
      <c r="R12" s="45">
        <v>1.5681824499999999</v>
      </c>
      <c r="S12" s="100">
        <v>25.941071351999998</v>
      </c>
      <c r="T12" s="100"/>
      <c r="U12" s="66"/>
      <c r="V12" s="99"/>
      <c r="W12" s="60">
        <v>10.817388118000025</v>
      </c>
    </row>
    <row r="13" spans="1:29" ht="12.75" hidden="1" customHeight="1" x14ac:dyDescent="0.15">
      <c r="K13" s="34"/>
      <c r="L13" s="38">
        <f t="shared" si="0"/>
        <v>1974</v>
      </c>
      <c r="M13" s="352">
        <v>37</v>
      </c>
      <c r="N13" s="419">
        <v>597.04969229999995</v>
      </c>
      <c r="O13" s="36">
        <v>519.32204029000002</v>
      </c>
      <c r="P13" s="36"/>
      <c r="Q13" s="44">
        <v>64.21533229740001</v>
      </c>
      <c r="R13" s="45">
        <v>1.4988017534</v>
      </c>
      <c r="S13" s="100">
        <v>29.040370952999996</v>
      </c>
      <c r="T13" s="100"/>
      <c r="U13" s="66"/>
      <c r="V13" s="99"/>
      <c r="W13" s="60">
        <v>13.512319712600009</v>
      </c>
    </row>
    <row r="14" spans="1:29" ht="14" x14ac:dyDescent="0.15">
      <c r="K14" s="34"/>
      <c r="L14" s="38">
        <f t="shared" si="0"/>
        <v>1975</v>
      </c>
      <c r="M14" s="353">
        <v>54</v>
      </c>
      <c r="N14" s="419">
        <f>+TableB7!N14-TableB9!N14</f>
        <v>893.25550337960397</v>
      </c>
      <c r="O14" s="36">
        <f>+TableB7!O14-TableB9!O14</f>
        <v>769.24633114753306</v>
      </c>
      <c r="P14" s="36">
        <f>+TableB7!P14-TableB9!P14</f>
        <v>0</v>
      </c>
      <c r="Q14" s="44">
        <f>+TableB7!Q14-TableB9!Q14</f>
        <v>76.458056727189586</v>
      </c>
      <c r="R14" s="45">
        <f>+TableB7!R14-TableB9!R14</f>
        <v>3.1976</v>
      </c>
      <c r="S14" s="100">
        <f>+TableB7!S14-TableB9!S14</f>
        <v>16.242710000000002</v>
      </c>
      <c r="T14" s="100">
        <f>+TableB7!T14-TableB9!T14</f>
        <v>15.308449999999999</v>
      </c>
      <c r="U14" s="66">
        <f>+TableB7!U14-TableB9!U14</f>
        <v>0.93426000000000187</v>
      </c>
      <c r="V14" s="99">
        <f>+TableB7!V14-TableB9!V14</f>
        <v>57.017746727189589</v>
      </c>
      <c r="W14" s="98">
        <f>+TableB7!W14-TableB9!W14</f>
        <v>47.551115504881309</v>
      </c>
      <c r="Y14" s="30"/>
      <c r="Z14" s="32"/>
      <c r="AA14" s="32"/>
      <c r="AB14" s="32"/>
      <c r="AC14" s="32"/>
    </row>
    <row r="15" spans="1:29" ht="14" x14ac:dyDescent="0.15">
      <c r="K15" s="34"/>
      <c r="L15" s="38">
        <f t="shared" si="0"/>
        <v>1976</v>
      </c>
      <c r="M15" s="353">
        <v>78</v>
      </c>
      <c r="N15" s="419">
        <f>+TableB7!N15-TableB9!N15</f>
        <v>1099.8668506580477</v>
      </c>
      <c r="O15" s="36">
        <f>+TableB7!O15-TableB9!O15</f>
        <v>960.37558397034297</v>
      </c>
      <c r="P15" s="36">
        <f>+TableB7!P15-TableB9!P15</f>
        <v>0</v>
      </c>
      <c r="Q15" s="44">
        <f>+TableB7!Q15-TableB9!Q15</f>
        <v>85.11986208777769</v>
      </c>
      <c r="R15" s="45">
        <f>+TableB7!R15-TableB9!R15</f>
        <v>3.3533399999999998</v>
      </c>
      <c r="S15" s="100">
        <f>+TableB7!S15-TableB9!S15</f>
        <v>19.616499999999998</v>
      </c>
      <c r="T15" s="100">
        <f>+TableB7!T15-TableB9!T15</f>
        <v>18.662110000000002</v>
      </c>
      <c r="U15" s="66">
        <f>+TableB7!U15-TableB9!U15</f>
        <v>0.95438999999999652</v>
      </c>
      <c r="V15" s="99">
        <f>+TableB7!V15-TableB9!V15</f>
        <v>62.1500220877777</v>
      </c>
      <c r="W15" s="98">
        <f>+TableB7!W15-TableB9!W15</f>
        <v>54.371404599927104</v>
      </c>
      <c r="Y15" s="30"/>
      <c r="Z15" s="32"/>
      <c r="AA15" s="32"/>
      <c r="AB15" s="32"/>
      <c r="AC15" s="32"/>
    </row>
    <row r="16" spans="1:29" ht="14" x14ac:dyDescent="0.15">
      <c r="K16" s="34"/>
      <c r="L16" s="38">
        <f t="shared" si="0"/>
        <v>1977</v>
      </c>
      <c r="M16" s="353">
        <v>104</v>
      </c>
      <c r="N16" s="419">
        <f>+TableB7!N16-TableB9!N16</f>
        <v>1458.3805554764863</v>
      </c>
      <c r="O16" s="36">
        <f>+TableB7!O16-TableB9!O16</f>
        <v>1275.8832261225941</v>
      </c>
      <c r="P16" s="36">
        <f>+TableB7!P16-TableB9!P16</f>
        <v>0</v>
      </c>
      <c r="Q16" s="44">
        <f>+TableB7!Q16-TableB9!Q16</f>
        <v>112.81179034177336</v>
      </c>
      <c r="R16" s="45">
        <f>+TableB7!R16-TableB9!R16</f>
        <v>5.1474299999999999</v>
      </c>
      <c r="S16" s="100">
        <f>+TableB7!S16-TableB9!S16</f>
        <v>28.606155999999999</v>
      </c>
      <c r="T16" s="100">
        <f>+TableB7!T16-TableB9!T16</f>
        <v>27.490160000000003</v>
      </c>
      <c r="U16" s="66">
        <f>+TableB7!U16-TableB9!U16</f>
        <v>1.1159959999999987</v>
      </c>
      <c r="V16" s="99">
        <f>+TableB7!V16-TableB9!V16</f>
        <v>79.058204341773362</v>
      </c>
      <c r="W16" s="98">
        <f>+TableB7!W16-TableB9!W16</f>
        <v>69.685539012118966</v>
      </c>
      <c r="Y16" s="30"/>
      <c r="Z16" s="32"/>
      <c r="AA16" s="32"/>
      <c r="AB16" s="32"/>
      <c r="AC16" s="32"/>
    </row>
    <row r="17" spans="11:29" ht="14" x14ac:dyDescent="0.15">
      <c r="K17" s="34"/>
      <c r="L17" s="38">
        <f t="shared" si="0"/>
        <v>1978</v>
      </c>
      <c r="M17" s="353">
        <v>110</v>
      </c>
      <c r="N17" s="419">
        <f>+TableB7!N17-TableB9!N17</f>
        <v>1719.4036668288679</v>
      </c>
      <c r="O17" s="36">
        <f>+TableB7!O17-TableB9!O17</f>
        <v>1482.891954595591</v>
      </c>
      <c r="P17" s="36">
        <f>+TableB7!P17-TableB9!P17</f>
        <v>0</v>
      </c>
      <c r="Q17" s="44">
        <f>+TableB7!Q17-TableB9!Q17</f>
        <v>149.22755216883129</v>
      </c>
      <c r="R17" s="45">
        <f>+TableB7!R17-TableB9!R17</f>
        <v>6.56691</v>
      </c>
      <c r="S17" s="100">
        <f>+TableB7!S17-TableB9!S17</f>
        <v>33.015460000000004</v>
      </c>
      <c r="T17" s="100">
        <f>+TableB7!T17-TableB9!T17</f>
        <v>31.37021</v>
      </c>
      <c r="U17" s="66">
        <f>+TableB7!U17-TableB9!U17</f>
        <v>1.6452499999999999</v>
      </c>
      <c r="V17" s="99">
        <f>+TableB7!V17-TableB9!V17</f>
        <v>109.6451821688313</v>
      </c>
      <c r="W17" s="98">
        <f>+TableB7!W17-TableB9!W17</f>
        <v>87.284160064445771</v>
      </c>
      <c r="Y17" s="30"/>
      <c r="Z17" s="32"/>
      <c r="AA17" s="32"/>
      <c r="AB17" s="32"/>
      <c r="AC17" s="32"/>
    </row>
    <row r="18" spans="11:29" ht="14" x14ac:dyDescent="0.15">
      <c r="K18" s="34"/>
      <c r="L18" s="38">
        <f t="shared" si="0"/>
        <v>1979</v>
      </c>
      <c r="M18" s="353">
        <v>114</v>
      </c>
      <c r="N18" s="419">
        <f>+TableB7!N18-TableB9!N18</f>
        <v>2223.4037714088195</v>
      </c>
      <c r="O18" s="36">
        <f>+TableB7!O18-TableB9!O18</f>
        <v>1895.7203148211356</v>
      </c>
      <c r="P18" s="36">
        <f>+TableB7!P18-TableB9!P18</f>
        <v>0</v>
      </c>
      <c r="Q18" s="44">
        <f>+TableB7!Q18-TableB9!Q18</f>
        <v>220.62228492652085</v>
      </c>
      <c r="R18" s="97">
        <f>+TableB7!R18-TableB9!R18</f>
        <v>7.4740700000000002</v>
      </c>
      <c r="S18" s="96">
        <f>+TableB7!S18-TableB9!S18</f>
        <v>42.882499999999993</v>
      </c>
      <c r="T18" s="96">
        <f>+TableB7!T18-TableB9!T18</f>
        <v>40.697499999999998</v>
      </c>
      <c r="U18" s="95">
        <f>+TableB7!U18-TableB9!U18</f>
        <v>2.1849999999999987</v>
      </c>
      <c r="V18" s="94">
        <f>+TableB7!V18-TableB9!V18</f>
        <v>170.26571492652084</v>
      </c>
      <c r="W18" s="93">
        <f>+TableB7!W18-TableB9!W18</f>
        <v>107.06117166116317</v>
      </c>
      <c r="X18" s="41"/>
      <c r="Y18" s="40"/>
      <c r="Z18" s="39"/>
      <c r="AA18" s="39"/>
      <c r="AB18" s="32"/>
      <c r="AC18" s="32"/>
    </row>
    <row r="19" spans="11:29" ht="14" x14ac:dyDescent="0.15">
      <c r="K19" s="34"/>
      <c r="L19" s="42">
        <f t="shared" si="0"/>
        <v>1980</v>
      </c>
      <c r="M19" s="354">
        <v>119</v>
      </c>
      <c r="N19" s="59">
        <f>+TableB7!N19-TableB9!N19</f>
        <v>2741.6036401283263</v>
      </c>
      <c r="O19" s="1379">
        <f>+TableB7!O19-TableB9!O19</f>
        <v>2304.1125764204885</v>
      </c>
      <c r="P19" s="1379">
        <f>+TableB7!P19-TableB9!P19</f>
        <v>0</v>
      </c>
      <c r="Q19" s="1380">
        <f>+TableB7!Q19-TableB9!Q19</f>
        <v>312.62192286279111</v>
      </c>
      <c r="R19" s="45">
        <f>+TableB7!R19-TableB9!R19</f>
        <v>8.2852999999999994</v>
      </c>
      <c r="S19" s="100">
        <f>+TableB7!S19-TableB9!S19</f>
        <v>54.642850000000003</v>
      </c>
      <c r="T19" s="100">
        <f>+TableB7!T19-TableB9!T19</f>
        <v>51.869730000000004</v>
      </c>
      <c r="U19" s="66">
        <f>+TableB7!U19-TableB9!U19</f>
        <v>2.7731199999999996</v>
      </c>
      <c r="V19" s="99">
        <f>+TableB7!V19-TableB9!V19</f>
        <v>249.69377286279109</v>
      </c>
      <c r="W19" s="98">
        <f>+TableB7!W19-TableB9!W19</f>
        <v>124.86914084504691</v>
      </c>
      <c r="X19" s="41"/>
      <c r="Y19" s="40"/>
      <c r="Z19" s="39"/>
      <c r="AA19" s="39"/>
      <c r="AB19" s="32"/>
      <c r="AC19" s="32"/>
    </row>
    <row r="20" spans="11:29" ht="14" x14ac:dyDescent="0.15">
      <c r="K20" s="34"/>
      <c r="L20" s="38">
        <f t="shared" si="0"/>
        <v>1981</v>
      </c>
      <c r="M20" s="353">
        <v>122</v>
      </c>
      <c r="N20" s="419">
        <f>+TableB7!N20-TableB9!N20</f>
        <v>2866.5698593993434</v>
      </c>
      <c r="O20" s="36">
        <f>+TableB7!O20-TableB9!O20</f>
        <v>2339.2238345806431</v>
      </c>
      <c r="P20" s="36">
        <f>+TableB7!P20-TableB9!P20</f>
        <v>0</v>
      </c>
      <c r="Q20" s="44">
        <f>+TableB7!Q20-TableB9!Q20</f>
        <v>401.6676784140094</v>
      </c>
      <c r="R20" s="45">
        <f>+TableB7!R20-TableB9!R20</f>
        <v>8.5037299999999991</v>
      </c>
      <c r="S20" s="100">
        <f>+TableB7!S20-TableB9!S20</f>
        <v>56.146829999999994</v>
      </c>
      <c r="T20" s="100">
        <f>+TableB7!T20-TableB9!T20</f>
        <v>53.128390000000003</v>
      </c>
      <c r="U20" s="66">
        <f>+TableB7!U20-TableB9!U20</f>
        <v>3.0184399999999942</v>
      </c>
      <c r="V20" s="99">
        <f>+TableB7!V20-TableB9!V20</f>
        <v>337.01711841400936</v>
      </c>
      <c r="W20" s="98">
        <f>+TableB7!W20-TableB9!W20</f>
        <v>125.67834640469081</v>
      </c>
      <c r="X20" s="41"/>
      <c r="Y20" s="40"/>
      <c r="Z20" s="39"/>
      <c r="AA20" s="39"/>
      <c r="AB20" s="32"/>
      <c r="AC20" s="32"/>
    </row>
    <row r="21" spans="11:29" ht="14" x14ac:dyDescent="0.15">
      <c r="K21" s="34"/>
      <c r="L21" s="38">
        <f t="shared" si="0"/>
        <v>1982</v>
      </c>
      <c r="M21" s="353">
        <v>126</v>
      </c>
      <c r="N21" s="419">
        <f>+TableB7!N21-TableB9!N21</f>
        <v>2767.5604432628265</v>
      </c>
      <c r="O21" s="36">
        <f>+TableB7!O21-TableB9!O21</f>
        <v>2226.8869617134096</v>
      </c>
      <c r="P21" s="36">
        <f>+TableB7!P21-TableB9!P21</f>
        <v>0</v>
      </c>
      <c r="Q21" s="44">
        <f>+TableB7!Q21-TableB9!Q21</f>
        <v>412.59901404277474</v>
      </c>
      <c r="R21" s="45">
        <f>+TableB7!R21-TableB9!R21</f>
        <v>9.0794999999999995</v>
      </c>
      <c r="S21" s="100">
        <f>+TableB7!S21-TableB9!S21</f>
        <v>42.880400000000002</v>
      </c>
      <c r="T21" s="100">
        <f>+TableB7!T21-TableB9!T21</f>
        <v>40.235099999999996</v>
      </c>
      <c r="U21" s="66">
        <f>+TableB7!U21-TableB9!U21</f>
        <v>2.645300000000006</v>
      </c>
      <c r="V21" s="99">
        <f>+TableB7!V21-TableB9!V21</f>
        <v>360.63911404277474</v>
      </c>
      <c r="W21" s="98">
        <f>+TableB7!W21-TableB9!W21</f>
        <v>128.07446750664201</v>
      </c>
      <c r="X21" s="41"/>
      <c r="Y21" s="40"/>
      <c r="Z21" s="39"/>
      <c r="AA21" s="39"/>
      <c r="AB21" s="32"/>
      <c r="AC21" s="32"/>
    </row>
    <row r="22" spans="11:29" ht="14" x14ac:dyDescent="0.15">
      <c r="K22" s="34"/>
      <c r="L22" s="38">
        <f t="shared" si="0"/>
        <v>1983</v>
      </c>
      <c r="M22" s="353">
        <v>126</v>
      </c>
      <c r="N22" s="419">
        <f>+TableB7!N22-TableB9!N22</f>
        <v>2656.1395335098487</v>
      </c>
      <c r="O22" s="36">
        <f>+TableB7!O22-TableB9!O22</f>
        <v>2169.5702593776032</v>
      </c>
      <c r="P22" s="36">
        <f>+TableB7!P22-TableB9!P22</f>
        <v>0</v>
      </c>
      <c r="Q22" s="44">
        <f>+TableB7!Q22-TableB9!Q22</f>
        <v>360.65671936583459</v>
      </c>
      <c r="R22" s="45">
        <f>+TableB7!R22-TableB9!R22</f>
        <v>9.0518999999999998</v>
      </c>
      <c r="S22" s="100">
        <f>+TableB7!S22-TableB9!S22</f>
        <v>41.268750000000004</v>
      </c>
      <c r="T22" s="100">
        <f>+TableB7!T22-TableB9!T22</f>
        <v>38.66037</v>
      </c>
      <c r="U22" s="66">
        <f>+TableB7!U22-TableB9!U22</f>
        <v>2.6083800000000004</v>
      </c>
      <c r="V22" s="99">
        <f>+TableB7!V22-TableB9!V22</f>
        <v>310.33606936583465</v>
      </c>
      <c r="W22" s="98">
        <f>+TableB7!W22-TableB9!W22</f>
        <v>125.91255476641082</v>
      </c>
      <c r="X22" s="41"/>
      <c r="Y22" s="40"/>
      <c r="Z22" s="39"/>
      <c r="AA22" s="39"/>
      <c r="AB22" s="32"/>
      <c r="AC22" s="32"/>
    </row>
    <row r="23" spans="11:29" ht="14" x14ac:dyDescent="0.15">
      <c r="K23" s="34"/>
      <c r="L23" s="38">
        <f t="shared" si="0"/>
        <v>1984</v>
      </c>
      <c r="M23" s="353">
        <v>127</v>
      </c>
      <c r="N23" s="419">
        <f>+TableB7!N23-TableB9!N23</f>
        <v>2815.3323324233661</v>
      </c>
      <c r="O23" s="36">
        <f>+TableB7!O23-TableB9!O23</f>
        <v>2284.0414756672826</v>
      </c>
      <c r="P23" s="36">
        <f>+TableB7!P23-TableB9!P23</f>
        <v>0</v>
      </c>
      <c r="Q23" s="44">
        <f>+TableB7!Q23-TableB9!Q23</f>
        <v>403.06417933536812</v>
      </c>
      <c r="R23" s="45">
        <f>+TableB7!R23-TableB9!R23</f>
        <v>8.797600000000001</v>
      </c>
      <c r="S23" s="100">
        <f>+TableB7!S23-TableB9!S23</f>
        <v>45.850499999999997</v>
      </c>
      <c r="T23" s="100">
        <f>+TableB7!T23-TableB9!T23</f>
        <v>43.227200000000003</v>
      </c>
      <c r="U23" s="66">
        <f>+TableB7!U23-TableB9!U23</f>
        <v>2.6232999999999986</v>
      </c>
      <c r="V23" s="99">
        <f>+TableB7!V23-TableB9!V23</f>
        <v>348.41607933536812</v>
      </c>
      <c r="W23" s="98">
        <f>+TableB7!W23-TableB9!W23</f>
        <v>128.2266774207153</v>
      </c>
      <c r="X23" s="41"/>
      <c r="Y23" s="40"/>
      <c r="Z23" s="39"/>
      <c r="AA23" s="39"/>
      <c r="AB23" s="32"/>
      <c r="AC23" s="32"/>
    </row>
    <row r="24" spans="11:29" ht="14" x14ac:dyDescent="0.15">
      <c r="K24" s="34"/>
      <c r="L24" s="38">
        <f t="shared" si="0"/>
        <v>1985</v>
      </c>
      <c r="M24" s="353">
        <v>129</v>
      </c>
      <c r="N24" s="419">
        <f>+TableB7!N24-TableB9!N24</f>
        <v>2838.9711083258808</v>
      </c>
      <c r="O24" s="36">
        <f>+TableB7!O24-TableB9!O24</f>
        <v>2304.2268986379399</v>
      </c>
      <c r="P24" s="36">
        <f>+TableB7!P24-TableB9!P24</f>
        <v>0</v>
      </c>
      <c r="Q24" s="44">
        <f>+TableB7!Q24-TableB9!Q24</f>
        <v>403.66919155844727</v>
      </c>
      <c r="R24" s="45">
        <f>+TableB7!R24-TableB9!R24</f>
        <v>9.3786999999999985</v>
      </c>
      <c r="S24" s="100">
        <f>+TableB7!S24-TableB9!S24</f>
        <v>44.628680000000003</v>
      </c>
      <c r="T24" s="100">
        <f>+TableB7!T24-TableB9!T24</f>
        <v>43.517510000000001</v>
      </c>
      <c r="U24" s="66">
        <f>+TableB7!U24-TableB9!U24</f>
        <v>1.1111700000000013</v>
      </c>
      <c r="V24" s="99">
        <f>+TableB7!V24-TableB9!V24</f>
        <v>349.66181155844731</v>
      </c>
      <c r="W24" s="98">
        <f>+TableB7!W24-TableB9!W24</f>
        <v>131.07501812949337</v>
      </c>
      <c r="X24" s="41"/>
      <c r="Y24" s="40"/>
      <c r="Z24" s="39"/>
      <c r="AA24" s="39"/>
      <c r="AB24" s="32"/>
      <c r="AC24" s="32"/>
    </row>
    <row r="25" spans="11:29" ht="14" x14ac:dyDescent="0.15">
      <c r="K25" s="34"/>
      <c r="L25" s="38">
        <f t="shared" si="0"/>
        <v>1986</v>
      </c>
      <c r="M25" s="353">
        <v>131</v>
      </c>
      <c r="N25" s="419">
        <f>+TableB7!N25-TableB9!N25</f>
        <v>3133.7802651232787</v>
      </c>
      <c r="O25" s="36">
        <f>+TableB7!O25-TableB9!O25</f>
        <v>2539.6518842641426</v>
      </c>
      <c r="P25" s="36">
        <f>+TableB7!P25-TableB9!P25</f>
        <v>0</v>
      </c>
      <c r="Q25" s="44">
        <f>+TableB7!Q25-TableB9!Q25</f>
        <v>436.78869984145769</v>
      </c>
      <c r="R25" s="45">
        <f>+TableB7!R25-TableB9!R25</f>
        <v>13.573137976170001</v>
      </c>
      <c r="S25" s="100">
        <f>+TableB7!S25-TableB9!S25</f>
        <v>44.789199999999994</v>
      </c>
      <c r="T25" s="100">
        <f>+TableB7!T25-TableB9!T25</f>
        <v>40.174600000000005</v>
      </c>
      <c r="U25" s="66">
        <f>+TableB7!U25-TableB9!U25</f>
        <v>4.6145999999999923</v>
      </c>
      <c r="V25" s="99">
        <f>+TableB7!V25-TableB9!V25</f>
        <v>378.42636186528773</v>
      </c>
      <c r="W25" s="98">
        <f>+TableB7!W25-TableB9!W25</f>
        <v>157.33968101767832</v>
      </c>
      <c r="X25" s="41"/>
      <c r="Y25" s="40"/>
      <c r="Z25" s="39"/>
      <c r="AA25" s="39"/>
      <c r="AB25" s="32"/>
      <c r="AC25" s="32"/>
    </row>
    <row r="26" spans="11:29" ht="14" x14ac:dyDescent="0.15">
      <c r="K26" s="34"/>
      <c r="L26" s="38">
        <f t="shared" si="0"/>
        <v>1987</v>
      </c>
      <c r="M26" s="353">
        <v>130</v>
      </c>
      <c r="N26" s="419">
        <f>+TableB7!N26-TableB9!N26</f>
        <v>3679.636513181566</v>
      </c>
      <c r="O26" s="36">
        <f>+TableB7!O26-TableB9!O26</f>
        <v>2979.0562133782596</v>
      </c>
      <c r="P26" s="36">
        <f>+TableB7!P26-TableB9!P26</f>
        <v>0</v>
      </c>
      <c r="Q26" s="44">
        <f>+TableB7!Q26-TableB9!Q26</f>
        <v>514.13599599603265</v>
      </c>
      <c r="R26" s="45">
        <f>+TableB7!R26-TableB9!R26</f>
        <v>16.696000000000002</v>
      </c>
      <c r="S26" s="100">
        <f>+TableB7!S26-TableB9!S26</f>
        <v>56.502400000000002</v>
      </c>
      <c r="T26" s="100">
        <f>+TableB7!T26-TableB9!T26</f>
        <v>51.051099999999991</v>
      </c>
      <c r="U26" s="66">
        <f>+TableB7!U26-TableB9!U26</f>
        <v>5.4513000000000105</v>
      </c>
      <c r="V26" s="99">
        <f>+TableB7!V26-TableB9!V26</f>
        <v>440.93759599603266</v>
      </c>
      <c r="W26" s="98">
        <f>+TableB7!W26-TableB9!W26</f>
        <v>186.44430380727371</v>
      </c>
      <c r="X26" s="41"/>
      <c r="Y26" s="40"/>
      <c r="Z26" s="39"/>
      <c r="AA26" s="39"/>
      <c r="AB26" s="32"/>
      <c r="AC26" s="32"/>
    </row>
    <row r="27" spans="11:29" ht="14" x14ac:dyDescent="0.15">
      <c r="K27" s="34"/>
      <c r="L27" s="38">
        <f t="shared" si="0"/>
        <v>1988</v>
      </c>
      <c r="M27" s="353">
        <v>129</v>
      </c>
      <c r="N27" s="419">
        <f>+TableB7!N27-TableB9!N27</f>
        <v>4237.2931575935772</v>
      </c>
      <c r="O27" s="36">
        <f>+TableB7!O27-TableB9!O27</f>
        <v>3387.1285371985728</v>
      </c>
      <c r="P27" s="36">
        <f>+TableB7!P27-TableB9!P27</f>
        <v>0</v>
      </c>
      <c r="Q27" s="44">
        <f>+TableB7!Q27-TableB9!Q27</f>
        <v>631.78561524020563</v>
      </c>
      <c r="R27" s="45">
        <f>+TableB7!R27-TableB9!R27</f>
        <v>18.258500000000002</v>
      </c>
      <c r="S27" s="100">
        <f>+TableB7!S27-TableB9!S27</f>
        <v>70.997299999999996</v>
      </c>
      <c r="T27" s="100">
        <f>+TableB7!T27-TableB9!T27</f>
        <v>62.862000000000002</v>
      </c>
      <c r="U27" s="66">
        <f>+TableB7!U27-TableB9!U27</f>
        <v>8.1352999999999938</v>
      </c>
      <c r="V27" s="99">
        <f>+TableB7!V27-TableB9!V27</f>
        <v>542.52981524020561</v>
      </c>
      <c r="W27" s="98">
        <f>+TableB7!W27-TableB9!W27</f>
        <v>218.3790051547991</v>
      </c>
      <c r="X27" s="41"/>
      <c r="Y27" s="40"/>
      <c r="Z27" s="39"/>
      <c r="AA27" s="39"/>
      <c r="AB27" s="32"/>
      <c r="AC27" s="32"/>
    </row>
    <row r="28" spans="11:29" ht="14" x14ac:dyDescent="0.15">
      <c r="K28" s="34"/>
      <c r="L28" s="38">
        <f t="shared" si="0"/>
        <v>1989</v>
      </c>
      <c r="M28" s="353">
        <v>128</v>
      </c>
      <c r="N28" s="419">
        <f>+TableB7!N28-TableB9!N28</f>
        <v>4672.871898647305</v>
      </c>
      <c r="O28" s="36">
        <f>+TableB7!O28-TableB9!O28</f>
        <v>3672.7811251280223</v>
      </c>
      <c r="P28" s="36">
        <f>+TableB7!P28-TableB9!P28</f>
        <v>0</v>
      </c>
      <c r="Q28" s="44">
        <f>+TableB7!Q28-TableB9!Q28</f>
        <v>767.06408874528518</v>
      </c>
      <c r="R28" s="97">
        <f>+TableB7!R28-TableB9!R28</f>
        <v>20.100200000000001</v>
      </c>
      <c r="S28" s="96">
        <f>+TableB7!S28-TableB9!S28</f>
        <v>73.725200000000001</v>
      </c>
      <c r="T28" s="96">
        <f>+TableB7!T28-TableB9!T28</f>
        <v>60.912399999999998</v>
      </c>
      <c r="U28" s="95">
        <f>+TableB7!U28-TableB9!U28</f>
        <v>12.81280000000001</v>
      </c>
      <c r="V28" s="94">
        <f>+TableB7!V28-TableB9!V28</f>
        <v>673.23868874528512</v>
      </c>
      <c r="W28" s="93">
        <f>+TableB7!W28-TableB9!W28</f>
        <v>233.02668477399703</v>
      </c>
      <c r="X28" s="41"/>
      <c r="Y28" s="40"/>
      <c r="Z28" s="39"/>
      <c r="AA28" s="39"/>
      <c r="AB28" s="32"/>
      <c r="AC28" s="32"/>
    </row>
    <row r="29" spans="11:29" ht="14" x14ac:dyDescent="0.15">
      <c r="K29" s="34"/>
      <c r="L29" s="42">
        <f t="shared" si="0"/>
        <v>1990</v>
      </c>
      <c r="M29" s="354">
        <v>129</v>
      </c>
      <c r="N29" s="59">
        <f>+TableB7!N29-TableB9!N29</f>
        <v>5465.8097970270537</v>
      </c>
      <c r="O29" s="1379">
        <f>+TableB7!O29-TableB9!O29</f>
        <v>4247.9364683778749</v>
      </c>
      <c r="P29" s="1379">
        <f>+TableB7!P29-TableB9!P29</f>
        <v>0</v>
      </c>
      <c r="Q29" s="1380">
        <f>+TableB7!Q29-TableB9!Q29</f>
        <v>928.91762004290172</v>
      </c>
      <c r="R29" s="45">
        <f>+TableB7!R29-TableB9!R29</f>
        <v>25.663399999999999</v>
      </c>
      <c r="S29" s="100">
        <f>+TableB7!S29-TableB9!S29</f>
        <v>69.615899999999996</v>
      </c>
      <c r="T29" s="100">
        <f>+TableB7!T29-TableB9!T29</f>
        <v>52.531700000000001</v>
      </c>
      <c r="U29" s="66">
        <f>+TableB7!U29-TableB9!U29</f>
        <v>17.084199999999996</v>
      </c>
      <c r="V29" s="99">
        <f>+TableB7!V29-TableB9!V29</f>
        <v>833.63832004290168</v>
      </c>
      <c r="W29" s="98">
        <f>+TableB7!W29-TableB9!W29</f>
        <v>288.95570860627686</v>
      </c>
      <c r="X29" s="41"/>
      <c r="Y29" s="40"/>
      <c r="Z29" s="39"/>
      <c r="AA29" s="39"/>
      <c r="AB29" s="32"/>
      <c r="AC29" s="32"/>
    </row>
    <row r="30" spans="11:29" ht="14" x14ac:dyDescent="0.15">
      <c r="K30" s="34"/>
      <c r="L30" s="38">
        <f t="shared" si="0"/>
        <v>1991</v>
      </c>
      <c r="M30" s="353">
        <v>127</v>
      </c>
      <c r="N30" s="419">
        <f>+TableB7!N30-TableB9!N30</f>
        <v>5685.9933999815557</v>
      </c>
      <c r="O30" s="36">
        <f>+TableB7!O30-TableB9!O30</f>
        <v>4369.3269548892122</v>
      </c>
      <c r="P30" s="36">
        <f>+TableB7!P30-TableB9!P30</f>
        <v>0</v>
      </c>
      <c r="Q30" s="44">
        <f>+TableB7!Q30-TableB9!Q30</f>
        <v>958.78467646918591</v>
      </c>
      <c r="R30" s="45">
        <f>+TableB7!R30-TableB9!R30</f>
        <v>25.745699999999999</v>
      </c>
      <c r="S30" s="100">
        <f>+TableB7!S30-TableB9!S30</f>
        <v>55.015699999999995</v>
      </c>
      <c r="T30" s="100">
        <f>+TableB7!T30-TableB9!T30</f>
        <v>36.445099999999996</v>
      </c>
      <c r="U30" s="66">
        <f>+TableB7!U30-TableB9!U30</f>
        <v>18.570599999999999</v>
      </c>
      <c r="V30" s="99">
        <f>+TableB7!V30-TableB9!V30</f>
        <v>878.02327646918593</v>
      </c>
      <c r="W30" s="98">
        <f>+TableB7!W30-TableB9!W30</f>
        <v>357.8817686231572</v>
      </c>
      <c r="X30" s="41"/>
      <c r="Y30" s="40"/>
      <c r="Z30" s="39"/>
      <c r="AA30" s="39"/>
      <c r="AB30" s="32"/>
      <c r="AC30" s="32"/>
    </row>
    <row r="31" spans="11:29" ht="14" x14ac:dyDescent="0.15">
      <c r="K31" s="34"/>
      <c r="L31" s="38">
        <f t="shared" si="0"/>
        <v>1992</v>
      </c>
      <c r="M31" s="353">
        <v>129</v>
      </c>
      <c r="N31" s="419">
        <f>+TableB7!N31-TableB9!N31</f>
        <v>5974.0331424386259</v>
      </c>
      <c r="O31" s="36">
        <f>+TableB7!O31-TableB9!O31</f>
        <v>4661.7307387548472</v>
      </c>
      <c r="P31" s="36">
        <f>+TableB7!P31-TableB9!P31</f>
        <v>0</v>
      </c>
      <c r="Q31" s="44">
        <f>+TableB7!Q31-TableB9!Q31</f>
        <v>971.56572167054981</v>
      </c>
      <c r="R31" s="45">
        <f>+TableB7!R31-TableB9!R31</f>
        <v>29.316099999999999</v>
      </c>
      <c r="S31" s="100">
        <f>+TableB7!S31-TableB9!S31</f>
        <v>56.536400000000008</v>
      </c>
      <c r="T31" s="100">
        <f>+TableB7!T31-TableB9!T31</f>
        <v>40.320699999999988</v>
      </c>
      <c r="U31" s="66">
        <f>+TableB7!U31-TableB9!U31</f>
        <v>16.21570000000002</v>
      </c>
      <c r="V31" s="99">
        <f>+TableB7!V31-TableB9!V31</f>
        <v>885.71322167054984</v>
      </c>
      <c r="W31" s="98">
        <f>+TableB7!W31-TableB9!W31</f>
        <v>340.7366820132296</v>
      </c>
      <c r="X31" s="41"/>
      <c r="Y31" s="40"/>
      <c r="Z31" s="39"/>
      <c r="AA31" s="39"/>
      <c r="AB31" s="32"/>
      <c r="AC31" s="32"/>
    </row>
    <row r="32" spans="11:29" ht="14" x14ac:dyDescent="0.15">
      <c r="K32" s="34"/>
      <c r="L32" s="38">
        <f t="shared" si="0"/>
        <v>1993</v>
      </c>
      <c r="M32" s="353">
        <v>130</v>
      </c>
      <c r="N32" s="419">
        <f>+TableB7!N32-TableB9!N32</f>
        <v>5907.4475023790301</v>
      </c>
      <c r="O32" s="36">
        <f>+TableB7!O32-TableB9!O32</f>
        <v>4606.9556279935068</v>
      </c>
      <c r="P32" s="36">
        <f>+TableB7!P32-TableB9!P32</f>
        <v>0</v>
      </c>
      <c r="Q32" s="44">
        <f>+TableB7!Q32-TableB9!Q32</f>
        <v>972.45441155187154</v>
      </c>
      <c r="R32" s="45">
        <f>+TableB7!R32-TableB9!R32</f>
        <v>28.581399999999999</v>
      </c>
      <c r="S32" s="100">
        <f>+TableB7!S32-TableB9!S32</f>
        <v>76.445099999999996</v>
      </c>
      <c r="T32" s="100">
        <f>+TableB7!T32-TableB9!T32</f>
        <v>61.316199999999995</v>
      </c>
      <c r="U32" s="66">
        <f>+TableB7!U32-TableB9!U32</f>
        <v>15.128900000000002</v>
      </c>
      <c r="V32" s="99">
        <f>+TableB7!V32-TableB9!V32</f>
        <v>867.4279115518716</v>
      </c>
      <c r="W32" s="98">
        <f>+TableB7!W32-TableB9!W32</f>
        <v>328.03746283365149</v>
      </c>
      <c r="X32" s="41"/>
      <c r="Y32" s="40"/>
      <c r="Z32" s="39"/>
      <c r="AA32" s="39"/>
      <c r="AB32" s="32"/>
      <c r="AC32" s="32"/>
    </row>
    <row r="33" spans="3:29" s="41" customFormat="1" ht="14" x14ac:dyDescent="0.15">
      <c r="K33" s="47"/>
      <c r="L33" s="46">
        <f t="shared" si="0"/>
        <v>1994</v>
      </c>
      <c r="M33" s="355">
        <v>131</v>
      </c>
      <c r="N33" s="420">
        <f>+TableB7!N33-TableB9!N33</f>
        <v>6577.5118000000002</v>
      </c>
      <c r="O33" s="44">
        <f>+TableB7!O33-TableB9!O33</f>
        <v>5237.2651999999998</v>
      </c>
      <c r="P33" s="44">
        <f>+TableB7!P33-TableB9!P33</f>
        <v>0</v>
      </c>
      <c r="Q33" s="44">
        <f>+TableB7!Q33-TableB9!Q33</f>
        <v>993.34789999999998</v>
      </c>
      <c r="R33" s="45">
        <f>+TableB7!R33-TableB9!R33</f>
        <v>27.209299999999999</v>
      </c>
      <c r="S33" s="100">
        <f>+TableB7!S33-TableB9!S33</f>
        <v>109.9438</v>
      </c>
      <c r="T33" s="100">
        <f>+TableB7!T33-TableB9!T33</f>
        <v>94.387500000000003</v>
      </c>
      <c r="U33" s="66">
        <f>+TableB7!U33-TableB9!U33</f>
        <v>15.556299999999993</v>
      </c>
      <c r="V33" s="99">
        <f>+TableB7!V33-TableB9!V33</f>
        <v>856.19479999999999</v>
      </c>
      <c r="W33" s="60">
        <f>+TableB7!W33-TableB9!W33</f>
        <v>346.90280000000001</v>
      </c>
      <c r="Y33" s="40"/>
      <c r="Z33" s="39"/>
      <c r="AA33" s="39"/>
      <c r="AB33" s="39"/>
      <c r="AC33" s="39"/>
    </row>
    <row r="34" spans="3:29" ht="14" x14ac:dyDescent="0.15">
      <c r="K34" s="34"/>
      <c r="L34" s="38">
        <f t="shared" si="0"/>
        <v>1995</v>
      </c>
      <c r="M34" s="353">
        <v>130</v>
      </c>
      <c r="N34" s="419">
        <f>+TableB7!N34-TableB9!N34</f>
        <v>7800.4845999999998</v>
      </c>
      <c r="O34" s="36">
        <f>+TableB7!O34-TableB9!O34</f>
        <v>6244.9587000000001</v>
      </c>
      <c r="P34" s="36">
        <f>+TableB7!P34-TableB9!P34</f>
        <v>0</v>
      </c>
      <c r="Q34" s="44">
        <f>+TableB7!Q34-TableB9!Q34</f>
        <v>1180.2927</v>
      </c>
      <c r="R34" s="45">
        <f>+TableB7!R34-TableB9!R34</f>
        <v>32.430399999999999</v>
      </c>
      <c r="S34" s="100">
        <f>+TableB7!S34-TableB9!S34</f>
        <v>144.01639999999998</v>
      </c>
      <c r="T34" s="100">
        <f>+TableB7!T34-TableB9!T34</f>
        <v>124.215</v>
      </c>
      <c r="U34" s="66">
        <f>+TableB7!U34-TableB9!U34</f>
        <v>19.801399999999994</v>
      </c>
      <c r="V34" s="99">
        <f>+TableB7!V34-TableB9!V34</f>
        <v>1003.8459</v>
      </c>
      <c r="W34" s="60">
        <f>+TableB7!W34-TableB9!W34</f>
        <v>375.24349999999998</v>
      </c>
      <c r="X34" s="41"/>
      <c r="Y34" s="40"/>
      <c r="Z34" s="39"/>
      <c r="AA34" s="39"/>
      <c r="AB34" s="32"/>
      <c r="AC34" s="32"/>
    </row>
    <row r="35" spans="3:29" ht="14" x14ac:dyDescent="0.15">
      <c r="K35" s="34"/>
      <c r="L35" s="38">
        <f t="shared" si="0"/>
        <v>1996</v>
      </c>
      <c r="M35" s="353">
        <v>131</v>
      </c>
      <c r="N35" s="419">
        <f>+TableB7!N35-TableB9!N35</f>
        <v>8127.7673000000004</v>
      </c>
      <c r="O35" s="36">
        <f>+TableB7!O35-TableB9!O35</f>
        <v>6588.5652999999993</v>
      </c>
      <c r="P35" s="36">
        <f>+TableB7!P35-TableB9!P35</f>
        <v>0</v>
      </c>
      <c r="Q35" s="44">
        <f>+TableB7!Q35-TableB9!Q35</f>
        <v>1139.1562000000001</v>
      </c>
      <c r="R35" s="45">
        <f>+TableB7!R35-TableB9!R35</f>
        <v>33.113999999999997</v>
      </c>
      <c r="S35" s="100">
        <f>+TableB7!S35-TableB9!S35</f>
        <v>166.61849999999998</v>
      </c>
      <c r="T35" s="100">
        <f>+TableB7!T35-TableB9!T35</f>
        <v>146.08250000000001</v>
      </c>
      <c r="U35" s="66">
        <f>+TableB7!U35-TableB9!U35</f>
        <v>20.535999999999987</v>
      </c>
      <c r="V35" s="99">
        <f>+TableB7!V35-TableB9!V35</f>
        <v>939.42370000000005</v>
      </c>
      <c r="W35" s="60">
        <f>+TableB7!W35-TableB9!W35</f>
        <v>400.04919999999998</v>
      </c>
      <c r="X35" s="41"/>
      <c r="Y35" s="40"/>
      <c r="Z35" s="39"/>
      <c r="AA35" s="39"/>
      <c r="AB35" s="32"/>
      <c r="AC35" s="32"/>
    </row>
    <row r="36" spans="3:29" ht="14" x14ac:dyDescent="0.15">
      <c r="K36" s="34"/>
      <c r="L36" s="38">
        <f t="shared" si="0"/>
        <v>1997</v>
      </c>
      <c r="M36" s="353">
        <v>137</v>
      </c>
      <c r="N36" s="419">
        <f>+TableB7!N36-TableB9!N36</f>
        <v>8379.1577300000008</v>
      </c>
      <c r="O36" s="36">
        <f>+TableB7!O36-TableB9!O36</f>
        <v>6816.5438899999999</v>
      </c>
      <c r="P36" s="36">
        <f>+TableB7!P36-TableB9!P36</f>
        <v>0</v>
      </c>
      <c r="Q36" s="44">
        <f>+TableB7!Q36-TableB9!Q36</f>
        <v>1178.8432</v>
      </c>
      <c r="R36" s="45">
        <f>+TableB7!R36-TableB9!R36</f>
        <v>32.645899999999997</v>
      </c>
      <c r="S36" s="100">
        <f>+TableB7!S36-TableB9!S36</f>
        <v>192.01740000000001</v>
      </c>
      <c r="T36" s="100">
        <f>+TableB7!T36-TableB9!T36</f>
        <v>168.9436</v>
      </c>
      <c r="U36" s="66">
        <f>+TableB7!U36-TableB9!U36</f>
        <v>23.073800000000034</v>
      </c>
      <c r="V36" s="99">
        <f>+TableB7!V36-TableB9!V36</f>
        <v>954.17990000000009</v>
      </c>
      <c r="W36" s="60">
        <f>+TableB7!W36-TableB9!W36</f>
        <v>383.77319999999997</v>
      </c>
      <c r="X36" s="41"/>
      <c r="Y36" s="40"/>
      <c r="Z36" s="39"/>
      <c r="AA36" s="39"/>
      <c r="AB36" s="32"/>
      <c r="AC36" s="32"/>
    </row>
    <row r="37" spans="3:29" ht="14" x14ac:dyDescent="0.15">
      <c r="K37" s="34"/>
      <c r="L37" s="38">
        <f t="shared" si="0"/>
        <v>1998</v>
      </c>
      <c r="M37" s="353">
        <v>140</v>
      </c>
      <c r="N37" s="419">
        <f>+TableB7!N37-TableB9!N37</f>
        <v>8487.5807999999997</v>
      </c>
      <c r="O37" s="36">
        <f>+TableB7!O37-TableB9!O37</f>
        <v>6778.7067400000005</v>
      </c>
      <c r="P37" s="36">
        <f>+TableB7!P37-TableB9!P37</f>
        <v>0</v>
      </c>
      <c r="Q37" s="44">
        <f>+TableB7!Q37-TableB9!Q37</f>
        <v>1305.4815999999998</v>
      </c>
      <c r="R37" s="45">
        <f>+TableB7!R37-TableB9!R37</f>
        <v>34.0017</v>
      </c>
      <c r="S37" s="100">
        <f>+TableB7!S37-TableB9!S37</f>
        <v>210.51699999999997</v>
      </c>
      <c r="T37" s="100">
        <f>+TableB7!T37-TableB9!T37</f>
        <v>180.3314</v>
      </c>
      <c r="U37" s="66">
        <f>+TableB7!U37-TableB9!U37</f>
        <v>30.185599999999972</v>
      </c>
      <c r="V37" s="99">
        <f>+TableB7!V37-TableB9!V37</f>
        <v>1060.9629</v>
      </c>
      <c r="W37" s="60">
        <f>+TableB7!W37-TableB9!W37</f>
        <v>403.39850000000001</v>
      </c>
      <c r="X37" s="41"/>
      <c r="Y37" s="40"/>
      <c r="Z37" s="39"/>
      <c r="AA37" s="39"/>
      <c r="AB37" s="32"/>
      <c r="AC37" s="32"/>
    </row>
    <row r="38" spans="3:29" ht="14" x14ac:dyDescent="0.15">
      <c r="K38" s="34"/>
      <c r="L38" s="38">
        <f t="shared" si="0"/>
        <v>1999</v>
      </c>
      <c r="M38" s="353">
        <v>142</v>
      </c>
      <c r="N38" s="419">
        <f>+TableB7!N38-TableB9!N38</f>
        <v>8817.3940000000002</v>
      </c>
      <c r="O38" s="36">
        <f>+TableB7!O38-TableB9!O38</f>
        <v>7059.7047600000005</v>
      </c>
      <c r="P38" s="36">
        <f>+TableB7!P38-TableB9!P38</f>
        <v>0</v>
      </c>
      <c r="Q38" s="44">
        <f>+TableB7!Q38-TableB9!Q38</f>
        <v>1350.8055999999999</v>
      </c>
      <c r="R38" s="97">
        <f>+TableB7!R38-TableB9!R38</f>
        <v>35.855399999999996</v>
      </c>
      <c r="S38" s="96">
        <f>+TableB7!S38-TableB9!S38</f>
        <v>274.33929999999998</v>
      </c>
      <c r="T38" s="96">
        <f>+TableB7!T38-TableB9!T38</f>
        <v>210.78799999999998</v>
      </c>
      <c r="U38" s="95">
        <f>+TableB7!U38-TableB9!U38</f>
        <v>63.551300000000026</v>
      </c>
      <c r="V38" s="94">
        <f>+TableB7!V38-TableB9!V38</f>
        <v>1040.6109000000001</v>
      </c>
      <c r="W38" s="92">
        <f>+TableB7!W38-TableB9!W38</f>
        <v>406.8811</v>
      </c>
      <c r="X38" s="41"/>
      <c r="Y38" s="40"/>
      <c r="Z38" s="39"/>
      <c r="AA38" s="39"/>
      <c r="AB38" s="32"/>
      <c r="AC38" s="32"/>
    </row>
    <row r="39" spans="3:29" ht="14" x14ac:dyDescent="0.15">
      <c r="K39" s="34"/>
      <c r="L39" s="42">
        <f t="shared" si="0"/>
        <v>2000</v>
      </c>
      <c r="M39" s="354">
        <v>142</v>
      </c>
      <c r="N39" s="59">
        <f>+TableB7!N39-TableB9!N39</f>
        <v>9816.3559999999998</v>
      </c>
      <c r="O39" s="1379">
        <f>+TableB7!O39-TableB9!O39</f>
        <v>7892.3643499999998</v>
      </c>
      <c r="P39" s="1379">
        <f>+TableB7!P39-TableB9!P39</f>
        <v>0</v>
      </c>
      <c r="Q39" s="1380">
        <f>+TableB7!Q39-TableB9!Q39</f>
        <v>1522.3815</v>
      </c>
      <c r="R39" s="45">
        <f>+TableB7!R39-TableB9!R39</f>
        <v>36.976300000000002</v>
      </c>
      <c r="S39" s="100">
        <f>+TableB7!S39-TableB9!S39</f>
        <v>336.48159999999996</v>
      </c>
      <c r="T39" s="100">
        <f>+TableB7!T39-TableB9!T39</f>
        <v>255.87799999999999</v>
      </c>
      <c r="U39" s="66">
        <f>+TableB7!U39-TableB9!U39</f>
        <v>80.603599999999986</v>
      </c>
      <c r="V39" s="99">
        <f>+TableB7!V39-TableB9!V39</f>
        <v>1148.9236000000001</v>
      </c>
      <c r="W39" s="60">
        <f>+TableB7!W39-TableB9!W39</f>
        <v>401.60910000000001</v>
      </c>
      <c r="X39" s="41"/>
      <c r="Y39" s="40"/>
      <c r="Z39" s="39"/>
      <c r="AA39" s="39"/>
      <c r="AB39" s="32"/>
      <c r="AC39" s="32"/>
    </row>
    <row r="40" spans="3:29" ht="14" x14ac:dyDescent="0.15">
      <c r="K40" s="34"/>
      <c r="L40" s="38">
        <f t="shared" si="0"/>
        <v>2001</v>
      </c>
      <c r="M40" s="353">
        <v>143</v>
      </c>
      <c r="N40" s="419">
        <f>+TableB7!N40-TableB9!N40</f>
        <v>9483.7260000000006</v>
      </c>
      <c r="O40" s="36">
        <f>+TableB7!O40-TableB9!O40</f>
        <v>7658.4949000000006</v>
      </c>
      <c r="P40" s="36">
        <f>+TableB7!P40-TableB9!P40</f>
        <v>0</v>
      </c>
      <c r="Q40" s="44">
        <f>+TableB7!Q40-TableB9!Q40</f>
        <v>1404.7582</v>
      </c>
      <c r="R40" s="45">
        <f>+TableB7!R40-TableB9!R40</f>
        <v>39.871299999999998</v>
      </c>
      <c r="S40" s="100">
        <f>+TableB7!S40-TableB9!S40</f>
        <v>262.13900000000001</v>
      </c>
      <c r="T40" s="100">
        <f>+TableB7!T40-TableB9!T40</f>
        <v>179.11999999999998</v>
      </c>
      <c r="U40" s="66">
        <f>+TableB7!U40-TableB9!U40</f>
        <v>83.019000000000034</v>
      </c>
      <c r="V40" s="99">
        <f>+TableB7!V40-TableB9!V40</f>
        <v>1102.7479000000001</v>
      </c>
      <c r="W40" s="60">
        <f>+TableB7!W40-TableB9!W40</f>
        <v>420.46980000000002</v>
      </c>
      <c r="X40" s="41"/>
      <c r="Y40" s="40"/>
      <c r="Z40" s="39"/>
      <c r="AA40" s="39"/>
      <c r="AB40" s="32"/>
      <c r="AC40" s="32"/>
    </row>
    <row r="41" spans="3:29" ht="14" x14ac:dyDescent="0.15">
      <c r="K41" s="34"/>
      <c r="L41" s="38">
        <f t="shared" si="0"/>
        <v>2002</v>
      </c>
      <c r="M41" s="353">
        <v>153</v>
      </c>
      <c r="N41" s="419">
        <f>+TableB7!N41-TableB9!N41</f>
        <v>9845.7534000000014</v>
      </c>
      <c r="O41" s="36">
        <f>+TableB7!O41-TableB9!O41</f>
        <v>8018.8220500000007</v>
      </c>
      <c r="P41" s="36">
        <f>+TableB7!P41-TableB9!P41</f>
        <v>0</v>
      </c>
      <c r="Q41" s="44">
        <f>+TableB7!Q41-TableB9!Q41</f>
        <v>1373.4082000000001</v>
      </c>
      <c r="R41" s="45">
        <f>+TableB7!R41-TableB9!R41</f>
        <v>44.799400000000006</v>
      </c>
      <c r="S41" s="100">
        <f>+TableB7!S41-TableB9!S41</f>
        <v>335.05309999999997</v>
      </c>
      <c r="T41" s="100">
        <f>+TableB7!T41-TableB9!T41</f>
        <v>248.46790000000001</v>
      </c>
      <c r="U41" s="66">
        <f>+TableB7!U41-TableB9!U41</f>
        <v>86.585199999999958</v>
      </c>
      <c r="V41" s="99">
        <f>+TableB7!V41-TableB9!V41</f>
        <v>993.55570000000012</v>
      </c>
      <c r="W41" s="60">
        <f>+TableB7!W41-TableB9!W41</f>
        <v>453.52409999999998</v>
      </c>
      <c r="X41" s="41"/>
      <c r="Y41" s="40"/>
      <c r="Z41" s="39"/>
      <c r="AA41" s="39"/>
      <c r="AB41" s="32"/>
      <c r="AC41" s="32"/>
    </row>
    <row r="42" spans="3:29" ht="14" x14ac:dyDescent="0.15">
      <c r="K42" s="34"/>
      <c r="L42" s="38">
        <f t="shared" si="0"/>
        <v>2003</v>
      </c>
      <c r="M42" s="353">
        <v>156</v>
      </c>
      <c r="N42" s="419">
        <f>+TableB7!N42-TableB9!N42</f>
        <v>11386.844500000001</v>
      </c>
      <c r="O42" s="36">
        <f>+TableB7!O42-TableB9!O42</f>
        <v>9290.2949000000008</v>
      </c>
      <c r="P42" s="36">
        <f>+TableB7!P42-TableB9!P42</f>
        <v>0</v>
      </c>
      <c r="Q42" s="44">
        <f>+TableB7!Q42-TableB9!Q42</f>
        <v>1575.5708</v>
      </c>
      <c r="R42" s="45">
        <f>+TableB7!R42-TableB9!R42</f>
        <v>52.62</v>
      </c>
      <c r="S42" s="100">
        <f>+TableB7!S42-TableB9!S42</f>
        <v>461.44480000000004</v>
      </c>
      <c r="T42" s="100">
        <f>+TableB7!T42-TableB9!T42</f>
        <v>367.61199999999997</v>
      </c>
      <c r="U42" s="66">
        <f>+TableB7!U42-TableB9!U42</f>
        <v>93.832800000000049</v>
      </c>
      <c r="V42" s="99">
        <f>+TableB7!V42-TableB9!V42</f>
        <v>1061.5060000000001</v>
      </c>
      <c r="W42" s="60">
        <f>+TableB7!W42-TableB9!W42</f>
        <v>520.99074999999993</v>
      </c>
      <c r="X42" s="41"/>
      <c r="Y42" s="40"/>
      <c r="Z42" s="39"/>
      <c r="AA42" s="39"/>
      <c r="AB42" s="32"/>
      <c r="AC42" s="32"/>
    </row>
    <row r="43" spans="3:29" ht="14" x14ac:dyDescent="0.15">
      <c r="K43" s="34"/>
      <c r="L43" s="38">
        <f t="shared" si="0"/>
        <v>2004</v>
      </c>
      <c r="M43" s="353">
        <v>158</v>
      </c>
      <c r="N43" s="419">
        <f>+TableB7!N43-TableB9!N43</f>
        <v>13795.840800000002</v>
      </c>
      <c r="O43" s="36">
        <f>+TableB7!O43-TableB9!O43</f>
        <v>11265.294399999999</v>
      </c>
      <c r="P43" s="36">
        <f>+TableB7!P43-TableB9!P43</f>
        <v>0</v>
      </c>
      <c r="Q43" s="44">
        <f>+TableB7!Q43-TableB9!Q43</f>
        <v>1906.7845</v>
      </c>
      <c r="R43" s="45">
        <f>+TableB7!R43-TableB9!R43</f>
        <v>62.342100000000002</v>
      </c>
      <c r="S43" s="100">
        <f>+TableB7!S43-TableB9!S43</f>
        <v>658.92100000000005</v>
      </c>
      <c r="T43" s="100">
        <f>+TableB7!T43-TableB9!T43</f>
        <v>549.16399999999999</v>
      </c>
      <c r="U43" s="66">
        <f>+TableB7!U43-TableB9!U43</f>
        <v>109.75699999999998</v>
      </c>
      <c r="V43" s="99">
        <f>+TableB7!V43-TableB9!V43</f>
        <v>1185.5213999999999</v>
      </c>
      <c r="W43" s="60">
        <f>+TableB7!W43-TableB9!W43</f>
        <v>623.78199999999993</v>
      </c>
      <c r="Y43" s="30"/>
      <c r="Z43" s="32"/>
      <c r="AA43" s="32"/>
      <c r="AB43" s="32"/>
      <c r="AC43" s="32"/>
    </row>
    <row r="44" spans="3:29" ht="14" x14ac:dyDescent="0.15">
      <c r="K44" s="34"/>
      <c r="L44" s="38">
        <f t="shared" si="0"/>
        <v>2005</v>
      </c>
      <c r="M44" s="353">
        <v>169</v>
      </c>
      <c r="N44" s="419">
        <f>+TableB7!N44-TableB9!N44</f>
        <v>15945.893000000002</v>
      </c>
      <c r="O44" s="36">
        <f>+TableB7!O44-TableB9!O44</f>
        <v>12787.4758</v>
      </c>
      <c r="P44" s="36">
        <f>+TableB7!P44-TableB9!P44</f>
        <v>0</v>
      </c>
      <c r="Q44" s="44">
        <f>+TableB7!Q44-TableB9!Q44</f>
        <v>2444.1585</v>
      </c>
      <c r="R44" s="45">
        <f>+TableB7!R44-TableB9!R44</f>
        <v>75.274999999999991</v>
      </c>
      <c r="S44" s="100">
        <f>+TableB7!S44-TableB9!S44</f>
        <v>909.69399999999996</v>
      </c>
      <c r="T44" s="100">
        <f>+TableB7!T44-TableB9!T44</f>
        <v>769.48</v>
      </c>
      <c r="U44" s="66">
        <f>+TableB7!U44-TableB9!U44</f>
        <v>140.214</v>
      </c>
      <c r="V44" s="99">
        <f>+TableB7!V44-TableB9!V44</f>
        <v>1459.1895</v>
      </c>
      <c r="W44" s="60">
        <f>+TableB7!W44-TableB9!W44</f>
        <v>714.19860000000006</v>
      </c>
      <c r="Y44" s="30"/>
      <c r="Z44" s="32"/>
      <c r="AA44" s="32"/>
      <c r="AB44" s="32"/>
      <c r="AC44" s="32"/>
    </row>
    <row r="45" spans="3:29" ht="14" x14ac:dyDescent="0.15">
      <c r="K45" s="34"/>
      <c r="L45" s="38">
        <f t="shared" si="0"/>
        <v>2006</v>
      </c>
      <c r="M45" s="353">
        <v>171</v>
      </c>
      <c r="N45" s="419">
        <f>+TableB7!N45-TableB9!N45</f>
        <v>18517.315000000002</v>
      </c>
      <c r="O45" s="36">
        <f>+TableB7!O45-TableB9!O45</f>
        <v>14620.787</v>
      </c>
      <c r="P45" s="36">
        <f>+TableB7!P45-TableB9!P45</f>
        <v>0</v>
      </c>
      <c r="Q45" s="44">
        <f>+TableB7!Q45-TableB9!Q45</f>
        <v>3152.0238000000004</v>
      </c>
      <c r="R45" s="45">
        <f>+TableB7!R45-TableB9!R45</f>
        <v>85.752700000000004</v>
      </c>
      <c r="S45" s="100">
        <f>+TableB7!S45-TableB9!S45</f>
        <v>1118.2919999999999</v>
      </c>
      <c r="T45" s="100">
        <f>+TableB7!T45-TableB9!T45</f>
        <v>940.63599999999997</v>
      </c>
      <c r="U45" s="66">
        <f>+TableB7!U45-TableB9!U45</f>
        <v>177.65599999999995</v>
      </c>
      <c r="V45" s="99">
        <f>+TableB7!V45-TableB9!V45</f>
        <v>1947.9791000000002</v>
      </c>
      <c r="W45" s="60">
        <f>+TableB7!W45-TableB9!W45</f>
        <v>744.49200000000008</v>
      </c>
      <c r="Y45" s="30"/>
      <c r="Z45" s="32"/>
      <c r="AA45" s="32"/>
      <c r="AB45" s="32"/>
      <c r="AC45" s="32"/>
    </row>
    <row r="46" spans="3:29" ht="14" x14ac:dyDescent="0.15">
      <c r="K46" s="34"/>
      <c r="L46" s="38">
        <f t="shared" si="0"/>
        <v>2007</v>
      </c>
      <c r="M46" s="353">
        <v>172</v>
      </c>
      <c r="N46" s="419">
        <f>+TableB7!N46-TableB9!N46</f>
        <v>21814.322000000004</v>
      </c>
      <c r="O46" s="36">
        <f>+TableB7!O46-TableB9!O46</f>
        <v>16916.916000000001</v>
      </c>
      <c r="P46" s="36">
        <f>+TableB7!P46-TableB9!P46</f>
        <v>0</v>
      </c>
      <c r="Q46" s="44">
        <f>+TableB7!Q46-TableB9!Q46</f>
        <v>4043.5947999999999</v>
      </c>
      <c r="R46" s="45">
        <f>+TableB7!R46-TableB9!R46</f>
        <v>105.11699999999999</v>
      </c>
      <c r="S46" s="100">
        <f>+TableB7!S46-TableB9!S46</f>
        <v>1441.7529999999999</v>
      </c>
      <c r="T46" s="100">
        <f>+TableB7!T46-TableB9!T46</f>
        <v>1210.6949999999999</v>
      </c>
      <c r="U46" s="66">
        <f>+TableB7!U46-TableB9!U46</f>
        <v>231.05799999999996</v>
      </c>
      <c r="V46" s="99">
        <f>+TableB7!V46-TableB9!V46</f>
        <v>2496.7248</v>
      </c>
      <c r="W46" s="60">
        <f>+TableB7!W46-TableB9!W46</f>
        <v>853.82799999999997</v>
      </c>
      <c r="Y46" s="30"/>
      <c r="Z46" s="32"/>
      <c r="AA46" s="32"/>
      <c r="AB46" s="32"/>
      <c r="AC46" s="32"/>
    </row>
    <row r="47" spans="3:29" ht="14" x14ac:dyDescent="0.15">
      <c r="K47" s="34"/>
      <c r="L47" s="38">
        <f t="shared" si="0"/>
        <v>2008</v>
      </c>
      <c r="M47" s="353">
        <v>172</v>
      </c>
      <c r="N47" s="419">
        <f>+TableB7!N47-TableB9!N47</f>
        <v>24597.877</v>
      </c>
      <c r="O47" s="36">
        <f>+TableB7!O47-TableB9!O47</f>
        <v>19506.939999999999</v>
      </c>
      <c r="P47" s="36">
        <f>+TableB7!P47-TableB9!P47</f>
        <v>0</v>
      </c>
      <c r="Q47" s="44">
        <f>+TableB7!Q47-TableB9!Q47</f>
        <v>4147.0393000000004</v>
      </c>
      <c r="R47" s="45">
        <f>+TableB7!R47-TableB9!R47</f>
        <v>125.39100000000001</v>
      </c>
      <c r="S47" s="100">
        <f>+TableB7!S47-TableB9!S47</f>
        <v>1389.9277</v>
      </c>
      <c r="T47" s="100">
        <f>+TableB7!T47-TableB9!T47</f>
        <v>1140.8481000000002</v>
      </c>
      <c r="U47" s="66">
        <f>+TableB7!U47-TableB9!U47</f>
        <v>249.07959999999989</v>
      </c>
      <c r="V47" s="99">
        <f>+TableB7!V47-TableB9!V47</f>
        <v>2631.7206000000001</v>
      </c>
      <c r="W47" s="60">
        <f>+TableB7!W47-TableB9!W47</f>
        <v>943.89409999999998</v>
      </c>
      <c r="Y47" s="55"/>
      <c r="Z47" s="32"/>
      <c r="AA47" s="32"/>
      <c r="AB47" s="32"/>
      <c r="AC47" s="32"/>
    </row>
    <row r="48" spans="3:29" ht="14" x14ac:dyDescent="0.15">
      <c r="C48" s="30"/>
      <c r="D48" s="30"/>
      <c r="E48" s="30"/>
      <c r="F48" s="30"/>
      <c r="G48" s="30"/>
      <c r="H48" s="30"/>
      <c r="I48" s="30"/>
      <c r="J48" s="30"/>
      <c r="L48" s="43">
        <f t="shared" ref="L48:L54" si="1">L47+1</f>
        <v>2009</v>
      </c>
      <c r="M48" s="356">
        <v>174</v>
      </c>
      <c r="N48" s="101">
        <f>+TableB7!N48-TableB9!N48</f>
        <v>19490.189000000002</v>
      </c>
      <c r="O48" s="1381">
        <f>+TableB7!O48-TableB9!O48</f>
        <v>11929.611999999999</v>
      </c>
      <c r="P48" s="1381">
        <f>+TableB7!P48-TableB9!P48</f>
        <v>3451.9720000000002</v>
      </c>
      <c r="Q48" s="1382">
        <f>+TableB7!Q48-TableB9!Q48</f>
        <v>3227.4949999999999</v>
      </c>
      <c r="R48" s="97">
        <f>+TableB7!R48-TableB9!R48</f>
        <v>112.735</v>
      </c>
      <c r="S48" s="96">
        <f>+TableB7!S48-TableB9!S48</f>
        <v>1163.529</v>
      </c>
      <c r="T48" s="96">
        <f>+TableB7!T48-TableB9!T48</f>
        <v>956.96699999999998</v>
      </c>
      <c r="U48" s="95">
        <f>+TableB7!U48-TableB9!U48</f>
        <v>206.5619999999999</v>
      </c>
      <c r="V48" s="94">
        <f>+TableB7!V48-TableB9!V48</f>
        <v>1951.231</v>
      </c>
      <c r="W48" s="92">
        <f>+TableB7!W48-TableB9!W48</f>
        <v>881.11400000000003</v>
      </c>
    </row>
    <row r="49" spans="3:23" ht="14" x14ac:dyDescent="0.15">
      <c r="C49" s="30"/>
      <c r="D49" s="30"/>
      <c r="E49" s="30"/>
      <c r="F49" s="30"/>
      <c r="G49" s="30"/>
      <c r="H49" s="30"/>
      <c r="I49" s="30"/>
      <c r="J49" s="30"/>
      <c r="L49" s="38">
        <f t="shared" si="1"/>
        <v>2010</v>
      </c>
      <c r="M49" s="353">
        <v>174</v>
      </c>
      <c r="N49" s="419">
        <f>+TableB7!N49-TableB9!N49</f>
        <v>22699.328000000001</v>
      </c>
      <c r="O49" s="36">
        <f>+TableB7!O49-TableB9!O49</f>
        <v>14526.14</v>
      </c>
      <c r="P49" s="36">
        <f>+TableB7!P49-TableB9!P49</f>
        <v>3736.7620000000002</v>
      </c>
      <c r="Q49" s="44">
        <f>+TableB7!Q49-TableB9!Q49</f>
        <v>3519.6210000000001</v>
      </c>
      <c r="R49" s="45">
        <f>+TableB7!R49-TableB9!R49</f>
        <v>108.54300000000001</v>
      </c>
      <c r="S49" s="100">
        <f>+TableB7!S49-TableB9!S49</f>
        <v>1495.0149999999999</v>
      </c>
      <c r="T49" s="100">
        <f>+TableB7!T49-TableB9!T49</f>
        <v>1270.6849999999999</v>
      </c>
      <c r="U49" s="66">
        <f>+TableB7!U49-TableB9!U49</f>
        <v>224.32999999999996</v>
      </c>
      <c r="V49" s="99">
        <f>+TableB7!V49-TableB9!V49</f>
        <v>1916.0630000000001</v>
      </c>
      <c r="W49" s="60">
        <f>+TableB7!W49-TableB9!W49</f>
        <v>916.81299999999999</v>
      </c>
    </row>
    <row r="50" spans="3:23" ht="14" x14ac:dyDescent="0.15">
      <c r="C50" s="30"/>
      <c r="D50" s="30"/>
      <c r="E50" s="30"/>
      <c r="F50" s="30"/>
      <c r="G50" s="30"/>
      <c r="H50" s="30"/>
      <c r="I50" s="30"/>
      <c r="J50" s="30"/>
      <c r="L50" s="38">
        <f t="shared" si="1"/>
        <v>2011</v>
      </c>
      <c r="M50" s="353">
        <v>176</v>
      </c>
      <c r="N50" s="419">
        <f>+TableB7!N50-TableB9!N50</f>
        <v>26767.742000000002</v>
      </c>
      <c r="O50" s="36">
        <f>+TableB7!O50-TableB9!O50</f>
        <v>17513.795999999998</v>
      </c>
      <c r="P50" s="36">
        <f>+TableB7!P50-TableB9!P50</f>
        <v>4214.848</v>
      </c>
      <c r="Q50" s="44">
        <f>+TableB7!Q50-TableB9!Q50</f>
        <v>4007.15</v>
      </c>
      <c r="R50" s="45">
        <f>+TableB7!R50-TableB9!R50</f>
        <v>119.95499999999998</v>
      </c>
      <c r="S50" s="100">
        <f>+TableB7!S50-TableB9!S50</f>
        <v>1674.6569999999999</v>
      </c>
      <c r="T50" s="100">
        <f>+TableB7!T50-TableB9!T50</f>
        <v>1403.1780000000001</v>
      </c>
      <c r="U50" s="66">
        <f>+TableB7!U50-TableB9!U50</f>
        <v>271.47899999999993</v>
      </c>
      <c r="V50" s="99">
        <f>+TableB7!V50-TableB9!V50</f>
        <v>2212.538</v>
      </c>
      <c r="W50" s="60">
        <f>+TableB7!W50-TableB9!W50</f>
        <v>1031.9449999999999</v>
      </c>
    </row>
    <row r="51" spans="3:23" ht="14" x14ac:dyDescent="0.15">
      <c r="C51" s="31"/>
      <c r="D51" s="30"/>
      <c r="E51" s="30"/>
      <c r="F51" s="30"/>
      <c r="G51" s="30"/>
      <c r="H51" s="30"/>
      <c r="I51" s="30"/>
      <c r="J51" s="30"/>
      <c r="L51" s="38">
        <f t="shared" si="1"/>
        <v>2012</v>
      </c>
      <c r="M51" s="353">
        <v>178</v>
      </c>
      <c r="N51" s="419">
        <f>+TableB7!N51-TableB9!N51</f>
        <v>26978.567000000003</v>
      </c>
      <c r="O51" s="36">
        <f>+TableB7!O51-TableB9!O51</f>
        <v>17693.447</v>
      </c>
      <c r="P51" s="36">
        <f>+TableB7!P51-TableB9!P51</f>
        <v>4355.5780000000004</v>
      </c>
      <c r="Q51" s="44">
        <f>+TableB7!Q51-TableB9!Q51</f>
        <v>3854.3429999999998</v>
      </c>
      <c r="R51" s="45">
        <f>+TableB7!R51-TableB9!R51</f>
        <v>121.87300000000002</v>
      </c>
      <c r="S51" s="100">
        <f>+TableB7!S51-TableB9!S51</f>
        <v>1629</v>
      </c>
      <c r="T51" s="100">
        <f>+TableB7!T51-TableB9!T51</f>
        <v>1334.9959999999999</v>
      </c>
      <c r="U51" s="66">
        <f>+TableB7!U51-TableB9!U51</f>
        <v>294.00400000000008</v>
      </c>
      <c r="V51" s="99">
        <f>+TableB7!V51-TableB9!V51</f>
        <v>2103.4699999999998</v>
      </c>
      <c r="W51" s="60">
        <f>+TableB7!W51-TableB9!W51</f>
        <v>1075.0070000000001</v>
      </c>
    </row>
    <row r="52" spans="3:23" ht="14" x14ac:dyDescent="0.15">
      <c r="C52" s="30"/>
      <c r="D52" s="30"/>
      <c r="E52" s="30"/>
      <c r="F52" s="30"/>
      <c r="G52" s="30"/>
      <c r="H52" s="30"/>
      <c r="I52" s="30"/>
      <c r="J52" s="30"/>
      <c r="L52" s="38">
        <f t="shared" si="1"/>
        <v>2013</v>
      </c>
      <c r="M52" s="353">
        <v>176</v>
      </c>
      <c r="N52" s="419">
        <f>+TableB7!N52-TableB9!N52</f>
        <v>27813.066999999999</v>
      </c>
      <c r="O52" s="36">
        <f>+TableB7!O52-TableB9!O52</f>
        <v>18005.174999999999</v>
      </c>
      <c r="P52" s="36">
        <f>+TableB7!P52-TableB9!P52</f>
        <v>4624.7820000000002</v>
      </c>
      <c r="Q52" s="44">
        <f>+TableB7!Q52-TableB9!Q52</f>
        <v>4006.6019999999999</v>
      </c>
      <c r="R52" s="45">
        <f>+TableB7!R52-TableB9!R52</f>
        <v>135.69900000000001</v>
      </c>
      <c r="S52" s="100">
        <f>+TableB7!S52-TableB9!S52</f>
        <v>1686.125</v>
      </c>
      <c r="T52" s="100">
        <f>+TableB7!T52-TableB9!T52</f>
        <v>1386.402</v>
      </c>
      <c r="U52" s="66">
        <f>+TableB7!U52-TableB9!U52</f>
        <v>299.72299999999996</v>
      </c>
      <c r="V52" s="99">
        <f>+TableB7!V52-TableB9!V52</f>
        <v>2184.7779999999998</v>
      </c>
      <c r="W52" s="60">
        <f>+TableB7!W52-TableB9!W52</f>
        <v>1176.8409999999999</v>
      </c>
    </row>
    <row r="53" spans="3:23" ht="14" x14ac:dyDescent="0.15">
      <c r="C53" s="30"/>
      <c r="D53" s="30"/>
      <c r="E53" s="30"/>
      <c r="F53" s="30"/>
      <c r="G53" s="30"/>
      <c r="H53" s="30"/>
      <c r="I53" s="30"/>
      <c r="J53" s="30"/>
      <c r="L53" s="38">
        <f t="shared" si="1"/>
        <v>2014</v>
      </c>
      <c r="M53" s="353">
        <v>165</v>
      </c>
      <c r="N53" s="419">
        <f>+TableB7!N53-TableB9!N53</f>
        <v>28382.557000000001</v>
      </c>
      <c r="O53" s="36">
        <f>+TableB7!O53-TableB9!O53</f>
        <v>18099.690999999999</v>
      </c>
      <c r="P53" s="36">
        <f>+TableB7!P53-TableB9!P53</f>
        <v>4985.9160000000002</v>
      </c>
      <c r="Q53" s="44">
        <f>+TableB7!Q53-TableB9!Q53</f>
        <v>4084.81</v>
      </c>
      <c r="R53" s="45">
        <f>+TableB7!R53-TableB9!R53</f>
        <v>140.89599999999999</v>
      </c>
      <c r="S53" s="100">
        <f>+TableB7!S53-TableB9!S53</f>
        <v>1764.9739999999999</v>
      </c>
      <c r="T53" s="100">
        <f>+TableB7!T53-TableB9!T53</f>
        <v>1455.807</v>
      </c>
      <c r="U53" s="66">
        <f>+TableB7!U53-TableB9!U53</f>
        <v>309.16700000000009</v>
      </c>
      <c r="V53" s="99">
        <f>+TableB7!V53-TableB9!V53</f>
        <v>2178.94</v>
      </c>
      <c r="W53" s="60">
        <f>+TableB7!W53-TableB9!W53</f>
        <v>1211.694</v>
      </c>
    </row>
    <row r="54" spans="3:23" ht="15" thickBot="1" x14ac:dyDescent="0.2">
      <c r="C54" s="30"/>
      <c r="D54" s="30"/>
      <c r="E54" s="30"/>
      <c r="F54" s="30"/>
      <c r="G54" s="30"/>
      <c r="H54" s="30"/>
      <c r="I54" s="30"/>
      <c r="J54" s="30"/>
      <c r="L54" s="33">
        <f t="shared" si="1"/>
        <v>2015</v>
      </c>
      <c r="M54" s="1383">
        <v>155</v>
      </c>
      <c r="N54" s="91">
        <f>+TableB7!N54-TableB9!N54</f>
        <v>25395.516</v>
      </c>
      <c r="O54" s="1384">
        <f>+TableB7!O54-TableB9!O54</f>
        <v>15837.369000000001</v>
      </c>
      <c r="P54" s="1384">
        <f>+TableB7!P54-TableB9!P54</f>
        <v>4685.6099999999997</v>
      </c>
      <c r="Q54" s="1385">
        <f>+TableB7!Q54-TableB9!Q54</f>
        <v>3738.027</v>
      </c>
      <c r="R54" s="90">
        <f>+TableB7!R54-TableB9!R54</f>
        <v>128.08499999999998</v>
      </c>
      <c r="S54" s="89">
        <f>+TableB7!S54-TableB9!S54</f>
        <v>1472.5059999999999</v>
      </c>
      <c r="T54" s="89">
        <f>+TableB7!T54-TableB9!T54</f>
        <v>1212.4110000000001</v>
      </c>
      <c r="U54" s="88">
        <f>+TableB7!U54-TableB9!U54</f>
        <v>260.09499999999991</v>
      </c>
      <c r="V54" s="87">
        <f>+TableB7!V54-TableB9!V54</f>
        <v>2137.4360000000001</v>
      </c>
      <c r="W54" s="86">
        <f>+TableB7!W54-TableB9!W54</f>
        <v>1134.1389999999999</v>
      </c>
    </row>
    <row r="55" spans="3:23" ht="15" thickTop="1" thickBot="1" x14ac:dyDescent="0.2">
      <c r="C55" s="30"/>
      <c r="D55" s="30"/>
      <c r="E55" s="30"/>
      <c r="F55" s="30"/>
      <c r="G55" s="30"/>
      <c r="H55" s="30"/>
      <c r="I55" s="30"/>
      <c r="J55" s="30"/>
    </row>
    <row r="56" spans="3:23" x14ac:dyDescent="0.15">
      <c r="C56" s="30"/>
      <c r="D56" s="30"/>
      <c r="E56" s="30"/>
      <c r="F56" s="30"/>
      <c r="G56" s="30"/>
      <c r="H56" s="30"/>
      <c r="I56" s="30"/>
      <c r="J56" s="30"/>
      <c r="L56" s="2204" t="s">
        <v>389</v>
      </c>
      <c r="M56" s="2205"/>
      <c r="N56" s="2205"/>
      <c r="O56" s="2205"/>
      <c r="P56" s="2205"/>
      <c r="Q56" s="2205"/>
      <c r="R56" s="2205"/>
      <c r="S56" s="2205"/>
      <c r="T56" s="2205"/>
      <c r="U56" s="2205"/>
      <c r="V56" s="2205"/>
      <c r="W56" s="2206"/>
    </row>
    <row r="57" spans="3:23" ht="14" thickBot="1" x14ac:dyDescent="0.2">
      <c r="C57" s="30"/>
      <c r="D57" s="30"/>
      <c r="E57" s="30"/>
      <c r="F57" s="30"/>
      <c r="G57" s="30"/>
      <c r="H57" s="30"/>
      <c r="I57" s="30"/>
      <c r="J57" s="30"/>
      <c r="L57" s="2207"/>
      <c r="M57" s="2208"/>
      <c r="N57" s="2208"/>
      <c r="O57" s="2208"/>
      <c r="P57" s="2208"/>
      <c r="Q57" s="2208"/>
      <c r="R57" s="2208"/>
      <c r="S57" s="2208"/>
      <c r="T57" s="2208"/>
      <c r="U57" s="2208"/>
      <c r="V57" s="2208"/>
      <c r="W57" s="2209"/>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row r="250" spans="3:10" x14ac:dyDescent="0.15">
      <c r="C250" s="30"/>
      <c r="D250" s="30"/>
      <c r="E250" s="30"/>
      <c r="F250" s="30"/>
      <c r="G250" s="30"/>
      <c r="H250" s="30"/>
      <c r="I250" s="30"/>
      <c r="J250" s="30"/>
    </row>
    <row r="251" spans="3:10" x14ac:dyDescent="0.15">
      <c r="C251" s="30"/>
      <c r="D251" s="30"/>
      <c r="E251" s="30"/>
      <c r="F251" s="30"/>
      <c r="G251" s="30"/>
      <c r="H251" s="30"/>
      <c r="I251" s="30"/>
      <c r="J251" s="30"/>
    </row>
    <row r="252" spans="3:10" x14ac:dyDescent="0.15">
      <c r="C252" s="30"/>
      <c r="D252" s="30"/>
      <c r="E252" s="30"/>
      <c r="F252" s="30"/>
      <c r="G252" s="30"/>
      <c r="H252" s="30"/>
      <c r="I252" s="30"/>
      <c r="J252" s="30"/>
    </row>
  </sheetData>
  <mergeCells count="12">
    <mergeCell ref="L56:W57"/>
    <mergeCell ref="S7:S8"/>
    <mergeCell ref="M6:M8"/>
    <mergeCell ref="L2:W2"/>
    <mergeCell ref="N5:W5"/>
    <mergeCell ref="N6:N8"/>
    <mergeCell ref="O6:O8"/>
    <mergeCell ref="Q6:Q8"/>
    <mergeCell ref="W6:W8"/>
    <mergeCell ref="R7:R8"/>
    <mergeCell ref="P6:P8"/>
    <mergeCell ref="V7:V8"/>
  </mergeCells>
  <pageMargins left="0.7" right="0.7" top="0.75" bottom="0.75" header="0.3" footer="0.3"/>
  <pageSetup paperSize="9" scale="55"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W249"/>
  <sheetViews>
    <sheetView workbookViewId="0">
      <pane xSplit="1" ySplit="8" topLeftCell="B44" activePane="bottomRight" state="frozen"/>
      <selection pane="topRight" activeCell="X16" sqref="X16"/>
      <selection pane="bottomLeft" activeCell="X16" sqref="X16"/>
      <selection pane="bottomRight" activeCell="L2" sqref="L2:W5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2.5" style="29" customWidth="1"/>
    <col min="12" max="23" width="12.33203125" style="29" customWidth="1"/>
    <col min="24" max="16384" width="10.83203125" style="29"/>
  </cols>
  <sheetData>
    <row r="1" spans="1:23" ht="14" thickBot="1" x14ac:dyDescent="0.2">
      <c r="A1" s="54"/>
      <c r="B1" s="53"/>
      <c r="C1" s="52"/>
      <c r="D1" s="52"/>
      <c r="E1" s="52"/>
      <c r="F1" s="52"/>
      <c r="G1" s="52"/>
      <c r="H1" s="52"/>
      <c r="I1" s="52"/>
      <c r="J1" s="52"/>
      <c r="K1" s="49"/>
      <c r="L1" s="49"/>
      <c r="M1" s="49"/>
      <c r="N1" s="49"/>
      <c r="O1" s="49"/>
      <c r="P1" s="49"/>
      <c r="Q1" s="49"/>
      <c r="R1" s="49"/>
      <c r="S1" s="49"/>
      <c r="T1" s="49"/>
      <c r="U1" s="49"/>
      <c r="V1" s="49"/>
      <c r="W1" s="49"/>
    </row>
    <row r="2" spans="1:23" s="57" customFormat="1" ht="33" customHeight="1" thickTop="1" x14ac:dyDescent="0.15">
      <c r="A2" s="29"/>
      <c r="B2" s="29"/>
      <c r="C2" s="29"/>
      <c r="D2" s="29"/>
      <c r="E2" s="29"/>
      <c r="F2" s="29"/>
      <c r="G2" s="29"/>
      <c r="H2" s="29"/>
      <c r="I2" s="29"/>
      <c r="J2" s="29"/>
      <c r="K2" s="58"/>
      <c r="L2" s="2214" t="s">
        <v>401</v>
      </c>
      <c r="M2" s="2215"/>
      <c r="N2" s="2215"/>
      <c r="O2" s="2215"/>
      <c r="P2" s="2215"/>
      <c r="Q2" s="2215"/>
      <c r="R2" s="2215"/>
      <c r="S2" s="2215"/>
      <c r="T2" s="2215"/>
      <c r="U2" s="2215"/>
      <c r="V2" s="2215"/>
      <c r="W2" s="2216"/>
    </row>
    <row r="3" spans="1:23" s="57" customFormat="1" ht="15" customHeight="1" x14ac:dyDescent="0.15">
      <c r="A3" s="29"/>
      <c r="B3" s="29"/>
      <c r="C3" s="29"/>
      <c r="D3" s="29"/>
      <c r="E3" s="29"/>
      <c r="F3" s="29"/>
      <c r="G3" s="29"/>
      <c r="H3" s="29"/>
      <c r="I3" s="29"/>
      <c r="J3" s="29"/>
      <c r="K3" s="58"/>
      <c r="L3" s="348"/>
      <c r="M3" s="349"/>
      <c r="N3" s="349"/>
      <c r="O3" s="349"/>
      <c r="P3" s="349"/>
      <c r="Q3" s="349"/>
      <c r="R3" s="349"/>
      <c r="S3" s="349"/>
      <c r="T3" s="349"/>
      <c r="U3" s="349"/>
      <c r="V3" s="349"/>
      <c r="W3" s="350"/>
    </row>
    <row r="4" spans="1:23" x14ac:dyDescent="0.15">
      <c r="K4" s="34"/>
      <c r="L4" s="102"/>
      <c r="M4" s="1377" t="s">
        <v>1</v>
      </c>
      <c r="N4" s="1377" t="s">
        <v>2</v>
      </c>
      <c r="O4" s="1377" t="s">
        <v>3</v>
      </c>
      <c r="P4" s="1377" t="s">
        <v>4</v>
      </c>
      <c r="Q4" s="1377" t="s">
        <v>5</v>
      </c>
      <c r="R4" s="1377" t="s">
        <v>6</v>
      </c>
      <c r="S4" s="67" t="s">
        <v>7</v>
      </c>
      <c r="T4" s="1377" t="s">
        <v>8</v>
      </c>
      <c r="U4" s="1377" t="s">
        <v>9</v>
      </c>
      <c r="V4" s="1377" t="s">
        <v>10</v>
      </c>
      <c r="W4" s="104" t="s">
        <v>11</v>
      </c>
    </row>
    <row r="5" spans="1:23" ht="16" customHeight="1" thickBot="1" x14ac:dyDescent="0.2">
      <c r="K5" s="48"/>
      <c r="L5" s="102"/>
      <c r="M5" s="351"/>
      <c r="N5" s="2217" t="s">
        <v>395</v>
      </c>
      <c r="O5" s="2218"/>
      <c r="P5" s="2218"/>
      <c r="Q5" s="2218"/>
      <c r="R5" s="2218"/>
      <c r="S5" s="2218"/>
      <c r="T5" s="2218"/>
      <c r="U5" s="2218"/>
      <c r="V5" s="2218"/>
      <c r="W5" s="2219"/>
    </row>
    <row r="6" spans="1:23" ht="32.25" customHeight="1" x14ac:dyDescent="0.2">
      <c r="K6" s="34"/>
      <c r="L6" s="102"/>
      <c r="M6" s="2223" t="s">
        <v>396</v>
      </c>
      <c r="N6" s="2220" t="s">
        <v>328</v>
      </c>
      <c r="O6" s="2210" t="s">
        <v>397</v>
      </c>
      <c r="P6" s="2210" t="s">
        <v>398</v>
      </c>
      <c r="Q6" s="2210" t="s">
        <v>330</v>
      </c>
      <c r="R6" s="1378"/>
      <c r="S6" s="1378"/>
      <c r="T6" s="1378"/>
      <c r="U6" s="1378"/>
      <c r="V6" s="1378"/>
      <c r="W6" s="2221" t="s">
        <v>331</v>
      </c>
    </row>
    <row r="7" spans="1:23" ht="25" customHeight="1" thickBot="1" x14ac:dyDescent="0.25">
      <c r="K7" s="34"/>
      <c r="L7" s="102"/>
      <c r="M7" s="2211"/>
      <c r="N7" s="2152"/>
      <c r="O7" s="2154"/>
      <c r="P7" s="2154"/>
      <c r="Q7" s="2154"/>
      <c r="R7" s="2213" t="s">
        <v>125</v>
      </c>
      <c r="S7" s="2154" t="s">
        <v>332</v>
      </c>
      <c r="T7" s="1293"/>
      <c r="U7" s="1293"/>
      <c r="V7" s="2161" t="s">
        <v>399</v>
      </c>
      <c r="W7" s="2156"/>
    </row>
    <row r="8" spans="1:23" ht="61" customHeight="1" thickBot="1" x14ac:dyDescent="0.2">
      <c r="K8" s="34"/>
      <c r="L8" s="103"/>
      <c r="M8" s="2212"/>
      <c r="N8" s="2153"/>
      <c r="O8" s="2155"/>
      <c r="P8" s="2155"/>
      <c r="Q8" s="2155"/>
      <c r="R8" s="2159"/>
      <c r="S8" s="2155" t="s">
        <v>332</v>
      </c>
      <c r="T8" s="397" t="s">
        <v>334</v>
      </c>
      <c r="U8" s="398" t="s">
        <v>335</v>
      </c>
      <c r="V8" s="2162"/>
      <c r="W8" s="2157"/>
    </row>
    <row r="9" spans="1:23" ht="15" hidden="1" customHeight="1" x14ac:dyDescent="0.15">
      <c r="K9" s="34"/>
      <c r="L9" s="38">
        <v>1970</v>
      </c>
      <c r="M9" s="352">
        <v>14</v>
      </c>
      <c r="N9" s="419">
        <v>2.4126398</v>
      </c>
      <c r="O9" s="36">
        <v>0.3445089000000004</v>
      </c>
      <c r="P9" s="36"/>
      <c r="Q9" s="36">
        <v>5.61498834</v>
      </c>
      <c r="R9" s="37">
        <v>0.3620701300000001</v>
      </c>
      <c r="S9" s="61">
        <v>8.1139127999999996</v>
      </c>
      <c r="T9" s="64"/>
      <c r="U9" s="65"/>
      <c r="V9" s="35" t="e">
        <f>#REF!-S9</f>
        <v>#REF!</v>
      </c>
      <c r="W9" s="56">
        <f t="shared" ref="W9:W32" si="0">N9-O9-Q9</f>
        <v>-3.5468574400000006</v>
      </c>
    </row>
    <row r="10" spans="1:23" ht="15" hidden="1" customHeight="1" x14ac:dyDescent="0.15">
      <c r="K10" s="34"/>
      <c r="L10" s="38">
        <f t="shared" ref="L10:L47" si="1">L9+1</f>
        <v>1971</v>
      </c>
      <c r="M10" s="352">
        <v>20</v>
      </c>
      <c r="N10" s="419">
        <v>0.62123574700000017</v>
      </c>
      <c r="O10" s="36">
        <v>2.5751309299999994</v>
      </c>
      <c r="P10" s="36"/>
      <c r="Q10" s="36">
        <v>4.9126059029999993</v>
      </c>
      <c r="R10" s="37">
        <v>0.14082795448999996</v>
      </c>
      <c r="S10" s="61">
        <v>6.3092800800000006</v>
      </c>
      <c r="T10" s="64"/>
      <c r="U10" s="65"/>
      <c r="V10" s="35" t="e">
        <f>#REF!-S10</f>
        <v>#REF!</v>
      </c>
      <c r="W10" s="56">
        <f t="shared" si="0"/>
        <v>-6.8665010859999986</v>
      </c>
    </row>
    <row r="11" spans="1:23" ht="15" hidden="1" customHeight="1" x14ac:dyDescent="0.15">
      <c r="K11" s="34"/>
      <c r="L11" s="38">
        <f t="shared" si="1"/>
        <v>1972</v>
      </c>
      <c r="M11" s="352">
        <v>23</v>
      </c>
      <c r="N11" s="419">
        <v>-0.83427635999999894</v>
      </c>
      <c r="O11" s="36">
        <v>1.0661059000000004</v>
      </c>
      <c r="P11" s="36"/>
      <c r="Q11" s="44">
        <v>5.9119252440000007</v>
      </c>
      <c r="R11" s="45">
        <v>0.17956505000000009</v>
      </c>
      <c r="S11" s="100">
        <v>7.7857474599999987</v>
      </c>
      <c r="T11" s="100"/>
      <c r="U11" s="66"/>
      <c r="V11" s="99" t="e">
        <f>#REF!-S11</f>
        <v>#REF!</v>
      </c>
      <c r="W11" s="60">
        <f t="shared" si="0"/>
        <v>-7.8123075039999996</v>
      </c>
    </row>
    <row r="12" spans="1:23" ht="15" hidden="1" customHeight="1" x14ac:dyDescent="0.15">
      <c r="K12" s="34"/>
      <c r="L12" s="38">
        <f t="shared" si="1"/>
        <v>1973</v>
      </c>
      <c r="M12" s="352">
        <v>23</v>
      </c>
      <c r="N12" s="419">
        <v>11.18155471</v>
      </c>
      <c r="O12" s="36">
        <v>12.094017570000004</v>
      </c>
      <c r="P12" s="36"/>
      <c r="Q12" s="44">
        <v>8.4966201810000026</v>
      </c>
      <c r="R12" s="45">
        <v>-0.1815000170000001</v>
      </c>
      <c r="S12" s="100">
        <v>11.903125670000001</v>
      </c>
      <c r="T12" s="100"/>
      <c r="U12" s="66"/>
      <c r="V12" s="99" t="e">
        <f>#REF!-S12</f>
        <v>#REF!</v>
      </c>
      <c r="W12" s="60">
        <f t="shared" si="0"/>
        <v>-9.4090830410000059</v>
      </c>
    </row>
    <row r="13" spans="1:23" ht="15" hidden="1" customHeight="1" x14ac:dyDescent="0.15">
      <c r="K13" s="34"/>
      <c r="L13" s="38">
        <f t="shared" si="1"/>
        <v>1974</v>
      </c>
      <c r="M13" s="352">
        <v>37</v>
      </c>
      <c r="N13" s="419">
        <v>10.017000887000002</v>
      </c>
      <c r="O13" s="36">
        <v>13.730893719999996</v>
      </c>
      <c r="P13" s="36"/>
      <c r="Q13" s="44">
        <v>8.9314641462999997</v>
      </c>
      <c r="R13" s="45">
        <v>-0.44591925859999998</v>
      </c>
      <c r="S13" s="100">
        <v>12.14380077</v>
      </c>
      <c r="T13" s="100"/>
      <c r="U13" s="66"/>
      <c r="V13" s="99" t="e">
        <f>#REF!-S13</f>
        <v>#REF!</v>
      </c>
      <c r="W13" s="60">
        <f t="shared" si="0"/>
        <v>-12.645356979299994</v>
      </c>
    </row>
    <row r="14" spans="1:23" ht="12" customHeight="1" x14ac:dyDescent="0.15">
      <c r="K14" s="34"/>
      <c r="L14" s="357">
        <f t="shared" si="1"/>
        <v>1975</v>
      </c>
      <c r="M14" s="358">
        <v>54</v>
      </c>
      <c r="N14" s="359">
        <v>5.3043714593035274</v>
      </c>
      <c r="O14" s="1386">
        <v>15.307229909528353</v>
      </c>
      <c r="P14" s="1386"/>
      <c r="Q14" s="1387">
        <v>1.9573139426676112</v>
      </c>
      <c r="R14" s="360">
        <v>-0.747</v>
      </c>
      <c r="S14" s="361">
        <v>8.4996899999999993</v>
      </c>
      <c r="T14" s="361">
        <v>9.0624500000000001</v>
      </c>
      <c r="U14" s="362">
        <f>+S14-T14</f>
        <v>-0.56276000000000082</v>
      </c>
      <c r="V14" s="363">
        <f>+Q14-R14-S14</f>
        <v>-5.7953760573323887</v>
      </c>
      <c r="W14" s="364">
        <f t="shared" si="0"/>
        <v>-11.960172392892435</v>
      </c>
    </row>
    <row r="15" spans="1:23" ht="12" customHeight="1" x14ac:dyDescent="0.15">
      <c r="K15" s="34"/>
      <c r="L15" s="38">
        <f t="shared" si="1"/>
        <v>1976</v>
      </c>
      <c r="M15" s="353">
        <v>78</v>
      </c>
      <c r="N15" s="419">
        <v>-8.997361419212055</v>
      </c>
      <c r="O15" s="36">
        <v>-2.3678854724604714</v>
      </c>
      <c r="P15" s="36"/>
      <c r="Q15" s="44">
        <v>1.1282518931736254</v>
      </c>
      <c r="R15" s="45">
        <v>-0.82</v>
      </c>
      <c r="S15" s="100">
        <v>8.9847999999999999</v>
      </c>
      <c r="T15" s="100">
        <v>9.5796899999999994</v>
      </c>
      <c r="U15" s="66">
        <f t="shared" ref="U15:U54" si="2">+S15-T15</f>
        <v>-0.59488999999999947</v>
      </c>
      <c r="V15" s="99">
        <f t="shared" ref="V15:V54" si="3">+Q15-R15-S15</f>
        <v>-7.0365481068263751</v>
      </c>
      <c r="W15" s="98">
        <f t="shared" si="0"/>
        <v>-7.7577278399252085</v>
      </c>
    </row>
    <row r="16" spans="1:23" ht="12" customHeight="1" x14ac:dyDescent="0.15">
      <c r="K16" s="34"/>
      <c r="L16" s="38">
        <f t="shared" si="1"/>
        <v>1977</v>
      </c>
      <c r="M16" s="353">
        <v>104</v>
      </c>
      <c r="N16" s="419">
        <v>-23.250558083315642</v>
      </c>
      <c r="O16" s="36">
        <v>-11.932350526732883</v>
      </c>
      <c r="P16" s="36"/>
      <c r="Q16" s="44">
        <v>-4.5868502969730525</v>
      </c>
      <c r="R16" s="45">
        <v>-0.13700000000000001</v>
      </c>
      <c r="S16" s="100">
        <v>0.68204399999999998</v>
      </c>
      <c r="T16" s="100">
        <v>1.3904399999999999</v>
      </c>
      <c r="U16" s="66">
        <f t="shared" si="2"/>
        <v>-0.70839599999999991</v>
      </c>
      <c r="V16" s="99">
        <f t="shared" si="3"/>
        <v>-5.1318942969730523</v>
      </c>
      <c r="W16" s="98">
        <f t="shared" si="0"/>
        <v>-6.7313572596097071</v>
      </c>
    </row>
    <row r="17" spans="11:23" ht="12" customHeight="1" x14ac:dyDescent="0.15">
      <c r="K17" s="34"/>
      <c r="L17" s="38">
        <f t="shared" si="1"/>
        <v>1978</v>
      </c>
      <c r="M17" s="353">
        <v>110</v>
      </c>
      <c r="N17" s="419">
        <v>-25.322395374924788</v>
      </c>
      <c r="O17" s="36">
        <v>-12.441851900611617</v>
      </c>
      <c r="P17" s="36"/>
      <c r="Q17" s="44">
        <v>-2.8903695700901744</v>
      </c>
      <c r="R17" s="45">
        <v>0.443</v>
      </c>
      <c r="S17" s="100">
        <v>3.6046399999999998</v>
      </c>
      <c r="T17" s="100">
        <v>4.8885899999999998</v>
      </c>
      <c r="U17" s="66">
        <f t="shared" si="2"/>
        <v>-1.2839499999999999</v>
      </c>
      <c r="V17" s="99">
        <f t="shared" si="3"/>
        <v>-6.9380095700901743</v>
      </c>
      <c r="W17" s="98">
        <f t="shared" si="0"/>
        <v>-9.9901739042229973</v>
      </c>
    </row>
    <row r="18" spans="11:23" ht="12" customHeight="1" x14ac:dyDescent="0.15">
      <c r="K18" s="34"/>
      <c r="L18" s="38">
        <f t="shared" si="1"/>
        <v>1979</v>
      </c>
      <c r="M18" s="353">
        <v>114</v>
      </c>
      <c r="N18" s="419">
        <v>-30.639624018813794</v>
      </c>
      <c r="O18" s="36">
        <v>-26.570926159833913</v>
      </c>
      <c r="P18" s="36"/>
      <c r="Q18" s="44">
        <v>4.0460346156485807</v>
      </c>
      <c r="R18" s="97">
        <v>1.3</v>
      </c>
      <c r="S18" s="96">
        <v>17.4864</v>
      </c>
      <c r="T18" s="96">
        <v>19.146000000000001</v>
      </c>
      <c r="U18" s="95">
        <f t="shared" si="2"/>
        <v>-1.6596000000000011</v>
      </c>
      <c r="V18" s="94">
        <f t="shared" si="3"/>
        <v>-14.740365384351419</v>
      </c>
      <c r="W18" s="93">
        <f t="shared" si="0"/>
        <v>-8.114732474628461</v>
      </c>
    </row>
    <row r="19" spans="11:23" ht="12" customHeight="1" x14ac:dyDescent="0.15">
      <c r="K19" s="34"/>
      <c r="L19" s="42">
        <f t="shared" si="1"/>
        <v>1980</v>
      </c>
      <c r="M19" s="354">
        <v>119</v>
      </c>
      <c r="N19" s="59">
        <v>-58.429490915017688</v>
      </c>
      <c r="O19" s="1379">
        <v>-37.342593624541593</v>
      </c>
      <c r="P19" s="1379"/>
      <c r="Q19" s="1380">
        <v>-13.169918208350103</v>
      </c>
      <c r="R19" s="45">
        <v>2.12</v>
      </c>
      <c r="S19" s="100">
        <v>3.8552499999999998</v>
      </c>
      <c r="T19" s="100">
        <v>5.78207</v>
      </c>
      <c r="U19" s="66">
        <f t="shared" si="2"/>
        <v>-1.9268200000000002</v>
      </c>
      <c r="V19" s="99">
        <f t="shared" si="3"/>
        <v>-19.1451682083501</v>
      </c>
      <c r="W19" s="98">
        <f t="shared" si="0"/>
        <v>-7.9169790821259927</v>
      </c>
    </row>
    <row r="20" spans="11:23" ht="12" customHeight="1" x14ac:dyDescent="0.15">
      <c r="K20" s="34"/>
      <c r="L20" s="38">
        <f t="shared" si="1"/>
        <v>1981</v>
      </c>
      <c r="M20" s="353">
        <v>122</v>
      </c>
      <c r="N20" s="419">
        <v>-76.505286687173765</v>
      </c>
      <c r="O20" s="36">
        <v>-35.566911919827355</v>
      </c>
      <c r="P20" s="36"/>
      <c r="Q20" s="44">
        <v>-32.132066756686825</v>
      </c>
      <c r="R20" s="45">
        <v>1.31</v>
      </c>
      <c r="S20" s="100">
        <v>-5.1824300000000001</v>
      </c>
      <c r="T20" s="100">
        <v>-2.8523900000000002</v>
      </c>
      <c r="U20" s="66">
        <f t="shared" si="2"/>
        <v>-2.3300399999999999</v>
      </c>
      <c r="V20" s="99">
        <f t="shared" si="3"/>
        <v>-28.259636756686827</v>
      </c>
      <c r="W20" s="98">
        <f t="shared" si="0"/>
        <v>-8.8063080106595848</v>
      </c>
    </row>
    <row r="21" spans="11:23" ht="12" customHeight="1" x14ac:dyDescent="0.15">
      <c r="K21" s="34"/>
      <c r="L21" s="38">
        <f t="shared" si="1"/>
        <v>1982</v>
      </c>
      <c r="M21" s="353">
        <v>126</v>
      </c>
      <c r="N21" s="419">
        <v>-88.423735795847321</v>
      </c>
      <c r="O21" s="36">
        <v>-37.529356972937173</v>
      </c>
      <c r="P21" s="36"/>
      <c r="Q21" s="44">
        <v>-38.682756445850615</v>
      </c>
      <c r="R21" s="45">
        <v>1.42</v>
      </c>
      <c r="S21" s="100">
        <v>-1.327</v>
      </c>
      <c r="T21" s="100">
        <v>1.0159</v>
      </c>
      <c r="U21" s="66">
        <f t="shared" si="2"/>
        <v>-2.3429000000000002</v>
      </c>
      <c r="V21" s="99">
        <f t="shared" si="3"/>
        <v>-38.775756445850618</v>
      </c>
      <c r="W21" s="98">
        <f t="shared" si="0"/>
        <v>-12.211622377059534</v>
      </c>
    </row>
    <row r="22" spans="11:23" ht="12" customHeight="1" x14ac:dyDescent="0.15">
      <c r="K22" s="34"/>
      <c r="L22" s="38">
        <f t="shared" si="1"/>
        <v>1983</v>
      </c>
      <c r="M22" s="353">
        <v>126</v>
      </c>
      <c r="N22" s="419">
        <v>-76.07653465981538</v>
      </c>
      <c r="O22" s="36">
        <v>-37.609389742328354</v>
      </c>
      <c r="P22" s="36"/>
      <c r="Q22" s="44">
        <v>-29.13690458542683</v>
      </c>
      <c r="R22" s="45">
        <v>1.5</v>
      </c>
      <c r="S22" s="100">
        <v>4.3809500000000003</v>
      </c>
      <c r="T22" s="100">
        <v>6.5154300000000003</v>
      </c>
      <c r="U22" s="66">
        <f t="shared" si="2"/>
        <v>-2.1344799999999999</v>
      </c>
      <c r="V22" s="99">
        <f t="shared" si="3"/>
        <v>-35.017854585426832</v>
      </c>
      <c r="W22" s="98">
        <f t="shared" si="0"/>
        <v>-9.3302403320601961</v>
      </c>
    </row>
    <row r="23" spans="11:23" ht="12" customHeight="1" x14ac:dyDescent="0.15">
      <c r="K23" s="34"/>
      <c r="L23" s="38">
        <f t="shared" si="1"/>
        <v>1984</v>
      </c>
      <c r="M23" s="353">
        <v>127</v>
      </c>
      <c r="N23" s="419">
        <v>-83.177398533984856</v>
      </c>
      <c r="O23" s="36">
        <v>-38.773357700495865</v>
      </c>
      <c r="P23" s="36"/>
      <c r="Q23" s="44">
        <v>-35.371266844947186</v>
      </c>
      <c r="R23" s="45">
        <v>1.0900000000000001</v>
      </c>
      <c r="S23" s="100">
        <v>8.3872999999999998</v>
      </c>
      <c r="T23" s="100">
        <v>10.525</v>
      </c>
      <c r="U23" s="66">
        <f t="shared" si="2"/>
        <v>-2.1377000000000006</v>
      </c>
      <c r="V23" s="99">
        <f t="shared" si="3"/>
        <v>-44.848566844947186</v>
      </c>
      <c r="W23" s="98">
        <f t="shared" si="0"/>
        <v>-9.0327739885418055</v>
      </c>
    </row>
    <row r="24" spans="11:23" ht="12" customHeight="1" x14ac:dyDescent="0.15">
      <c r="K24" s="34"/>
      <c r="L24" s="38">
        <f t="shared" si="1"/>
        <v>1985</v>
      </c>
      <c r="M24" s="353">
        <v>129</v>
      </c>
      <c r="N24" s="419">
        <v>-87.128292100285293</v>
      </c>
      <c r="O24" s="36">
        <v>-31.639557200011215</v>
      </c>
      <c r="P24" s="36"/>
      <c r="Q24" s="44">
        <v>-47.015863866005368</v>
      </c>
      <c r="R24" s="45">
        <v>0.752</v>
      </c>
      <c r="S24" s="100">
        <v>7.2998200000000004</v>
      </c>
      <c r="T24" s="100">
        <v>7.9588900000000002</v>
      </c>
      <c r="U24" s="66">
        <f t="shared" si="2"/>
        <v>-0.65906999999999982</v>
      </c>
      <c r="V24" s="99">
        <f t="shared" si="3"/>
        <v>-55.067683866005368</v>
      </c>
      <c r="W24" s="98">
        <f t="shared" si="0"/>
        <v>-8.4728710342687137</v>
      </c>
    </row>
    <row r="25" spans="11:23" ht="12" customHeight="1" x14ac:dyDescent="0.15">
      <c r="K25" s="34"/>
      <c r="L25" s="38">
        <f t="shared" si="1"/>
        <v>1986</v>
      </c>
      <c r="M25" s="353">
        <v>131</v>
      </c>
      <c r="N25" s="419">
        <v>-77.95610200001552</v>
      </c>
      <c r="O25" s="36">
        <v>-20.946701267923356</v>
      </c>
      <c r="P25" s="36"/>
      <c r="Q25" s="44">
        <v>-44.430724659965868</v>
      </c>
      <c r="R25" s="45">
        <v>5.9262023829999996E-2</v>
      </c>
      <c r="S25" s="100">
        <v>17.649699999999999</v>
      </c>
      <c r="T25" s="100">
        <v>24.7498</v>
      </c>
      <c r="U25" s="66">
        <f t="shared" si="2"/>
        <v>-7.1001000000000012</v>
      </c>
      <c r="V25" s="99">
        <f t="shared" si="3"/>
        <v>-62.139686683795873</v>
      </c>
      <c r="W25" s="98">
        <f t="shared" si="0"/>
        <v>-12.578676072126292</v>
      </c>
    </row>
    <row r="26" spans="11:23" ht="12" customHeight="1" x14ac:dyDescent="0.15">
      <c r="K26" s="34"/>
      <c r="L26" s="38">
        <f t="shared" si="1"/>
        <v>1987</v>
      </c>
      <c r="M26" s="353">
        <v>130</v>
      </c>
      <c r="N26" s="419">
        <v>-78.194555602830476</v>
      </c>
      <c r="O26" s="36">
        <v>-11.213505444712265</v>
      </c>
      <c r="P26" s="36"/>
      <c r="Q26" s="44">
        <v>-53.469345138835351</v>
      </c>
      <c r="R26" s="45">
        <v>-0.59299999999999997</v>
      </c>
      <c r="S26" s="100">
        <v>25.404299999999999</v>
      </c>
      <c r="T26" s="100">
        <v>32.175600000000003</v>
      </c>
      <c r="U26" s="66">
        <f t="shared" si="2"/>
        <v>-6.7713000000000036</v>
      </c>
      <c r="V26" s="99">
        <f t="shared" si="3"/>
        <v>-78.280645138835354</v>
      </c>
      <c r="W26" s="98">
        <f t="shared" si="0"/>
        <v>-13.511705019282857</v>
      </c>
    </row>
    <row r="27" spans="11:23" ht="12" customHeight="1" x14ac:dyDescent="0.15">
      <c r="K27" s="34"/>
      <c r="L27" s="38">
        <f t="shared" si="1"/>
        <v>1988</v>
      </c>
      <c r="M27" s="353">
        <v>129</v>
      </c>
      <c r="N27" s="419">
        <v>-66.52614353977981</v>
      </c>
      <c r="O27" s="36">
        <v>-2.7894038355406257</v>
      </c>
      <c r="P27" s="36"/>
      <c r="Q27" s="44">
        <v>-47.243305819127798</v>
      </c>
      <c r="R27" s="45">
        <v>-0.215</v>
      </c>
      <c r="S27" s="100">
        <v>39.087699999999998</v>
      </c>
      <c r="T27" s="100">
        <v>46.186</v>
      </c>
      <c r="U27" s="66">
        <f t="shared" si="2"/>
        <v>-7.0983000000000018</v>
      </c>
      <c r="V27" s="99">
        <f t="shared" si="3"/>
        <v>-86.116005819127793</v>
      </c>
      <c r="W27" s="98">
        <f t="shared" si="0"/>
        <v>-16.493433885111386</v>
      </c>
    </row>
    <row r="28" spans="11:23" ht="12" customHeight="1" x14ac:dyDescent="0.15">
      <c r="K28" s="34"/>
      <c r="L28" s="38">
        <f t="shared" si="1"/>
        <v>1989</v>
      </c>
      <c r="M28" s="353">
        <v>128</v>
      </c>
      <c r="N28" s="419">
        <v>-92.654791132361908</v>
      </c>
      <c r="O28" s="36">
        <v>-25.121217007477842</v>
      </c>
      <c r="P28" s="36"/>
      <c r="Q28" s="44">
        <v>-49.822667050547935</v>
      </c>
      <c r="R28" s="97">
        <v>-1.46</v>
      </c>
      <c r="S28" s="96">
        <v>45.049799999999998</v>
      </c>
      <c r="T28" s="96">
        <v>54.4086</v>
      </c>
      <c r="U28" s="95">
        <f t="shared" si="2"/>
        <v>-9.3588000000000022</v>
      </c>
      <c r="V28" s="94">
        <f t="shared" si="3"/>
        <v>-93.412467050547932</v>
      </c>
      <c r="W28" s="93">
        <f t="shared" si="0"/>
        <v>-17.710907074336134</v>
      </c>
    </row>
    <row r="29" spans="11:23" ht="12" customHeight="1" x14ac:dyDescent="0.15">
      <c r="K29" s="34"/>
      <c r="L29" s="42">
        <f t="shared" si="1"/>
        <v>1990</v>
      </c>
      <c r="M29" s="354">
        <v>129</v>
      </c>
      <c r="N29" s="59">
        <v>-99.36502943565533</v>
      </c>
      <c r="O29" s="1379">
        <v>-20.925114130767508</v>
      </c>
      <c r="P29" s="1379"/>
      <c r="Q29" s="1380">
        <v>-58.515937561341509</v>
      </c>
      <c r="R29" s="45">
        <v>-4.0199999999999996</v>
      </c>
      <c r="S29" s="100">
        <v>53.582099999999997</v>
      </c>
      <c r="T29" s="100">
        <v>65.726299999999995</v>
      </c>
      <c r="U29" s="66">
        <f t="shared" si="2"/>
        <v>-12.144199999999998</v>
      </c>
      <c r="V29" s="99">
        <f t="shared" si="3"/>
        <v>-108.0780375613415</v>
      </c>
      <c r="W29" s="98">
        <f t="shared" si="0"/>
        <v>-19.92397774354631</v>
      </c>
    </row>
    <row r="30" spans="11:23" ht="12" customHeight="1" x14ac:dyDescent="0.15">
      <c r="K30" s="34"/>
      <c r="L30" s="38">
        <f t="shared" si="1"/>
        <v>1991</v>
      </c>
      <c r="M30" s="353">
        <v>127</v>
      </c>
      <c r="N30" s="419">
        <v>-124.27453797669014</v>
      </c>
      <c r="O30" s="36">
        <v>-27.06247488277354</v>
      </c>
      <c r="P30" s="36"/>
      <c r="Q30" s="44">
        <v>-69.05772785210317</v>
      </c>
      <c r="R30" s="45">
        <v>-4.04</v>
      </c>
      <c r="S30" s="100">
        <v>53.599299999999999</v>
      </c>
      <c r="T30" s="100">
        <v>68.107900000000001</v>
      </c>
      <c r="U30" s="66">
        <f t="shared" si="2"/>
        <v>-14.508600000000001</v>
      </c>
      <c r="V30" s="99">
        <f t="shared" si="3"/>
        <v>-118.61702785210316</v>
      </c>
      <c r="W30" s="98">
        <f t="shared" si="0"/>
        <v>-28.154335241813428</v>
      </c>
    </row>
    <row r="31" spans="11:23" ht="12" customHeight="1" x14ac:dyDescent="0.15">
      <c r="K31" s="34"/>
      <c r="L31" s="38">
        <f t="shared" si="1"/>
        <v>1992</v>
      </c>
      <c r="M31" s="353">
        <v>129</v>
      </c>
      <c r="N31" s="419">
        <v>-108.35793274686266</v>
      </c>
      <c r="O31" s="36">
        <v>1.1171106278638592</v>
      </c>
      <c r="P31" s="36"/>
      <c r="Q31" s="44">
        <v>-66.280115726872054</v>
      </c>
      <c r="R31" s="45">
        <v>-6.07</v>
      </c>
      <c r="S31" s="100">
        <v>51.875599999999999</v>
      </c>
      <c r="T31" s="100">
        <v>65.035300000000007</v>
      </c>
      <c r="U31" s="66">
        <f t="shared" si="2"/>
        <v>-13.159700000000008</v>
      </c>
      <c r="V31" s="99">
        <f t="shared" si="3"/>
        <v>-112.08571572687205</v>
      </c>
      <c r="W31" s="98">
        <f t="shared" si="0"/>
        <v>-43.19492764785447</v>
      </c>
    </row>
    <row r="32" spans="11:23" ht="12" customHeight="1" x14ac:dyDescent="0.15">
      <c r="K32" s="34"/>
      <c r="L32" s="38">
        <f t="shared" si="1"/>
        <v>1993</v>
      </c>
      <c r="M32" s="353">
        <v>130</v>
      </c>
      <c r="N32" s="419">
        <v>-75.150768058227285</v>
      </c>
      <c r="O32" s="36">
        <v>33.174296626297938</v>
      </c>
      <c r="P32" s="36"/>
      <c r="Q32" s="44">
        <v>-63.46153012453572</v>
      </c>
      <c r="R32" s="45">
        <v>-5.31</v>
      </c>
      <c r="S32" s="100">
        <v>50.392899999999997</v>
      </c>
      <c r="T32" s="100">
        <v>61.908799999999999</v>
      </c>
      <c r="U32" s="66">
        <f t="shared" si="2"/>
        <v>-11.515900000000002</v>
      </c>
      <c r="V32" s="99">
        <f t="shared" si="3"/>
        <v>-108.54443012453572</v>
      </c>
      <c r="W32" s="98">
        <f t="shared" si="0"/>
        <v>-44.863534559989496</v>
      </c>
    </row>
    <row r="33" spans="3:23" s="41" customFormat="1" ht="12" customHeight="1" x14ac:dyDescent="0.15">
      <c r="K33" s="47"/>
      <c r="L33" s="46">
        <f t="shared" si="1"/>
        <v>1994</v>
      </c>
      <c r="M33" s="355">
        <v>131</v>
      </c>
      <c r="N33" s="420">
        <v>-58.491800000000005</v>
      </c>
      <c r="O33" s="44">
        <v>74.644800000000004</v>
      </c>
      <c r="P33" s="44"/>
      <c r="Q33" s="44">
        <v>-79.224899999999991</v>
      </c>
      <c r="R33" s="45">
        <v>-3.39</v>
      </c>
      <c r="S33" s="100">
        <v>50.478200000000001</v>
      </c>
      <c r="T33" s="100">
        <v>61.613500000000002</v>
      </c>
      <c r="U33" s="66">
        <f t="shared" si="2"/>
        <v>-11.135300000000001</v>
      </c>
      <c r="V33" s="99">
        <f t="shared" si="3"/>
        <v>-126.31309999999999</v>
      </c>
      <c r="W33" s="60">
        <v>-53.911800000000007</v>
      </c>
    </row>
    <row r="34" spans="3:23" ht="12" customHeight="1" x14ac:dyDescent="0.15">
      <c r="K34" s="34"/>
      <c r="L34" s="38">
        <f t="shared" si="1"/>
        <v>1995</v>
      </c>
      <c r="M34" s="353">
        <v>130</v>
      </c>
      <c r="N34" s="419">
        <v>-55.4846</v>
      </c>
      <c r="O34" s="36">
        <v>83.74130000000001</v>
      </c>
      <c r="P34" s="36"/>
      <c r="Q34" s="44">
        <v>-86.752700000000004</v>
      </c>
      <c r="R34" s="45">
        <v>-3.82</v>
      </c>
      <c r="S34" s="100">
        <v>49.278599999999997</v>
      </c>
      <c r="T34" s="100">
        <v>63.247999999999998</v>
      </c>
      <c r="U34" s="66">
        <f t="shared" si="2"/>
        <v>-13.9694</v>
      </c>
      <c r="V34" s="99">
        <f t="shared" si="3"/>
        <v>-132.21129999999999</v>
      </c>
      <c r="W34" s="60">
        <v>-52.473500000000001</v>
      </c>
    </row>
    <row r="35" spans="3:23" ht="12" customHeight="1" x14ac:dyDescent="0.15">
      <c r="K35" s="34"/>
      <c r="L35" s="38">
        <f t="shared" si="1"/>
        <v>1996</v>
      </c>
      <c r="M35" s="353">
        <v>131</v>
      </c>
      <c r="N35" s="419">
        <v>-37.587300000000006</v>
      </c>
      <c r="O35" s="36">
        <v>85.2547</v>
      </c>
      <c r="P35" s="36"/>
      <c r="Q35" s="44">
        <v>-89.536199999999994</v>
      </c>
      <c r="R35" s="45">
        <v>-4.51</v>
      </c>
      <c r="S35" s="100">
        <v>72.547499999999999</v>
      </c>
      <c r="T35" s="100">
        <v>83.407499999999999</v>
      </c>
      <c r="U35" s="66">
        <f t="shared" si="2"/>
        <v>-10.86</v>
      </c>
      <c r="V35" s="99">
        <f t="shared" si="3"/>
        <v>-157.57369999999997</v>
      </c>
      <c r="W35" s="60">
        <v>-33.306199999999997</v>
      </c>
    </row>
    <row r="36" spans="3:23" ht="12" customHeight="1" x14ac:dyDescent="0.15">
      <c r="K36" s="34"/>
      <c r="L36" s="38">
        <f t="shared" si="1"/>
        <v>1997</v>
      </c>
      <c r="M36" s="353">
        <v>137</v>
      </c>
      <c r="N36" s="419">
        <v>9.2822700000000005</v>
      </c>
      <c r="O36" s="36">
        <v>110.32611</v>
      </c>
      <c r="P36" s="36"/>
      <c r="Q36" s="44">
        <v>-71.463200000000001</v>
      </c>
      <c r="R36" s="45">
        <v>4.4800000000000004</v>
      </c>
      <c r="S36" s="100">
        <v>72.921599999999998</v>
      </c>
      <c r="T36" s="100">
        <v>78.317400000000006</v>
      </c>
      <c r="U36" s="66">
        <f t="shared" si="2"/>
        <v>-5.3958000000000084</v>
      </c>
      <c r="V36" s="99">
        <f t="shared" si="3"/>
        <v>-148.8648</v>
      </c>
      <c r="W36" s="60">
        <v>-29.580200000000001</v>
      </c>
    </row>
    <row r="37" spans="3:23" ht="12" customHeight="1" x14ac:dyDescent="0.15">
      <c r="K37" s="34"/>
      <c r="L37" s="38">
        <f t="shared" si="1"/>
        <v>1998</v>
      </c>
      <c r="M37" s="353">
        <v>140</v>
      </c>
      <c r="N37" s="419">
        <v>-68.280799999999999</v>
      </c>
      <c r="O37" s="36">
        <v>63.563259999999993</v>
      </c>
      <c r="P37" s="36"/>
      <c r="Q37" s="44">
        <v>-98.391600000000011</v>
      </c>
      <c r="R37" s="45">
        <v>3.72</v>
      </c>
      <c r="S37" s="100">
        <v>57.258000000000003</v>
      </c>
      <c r="T37" s="100">
        <v>63.448599999999999</v>
      </c>
      <c r="U37" s="66">
        <f t="shared" si="2"/>
        <v>-6.1905999999999963</v>
      </c>
      <c r="V37" s="99">
        <f t="shared" si="3"/>
        <v>-159.36960000000002</v>
      </c>
      <c r="W37" s="60">
        <v>-33.452500000000001</v>
      </c>
    </row>
    <row r="38" spans="3:23" ht="12" customHeight="1" x14ac:dyDescent="0.15">
      <c r="K38" s="34"/>
      <c r="L38" s="38">
        <f t="shared" si="1"/>
        <v>1999</v>
      </c>
      <c r="M38" s="353">
        <v>143</v>
      </c>
      <c r="N38" s="419">
        <v>-101.744</v>
      </c>
      <c r="O38" s="36">
        <v>16.565239999999999</v>
      </c>
      <c r="P38" s="36"/>
      <c r="Q38" s="44">
        <v>-91.555600000000013</v>
      </c>
      <c r="R38" s="97">
        <v>2.4500000000000002</v>
      </c>
      <c r="S38" s="96">
        <v>74.155699999999996</v>
      </c>
      <c r="T38" s="96">
        <v>104.31399999999999</v>
      </c>
      <c r="U38" s="95">
        <f t="shared" si="2"/>
        <v>-30.158299999999997</v>
      </c>
      <c r="V38" s="94">
        <f t="shared" si="3"/>
        <v>-168.16130000000001</v>
      </c>
      <c r="W38" s="92">
        <v>-26.7531</v>
      </c>
    </row>
    <row r="39" spans="3:23" ht="12" customHeight="1" x14ac:dyDescent="0.15">
      <c r="K39" s="34"/>
      <c r="L39" s="42">
        <f t="shared" si="1"/>
        <v>2000</v>
      </c>
      <c r="M39" s="354">
        <v>143</v>
      </c>
      <c r="N39" s="59">
        <v>-149.76599999999999</v>
      </c>
      <c r="O39" s="1379">
        <v>-22.484349999999999</v>
      </c>
      <c r="P39" s="1379"/>
      <c r="Q39" s="1380">
        <v>-90.921500000000009</v>
      </c>
      <c r="R39" s="45">
        <v>1.66</v>
      </c>
      <c r="S39" s="100">
        <v>72.456400000000002</v>
      </c>
      <c r="T39" s="100">
        <v>110.36</v>
      </c>
      <c r="U39" s="66">
        <f t="shared" si="2"/>
        <v>-37.903599999999997</v>
      </c>
      <c r="V39" s="99">
        <f t="shared" si="3"/>
        <v>-165.03790000000001</v>
      </c>
      <c r="W39" s="60">
        <v>-36.360100000000003</v>
      </c>
    </row>
    <row r="40" spans="3:23" ht="12" customHeight="1" x14ac:dyDescent="0.15">
      <c r="K40" s="34"/>
      <c r="L40" s="38">
        <f t="shared" si="1"/>
        <v>2001</v>
      </c>
      <c r="M40" s="353">
        <v>144</v>
      </c>
      <c r="N40" s="419">
        <v>-148.64600000000002</v>
      </c>
      <c r="O40" s="36">
        <v>-43.724900000000005</v>
      </c>
      <c r="P40" s="36"/>
      <c r="Q40" s="44">
        <v>-73.588200000000001</v>
      </c>
      <c r="R40" s="45">
        <v>1.1000000000000001</v>
      </c>
      <c r="S40" s="100">
        <v>85.918000000000006</v>
      </c>
      <c r="T40" s="100">
        <v>128.381</v>
      </c>
      <c r="U40" s="66">
        <f t="shared" si="2"/>
        <v>-42.462999999999994</v>
      </c>
      <c r="V40" s="99">
        <f t="shared" si="3"/>
        <v>-160.6062</v>
      </c>
      <c r="W40" s="60">
        <v>-31.332799999999999</v>
      </c>
    </row>
    <row r="41" spans="3:23" ht="12" customHeight="1" x14ac:dyDescent="0.15">
      <c r="K41" s="34"/>
      <c r="L41" s="38">
        <f t="shared" si="1"/>
        <v>2002</v>
      </c>
      <c r="M41" s="353">
        <v>154</v>
      </c>
      <c r="N41" s="419">
        <v>-97.793399999999991</v>
      </c>
      <c r="O41" s="36">
        <v>14.607950000000001</v>
      </c>
      <c r="P41" s="36"/>
      <c r="Q41" s="44">
        <v>-94.678200000000004</v>
      </c>
      <c r="R41" s="45">
        <v>5.73</v>
      </c>
      <c r="S41" s="100">
        <v>54.7029</v>
      </c>
      <c r="T41" s="100">
        <v>95.839100000000002</v>
      </c>
      <c r="U41" s="66">
        <f t="shared" si="2"/>
        <v>-41.136200000000002</v>
      </c>
      <c r="V41" s="99">
        <f t="shared" si="3"/>
        <v>-155.11110000000002</v>
      </c>
      <c r="W41" s="60">
        <v>-17.723099999999999</v>
      </c>
    </row>
    <row r="42" spans="3:23" ht="12" customHeight="1" x14ac:dyDescent="0.15">
      <c r="K42" s="34"/>
      <c r="L42" s="38">
        <f t="shared" si="1"/>
        <v>2003</v>
      </c>
      <c r="M42" s="353">
        <v>157</v>
      </c>
      <c r="N42" s="419">
        <v>-20.044499999999999</v>
      </c>
      <c r="O42" s="36">
        <v>65.995100000000008</v>
      </c>
      <c r="P42" s="36"/>
      <c r="Q42" s="44">
        <v>-76.640799999999999</v>
      </c>
      <c r="R42" s="45">
        <v>10.6</v>
      </c>
      <c r="S42" s="100">
        <v>77.991200000000006</v>
      </c>
      <c r="T42" s="100">
        <v>116.848</v>
      </c>
      <c r="U42" s="66">
        <f t="shared" si="2"/>
        <v>-38.856799999999993</v>
      </c>
      <c r="V42" s="99">
        <f t="shared" si="3"/>
        <v>-165.232</v>
      </c>
      <c r="W42" s="60">
        <v>-9.3987499999999997</v>
      </c>
    </row>
    <row r="43" spans="3:23" ht="12" customHeight="1" x14ac:dyDescent="0.15">
      <c r="K43" s="34"/>
      <c r="L43" s="38">
        <f t="shared" si="1"/>
        <v>2004</v>
      </c>
      <c r="M43" s="353">
        <v>159</v>
      </c>
      <c r="N43" s="419">
        <v>54.959199999999996</v>
      </c>
      <c r="O43" s="36">
        <v>89.435600000000008</v>
      </c>
      <c r="P43" s="36"/>
      <c r="Q43" s="44">
        <v>-16.214500000000001</v>
      </c>
      <c r="R43" s="45">
        <v>13.5</v>
      </c>
      <c r="S43" s="100">
        <v>162.67500000000001</v>
      </c>
      <c r="T43" s="100">
        <v>181.73400000000001</v>
      </c>
      <c r="U43" s="66">
        <f t="shared" si="2"/>
        <v>-19.058999999999997</v>
      </c>
      <c r="V43" s="99">
        <f t="shared" si="3"/>
        <v>-192.3895</v>
      </c>
      <c r="W43" s="60">
        <v>-18.262</v>
      </c>
    </row>
    <row r="44" spans="3:23" ht="12" customHeight="1" x14ac:dyDescent="0.15">
      <c r="K44" s="34"/>
      <c r="L44" s="38">
        <f t="shared" si="1"/>
        <v>2005</v>
      </c>
      <c r="M44" s="353">
        <v>170</v>
      </c>
      <c r="N44" s="419">
        <v>103.407</v>
      </c>
      <c r="O44" s="36">
        <v>137.31420000000003</v>
      </c>
      <c r="P44" s="36"/>
      <c r="Q44" s="44">
        <v>-12.4085</v>
      </c>
      <c r="R44" s="45">
        <v>10.7</v>
      </c>
      <c r="S44" s="100">
        <v>156.536</v>
      </c>
      <c r="T44" s="100">
        <v>190.14</v>
      </c>
      <c r="U44" s="66">
        <f t="shared" si="2"/>
        <v>-33.603999999999985</v>
      </c>
      <c r="V44" s="99">
        <f t="shared" si="3"/>
        <v>-179.64449999999999</v>
      </c>
      <c r="W44" s="60">
        <v>-21.4986</v>
      </c>
    </row>
    <row r="45" spans="3:23" ht="12" customHeight="1" x14ac:dyDescent="0.15">
      <c r="K45" s="34"/>
      <c r="L45" s="38">
        <f t="shared" si="1"/>
        <v>2006</v>
      </c>
      <c r="M45" s="353">
        <v>172</v>
      </c>
      <c r="N45" s="419">
        <v>253.58500000000001</v>
      </c>
      <c r="O45" s="36">
        <v>261.22300000000001</v>
      </c>
      <c r="P45" s="36"/>
      <c r="Q45" s="44">
        <v>-23.7638</v>
      </c>
      <c r="R45" s="45">
        <v>9.19</v>
      </c>
      <c r="S45" s="100">
        <v>144.81800000000001</v>
      </c>
      <c r="T45" s="100">
        <v>173.19399999999999</v>
      </c>
      <c r="U45" s="66">
        <f t="shared" si="2"/>
        <v>-28.375999999999976</v>
      </c>
      <c r="V45" s="99">
        <f t="shared" si="3"/>
        <v>-177.77180000000001</v>
      </c>
      <c r="W45" s="60">
        <v>16.126999999999999</v>
      </c>
    </row>
    <row r="46" spans="3:23" ht="12" customHeight="1" x14ac:dyDescent="0.15">
      <c r="K46" s="34"/>
      <c r="L46" s="38">
        <f t="shared" si="1"/>
        <v>2007</v>
      </c>
      <c r="M46" s="353">
        <v>173</v>
      </c>
      <c r="N46" s="419">
        <v>403.27800000000002</v>
      </c>
      <c r="O46" s="36">
        <v>404.35399999999998</v>
      </c>
      <c r="P46" s="36"/>
      <c r="Q46" s="44">
        <v>-19.454799999999999</v>
      </c>
      <c r="R46" s="45">
        <v>8.48</v>
      </c>
      <c r="S46" s="100">
        <v>106.077</v>
      </c>
      <c r="T46" s="100">
        <v>140.85499999999999</v>
      </c>
      <c r="U46" s="66">
        <f t="shared" si="2"/>
        <v>-34.777999999999992</v>
      </c>
      <c r="V46" s="99">
        <f t="shared" si="3"/>
        <v>-134.01179999999999</v>
      </c>
      <c r="W46" s="60">
        <v>18.379000000000001</v>
      </c>
    </row>
    <row r="47" spans="3:23" ht="12" customHeight="1" x14ac:dyDescent="0.15">
      <c r="K47" s="34"/>
      <c r="L47" s="38">
        <f t="shared" si="1"/>
        <v>2008</v>
      </c>
      <c r="M47" s="353">
        <v>173</v>
      </c>
      <c r="N47" s="419">
        <v>298.12299999999999</v>
      </c>
      <c r="O47" s="36">
        <v>366.34000000000003</v>
      </c>
      <c r="P47" s="36"/>
      <c r="Q47" s="44">
        <v>-99.319299999999998</v>
      </c>
      <c r="R47" s="45">
        <v>6.21</v>
      </c>
      <c r="S47" s="100">
        <v>33.152299999999997</v>
      </c>
      <c r="T47" s="100">
        <v>65.351900000000001</v>
      </c>
      <c r="U47" s="66">
        <f t="shared" si="2"/>
        <v>-32.199600000000004</v>
      </c>
      <c r="V47" s="99">
        <f t="shared" si="3"/>
        <v>-138.6816</v>
      </c>
      <c r="W47" s="60">
        <v>31.101900000000001</v>
      </c>
    </row>
    <row r="48" spans="3:23" ht="12" customHeight="1" x14ac:dyDescent="0.15">
      <c r="C48" s="30"/>
      <c r="D48" s="30"/>
      <c r="E48" s="30"/>
      <c r="F48" s="30"/>
      <c r="G48" s="30"/>
      <c r="H48" s="30"/>
      <c r="I48" s="30"/>
      <c r="J48" s="30"/>
      <c r="L48" s="43">
        <f t="shared" ref="L48:L54" si="4">L47+1</f>
        <v>2009</v>
      </c>
      <c r="M48" s="356">
        <v>175</v>
      </c>
      <c r="N48" s="101">
        <v>207.441</v>
      </c>
      <c r="O48" s="1381">
        <v>289.59200000000055</v>
      </c>
      <c r="P48" s="1381">
        <v>83.777999999999793</v>
      </c>
      <c r="Q48" s="1382">
        <v>-46.73700000000008</v>
      </c>
      <c r="R48" s="97">
        <v>14.1</v>
      </c>
      <c r="S48" s="96">
        <v>127.06100000000001</v>
      </c>
      <c r="T48" s="96">
        <v>166.01300000000001</v>
      </c>
      <c r="U48" s="95">
        <f t="shared" si="2"/>
        <v>-38.951999999999998</v>
      </c>
      <c r="V48" s="94">
        <f t="shared" si="3"/>
        <v>-187.89800000000008</v>
      </c>
      <c r="W48" s="92">
        <v>-119.19600000000003</v>
      </c>
    </row>
    <row r="49" spans="3:23" ht="12" customHeight="1" x14ac:dyDescent="0.15">
      <c r="C49" s="30"/>
      <c r="D49" s="30"/>
      <c r="E49" s="30"/>
      <c r="F49" s="30"/>
      <c r="G49" s="30"/>
      <c r="H49" s="30"/>
      <c r="I49" s="30"/>
      <c r="J49" s="30"/>
      <c r="L49" s="38">
        <f t="shared" si="4"/>
        <v>2010</v>
      </c>
      <c r="M49" s="353">
        <v>175</v>
      </c>
      <c r="N49" s="419">
        <v>298.589</v>
      </c>
      <c r="O49" s="36">
        <v>370.22000000000116</v>
      </c>
      <c r="P49" s="36">
        <v>78.510999999999967</v>
      </c>
      <c r="Q49" s="44">
        <v>-29.215999999999894</v>
      </c>
      <c r="R49" s="45">
        <v>28</v>
      </c>
      <c r="S49" s="100">
        <v>161.05500000000001</v>
      </c>
      <c r="T49" s="100">
        <v>212.60499999999999</v>
      </c>
      <c r="U49" s="66">
        <f t="shared" si="2"/>
        <v>-51.549999999999983</v>
      </c>
      <c r="V49" s="99">
        <f t="shared" si="3"/>
        <v>-218.2709999999999</v>
      </c>
      <c r="W49" s="60">
        <v>-120.93399999999997</v>
      </c>
    </row>
    <row r="50" spans="3:23" ht="12" customHeight="1" x14ac:dyDescent="0.15">
      <c r="C50" s="30"/>
      <c r="D50" s="30"/>
      <c r="E50" s="30"/>
      <c r="F50" s="30"/>
      <c r="G50" s="30"/>
      <c r="H50" s="30"/>
      <c r="I50" s="30"/>
      <c r="J50" s="30"/>
      <c r="L50" s="38">
        <f t="shared" si="4"/>
        <v>2011</v>
      </c>
      <c r="M50" s="353">
        <v>177</v>
      </c>
      <c r="N50" s="419">
        <v>355.03</v>
      </c>
      <c r="O50" s="36">
        <v>429.18700000000172</v>
      </c>
      <c r="P50" s="36">
        <v>141.09699999999975</v>
      </c>
      <c r="Q50" s="44">
        <v>-85.788000000000011</v>
      </c>
      <c r="R50" s="45">
        <v>35.4</v>
      </c>
      <c r="S50" s="100">
        <v>166.363</v>
      </c>
      <c r="T50" s="100">
        <v>204.55199999999999</v>
      </c>
      <c r="U50" s="66">
        <f t="shared" si="2"/>
        <v>-38.188999999999993</v>
      </c>
      <c r="V50" s="99">
        <f t="shared" si="3"/>
        <v>-287.55100000000004</v>
      </c>
      <c r="W50" s="60">
        <v>-129.46299999999997</v>
      </c>
    </row>
    <row r="51" spans="3:23" ht="12" customHeight="1" x14ac:dyDescent="0.15">
      <c r="C51" s="31"/>
      <c r="D51" s="30"/>
      <c r="E51" s="30"/>
      <c r="F51" s="30"/>
      <c r="G51" s="30"/>
      <c r="H51" s="30"/>
      <c r="I51" s="30"/>
      <c r="J51" s="30"/>
      <c r="L51" s="38">
        <f t="shared" si="4"/>
        <v>2012</v>
      </c>
      <c r="M51" s="353">
        <v>179</v>
      </c>
      <c r="N51" s="419">
        <v>416.12</v>
      </c>
      <c r="O51" s="36">
        <v>488.93500000000131</v>
      </c>
      <c r="P51" s="36">
        <v>113.47899999999936</v>
      </c>
      <c r="Q51" s="44">
        <v>-47.085000000000036</v>
      </c>
      <c r="R51" s="45">
        <v>36.1</v>
      </c>
      <c r="S51" s="100">
        <v>131.47999999999999</v>
      </c>
      <c r="T51" s="100">
        <v>178.04400000000001</v>
      </c>
      <c r="U51" s="66">
        <f t="shared" si="2"/>
        <v>-46.564000000000021</v>
      </c>
      <c r="V51" s="99">
        <f t="shared" si="3"/>
        <v>-214.66500000000002</v>
      </c>
      <c r="W51" s="60">
        <v>-139.01700000000005</v>
      </c>
    </row>
    <row r="52" spans="3:23" ht="12" customHeight="1" x14ac:dyDescent="0.15">
      <c r="C52" s="30"/>
      <c r="D52" s="30"/>
      <c r="E52" s="30"/>
      <c r="F52" s="30"/>
      <c r="G52" s="30"/>
      <c r="H52" s="30"/>
      <c r="I52" s="30"/>
      <c r="J52" s="30"/>
      <c r="L52" s="38">
        <f t="shared" si="4"/>
        <v>2013</v>
      </c>
      <c r="M52" s="353">
        <v>177</v>
      </c>
      <c r="N52" s="419">
        <v>419.14</v>
      </c>
      <c r="O52" s="36">
        <v>581.875</v>
      </c>
      <c r="P52" s="36">
        <v>130.84500000000025</v>
      </c>
      <c r="Q52" s="44">
        <v>-119.90599999999995</v>
      </c>
      <c r="R52" s="45">
        <v>35</v>
      </c>
      <c r="S52" s="100">
        <v>154.405</v>
      </c>
      <c r="T52" s="100">
        <v>185.80799999999999</v>
      </c>
      <c r="U52" s="66">
        <f t="shared" si="2"/>
        <v>-31.402999999999992</v>
      </c>
      <c r="V52" s="99">
        <f t="shared" si="3"/>
        <v>-309.31099999999992</v>
      </c>
      <c r="W52" s="60">
        <v>-174.00699999999995</v>
      </c>
    </row>
    <row r="53" spans="3:23" ht="12" customHeight="1" x14ac:dyDescent="0.15">
      <c r="C53" s="30"/>
      <c r="D53" s="30"/>
      <c r="E53" s="30"/>
      <c r="F53" s="30"/>
      <c r="G53" s="30"/>
      <c r="H53" s="30"/>
      <c r="I53" s="30"/>
      <c r="J53" s="30"/>
      <c r="L53" s="38">
        <f t="shared" si="4"/>
        <v>2014</v>
      </c>
      <c r="M53" s="353">
        <v>166</v>
      </c>
      <c r="N53" s="419">
        <v>437.34300000000002</v>
      </c>
      <c r="O53" s="36">
        <v>525.08200000000215</v>
      </c>
      <c r="P53" s="36">
        <v>107.88699999999972</v>
      </c>
      <c r="Q53" s="44">
        <v>-37.384999999999764</v>
      </c>
      <c r="R53" s="45">
        <v>44.9</v>
      </c>
      <c r="S53" s="100">
        <v>142.506</v>
      </c>
      <c r="T53" s="100">
        <v>178.01300000000001</v>
      </c>
      <c r="U53" s="66">
        <f t="shared" si="2"/>
        <v>-35.507000000000005</v>
      </c>
      <c r="V53" s="99">
        <f t="shared" si="3"/>
        <v>-224.79099999999977</v>
      </c>
      <c r="W53" s="60">
        <v>-157.79500000000007</v>
      </c>
    </row>
    <row r="54" spans="3:23" ht="12" customHeight="1" thickBot="1" x14ac:dyDescent="0.2">
      <c r="C54" s="30"/>
      <c r="D54" s="30"/>
      <c r="E54" s="30"/>
      <c r="F54" s="30"/>
      <c r="G54" s="30"/>
      <c r="H54" s="30"/>
      <c r="I54" s="30"/>
      <c r="J54" s="30"/>
      <c r="L54" s="33">
        <f t="shared" si="4"/>
        <v>2015</v>
      </c>
      <c r="M54" s="1383">
        <v>156</v>
      </c>
      <c r="N54" s="91">
        <v>280.09199999999998</v>
      </c>
      <c r="O54" s="1384">
        <v>364.24499999999898</v>
      </c>
      <c r="P54" s="1384">
        <v>147.51100000000042</v>
      </c>
      <c r="Q54" s="1385">
        <v>-64.93100000000004</v>
      </c>
      <c r="R54" s="90">
        <v>47.7</v>
      </c>
      <c r="S54" s="89">
        <v>187.024</v>
      </c>
      <c r="T54" s="89">
        <v>203.279</v>
      </c>
      <c r="U54" s="88">
        <f t="shared" si="2"/>
        <v>-16.254999999999995</v>
      </c>
      <c r="V54" s="87">
        <f t="shared" si="3"/>
        <v>-299.65500000000003</v>
      </c>
      <c r="W54" s="86">
        <v>-166.36199999999985</v>
      </c>
    </row>
    <row r="55" spans="3:23" ht="14" thickTop="1" x14ac:dyDescent="0.15">
      <c r="C55" s="30"/>
      <c r="D55" s="30"/>
      <c r="E55" s="30"/>
      <c r="F55" s="30"/>
      <c r="G55" s="30"/>
      <c r="H55" s="30"/>
      <c r="I55" s="30"/>
      <c r="J55" s="30"/>
    </row>
    <row r="56" spans="3:23" x14ac:dyDescent="0.15">
      <c r="C56" s="30"/>
      <c r="D56" s="30"/>
      <c r="E56" s="30"/>
      <c r="F56" s="30"/>
      <c r="G56" s="30"/>
      <c r="H56" s="30"/>
      <c r="I56" s="30"/>
      <c r="J56" s="30"/>
    </row>
    <row r="57" spans="3:23" x14ac:dyDescent="0.15">
      <c r="C57" s="30"/>
      <c r="D57" s="30"/>
      <c r="E57" s="30"/>
      <c r="F57" s="30"/>
      <c r="G57" s="30"/>
      <c r="H57" s="30"/>
      <c r="I57" s="30"/>
      <c r="J57" s="30"/>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sheetData>
  <mergeCells count="11">
    <mergeCell ref="L2:W2"/>
    <mergeCell ref="N5:W5"/>
    <mergeCell ref="N6:N8"/>
    <mergeCell ref="O6:O8"/>
    <mergeCell ref="Q6:Q8"/>
    <mergeCell ref="W6:W8"/>
    <mergeCell ref="R7:R8"/>
    <mergeCell ref="M6:M8"/>
    <mergeCell ref="P6:P8"/>
    <mergeCell ref="S7:S8"/>
    <mergeCell ref="V7:V8"/>
  </mergeCells>
  <phoneticPr fontId="37" type="noConversion"/>
  <pageMargins left="0.7" right="0.7" top="0.75" bottom="0.75" header="0.3" footer="0.3"/>
  <pageSetup paperSize="9" scale="58"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33"/>
  <sheetViews>
    <sheetView zoomScale="85" zoomScaleNormal="85" zoomScalePageLayoutView="85" workbookViewId="0">
      <pane xSplit="4" ySplit="8" topLeftCell="E209" activePane="bottomRight" state="frozen"/>
      <selection pane="topRight" activeCell="E1" sqref="E1"/>
      <selection pane="bottomLeft" activeCell="C5" sqref="C5"/>
      <selection pane="bottomRight" activeCell="L228" sqref="L228"/>
    </sheetView>
  </sheetViews>
  <sheetFormatPr baseColWidth="10" defaultColWidth="7.6640625" defaultRowHeight="13" x14ac:dyDescent="0.15"/>
  <cols>
    <col min="1" max="1" width="8" style="146" hidden="1" customWidth="1"/>
    <col min="2" max="2" width="13" style="146" hidden="1" customWidth="1"/>
    <col min="3" max="3" width="7.6640625" style="146" hidden="1" customWidth="1"/>
    <col min="4" max="4" width="26.1640625" style="146" customWidth="1"/>
    <col min="5" max="8" width="11.83203125" style="146" customWidth="1"/>
    <col min="9" max="13" width="11.83203125" style="159" customWidth="1"/>
    <col min="14" max="16" width="11.83203125" style="146" customWidth="1"/>
    <col min="17" max="17" width="11.83203125" style="159" customWidth="1"/>
    <col min="18" max="18" width="11.83203125" style="146" customWidth="1"/>
    <col min="19" max="16384" width="7.6640625" style="146"/>
  </cols>
  <sheetData>
    <row r="1" spans="2:22" ht="12" customHeight="1" thickBot="1" x14ac:dyDescent="0.2">
      <c r="N1" s="159"/>
    </row>
    <row r="2" spans="2:22" ht="33" customHeight="1" thickTop="1" x14ac:dyDescent="0.15">
      <c r="B2" s="146" t="s">
        <v>115</v>
      </c>
      <c r="D2" s="2224" t="s">
        <v>402</v>
      </c>
      <c r="E2" s="2225"/>
      <c r="F2" s="2225"/>
      <c r="G2" s="2225"/>
      <c r="H2" s="2225"/>
      <c r="I2" s="2225"/>
      <c r="J2" s="2225"/>
      <c r="K2" s="2225"/>
      <c r="L2" s="2225"/>
      <c r="M2" s="2225"/>
      <c r="N2" s="2225"/>
      <c r="O2" s="2225"/>
      <c r="P2" s="2225"/>
      <c r="Q2" s="2225"/>
      <c r="R2" s="2226"/>
    </row>
    <row r="3" spans="2:22" ht="18" x14ac:dyDescent="0.2">
      <c r="D3" s="333"/>
      <c r="E3" s="158"/>
      <c r="F3" s="158"/>
      <c r="G3" s="158"/>
      <c r="H3" s="158"/>
      <c r="I3" s="158"/>
      <c r="J3" s="158"/>
      <c r="K3" s="158"/>
      <c r="L3" s="158"/>
      <c r="M3" s="158"/>
      <c r="N3" s="158"/>
      <c r="O3" s="158"/>
      <c r="P3" s="158"/>
      <c r="Q3" s="158"/>
      <c r="R3" s="334"/>
    </row>
    <row r="4" spans="2:22" ht="18" x14ac:dyDescent="0.2">
      <c r="D4" s="333"/>
      <c r="E4" s="1377" t="s">
        <v>1</v>
      </c>
      <c r="F4" s="1377" t="s">
        <v>2</v>
      </c>
      <c r="G4" s="1377" t="s">
        <v>3</v>
      </c>
      <c r="H4" s="1377" t="s">
        <v>4</v>
      </c>
      <c r="I4" s="1377" t="s">
        <v>5</v>
      </c>
      <c r="J4" s="1377" t="s">
        <v>6</v>
      </c>
      <c r="K4" s="160" t="s">
        <v>7</v>
      </c>
      <c r="L4" s="1377" t="s">
        <v>8</v>
      </c>
      <c r="M4" s="1377" t="s">
        <v>9</v>
      </c>
      <c r="N4" s="1377" t="s">
        <v>10</v>
      </c>
      <c r="O4" s="1377" t="s">
        <v>11</v>
      </c>
      <c r="P4" s="1377" t="s">
        <v>12</v>
      </c>
      <c r="Q4" s="1377" t="s">
        <v>13</v>
      </c>
      <c r="R4" s="1388" t="s">
        <v>177</v>
      </c>
    </row>
    <row r="5" spans="2:22" ht="21.75" customHeight="1" thickBot="1" x14ac:dyDescent="0.25">
      <c r="D5" s="333"/>
      <c r="E5" s="2245" t="s">
        <v>403</v>
      </c>
      <c r="F5" s="2246"/>
      <c r="G5" s="2246"/>
      <c r="H5" s="2246"/>
      <c r="I5" s="2246"/>
      <c r="J5" s="2246"/>
      <c r="K5" s="2246"/>
      <c r="L5" s="2246"/>
      <c r="M5" s="2246"/>
      <c r="N5" s="2246"/>
      <c r="O5" s="2246"/>
      <c r="P5" s="2246"/>
      <c r="Q5" s="2246"/>
      <c r="R5" s="2247"/>
    </row>
    <row r="6" spans="2:22" ht="32.25" customHeight="1" x14ac:dyDescent="0.2">
      <c r="B6" s="146" t="s">
        <v>404</v>
      </c>
      <c r="D6" s="335"/>
      <c r="E6" s="2227" t="s">
        <v>405</v>
      </c>
      <c r="F6" s="2228"/>
      <c r="G6" s="2228"/>
      <c r="H6" s="2228"/>
      <c r="I6" s="2235" t="s">
        <v>406</v>
      </c>
      <c r="J6" s="2236"/>
      <c r="K6" s="2236"/>
      <c r="L6" s="2236"/>
      <c r="M6" s="2236"/>
      <c r="N6" s="2227" t="s">
        <v>407</v>
      </c>
      <c r="O6" s="2228"/>
      <c r="P6" s="2228"/>
      <c r="Q6" s="2228"/>
      <c r="R6" s="371" t="s">
        <v>408</v>
      </c>
    </row>
    <row r="7" spans="2:22" ht="78" customHeight="1" x14ac:dyDescent="0.2">
      <c r="D7" s="335"/>
      <c r="E7" s="2231" t="s">
        <v>409</v>
      </c>
      <c r="F7" s="2233" t="s">
        <v>410</v>
      </c>
      <c r="G7" s="2233" t="s">
        <v>411</v>
      </c>
      <c r="H7" s="2233" t="s">
        <v>412</v>
      </c>
      <c r="I7" s="2229" t="s">
        <v>413</v>
      </c>
      <c r="J7" s="337" t="s">
        <v>414</v>
      </c>
      <c r="K7" s="337" t="s">
        <v>415</v>
      </c>
      <c r="L7" s="2233" t="s">
        <v>416</v>
      </c>
      <c r="M7" s="2233" t="s">
        <v>417</v>
      </c>
      <c r="N7" s="2231" t="s">
        <v>409</v>
      </c>
      <c r="O7" s="2233" t="s">
        <v>410</v>
      </c>
      <c r="P7" s="2233" t="s">
        <v>411</v>
      </c>
      <c r="Q7" s="2233" t="s">
        <v>418</v>
      </c>
      <c r="R7" s="2237" t="s">
        <v>419</v>
      </c>
    </row>
    <row r="8" spans="2:22" s="149" customFormat="1" ht="66" customHeight="1" x14ac:dyDescent="0.2">
      <c r="D8" s="336"/>
      <c r="E8" s="2232"/>
      <c r="F8" s="2234"/>
      <c r="G8" s="2234"/>
      <c r="H8" s="2234"/>
      <c r="I8" s="2230"/>
      <c r="J8" s="1842"/>
      <c r="K8" s="1842"/>
      <c r="L8" s="2234"/>
      <c r="M8" s="2234"/>
      <c r="N8" s="2232"/>
      <c r="O8" s="2234"/>
      <c r="P8" s="2234"/>
      <c r="Q8" s="2234"/>
      <c r="R8" s="2238"/>
    </row>
    <row r="9" spans="2:22" s="149" customFormat="1" ht="40" customHeight="1" x14ac:dyDescent="0.2">
      <c r="D9" s="339" t="s">
        <v>28</v>
      </c>
      <c r="E9" s="367">
        <f>SUM(E10:E44)</f>
        <v>964504.39049308503</v>
      </c>
      <c r="F9" s="368">
        <f t="shared" ref="F9:R9" si="0">SUM(F10:F44)</f>
        <v>1044810</v>
      </c>
      <c r="G9" s="368">
        <f t="shared" si="0"/>
        <v>816765.6565721666</v>
      </c>
      <c r="H9" s="368">
        <f t="shared" si="0"/>
        <v>148065.48273750852</v>
      </c>
      <c r="I9" s="369">
        <f t="shared" si="0"/>
        <v>107123.62778134528</v>
      </c>
      <c r="J9" s="368">
        <f t="shared" si="0"/>
        <v>94581.7</v>
      </c>
      <c r="K9" s="368">
        <f t="shared" si="0"/>
        <v>12541.927781345275</v>
      </c>
      <c r="L9" s="368">
        <f t="shared" si="0"/>
        <v>0</v>
      </c>
      <c r="M9" s="368">
        <f t="shared" si="0"/>
        <v>0</v>
      </c>
      <c r="N9" s="367">
        <f t="shared" si="0"/>
        <v>1357226.2317901247</v>
      </c>
      <c r="O9" s="368">
        <f t="shared" si="0"/>
        <v>1473626.8579402301</v>
      </c>
      <c r="P9" s="368">
        <f t="shared" si="0"/>
        <v>682646.87285153859</v>
      </c>
      <c r="Q9" s="368">
        <f t="shared" si="0"/>
        <v>674579.35893858597</v>
      </c>
      <c r="R9" s="370">
        <f t="shared" si="0"/>
        <v>111280.98316547611</v>
      </c>
    </row>
    <row r="10" spans="2:22" ht="14.25" customHeight="1" x14ac:dyDescent="0.2">
      <c r="D10" s="1389" t="s">
        <v>29</v>
      </c>
      <c r="E10" s="749">
        <v>23973.251183410001</v>
      </c>
      <c r="F10" s="1390">
        <v>24300</v>
      </c>
      <c r="G10" s="1390">
        <v>15084.14745168254</v>
      </c>
      <c r="H10" s="1390">
        <f>+F10-G10</f>
        <v>9215.8525483174599</v>
      </c>
      <c r="I10" s="1391"/>
      <c r="J10" s="1390"/>
      <c r="K10" s="1390"/>
      <c r="L10" s="1390"/>
      <c r="M10" s="1390"/>
      <c r="N10" s="749">
        <v>13385.678863927</v>
      </c>
      <c r="O10" s="1390">
        <v>13900</v>
      </c>
      <c r="P10" s="1390">
        <v>5236.9695951766162</v>
      </c>
      <c r="Q10" s="1390">
        <f t="shared" ref="Q10:Q44" si="1">+N10-P10</f>
        <v>8148.7092687503837</v>
      </c>
      <c r="R10" s="1392"/>
    </row>
    <row r="11" spans="2:22" ht="14.25" customHeight="1" x14ac:dyDescent="0.2">
      <c r="D11" s="1389" t="s">
        <v>30</v>
      </c>
      <c r="E11" s="749">
        <f>F11</f>
        <v>15300</v>
      </c>
      <c r="F11" s="1390">
        <v>15300</v>
      </c>
      <c r="G11" s="1390">
        <v>8746.0155314162403</v>
      </c>
      <c r="H11" s="1390">
        <f t="shared" ref="H11:H44" si="2">+E11-G11</f>
        <v>6553.9844685837597</v>
      </c>
      <c r="I11" s="1391"/>
      <c r="J11" s="1390"/>
      <c r="K11" s="1390"/>
      <c r="L11" s="1390"/>
      <c r="M11" s="1390"/>
      <c r="N11" s="749">
        <v>16982.133813799999</v>
      </c>
      <c r="O11" s="1390">
        <v>17000</v>
      </c>
      <c r="P11" s="1390">
        <v>8594.2593145658138</v>
      </c>
      <c r="Q11" s="1390">
        <f t="shared" si="1"/>
        <v>8387.8744992341854</v>
      </c>
      <c r="R11" s="1392">
        <f>+-IF(VLOOKUP(D11,TableB11!$H$8:$M$39,6,0)&lt;0,VLOOKUP(D11,TableB11!$H$8:$M$39,6,0),0)*1000</f>
        <v>8291.6046975630488</v>
      </c>
    </row>
    <row r="12" spans="2:22" ht="14.25" customHeight="1" x14ac:dyDescent="0.2">
      <c r="D12" s="1389" t="s">
        <v>31</v>
      </c>
      <c r="E12" s="749">
        <v>20734.331669439998</v>
      </c>
      <c r="F12" s="1390">
        <v>29600</v>
      </c>
      <c r="G12" s="1390">
        <v>27800.73952074621</v>
      </c>
      <c r="H12" s="1390">
        <f t="shared" si="2"/>
        <v>-7066.4078513062123</v>
      </c>
      <c r="I12" s="1391">
        <f>TableB11!G26*1000</f>
        <v>1522.8850683018743</v>
      </c>
      <c r="J12" s="1390">
        <f>TableB11!C26*1000</f>
        <v>2983.1</v>
      </c>
      <c r="K12" s="1390">
        <f>I12-J12</f>
        <v>-1460.2149316981256</v>
      </c>
      <c r="L12" s="1390"/>
      <c r="M12" s="1390"/>
      <c r="N12" s="749">
        <v>13926.788685523999</v>
      </c>
      <c r="O12" s="1390">
        <v>21100</v>
      </c>
      <c r="P12" s="1390">
        <v>26715.621529801992</v>
      </c>
      <c r="Q12" s="1390">
        <f t="shared" si="1"/>
        <v>-12788.832844277993</v>
      </c>
      <c r="R12" s="1392">
        <f>+-IF(VLOOKUP(D12,TableB11!$H$8:$M$39,6,0)&lt;0,VLOOKUP(D12,TableB11!$H$8:$M$39,6,0),0)*1000</f>
        <v>16719.735509765891</v>
      </c>
    </row>
    <row r="13" spans="2:22" ht="14.25" customHeight="1" x14ac:dyDescent="0.2">
      <c r="D13" s="1389" t="s">
        <v>32</v>
      </c>
      <c r="E13" s="749">
        <v>33733.083000860999</v>
      </c>
      <c r="F13" s="1390">
        <v>33800</v>
      </c>
      <c r="G13" s="1390">
        <v>18702.496557745493</v>
      </c>
      <c r="H13" s="1390">
        <f t="shared" si="2"/>
        <v>15030.586443115506</v>
      </c>
      <c r="I13" s="1391"/>
      <c r="J13" s="1390"/>
      <c r="K13" s="1390"/>
      <c r="L13" s="1390"/>
      <c r="M13" s="1390"/>
      <c r="N13" s="749">
        <v>40494.406633810999</v>
      </c>
      <c r="O13" s="1390">
        <v>40500</v>
      </c>
      <c r="P13" s="1390">
        <v>26063.670054359609</v>
      </c>
      <c r="Q13" s="1390">
        <f t="shared" si="1"/>
        <v>14430.73657945139</v>
      </c>
      <c r="R13" s="1392">
        <f>+-IF(VLOOKUP(D13,TableB11!$H$8:$M$39,6,0)&lt;0,VLOOKUP(D13,TableB11!$H$8:$M$39,6,0),0)*1000</f>
        <v>0</v>
      </c>
    </row>
    <row r="14" spans="2:22" ht="14.25" customHeight="1" x14ac:dyDescent="0.2">
      <c r="D14" s="1389" t="s">
        <v>33</v>
      </c>
      <c r="E14" s="749">
        <v>10233.519814927</v>
      </c>
      <c r="F14" s="1390">
        <v>11000</v>
      </c>
      <c r="G14" s="1390">
        <v>3417.4988467258759</v>
      </c>
      <c r="H14" s="1390">
        <f t="shared" si="2"/>
        <v>6816.0209682011246</v>
      </c>
      <c r="I14" s="1391"/>
      <c r="J14" s="1390"/>
      <c r="K14" s="1390"/>
      <c r="L14" s="1390"/>
      <c r="M14" s="1390"/>
      <c r="N14" s="749">
        <v>3882.6249462321998</v>
      </c>
      <c r="O14" s="1390">
        <v>4630</v>
      </c>
      <c r="P14" s="1390">
        <v>86.35224899087369</v>
      </c>
      <c r="Q14" s="1390">
        <f t="shared" si="1"/>
        <v>3796.2726972413261</v>
      </c>
      <c r="R14" s="1392"/>
      <c r="V14" s="1393"/>
    </row>
    <row r="15" spans="2:22" ht="14.25" customHeight="1" x14ac:dyDescent="0.2">
      <c r="D15" s="1389" t="s">
        <v>34</v>
      </c>
      <c r="E15" s="749">
        <v>14473.473712032001</v>
      </c>
      <c r="F15" s="1390">
        <v>14600</v>
      </c>
      <c r="G15" s="1390">
        <v>9765.0656740439226</v>
      </c>
      <c r="H15" s="1390">
        <f t="shared" si="2"/>
        <v>4708.4080379880779</v>
      </c>
      <c r="I15" s="1391"/>
      <c r="J15" s="1390"/>
      <c r="K15" s="1390"/>
      <c r="L15" s="1390"/>
      <c r="M15" s="1390"/>
      <c r="N15" s="749">
        <v>1860.9017606636</v>
      </c>
      <c r="O15" s="1390">
        <v>1980</v>
      </c>
      <c r="P15" s="1390">
        <v>1674.7697382778817</v>
      </c>
      <c r="Q15" s="1390">
        <f t="shared" si="1"/>
        <v>186.1320223857183</v>
      </c>
      <c r="R15" s="1392">
        <f>+-IF(VLOOKUP(D15,TableB11!$H$8:$M$39,6,0)&lt;0,VLOOKUP(D15,TableB11!$H$8:$M$39,6,0),0)*1000</f>
        <v>0</v>
      </c>
    </row>
    <row r="16" spans="2:22" ht="14.25" customHeight="1" x14ac:dyDescent="0.2">
      <c r="D16" s="1389" t="s">
        <v>35</v>
      </c>
      <c r="E16" s="749">
        <v>5206.0843964671003</v>
      </c>
      <c r="F16" s="1390">
        <v>5510</v>
      </c>
      <c r="G16" s="1390">
        <v>6679.3552335053964</v>
      </c>
      <c r="H16" s="1390">
        <f t="shared" si="2"/>
        <v>-1473.2708370382961</v>
      </c>
      <c r="I16" s="1391"/>
      <c r="J16" s="1390"/>
      <c r="K16" s="1390"/>
      <c r="L16" s="1390"/>
      <c r="M16" s="1390"/>
      <c r="N16" s="749">
        <v>12909.418027181</v>
      </c>
      <c r="O16" s="1390">
        <v>13400</v>
      </c>
      <c r="P16" s="1390">
        <v>7705.3930798993551</v>
      </c>
      <c r="Q16" s="1390">
        <f t="shared" si="1"/>
        <v>5204.0249472816449</v>
      </c>
      <c r="R16" s="1392">
        <f>+-IF(VLOOKUP(D16,TableB11!$H$8:$M$39,6,0)&lt;0,VLOOKUP(D16,TableB11!$H$8:$M$39,6,0),0)*1000</f>
        <v>275.82489610817373</v>
      </c>
    </row>
    <row r="17" spans="4:18" ht="14.25" customHeight="1" x14ac:dyDescent="0.2">
      <c r="D17" s="1389" t="s">
        <v>36</v>
      </c>
      <c r="E17" s="749">
        <v>1321.7160288407999</v>
      </c>
      <c r="F17" s="1390">
        <v>1350</v>
      </c>
      <c r="G17" s="1390">
        <v>691.64583955451508</v>
      </c>
      <c r="H17" s="1390">
        <f t="shared" si="2"/>
        <v>630.07018928628486</v>
      </c>
      <c r="I17" s="1391"/>
      <c r="J17" s="1390"/>
      <c r="K17" s="1390"/>
      <c r="L17" s="1390"/>
      <c r="M17" s="1390"/>
      <c r="N17" s="749">
        <v>334.27620632280002</v>
      </c>
      <c r="O17" s="1390">
        <v>353</v>
      </c>
      <c r="P17" s="1390">
        <v>155.39999999999998</v>
      </c>
      <c r="Q17" s="1390">
        <f t="shared" si="1"/>
        <v>178.87620632280004</v>
      </c>
      <c r="R17" s="1392">
        <f>+-IF(VLOOKUP(D17,TableB11!$H$8:$M$39,6,0)&lt;0,VLOOKUP(D17,TableB11!$H$8:$M$39,6,0),0)*1000</f>
        <v>0</v>
      </c>
    </row>
    <row r="18" spans="4:18" ht="14.25" customHeight="1" x14ac:dyDescent="0.2">
      <c r="D18" s="1389" t="s">
        <v>37</v>
      </c>
      <c r="E18" s="749">
        <v>4089.1290388051361</v>
      </c>
      <c r="F18" s="1390">
        <v>0</v>
      </c>
      <c r="G18" s="1390">
        <v>4310.8212187169474</v>
      </c>
      <c r="H18" s="1390">
        <f t="shared" si="2"/>
        <v>-221.69217991181131</v>
      </c>
      <c r="I18" s="1391"/>
      <c r="J18" s="1390"/>
      <c r="K18" s="1390"/>
      <c r="L18" s="1390"/>
      <c r="M18" s="1390"/>
      <c r="N18" s="749">
        <v>6937.5328116999999</v>
      </c>
      <c r="O18" s="1390">
        <v>7710</v>
      </c>
      <c r="P18" s="1390">
        <v>3400.9986366577896</v>
      </c>
      <c r="Q18" s="1390">
        <f t="shared" si="1"/>
        <v>3536.5341750422103</v>
      </c>
      <c r="R18" s="1392">
        <f>+-IF(VLOOKUP(D18,TableB11!$H$8:$M$39,6,0)&lt;0,VLOOKUP(D18,TableB11!$H$8:$M$39,6,0),0)*1000</f>
        <v>0</v>
      </c>
    </row>
    <row r="19" spans="4:18" ht="14.25" customHeight="1" x14ac:dyDescent="0.2">
      <c r="D19" s="1389" t="s">
        <v>38</v>
      </c>
      <c r="E19" s="749">
        <v>25964.503605103</v>
      </c>
      <c r="F19" s="1390">
        <v>29400</v>
      </c>
      <c r="G19" s="1390">
        <v>18278.668543060412</v>
      </c>
      <c r="H19" s="1390">
        <f t="shared" si="2"/>
        <v>7685.8350620425881</v>
      </c>
      <c r="I19" s="1391"/>
      <c r="J19" s="1390"/>
      <c r="K19" s="1390"/>
      <c r="L19" s="1390"/>
      <c r="M19" s="1390"/>
      <c r="N19" s="749">
        <v>70779.811425402004</v>
      </c>
      <c r="O19" s="1390">
        <v>74000</v>
      </c>
      <c r="P19" s="1390">
        <v>53256.887019926573</v>
      </c>
      <c r="Q19" s="1390">
        <f t="shared" si="1"/>
        <v>17522.924405475431</v>
      </c>
      <c r="R19" s="1392">
        <f>+-IF(VLOOKUP(D19,TableB11!$H$8:$M$39,6,0)&lt;0,VLOOKUP(D19,TableB11!$H$8:$M$39,6,0),0)*1000</f>
        <v>5134.6462465300065</v>
      </c>
    </row>
    <row r="20" spans="4:18" ht="14.25" customHeight="1" x14ac:dyDescent="0.2">
      <c r="D20" s="1389" t="s">
        <v>39</v>
      </c>
      <c r="E20" s="749">
        <v>33633.943427621001</v>
      </c>
      <c r="F20" s="1390">
        <v>43600</v>
      </c>
      <c r="G20" s="1390">
        <v>28795.112841251059</v>
      </c>
      <c r="H20" s="1390">
        <f t="shared" si="2"/>
        <v>4838.8305863699425</v>
      </c>
      <c r="I20" s="1391"/>
      <c r="J20" s="1390"/>
      <c r="K20" s="1390"/>
      <c r="L20" s="1390"/>
      <c r="M20" s="1390"/>
      <c r="N20" s="749">
        <v>74202.995008319005</v>
      </c>
      <c r="O20" s="1390">
        <v>84200</v>
      </c>
      <c r="P20" s="1390">
        <v>65092.017891796029</v>
      </c>
      <c r="Q20" s="1390">
        <f t="shared" si="1"/>
        <v>9110.9771165229758</v>
      </c>
      <c r="R20" s="1392">
        <f>+-IF(VLOOKUP(D20,TableB11!$H$8:$M$39,6,0)&lt;0,VLOOKUP(D20,TableB11!$H$8:$M$39,6,0),0)*1000</f>
        <v>25909.240633099653</v>
      </c>
    </row>
    <row r="21" spans="4:18" ht="14.25" customHeight="1" x14ac:dyDescent="0.2">
      <c r="D21" s="1389" t="s">
        <v>40</v>
      </c>
      <c r="E21" s="749">
        <v>1156.7556206323</v>
      </c>
      <c r="F21" s="1390">
        <v>1030</v>
      </c>
      <c r="G21" s="1390">
        <v>1111.5008855783394</v>
      </c>
      <c r="H21" s="1390">
        <f t="shared" si="2"/>
        <v>45.25473505396053</v>
      </c>
      <c r="I21" s="1391"/>
      <c r="J21" s="1390"/>
      <c r="K21" s="1390"/>
      <c r="L21" s="1390"/>
      <c r="M21" s="1390"/>
      <c r="N21" s="749">
        <v>1801.5251170271999</v>
      </c>
      <c r="O21" s="1390">
        <v>2350</v>
      </c>
      <c r="P21" s="1390">
        <v>643.86980787518678</v>
      </c>
      <c r="Q21" s="1390">
        <f t="shared" si="1"/>
        <v>1157.6553091520132</v>
      </c>
      <c r="R21" s="1392">
        <f>+-IF(VLOOKUP(D21,TableB11!$H$8:$M$39,6,0)&lt;0,VLOOKUP(D21,TableB11!$H$8:$M$39,6,0),0)*1000</f>
        <v>0</v>
      </c>
    </row>
    <row r="22" spans="4:18" ht="14.25" customHeight="1" x14ac:dyDescent="0.2">
      <c r="D22" s="1389" t="s">
        <v>41</v>
      </c>
      <c r="E22" s="749">
        <v>11620.257269139</v>
      </c>
      <c r="F22" s="1390">
        <v>13300</v>
      </c>
      <c r="G22" s="1390">
        <v>7319.2399710567806</v>
      </c>
      <c r="H22" s="1390">
        <f t="shared" si="2"/>
        <v>4301.017298082219</v>
      </c>
      <c r="I22" s="1391"/>
      <c r="J22" s="1390"/>
      <c r="K22" s="1390"/>
      <c r="L22" s="1390"/>
      <c r="M22" s="1390"/>
      <c r="N22" s="749">
        <v>3943.6663646067</v>
      </c>
      <c r="O22" s="1390">
        <v>5480</v>
      </c>
      <c r="P22" s="1390">
        <v>948.10469657704039</v>
      </c>
      <c r="Q22" s="1390">
        <f t="shared" si="1"/>
        <v>2995.5616680296598</v>
      </c>
      <c r="R22" s="1392">
        <f>+-IF(VLOOKUP(D22,TableB11!$H$8:$M$39,6,0)&lt;0,VLOOKUP(D22,TableB11!$H$8:$M$39,6,0),0)*1000</f>
        <v>0</v>
      </c>
    </row>
    <row r="23" spans="4:18" ht="14.25" customHeight="1" x14ac:dyDescent="0.2">
      <c r="D23" s="1389" t="s">
        <v>42</v>
      </c>
      <c r="E23" s="749">
        <v>36.721543558576997</v>
      </c>
      <c r="F23" s="1390">
        <v>230</v>
      </c>
      <c r="G23" s="1390">
        <v>176.20863807149999</v>
      </c>
      <c r="H23" s="1390">
        <f t="shared" si="2"/>
        <v>-139.48709451292299</v>
      </c>
      <c r="I23" s="1391"/>
      <c r="J23" s="1390"/>
      <c r="K23" s="1390"/>
      <c r="L23" s="1390"/>
      <c r="M23" s="1390"/>
      <c r="N23" s="749">
        <v>290.37895851496</v>
      </c>
      <c r="O23" s="1390">
        <v>487</v>
      </c>
      <c r="P23" s="1390">
        <v>78.153061464591289</v>
      </c>
      <c r="Q23" s="1390">
        <f t="shared" si="1"/>
        <v>212.2258970503687</v>
      </c>
      <c r="R23" s="1392"/>
    </row>
    <row r="24" spans="4:18" ht="14.25" customHeight="1" x14ac:dyDescent="0.2">
      <c r="D24" s="1389" t="s">
        <v>43</v>
      </c>
      <c r="E24" s="749">
        <v>64705.490848586</v>
      </c>
      <c r="F24" s="1390">
        <v>66200</v>
      </c>
      <c r="G24" s="1390">
        <v>73812.560486827089</v>
      </c>
      <c r="H24" s="1390">
        <f t="shared" si="2"/>
        <v>-9107.0696382410897</v>
      </c>
      <c r="I24" s="1391">
        <f>+TableB11!G37*1000</f>
        <v>44744.7</v>
      </c>
      <c r="J24" s="1390">
        <f>+TableB11!C37*1000</f>
        <v>46219.5</v>
      </c>
      <c r="K24" s="1390">
        <f>I24-J24</f>
        <v>-1474.8000000000029</v>
      </c>
      <c r="L24" s="1390"/>
      <c r="M24" s="1390"/>
      <c r="N24" s="749">
        <v>11762.617859124</v>
      </c>
      <c r="O24" s="1390">
        <v>17500</v>
      </c>
      <c r="P24" s="1390">
        <v>12167.529469148147</v>
      </c>
      <c r="Q24" s="1390">
        <f t="shared" si="1"/>
        <v>-404.91161002414628</v>
      </c>
      <c r="R24" s="1392">
        <f>+-IF(VLOOKUP(D24,TableB11!$H$8:$M$39,6,0)&lt;0,VLOOKUP(D24,TableB11!$H$8:$M$39,6,0),0)*1000</f>
        <v>0</v>
      </c>
    </row>
    <row r="25" spans="4:18" ht="14.25" customHeight="1" x14ac:dyDescent="0.2">
      <c r="D25" s="1389" t="s">
        <v>44</v>
      </c>
      <c r="E25" s="749">
        <f>F25</f>
        <v>5020</v>
      </c>
      <c r="F25" s="1390">
        <v>5020</v>
      </c>
      <c r="G25" s="1390">
        <v>1082.9000000000001</v>
      </c>
      <c r="H25" s="1390">
        <f t="shared" si="2"/>
        <v>3937.1</v>
      </c>
      <c r="I25" s="1391"/>
      <c r="J25" s="1390"/>
      <c r="K25" s="1390"/>
      <c r="L25" s="1390"/>
      <c r="M25" s="1390"/>
      <c r="N25" s="749">
        <f>O25</f>
        <v>6400</v>
      </c>
      <c r="O25" s="1390">
        <v>6400</v>
      </c>
      <c r="P25" s="1390">
        <v>-24.997835689045985</v>
      </c>
      <c r="Q25" s="1390">
        <f t="shared" si="1"/>
        <v>6424.997835689046</v>
      </c>
      <c r="R25" s="1392"/>
    </row>
    <row r="26" spans="4:18" ht="14.25" customHeight="1" x14ac:dyDescent="0.2">
      <c r="D26" s="1389" t="s">
        <v>45</v>
      </c>
      <c r="E26" s="749">
        <v>11685.327787022001</v>
      </c>
      <c r="F26" s="1390">
        <v>14800</v>
      </c>
      <c r="G26" s="1390">
        <v>14399.63306024618</v>
      </c>
      <c r="H26" s="1390">
        <f t="shared" si="2"/>
        <v>-2714.3052732241795</v>
      </c>
      <c r="I26" s="1391"/>
      <c r="J26" s="1390"/>
      <c r="K26" s="1390"/>
      <c r="L26" s="1390"/>
      <c r="M26" s="1390"/>
      <c r="N26" s="749">
        <v>12171.589572934001</v>
      </c>
      <c r="O26" s="1390">
        <v>15300</v>
      </c>
      <c r="P26" s="1390">
        <v>10427.157751708566</v>
      </c>
      <c r="Q26" s="1390">
        <f t="shared" si="1"/>
        <v>1744.4318212254348</v>
      </c>
      <c r="R26" s="1392">
        <f>+-IF(VLOOKUP(D26,TableB11!$H$8:$M$39,6,0)&lt;0,VLOOKUP(D26,TableB11!$H$8:$M$39,6,0),0)*1000</f>
        <v>1254.4653799274456</v>
      </c>
    </row>
    <row r="27" spans="4:18" ht="14.25" customHeight="1" x14ac:dyDescent="0.2">
      <c r="D27" s="1389" t="s">
        <v>46</v>
      </c>
      <c r="E27" s="749">
        <v>24191.297999145001</v>
      </c>
      <c r="F27" s="1390">
        <v>24200</v>
      </c>
      <c r="G27" s="1390">
        <v>14144.417507000473</v>
      </c>
      <c r="H27" s="1390">
        <f t="shared" si="2"/>
        <v>10046.880492144528</v>
      </c>
      <c r="I27" s="1391"/>
      <c r="J27" s="1390"/>
      <c r="K27" s="1390"/>
      <c r="L27" s="1390"/>
      <c r="M27" s="1390"/>
      <c r="N27" s="749">
        <v>94342.367206581999</v>
      </c>
      <c r="O27" s="1390">
        <v>94200</v>
      </c>
      <c r="P27" s="1390">
        <v>33072.343830371668</v>
      </c>
      <c r="Q27" s="1390">
        <f t="shared" si="1"/>
        <v>61270.023376210331</v>
      </c>
      <c r="R27" s="1392">
        <f>+-IF(VLOOKUP(D27,TableB11!$H$8:$M$39,6,0)&lt;0,VLOOKUP(D27,TableB11!$H$8:$M$39,6,0),0)*1000</f>
        <v>0</v>
      </c>
    </row>
    <row r="28" spans="4:18" ht="14.25" customHeight="1" x14ac:dyDescent="0.2">
      <c r="D28" s="1389" t="s">
        <v>47</v>
      </c>
      <c r="E28" s="749">
        <v>2261.1056400176999</v>
      </c>
      <c r="F28" s="1390">
        <v>10600</v>
      </c>
      <c r="G28" s="1390">
        <v>7920.6575588544893</v>
      </c>
      <c r="H28" s="1390">
        <f t="shared" si="2"/>
        <v>-5659.5519188367889</v>
      </c>
      <c r="I28" s="1391"/>
      <c r="J28" s="1390"/>
      <c r="K28" s="1390"/>
      <c r="L28" s="1390"/>
      <c r="M28" s="1390"/>
      <c r="N28" s="749">
        <v>-123.834732</v>
      </c>
      <c r="O28" s="1390">
        <v>10800</v>
      </c>
      <c r="P28" s="1390">
        <v>3507.8817069653305</v>
      </c>
      <c r="Q28" s="1390">
        <f t="shared" si="1"/>
        <v>-3631.7164389653303</v>
      </c>
      <c r="R28" s="1392"/>
    </row>
    <row r="29" spans="4:18" ht="14.25" customHeight="1" x14ac:dyDescent="0.2">
      <c r="D29" s="1389" t="s">
        <v>48</v>
      </c>
      <c r="E29" s="749">
        <v>1151.4143094842</v>
      </c>
      <c r="F29" s="1390">
        <v>1180</v>
      </c>
      <c r="G29" s="1390">
        <v>686.13284062363823</v>
      </c>
      <c r="H29" s="1390">
        <f t="shared" si="2"/>
        <v>465.28146886056174</v>
      </c>
      <c r="I29" s="1391"/>
      <c r="J29" s="1390"/>
      <c r="K29" s="1390"/>
      <c r="L29" s="1390"/>
      <c r="M29" s="1390"/>
      <c r="N29" s="749">
        <v>154.18746533555</v>
      </c>
      <c r="O29" s="1390">
        <v>199</v>
      </c>
      <c r="P29" s="1390">
        <v>85.598722190536279</v>
      </c>
      <c r="Q29" s="1390">
        <f t="shared" si="1"/>
        <v>68.588743145013723</v>
      </c>
      <c r="R29" s="1392">
        <f>+-IF(VLOOKUP(D29,TableB11!$H$8:$M$39,6,0)&lt;0,VLOOKUP(D29,TableB11!$H$8:$M$39,6,0),0)*1000</f>
        <v>9.0943471977765462</v>
      </c>
    </row>
    <row r="30" spans="4:18" ht="14.25" customHeight="1" x14ac:dyDescent="0.2">
      <c r="D30" s="1389" t="s">
        <v>49</v>
      </c>
      <c r="E30" s="749">
        <v>64727.676095397001</v>
      </c>
      <c r="F30" s="1390">
        <v>86700</v>
      </c>
      <c r="G30" s="1390">
        <v>62909.762243116493</v>
      </c>
      <c r="H30" s="1390">
        <f t="shared" si="2"/>
        <v>1817.9138522805079</v>
      </c>
      <c r="I30" s="1391">
        <f>+TableB11!G35*1000</f>
        <v>29171.24783593354</v>
      </c>
      <c r="J30" s="1390">
        <f>+TableB11!C35*1000</f>
        <v>23136.3</v>
      </c>
      <c r="K30" s="1390">
        <f>I30-J30</f>
        <v>6034.9478359335408</v>
      </c>
      <c r="L30" s="1390"/>
      <c r="M30" s="1390"/>
      <c r="N30" s="749">
        <v>90364.947310039002</v>
      </c>
      <c r="O30" s="1390">
        <v>112000</v>
      </c>
      <c r="P30" s="1390">
        <v>69180.079632939945</v>
      </c>
      <c r="Q30" s="1390">
        <f t="shared" si="1"/>
        <v>21184.867677099057</v>
      </c>
      <c r="R30" s="1392">
        <f>+-IF(VLOOKUP(D30,TableB11!$H$8:$M$39,6,0)&lt;0,VLOOKUP(D30,TableB11!$H$8:$M$39,6,0),0)*1000</f>
        <v>48802.596103404954</v>
      </c>
    </row>
    <row r="31" spans="4:18" ht="14.25" customHeight="1" x14ac:dyDescent="0.2">
      <c r="D31" s="1389" t="s">
        <v>50</v>
      </c>
      <c r="E31" s="749">
        <f>F31</f>
        <v>16300</v>
      </c>
      <c r="F31" s="1390">
        <v>16300</v>
      </c>
      <c r="G31" s="1390">
        <v>17084.280597131503</v>
      </c>
      <c r="H31" s="1390">
        <f t="shared" si="2"/>
        <v>-784.28059713150287</v>
      </c>
      <c r="I31" s="1391"/>
      <c r="J31" s="1390"/>
      <c r="K31" s="1390"/>
      <c r="L31" s="1390"/>
      <c r="M31" s="1390"/>
      <c r="N31" s="749">
        <f>O31</f>
        <v>4550</v>
      </c>
      <c r="O31" s="1390">
        <v>4550</v>
      </c>
      <c r="P31" s="1390">
        <v>1709.8565963684346</v>
      </c>
      <c r="Q31" s="1390">
        <f t="shared" si="1"/>
        <v>2840.1434036315654</v>
      </c>
      <c r="R31" s="1392"/>
    </row>
    <row r="32" spans="4:18" ht="14.25" customHeight="1" x14ac:dyDescent="0.2">
      <c r="D32" s="1389" t="s">
        <v>51</v>
      </c>
      <c r="E32" s="749">
        <v>181210.20521352999</v>
      </c>
      <c r="F32" s="1390">
        <v>187000</v>
      </c>
      <c r="G32" s="1390">
        <v>111789.87582132951</v>
      </c>
      <c r="H32" s="1390">
        <f t="shared" si="2"/>
        <v>69420.329392200481</v>
      </c>
      <c r="I32" s="1391">
        <f>+TableB11!G36*1000</f>
        <v>31684.794877109867</v>
      </c>
      <c r="J32" s="1390">
        <f>+TableB11!C36*1000</f>
        <v>22242.800000000003</v>
      </c>
      <c r="K32" s="1390">
        <f>I32-J32</f>
        <v>9441.9948771098643</v>
      </c>
      <c r="L32" s="1390"/>
      <c r="M32" s="1390"/>
      <c r="N32" s="749">
        <v>213437.60399333999</v>
      </c>
      <c r="O32" s="1390">
        <v>215000</v>
      </c>
      <c r="P32" s="1390">
        <v>91096.936710870068</v>
      </c>
      <c r="Q32" s="1390">
        <f t="shared" si="1"/>
        <v>122340.66728246992</v>
      </c>
      <c r="R32" s="1392">
        <f>+-IF(VLOOKUP(D32,TableB11!$H$8:$M$39,6,0)&lt;0,VLOOKUP(D32,TableB11!$H$8:$M$39,6,0),0)*1000</f>
        <v>0</v>
      </c>
    </row>
    <row r="33" spans="1:18" ht="14.25" customHeight="1" x14ac:dyDescent="0.2">
      <c r="D33" s="1389" t="s">
        <v>52</v>
      </c>
      <c r="E33" s="749">
        <v>5867.7600055780003</v>
      </c>
      <c r="F33" s="1390">
        <v>6100</v>
      </c>
      <c r="G33" s="1390">
        <v>4530.9737255284817</v>
      </c>
      <c r="H33" s="1390">
        <f t="shared" si="2"/>
        <v>1336.7862800495186</v>
      </c>
      <c r="I33" s="1391"/>
      <c r="J33" s="1390"/>
      <c r="K33" s="1390"/>
      <c r="L33" s="1390"/>
      <c r="M33" s="1390"/>
      <c r="N33" s="749">
        <v>491.57955654720001</v>
      </c>
      <c r="O33" s="1390">
        <v>704</v>
      </c>
      <c r="P33" s="1390">
        <v>1059.3328761591561</v>
      </c>
      <c r="Q33" s="1390">
        <f t="shared" si="1"/>
        <v>-567.75331961195604</v>
      </c>
      <c r="R33" s="1392"/>
    </row>
    <row r="34" spans="1:18" ht="14.25" customHeight="1" x14ac:dyDescent="0.2">
      <c r="D34" s="1389" t="s">
        <v>53</v>
      </c>
      <c r="E34" s="749">
        <v>6038.0938209143997</v>
      </c>
      <c r="F34" s="1390">
        <v>6420</v>
      </c>
      <c r="G34" s="1390">
        <v>6445.7190919453233</v>
      </c>
      <c r="H34" s="1390">
        <f t="shared" si="2"/>
        <v>-407.62527103092361</v>
      </c>
      <c r="I34" s="1391"/>
      <c r="J34" s="1390"/>
      <c r="K34" s="1390"/>
      <c r="L34" s="1390"/>
      <c r="M34" s="1390"/>
      <c r="N34" s="749">
        <v>9078.4073013156994</v>
      </c>
      <c r="O34" s="1390">
        <v>11100</v>
      </c>
      <c r="P34" s="1390">
        <v>4977.5100788552527</v>
      </c>
      <c r="Q34" s="1390">
        <f t="shared" si="1"/>
        <v>4100.8972224604468</v>
      </c>
      <c r="R34" s="1392"/>
    </row>
    <row r="35" spans="1:18" ht="14.25" customHeight="1" x14ac:dyDescent="0.2">
      <c r="D35" s="1389" t="s">
        <v>54</v>
      </c>
      <c r="E35" s="749">
        <v>18057.344437961001</v>
      </c>
      <c r="F35" s="1390">
        <v>18800</v>
      </c>
      <c r="G35" s="1390">
        <v>10357.826171812563</v>
      </c>
      <c r="H35" s="1390">
        <f t="shared" si="2"/>
        <v>7699.5182661484378</v>
      </c>
      <c r="I35" s="1391"/>
      <c r="J35" s="1390"/>
      <c r="K35" s="1390"/>
      <c r="L35" s="1390"/>
      <c r="M35" s="1390"/>
      <c r="N35" s="749">
        <v>945.81189326825995</v>
      </c>
      <c r="O35" s="1390">
        <v>1330</v>
      </c>
      <c r="P35" s="1390">
        <v>673.03081358580391</v>
      </c>
      <c r="Q35" s="1390">
        <f t="shared" si="1"/>
        <v>272.78107968245604</v>
      </c>
      <c r="R35" s="1392">
        <f>+-IF(VLOOKUP(D35,TableB11!$H$8:$M$39,6,0)&lt;0,VLOOKUP(D35,TableB11!$H$8:$M$39,6,0),0)*1000</f>
        <v>38.817335600265679</v>
      </c>
    </row>
    <row r="36" spans="1:18" ht="14.25" customHeight="1" x14ac:dyDescent="0.2">
      <c r="D36" s="1389" t="s">
        <v>55</v>
      </c>
      <c r="E36" s="749">
        <v>4857.4597892401998</v>
      </c>
      <c r="F36" s="1390">
        <v>5230</v>
      </c>
      <c r="G36" s="1390">
        <v>4053.400083082227</v>
      </c>
      <c r="H36" s="1390">
        <f t="shared" si="2"/>
        <v>804.05970615797287</v>
      </c>
      <c r="I36" s="1391"/>
      <c r="J36" s="1390"/>
      <c r="K36" s="1390"/>
      <c r="L36" s="1390"/>
      <c r="M36" s="1390"/>
      <c r="N36" s="749">
        <v>1911.2590127564999</v>
      </c>
      <c r="O36" s="1390">
        <v>2300</v>
      </c>
      <c r="P36" s="1390">
        <v>399.74098939929326</v>
      </c>
      <c r="Q36" s="1390">
        <f t="shared" si="1"/>
        <v>1511.5180233572066</v>
      </c>
      <c r="R36" s="1392">
        <f>+-IF(VLOOKUP(D36,TableB11!$H$8:$M$39,6,0)&lt;0,VLOOKUP(D36,TableB11!$H$8:$M$39,6,0),0)*1000</f>
        <v>0</v>
      </c>
    </row>
    <row r="37" spans="1:18" ht="14.25" customHeight="1" x14ac:dyDescent="0.2">
      <c r="D37" s="1389" t="s">
        <v>336</v>
      </c>
      <c r="E37" s="749">
        <f>F37</f>
        <v>3710</v>
      </c>
      <c r="F37" s="1390">
        <v>3710</v>
      </c>
      <c r="G37" s="1390">
        <v>4731.3233592984134</v>
      </c>
      <c r="H37" s="1390">
        <f t="shared" si="2"/>
        <v>-1021.3233592984134</v>
      </c>
      <c r="I37" s="1391"/>
      <c r="J37" s="1390"/>
      <c r="K37" s="1390"/>
      <c r="L37" s="1390"/>
      <c r="M37" s="1390"/>
      <c r="N37" s="749">
        <v>257.14810130000001</v>
      </c>
      <c r="O37" s="1390">
        <v>257</v>
      </c>
      <c r="P37" s="1390">
        <v>421.07860217717945</v>
      </c>
      <c r="Q37" s="1390">
        <f t="shared" si="1"/>
        <v>-163.93050087717944</v>
      </c>
      <c r="R37" s="1392"/>
    </row>
    <row r="38" spans="1:18" ht="14.25" customHeight="1" x14ac:dyDescent="0.2">
      <c r="D38" s="1389" t="s">
        <v>57</v>
      </c>
      <c r="E38" s="749">
        <v>1078.1752634498</v>
      </c>
      <c r="F38" s="1390">
        <v>1090</v>
      </c>
      <c r="G38" s="1390">
        <v>779.06403655617976</v>
      </c>
      <c r="H38" s="1390">
        <f t="shared" si="2"/>
        <v>299.11122689362026</v>
      </c>
      <c r="I38" s="1391"/>
      <c r="J38" s="1390"/>
      <c r="K38" s="1390"/>
      <c r="L38" s="1390"/>
      <c r="M38" s="1390"/>
      <c r="N38" s="749">
        <v>55.169162506932999</v>
      </c>
      <c r="O38" s="1390">
        <v>71.857940230000011</v>
      </c>
      <c r="P38" s="1390">
        <v>52.5</v>
      </c>
      <c r="Q38" s="1390">
        <f t="shared" si="1"/>
        <v>2.6691625069329987</v>
      </c>
      <c r="R38" s="1392">
        <f>+-IF(VLOOKUP(D38,TableB11!$H$8:$M$39,6,0)&lt;0,VLOOKUP(D38,TableB11!$H$8:$M$39,6,0),0)*1000</f>
        <v>56.451496630100742</v>
      </c>
    </row>
    <row r="39" spans="1:18" ht="14.25" customHeight="1" x14ac:dyDescent="0.2">
      <c r="D39" s="1389" t="s">
        <v>58</v>
      </c>
      <c r="E39" s="749">
        <v>21338.879645035999</v>
      </c>
      <c r="F39" s="1390">
        <v>22800</v>
      </c>
      <c r="G39" s="1390">
        <v>18796.008563171872</v>
      </c>
      <c r="H39" s="1390">
        <f t="shared" si="2"/>
        <v>2542.8710818641266</v>
      </c>
      <c r="I39" s="1391"/>
      <c r="J39" s="1390"/>
      <c r="K39" s="1390"/>
      <c r="L39" s="1390"/>
      <c r="M39" s="1390"/>
      <c r="N39" s="749">
        <v>30208.541320021999</v>
      </c>
      <c r="O39" s="1390">
        <v>32000</v>
      </c>
      <c r="P39" s="1390">
        <v>13290.648167509076</v>
      </c>
      <c r="Q39" s="1390">
        <f t="shared" si="1"/>
        <v>16917.893152512923</v>
      </c>
      <c r="R39" s="1392">
        <f>+-IF(VLOOKUP(D39,TableB11!$H$8:$M$39,6,0)&lt;0,VLOOKUP(D39,TableB11!$H$8:$M$39,6,0),0)*1000</f>
        <v>0</v>
      </c>
    </row>
    <row r="40" spans="1:18" ht="14.25" customHeight="1" x14ac:dyDescent="0.2">
      <c r="D40" s="1389" t="s">
        <v>59</v>
      </c>
      <c r="E40" s="749">
        <v>20768.035305423</v>
      </c>
      <c r="F40" s="1390">
        <v>21400</v>
      </c>
      <c r="G40" s="1390">
        <v>15334.735610577482</v>
      </c>
      <c r="H40" s="1390">
        <f t="shared" si="2"/>
        <v>5433.2996948455184</v>
      </c>
      <c r="I40" s="1391"/>
      <c r="J40" s="1390"/>
      <c r="K40" s="1390"/>
      <c r="L40" s="1390"/>
      <c r="M40" s="1390"/>
      <c r="N40" s="749">
        <v>28599.883738863002</v>
      </c>
      <c r="O40" s="1390">
        <v>29200</v>
      </c>
      <c r="P40" s="1390">
        <v>15878.592698805054</v>
      </c>
      <c r="Q40" s="1390">
        <f t="shared" si="1"/>
        <v>12721.291040057948</v>
      </c>
      <c r="R40" s="1392">
        <f>+-IF(VLOOKUP(D40,TableB11!$H$8:$M$39,6,0)&lt;0,VLOOKUP(D40,TableB11!$H$8:$M$39,6,0),0)*1000</f>
        <v>0</v>
      </c>
    </row>
    <row r="41" spans="1:18" ht="14.25" customHeight="1" x14ac:dyDescent="0.2">
      <c r="D41" s="1389" t="s">
        <v>60</v>
      </c>
      <c r="E41" s="749">
        <v>60637.403417950001</v>
      </c>
      <c r="F41" s="1390">
        <v>70400</v>
      </c>
      <c r="G41" s="1390">
        <v>71349.18417581133</v>
      </c>
      <c r="H41" s="1390">
        <f t="shared" si="2"/>
        <v>-10711.780757861328</v>
      </c>
      <c r="I41" s="1391"/>
      <c r="J41" s="1390"/>
      <c r="K41" s="1390"/>
      <c r="L41" s="1390"/>
      <c r="M41" s="1390"/>
      <c r="N41" s="749">
        <v>91005.563908597003</v>
      </c>
      <c r="O41" s="1390">
        <v>102000</v>
      </c>
      <c r="P41" s="1390">
        <v>57625.709920048714</v>
      </c>
      <c r="Q41" s="1390">
        <f t="shared" si="1"/>
        <v>33379.85398854829</v>
      </c>
      <c r="R41" s="1392"/>
    </row>
    <row r="42" spans="1:18" ht="14.25" customHeight="1" x14ac:dyDescent="0.2">
      <c r="D42" s="1389" t="s">
        <v>61</v>
      </c>
      <c r="E42" s="749">
        <v>3542.26</v>
      </c>
      <c r="F42" s="1390">
        <v>3540</v>
      </c>
      <c r="G42" s="1390">
        <v>5595.1229416998012</v>
      </c>
      <c r="H42" s="1390">
        <f t="shared" si="2"/>
        <v>-2052.862941699801</v>
      </c>
      <c r="I42" s="1391"/>
      <c r="J42" s="1390"/>
      <c r="K42" s="1390"/>
      <c r="L42" s="1390"/>
      <c r="M42" s="1390"/>
      <c r="N42" s="749">
        <v>223.1</v>
      </c>
      <c r="O42" s="1390">
        <v>225</v>
      </c>
      <c r="P42" s="1390">
        <v>617.95683371944358</v>
      </c>
      <c r="Q42" s="1390">
        <f t="shared" si="1"/>
        <v>-394.85683371944356</v>
      </c>
      <c r="R42" s="1392"/>
    </row>
    <row r="43" spans="1:18" ht="14.25" customHeight="1" x14ac:dyDescent="0.2">
      <c r="D43" s="1389" t="s">
        <v>62</v>
      </c>
      <c r="E43" s="749">
        <v>97544.690603513998</v>
      </c>
      <c r="F43" s="1390">
        <v>80300</v>
      </c>
      <c r="G43" s="1390">
        <v>96956.694353908591</v>
      </c>
      <c r="H43" s="1390">
        <f t="shared" si="2"/>
        <v>587.99624960540677</v>
      </c>
      <c r="I43" s="1391"/>
      <c r="J43" s="1390"/>
      <c r="K43" s="1390"/>
      <c r="L43" s="1390"/>
      <c r="M43" s="1390"/>
      <c r="N43" s="749">
        <v>92967.150496561997</v>
      </c>
      <c r="O43" s="1390">
        <v>94400</v>
      </c>
      <c r="P43" s="1390">
        <v>54496.201671305695</v>
      </c>
      <c r="Q43" s="1390">
        <f t="shared" si="1"/>
        <v>38470.948825256302</v>
      </c>
      <c r="R43" s="1392">
        <f>+-IF(VLOOKUP(D43,TableB11!$H$8:$M$39,6,0)&lt;0,VLOOKUP(D43,TableB11!$H$8:$M$39,6,0),0)*1000</f>
        <v>4788.506519648784</v>
      </c>
    </row>
    <row r="44" spans="1:18" ht="14.25" customHeight="1" x14ac:dyDescent="0.2">
      <c r="D44" s="1389" t="s">
        <v>63</v>
      </c>
      <c r="E44" s="749">
        <v>148335</v>
      </c>
      <c r="F44" s="1390">
        <v>170000</v>
      </c>
      <c r="G44" s="1390">
        <v>123126.86759048983</v>
      </c>
      <c r="H44" s="1390">
        <f t="shared" si="2"/>
        <v>25208.132409510174</v>
      </c>
      <c r="I44" s="1391"/>
      <c r="J44" s="1390"/>
      <c r="K44" s="1390"/>
      <c r="L44" s="1390"/>
      <c r="M44" s="1390"/>
      <c r="N44" s="749">
        <v>406691</v>
      </c>
      <c r="O44" s="1390">
        <v>437000</v>
      </c>
      <c r="P44" s="1390">
        <v>112279.71693973089</v>
      </c>
      <c r="Q44" s="1390">
        <f t="shared" si="1"/>
        <v>294411.28306026908</v>
      </c>
      <c r="R44" s="1392">
        <f>+-IF(VLOOKUP(D44,TableB11!$H$8:$M$39,6,0)&lt;0,VLOOKUP(D44,TableB11!$H$8:$M$39,6,0),0)*1000</f>
        <v>0</v>
      </c>
    </row>
    <row r="45" spans="1:18" ht="40" customHeight="1" x14ac:dyDescent="0.15">
      <c r="D45" s="340" t="s">
        <v>64</v>
      </c>
      <c r="E45" s="345">
        <f>SUM(E46:E52)</f>
        <v>226900.20003003805</v>
      </c>
      <c r="F45" s="346">
        <f t="shared" ref="F45:R45" si="3">SUM(F46:F52)</f>
        <v>226900.20003003805</v>
      </c>
      <c r="G45" s="346">
        <f t="shared" si="3"/>
        <v>85684.996882808991</v>
      </c>
      <c r="H45" s="346">
        <f t="shared" si="3"/>
        <v>141215.20314722904</v>
      </c>
      <c r="I45" s="347">
        <f t="shared" si="3"/>
        <v>0</v>
      </c>
      <c r="J45" s="346">
        <f t="shared" si="3"/>
        <v>0</v>
      </c>
      <c r="K45" s="346">
        <f t="shared" si="3"/>
        <v>0</v>
      </c>
      <c r="L45" s="346">
        <f t="shared" si="3"/>
        <v>0</v>
      </c>
      <c r="M45" s="346">
        <f t="shared" si="3"/>
        <v>0</v>
      </c>
      <c r="N45" s="345">
        <f t="shared" si="3"/>
        <v>131187.92156774367</v>
      </c>
      <c r="O45" s="346">
        <f t="shared" si="3"/>
        <v>131209.13504377365</v>
      </c>
      <c r="P45" s="346">
        <f t="shared" si="3"/>
        <v>-1439.6109690674334</v>
      </c>
      <c r="Q45" s="346">
        <f t="shared" si="3"/>
        <v>132627.53253681108</v>
      </c>
      <c r="R45" s="365">
        <f t="shared" si="3"/>
        <v>0</v>
      </c>
    </row>
    <row r="46" spans="1:18" ht="14.25" customHeight="1" x14ac:dyDescent="0.2">
      <c r="D46" s="1389" t="s">
        <v>65</v>
      </c>
      <c r="E46" s="749">
        <f>+F46</f>
        <v>28600</v>
      </c>
      <c r="F46" s="1390">
        <v>28600</v>
      </c>
      <c r="G46" s="1390">
        <v>17640.671263987952</v>
      </c>
      <c r="H46" s="1390">
        <f t="shared" ref="H46:H52" si="4">+E46-G46</f>
        <v>10959.328736012048</v>
      </c>
      <c r="I46" s="1391"/>
      <c r="J46" s="1390"/>
      <c r="K46" s="1390"/>
      <c r="L46" s="1390"/>
      <c r="M46" s="1390"/>
      <c r="N46" s="749">
        <v>7289.0531494999996</v>
      </c>
      <c r="O46" s="1390">
        <v>7290</v>
      </c>
      <c r="P46" s="1390">
        <v>-6977.8082559605737</v>
      </c>
      <c r="Q46" s="1390">
        <f t="shared" ref="Q46:Q52" si="5">+N46-P46</f>
        <v>14266.861405460573</v>
      </c>
      <c r="R46" s="1392"/>
    </row>
    <row r="47" spans="1:18" ht="14.25" customHeight="1" x14ac:dyDescent="0.2">
      <c r="A47" s="146" t="s">
        <v>337</v>
      </c>
      <c r="B47" s="146" t="s">
        <v>5333</v>
      </c>
      <c r="D47" s="1389" t="s">
        <v>66</v>
      </c>
      <c r="E47" s="749">
        <v>129190.20003003805</v>
      </c>
      <c r="F47" s="1390">
        <f>+E47</f>
        <v>129190.20003003805</v>
      </c>
      <c r="G47" s="1390">
        <v>42190.774426270713</v>
      </c>
      <c r="H47" s="1390">
        <f t="shared" si="4"/>
        <v>86999.425603767333</v>
      </c>
      <c r="I47" s="1391"/>
      <c r="J47" s="1390"/>
      <c r="K47" s="1390"/>
      <c r="L47" s="1390"/>
      <c r="M47" s="1390"/>
      <c r="N47" s="749">
        <v>94634.249003443649</v>
      </c>
      <c r="O47" s="1390">
        <f>+N47</f>
        <v>94634.249003443649</v>
      </c>
      <c r="P47" s="1390">
        <v>2408.4440825108622</v>
      </c>
      <c r="Q47" s="1390">
        <f t="shared" si="5"/>
        <v>92225.804920932787</v>
      </c>
      <c r="R47" s="757"/>
    </row>
    <row r="48" spans="1:18" ht="14.25" customHeight="1" x14ac:dyDescent="0.2">
      <c r="D48" s="1389" t="s">
        <v>67</v>
      </c>
      <c r="E48" s="749">
        <f>+F48</f>
        <v>5310</v>
      </c>
      <c r="F48" s="1390">
        <v>5310</v>
      </c>
      <c r="G48" s="1390">
        <v>1690.6779477846599</v>
      </c>
      <c r="H48" s="1390">
        <f t="shared" si="4"/>
        <v>3619.3220522153401</v>
      </c>
      <c r="I48" s="1391"/>
      <c r="J48" s="1390"/>
      <c r="K48" s="1390"/>
      <c r="L48" s="1390"/>
      <c r="M48" s="1390"/>
      <c r="N48" s="749">
        <v>3561.5806026999999</v>
      </c>
      <c r="O48" s="1390">
        <v>3560</v>
      </c>
      <c r="P48" s="1390">
        <v>184.45558795359</v>
      </c>
      <c r="Q48" s="1390">
        <f t="shared" si="5"/>
        <v>3377.1250147464098</v>
      </c>
      <c r="R48" s="1392"/>
    </row>
    <row r="49" spans="1:18" ht="14.25" customHeight="1" x14ac:dyDescent="0.2">
      <c r="D49" s="1389" t="s">
        <v>68</v>
      </c>
      <c r="E49" s="749">
        <f>+F49</f>
        <v>2040</v>
      </c>
      <c r="F49" s="1390">
        <v>2040</v>
      </c>
      <c r="G49" s="1390">
        <v>403.8</v>
      </c>
      <c r="H49" s="1390">
        <f t="shared" si="4"/>
        <v>1636.2</v>
      </c>
      <c r="I49" s="1391"/>
      <c r="J49" s="1390"/>
      <c r="K49" s="1390"/>
      <c r="L49" s="1390"/>
      <c r="M49" s="1390"/>
      <c r="N49" s="749">
        <v>74.886040299999991</v>
      </c>
      <c r="O49" s="1390">
        <v>74.88604033</v>
      </c>
      <c r="P49" s="1390">
        <v>11.4</v>
      </c>
      <c r="Q49" s="1390">
        <f t="shared" si="5"/>
        <v>63.486040299999992</v>
      </c>
      <c r="R49" s="1392"/>
    </row>
    <row r="50" spans="1:18" ht="14.25" customHeight="1" x14ac:dyDescent="0.2">
      <c r="D50" s="1389" t="s">
        <v>69</v>
      </c>
      <c r="E50" s="749">
        <f>+F50</f>
        <v>13700</v>
      </c>
      <c r="F50" s="1390">
        <v>13700</v>
      </c>
      <c r="G50" s="1390">
        <v>8522.3382472770827</v>
      </c>
      <c r="H50" s="1390">
        <f t="shared" si="4"/>
        <v>5177.6617527229173</v>
      </c>
      <c r="I50" s="1391"/>
      <c r="J50" s="1390"/>
      <c r="K50" s="1390"/>
      <c r="L50" s="1390"/>
      <c r="M50" s="1390"/>
      <c r="N50" s="749">
        <v>5018.5436815000003</v>
      </c>
      <c r="O50" s="1390">
        <v>5020</v>
      </c>
      <c r="P50" s="1390">
        <v>2477.7552580678466</v>
      </c>
      <c r="Q50" s="1390">
        <f t="shared" si="5"/>
        <v>2540.7884234321536</v>
      </c>
      <c r="R50" s="1392"/>
    </row>
    <row r="51" spans="1:18" ht="14.25" customHeight="1" x14ac:dyDescent="0.2">
      <c r="B51" s="146" t="s">
        <v>70</v>
      </c>
      <c r="D51" s="1394" t="s">
        <v>338</v>
      </c>
      <c r="E51" s="749">
        <f>+F51</f>
        <v>41000</v>
      </c>
      <c r="F51" s="1390">
        <v>41000</v>
      </c>
      <c r="G51" s="1390">
        <v>10880.058343201796</v>
      </c>
      <c r="H51" s="1390">
        <f t="shared" si="4"/>
        <v>30119.941656798204</v>
      </c>
      <c r="I51" s="1391"/>
      <c r="J51" s="1390"/>
      <c r="K51" s="1390"/>
      <c r="L51" s="1390"/>
      <c r="M51" s="1390"/>
      <c r="N51" s="749">
        <v>17282.830000000002</v>
      </c>
      <c r="O51" s="1390">
        <v>17300</v>
      </c>
      <c r="P51" s="1390">
        <v>708.54235836084172</v>
      </c>
      <c r="Q51" s="1390">
        <f t="shared" si="5"/>
        <v>16574.287641639159</v>
      </c>
      <c r="R51" s="1392"/>
    </row>
    <row r="52" spans="1:18" ht="14.25" customHeight="1" x14ac:dyDescent="0.2">
      <c r="D52" s="1389" t="s">
        <v>71</v>
      </c>
      <c r="E52" s="749">
        <f>+F52</f>
        <v>7060</v>
      </c>
      <c r="F52" s="1390">
        <v>7060</v>
      </c>
      <c r="G52" s="1390">
        <v>4356.6766542867881</v>
      </c>
      <c r="H52" s="1390">
        <f t="shared" si="4"/>
        <v>2703.3233457132119</v>
      </c>
      <c r="I52" s="1391"/>
      <c r="J52" s="1390"/>
      <c r="K52" s="1390"/>
      <c r="L52" s="1390"/>
      <c r="M52" s="1390"/>
      <c r="N52" s="749">
        <v>3326.7790902999996</v>
      </c>
      <c r="O52" s="1390">
        <v>3330</v>
      </c>
      <c r="P52" s="1390">
        <v>-252.4</v>
      </c>
      <c r="Q52" s="1390">
        <f t="shared" si="5"/>
        <v>3579.1790902999996</v>
      </c>
      <c r="R52" s="1392"/>
    </row>
    <row r="53" spans="1:18" ht="40" customHeight="1" x14ac:dyDescent="0.15">
      <c r="D53" s="7" t="s">
        <v>72</v>
      </c>
      <c r="E53" s="345">
        <f>SUM(E54:E89)</f>
        <v>164664.62938446001</v>
      </c>
      <c r="F53" s="346">
        <f t="shared" ref="F53:R53" si="6">SUM(F54:F89)</f>
        <v>164664.62938446001</v>
      </c>
      <c r="G53" s="346">
        <f t="shared" si="6"/>
        <v>174576.08289828533</v>
      </c>
      <c r="H53" s="346">
        <f t="shared" si="6"/>
        <v>-9911.4535138253377</v>
      </c>
      <c r="I53" s="347">
        <f t="shared" si="6"/>
        <v>142739.04726038632</v>
      </c>
      <c r="J53" s="346">
        <f t="shared" si="6"/>
        <v>81139</v>
      </c>
      <c r="K53" s="346">
        <f t="shared" si="6"/>
        <v>61600.047260386316</v>
      </c>
      <c r="L53" s="346">
        <f t="shared" si="6"/>
        <v>44346.683670168517</v>
      </c>
      <c r="M53" s="346">
        <f t="shared" si="6"/>
        <v>45353.768002438665</v>
      </c>
      <c r="N53" s="345">
        <f t="shared" si="6"/>
        <v>128962.0263476</v>
      </c>
      <c r="O53" s="346">
        <f t="shared" si="6"/>
        <v>129407.80083910801</v>
      </c>
      <c r="P53" s="346">
        <f t="shared" si="6"/>
        <v>79262.996958486139</v>
      </c>
      <c r="Q53" s="346">
        <f t="shared" si="6"/>
        <v>49699.029389113886</v>
      </c>
      <c r="R53" s="365">
        <f t="shared" si="6"/>
        <v>71203.33650762387</v>
      </c>
    </row>
    <row r="54" spans="1:18" ht="14.25" customHeight="1" x14ac:dyDescent="0.2">
      <c r="D54" s="1389" t="s">
        <v>73</v>
      </c>
      <c r="E54" s="749">
        <f t="shared" ref="E54:E78" si="7">+F54</f>
        <v>0</v>
      </c>
      <c r="F54" s="1390">
        <v>0</v>
      </c>
      <c r="G54" s="1390">
        <v>36.200000000000003</v>
      </c>
      <c r="H54" s="1390">
        <f t="shared" ref="H54:H78" si="8">+E54-G54</f>
        <v>-36.200000000000003</v>
      </c>
      <c r="I54" s="1391">
        <f t="shared" ref="I54:I88" si="9">IF(E54&lt;G54,-H54,0)</f>
        <v>36.200000000000003</v>
      </c>
      <c r="J54" s="1390">
        <v>0</v>
      </c>
      <c r="K54" s="1390">
        <f>I54-J54</f>
        <v>36.200000000000003</v>
      </c>
      <c r="L54" s="1390"/>
      <c r="M54" s="1390">
        <f t="shared" ref="M54:M63" si="10">$L$226*(I54+F54)/(SUM($I$54:$I$88,$F$54:$F$88)-$F$64-$I$64-$F$66-$I$66-$F$84-$I$84-$F$87-$I$87)</f>
        <v>5.3587171965343172</v>
      </c>
      <c r="N54" s="749">
        <v>0</v>
      </c>
      <c r="O54" s="1390">
        <v>0</v>
      </c>
      <c r="P54" s="1390">
        <v>68.900000000000006</v>
      </c>
      <c r="Q54" s="1390">
        <f t="shared" ref="Q54:Q78" si="11">+N54-P54</f>
        <v>-68.900000000000006</v>
      </c>
      <c r="R54" s="1392">
        <f t="shared" ref="R54:R78" si="12">IF(N54&lt;P54,-Q54,0)</f>
        <v>68.900000000000006</v>
      </c>
    </row>
    <row r="55" spans="1:18" ht="14.25" customHeight="1" x14ac:dyDescent="0.2">
      <c r="B55" s="146" t="s">
        <v>5334</v>
      </c>
      <c r="D55" s="1389" t="s">
        <v>74</v>
      </c>
      <c r="E55" s="749">
        <f t="shared" si="7"/>
        <v>0</v>
      </c>
      <c r="F55" s="1390">
        <v>0</v>
      </c>
      <c r="G55" s="1390">
        <v>108.5</v>
      </c>
      <c r="H55" s="1390">
        <f t="shared" si="8"/>
        <v>-108.5</v>
      </c>
      <c r="I55" s="1391">
        <f t="shared" si="9"/>
        <v>108.5</v>
      </c>
      <c r="J55" s="1390">
        <v>0</v>
      </c>
      <c r="K55" s="1390">
        <f>I55-J55</f>
        <v>108.5</v>
      </c>
      <c r="L55" s="1390"/>
      <c r="M55" s="1390">
        <f t="shared" si="10"/>
        <v>16.061348503424679</v>
      </c>
      <c r="N55" s="749">
        <v>0</v>
      </c>
      <c r="O55" s="1390">
        <v>0</v>
      </c>
      <c r="P55" s="1390">
        <v>5.8</v>
      </c>
      <c r="Q55" s="1390">
        <f t="shared" si="11"/>
        <v>-5.8</v>
      </c>
      <c r="R55" s="1392">
        <f t="shared" si="12"/>
        <v>5.8</v>
      </c>
    </row>
    <row r="56" spans="1:18" ht="14.25" customHeight="1" x14ac:dyDescent="0.2">
      <c r="D56" s="1389" t="s">
        <v>75</v>
      </c>
      <c r="E56" s="749">
        <f t="shared" si="7"/>
        <v>0</v>
      </c>
      <c r="F56" s="1390">
        <v>0</v>
      </c>
      <c r="G56" s="1390">
        <v>76.900000000000006</v>
      </c>
      <c r="H56" s="1390">
        <f t="shared" si="8"/>
        <v>-76.900000000000006</v>
      </c>
      <c r="I56" s="1391">
        <f t="shared" si="9"/>
        <v>76.900000000000006</v>
      </c>
      <c r="J56" s="1390">
        <v>0</v>
      </c>
      <c r="K56" s="1390">
        <f>I56-J56</f>
        <v>76.900000000000006</v>
      </c>
      <c r="L56" s="1390"/>
      <c r="M56" s="1390">
        <f t="shared" si="10"/>
        <v>11.383573271090855</v>
      </c>
      <c r="N56" s="749">
        <v>0</v>
      </c>
      <c r="O56" s="1390">
        <v>0</v>
      </c>
      <c r="P56" s="1390">
        <v>0</v>
      </c>
      <c r="Q56" s="1390">
        <f t="shared" si="11"/>
        <v>0</v>
      </c>
      <c r="R56" s="1392">
        <f t="shared" si="12"/>
        <v>0</v>
      </c>
    </row>
    <row r="57" spans="1:18" ht="14.25" customHeight="1" x14ac:dyDescent="0.2">
      <c r="B57" s="146" t="s">
        <v>5335</v>
      </c>
      <c r="D57" s="1389" t="s">
        <v>76</v>
      </c>
      <c r="E57" s="749">
        <f t="shared" si="7"/>
        <v>98.715083800000002</v>
      </c>
      <c r="F57" s="1390">
        <v>98.715083800000002</v>
      </c>
      <c r="G57" s="1390">
        <v>22.9</v>
      </c>
      <c r="H57" s="1390">
        <f t="shared" si="8"/>
        <v>75.815083799999996</v>
      </c>
      <c r="I57" s="1391">
        <f t="shared" si="9"/>
        <v>0</v>
      </c>
      <c r="J57" s="1390"/>
      <c r="K57" s="1390"/>
      <c r="L57" s="1390"/>
      <c r="M57" s="1390">
        <f t="shared" si="10"/>
        <v>14.612878925867019</v>
      </c>
      <c r="N57" s="749">
        <v>0</v>
      </c>
      <c r="O57" s="1390">
        <v>13.46368715</v>
      </c>
      <c r="P57" s="1390">
        <v>57</v>
      </c>
      <c r="Q57" s="1390">
        <f t="shared" si="11"/>
        <v>-57</v>
      </c>
      <c r="R57" s="1392">
        <f t="shared" si="12"/>
        <v>57</v>
      </c>
    </row>
    <row r="58" spans="1:18" ht="14.25" customHeight="1" x14ac:dyDescent="0.2">
      <c r="B58" s="146" t="s">
        <v>77</v>
      </c>
      <c r="D58" s="1389" t="s">
        <v>152</v>
      </c>
      <c r="E58" s="749">
        <f t="shared" si="7"/>
        <v>0</v>
      </c>
      <c r="F58" s="1390">
        <v>0</v>
      </c>
      <c r="G58" s="1390">
        <v>2441.0858728483822</v>
      </c>
      <c r="H58" s="1390">
        <f t="shared" si="8"/>
        <v>-2441.0858728483822</v>
      </c>
      <c r="I58" s="1391">
        <f t="shared" si="9"/>
        <v>2441.0858728483822</v>
      </c>
      <c r="J58" s="1390">
        <v>2288</v>
      </c>
      <c r="K58" s="1390">
        <f t="shared" ref="K58:K75" si="13">I58-J58</f>
        <v>153.08587284838222</v>
      </c>
      <c r="L58" s="1390"/>
      <c r="M58" s="1390">
        <f t="shared" si="10"/>
        <v>361.35604544335933</v>
      </c>
      <c r="N58" s="749">
        <v>0</v>
      </c>
      <c r="O58" s="1390">
        <v>0</v>
      </c>
      <c r="P58" s="1390">
        <v>1702.2606313516633</v>
      </c>
      <c r="Q58" s="1390">
        <f t="shared" si="11"/>
        <v>-1702.2606313516633</v>
      </c>
      <c r="R58" s="1392">
        <f t="shared" si="12"/>
        <v>1702.2606313516633</v>
      </c>
    </row>
    <row r="59" spans="1:18" ht="14.25" customHeight="1" x14ac:dyDescent="0.2">
      <c r="B59" s="146" t="s">
        <v>340</v>
      </c>
      <c r="D59" s="1389" t="s">
        <v>78</v>
      </c>
      <c r="E59" s="749">
        <f t="shared" si="7"/>
        <v>0</v>
      </c>
      <c r="F59" s="1390">
        <v>0</v>
      </c>
      <c r="G59" s="1390">
        <v>720.00805649591416</v>
      </c>
      <c r="H59" s="1390">
        <f t="shared" si="8"/>
        <v>-720.00805649591416</v>
      </c>
      <c r="I59" s="1391">
        <f t="shared" si="9"/>
        <v>720.00805649591416</v>
      </c>
      <c r="J59" s="1390">
        <v>87</v>
      </c>
      <c r="K59" s="1390">
        <f t="shared" si="13"/>
        <v>633.00805649591416</v>
      </c>
      <c r="L59" s="1390"/>
      <c r="M59" s="1390">
        <f t="shared" si="10"/>
        <v>106.58341309358859</v>
      </c>
      <c r="N59" s="749">
        <v>0</v>
      </c>
      <c r="O59" s="1390">
        <v>0</v>
      </c>
      <c r="P59" s="1390">
        <v>77.400000000000006</v>
      </c>
      <c r="Q59" s="1390">
        <f t="shared" si="11"/>
        <v>-77.400000000000006</v>
      </c>
      <c r="R59" s="1392">
        <f t="shared" si="12"/>
        <v>77.400000000000006</v>
      </c>
    </row>
    <row r="60" spans="1:18" ht="14.25" customHeight="1" x14ac:dyDescent="0.2">
      <c r="D60" s="1389" t="s">
        <v>79</v>
      </c>
      <c r="E60" s="749">
        <f t="shared" si="7"/>
        <v>0</v>
      </c>
      <c r="F60" s="1390">
        <v>0</v>
      </c>
      <c r="G60" s="1390">
        <v>2130.7224236508159</v>
      </c>
      <c r="H60" s="1390">
        <f t="shared" si="8"/>
        <v>-2130.7224236508159</v>
      </c>
      <c r="I60" s="1391">
        <f t="shared" si="9"/>
        <v>2130.7224236508159</v>
      </c>
      <c r="J60" s="1390">
        <v>1455</v>
      </c>
      <c r="K60" s="1390">
        <f t="shared" si="13"/>
        <v>675.72242365081593</v>
      </c>
      <c r="L60" s="1390"/>
      <c r="M60" s="1390">
        <f t="shared" si="10"/>
        <v>315.41267659278742</v>
      </c>
      <c r="N60" s="749">
        <v>0</v>
      </c>
      <c r="O60" s="1390">
        <f>+N60</f>
        <v>0</v>
      </c>
      <c r="P60" s="1390">
        <v>234.93255831256295</v>
      </c>
      <c r="Q60" s="1390">
        <f t="shared" si="11"/>
        <v>-234.93255831256295</v>
      </c>
      <c r="R60" s="1392">
        <f t="shared" si="12"/>
        <v>234.93255831256295</v>
      </c>
    </row>
    <row r="61" spans="1:18" ht="14.25" customHeight="1" x14ac:dyDescent="0.2">
      <c r="D61" s="1389" t="s">
        <v>80</v>
      </c>
      <c r="E61" s="749">
        <f t="shared" si="7"/>
        <v>51.461402590000006</v>
      </c>
      <c r="F61" s="1390">
        <v>51.461402590000006</v>
      </c>
      <c r="G61" s="1390">
        <v>66.2</v>
      </c>
      <c r="H61" s="1390">
        <f t="shared" si="8"/>
        <v>-14.738597409999997</v>
      </c>
      <c r="I61" s="1391">
        <f t="shared" si="9"/>
        <v>14.738597409999997</v>
      </c>
      <c r="J61" s="1390">
        <v>2</v>
      </c>
      <c r="K61" s="1390">
        <f t="shared" si="13"/>
        <v>12.738597409999997</v>
      </c>
      <c r="L61" s="1390"/>
      <c r="M61" s="1390">
        <f t="shared" si="10"/>
        <v>9.7996430500157938</v>
      </c>
      <c r="N61" s="749">
        <v>1.2105223000000001</v>
      </c>
      <c r="O61" s="1390">
        <v>1.210522334</v>
      </c>
      <c r="P61" s="1390">
        <v>-46.832508833922262</v>
      </c>
      <c r="Q61" s="1390">
        <f t="shared" si="11"/>
        <v>48.043031133922263</v>
      </c>
      <c r="R61" s="1392">
        <f t="shared" si="12"/>
        <v>0</v>
      </c>
    </row>
    <row r="62" spans="1:18" ht="14.25" customHeight="1" x14ac:dyDescent="0.2">
      <c r="B62" s="146" t="s">
        <v>5336</v>
      </c>
      <c r="D62" s="1389" t="s">
        <v>81</v>
      </c>
      <c r="E62" s="749">
        <f t="shared" si="7"/>
        <v>80.34483324</v>
      </c>
      <c r="F62" s="1390">
        <v>80.34483324</v>
      </c>
      <c r="G62" s="1390">
        <v>47722.737121784165</v>
      </c>
      <c r="H62" s="1390">
        <f t="shared" si="8"/>
        <v>-47642.392288544164</v>
      </c>
      <c r="I62" s="1391">
        <f t="shared" si="9"/>
        <v>47642.392288544164</v>
      </c>
      <c r="J62" s="1390">
        <v>30408</v>
      </c>
      <c r="K62" s="1390">
        <f t="shared" si="13"/>
        <v>17234.392288544164</v>
      </c>
      <c r="L62" s="1390"/>
      <c r="M62" s="1390">
        <f t="shared" si="10"/>
        <v>7064.4379027677178</v>
      </c>
      <c r="N62" s="749">
        <v>108.3720849</v>
      </c>
      <c r="O62" s="1390">
        <v>108</v>
      </c>
      <c r="P62" s="1390">
        <v>32275.338594347504</v>
      </c>
      <c r="Q62" s="1390">
        <f t="shared" si="11"/>
        <v>-32166.966509447506</v>
      </c>
      <c r="R62" s="1392">
        <f t="shared" si="12"/>
        <v>32166.966509447506</v>
      </c>
    </row>
    <row r="63" spans="1:18" ht="14.25" customHeight="1" x14ac:dyDescent="0.2">
      <c r="A63" s="146" t="s">
        <v>5337</v>
      </c>
      <c r="B63" s="146" t="s">
        <v>420</v>
      </c>
      <c r="D63" s="1389" t="s">
        <v>82</v>
      </c>
      <c r="E63" s="749">
        <f t="shared" si="7"/>
        <v>0</v>
      </c>
      <c r="F63" s="1390">
        <v>0</v>
      </c>
      <c r="G63" s="1390">
        <v>0.1</v>
      </c>
      <c r="H63" s="1390">
        <f t="shared" si="8"/>
        <v>-0.1</v>
      </c>
      <c r="I63" s="1391">
        <f t="shared" si="9"/>
        <v>0.1</v>
      </c>
      <c r="J63" s="1390">
        <v>0</v>
      </c>
      <c r="K63" s="1390">
        <f t="shared" si="13"/>
        <v>0.1</v>
      </c>
      <c r="L63" s="1390"/>
      <c r="M63" s="1390">
        <f t="shared" si="10"/>
        <v>1.4803086178271594E-2</v>
      </c>
      <c r="N63" s="749">
        <v>0</v>
      </c>
      <c r="O63" s="1390">
        <v>0</v>
      </c>
      <c r="P63" s="1390">
        <v>9.5</v>
      </c>
      <c r="Q63" s="1390">
        <f t="shared" si="11"/>
        <v>-9.5</v>
      </c>
      <c r="R63" s="1392">
        <f t="shared" si="12"/>
        <v>9.5</v>
      </c>
    </row>
    <row r="64" spans="1:18" ht="14.25" customHeight="1" x14ac:dyDescent="0.2">
      <c r="A64" s="146" t="s">
        <v>5338</v>
      </c>
      <c r="B64" s="146" t="s">
        <v>421</v>
      </c>
      <c r="D64" s="1389" t="s">
        <v>83</v>
      </c>
      <c r="E64" s="749">
        <f t="shared" si="7"/>
        <v>0</v>
      </c>
      <c r="F64" s="1390">
        <v>0</v>
      </c>
      <c r="G64" s="1390">
        <v>535.5961744890501</v>
      </c>
      <c r="H64" s="1390">
        <f t="shared" si="8"/>
        <v>-535.5961744890501</v>
      </c>
      <c r="I64" s="1391">
        <f t="shared" si="9"/>
        <v>535.5961744890501</v>
      </c>
      <c r="J64" s="1390">
        <v>0</v>
      </c>
      <c r="K64" s="1390">
        <f t="shared" si="13"/>
        <v>535.5961744890501</v>
      </c>
      <c r="L64" s="1390">
        <v>31375.949560756722</v>
      </c>
      <c r="M64" s="1390"/>
      <c r="N64" s="749">
        <v>0</v>
      </c>
      <c r="O64" s="1390">
        <v>0</v>
      </c>
      <c r="P64" s="1390">
        <v>4544.6985035662929</v>
      </c>
      <c r="Q64" s="1390">
        <f t="shared" si="11"/>
        <v>-4544.6985035662929</v>
      </c>
      <c r="R64" s="1392">
        <f t="shared" si="12"/>
        <v>4544.6985035662929</v>
      </c>
    </row>
    <row r="65" spans="1:18" ht="14.25" customHeight="1" x14ac:dyDescent="0.2">
      <c r="A65" s="146" t="s">
        <v>5339</v>
      </c>
      <c r="B65" s="146" t="s">
        <v>5332</v>
      </c>
      <c r="D65" s="1389" t="s">
        <v>84</v>
      </c>
      <c r="E65" s="749">
        <f t="shared" si="7"/>
        <v>1</v>
      </c>
      <c r="F65" s="1390">
        <v>1</v>
      </c>
      <c r="G65" s="1390">
        <v>32253.212825518716</v>
      </c>
      <c r="H65" s="1390">
        <f t="shared" si="8"/>
        <v>-32252.212825518716</v>
      </c>
      <c r="I65" s="1391">
        <f t="shared" si="9"/>
        <v>32252.212825518716</v>
      </c>
      <c r="J65" s="1390">
        <v>23312</v>
      </c>
      <c r="K65" s="1390">
        <f t="shared" si="13"/>
        <v>8940.2128255187163</v>
      </c>
      <c r="L65" s="1390"/>
      <c r="M65" s="1390">
        <f>$L$226*(I65+F65)/(SUM($I$54:$I$88,$F$54:$F$88)-$F$64-$I$64-$F$66-$I$66-$F$84-$I$84-$F$87-$I$87)</f>
        <v>4774.4708898228819</v>
      </c>
      <c r="N65" s="749">
        <v>0</v>
      </c>
      <c r="O65" s="1390">
        <v>0</v>
      </c>
      <c r="P65" s="1390">
        <v>16211.194650380299</v>
      </c>
      <c r="Q65" s="1390">
        <f t="shared" si="11"/>
        <v>-16211.194650380299</v>
      </c>
      <c r="R65" s="1392">
        <f t="shared" si="12"/>
        <v>16211.194650380299</v>
      </c>
    </row>
    <row r="66" spans="1:18" ht="14.25" customHeight="1" x14ac:dyDescent="0.2">
      <c r="B66" s="146" t="s">
        <v>422</v>
      </c>
      <c r="D66" s="1389" t="s">
        <v>85</v>
      </c>
      <c r="E66" s="749">
        <f t="shared" si="7"/>
        <v>56.82681564</v>
      </c>
      <c r="F66" s="1390">
        <v>56.82681564</v>
      </c>
      <c r="G66" s="1390">
        <v>487.29023846046579</v>
      </c>
      <c r="H66" s="1390">
        <f t="shared" si="8"/>
        <v>-430.46342282046578</v>
      </c>
      <c r="I66" s="1391">
        <f t="shared" si="9"/>
        <v>430.46342282046578</v>
      </c>
      <c r="J66" s="1390">
        <v>57</v>
      </c>
      <c r="K66" s="1390">
        <f t="shared" si="13"/>
        <v>373.46342282046578</v>
      </c>
      <c r="L66" s="1390">
        <v>12939.514734540455</v>
      </c>
      <c r="M66" s="1390"/>
      <c r="N66" s="749">
        <v>12.782122900000001</v>
      </c>
      <c r="O66" s="1390">
        <v>12.78212291</v>
      </c>
      <c r="P66" s="1390">
        <v>2686.2999999999997</v>
      </c>
      <c r="Q66" s="1390">
        <f t="shared" si="11"/>
        <v>-2673.5178770999996</v>
      </c>
      <c r="R66" s="1392">
        <f t="shared" si="12"/>
        <v>2673.5178770999996</v>
      </c>
    </row>
    <row r="67" spans="1:18" ht="14.25" customHeight="1" x14ac:dyDescent="0.2">
      <c r="D67" s="1389" t="s">
        <v>86</v>
      </c>
      <c r="E67" s="749">
        <f t="shared" si="7"/>
        <v>2100</v>
      </c>
      <c r="F67" s="1390">
        <v>2100</v>
      </c>
      <c r="G67" s="1390">
        <v>5263.7361260589269</v>
      </c>
      <c r="H67" s="1390">
        <f t="shared" si="8"/>
        <v>-3163.7361260589269</v>
      </c>
      <c r="I67" s="1391">
        <f t="shared" si="9"/>
        <v>3163.7361260589269</v>
      </c>
      <c r="J67" s="1390">
        <v>134</v>
      </c>
      <c r="K67" s="1390">
        <f t="shared" si="13"/>
        <v>3029.7361260589269</v>
      </c>
      <c r="L67" s="1390"/>
      <c r="M67" s="1390">
        <f t="shared" ref="M67:M83" si="14">$L$226*(I67+F67)/(SUM($I$54:$I$88,$F$54:$F$88)-$F$64-$I$64-$F$66-$I$66-$F$84-$I$84-$F$87-$I$87)</f>
        <v>779.19539493731759</v>
      </c>
      <c r="N67" s="749">
        <v>2611.3350037999999</v>
      </c>
      <c r="O67" s="1390">
        <f>+N67</f>
        <v>2611.3350037999999</v>
      </c>
      <c r="P67" s="1390">
        <v>2975.4490700636984</v>
      </c>
      <c r="Q67" s="1390">
        <f t="shared" si="11"/>
        <v>-364.11406626369853</v>
      </c>
      <c r="R67" s="1392">
        <f t="shared" si="12"/>
        <v>364.11406626369853</v>
      </c>
    </row>
    <row r="68" spans="1:18" ht="14.25" customHeight="1" x14ac:dyDescent="0.2">
      <c r="D68" s="1389" t="s">
        <v>87</v>
      </c>
      <c r="E68" s="749">
        <f t="shared" si="7"/>
        <v>0</v>
      </c>
      <c r="F68" s="1390">
        <v>0</v>
      </c>
      <c r="G68" s="1390">
        <v>2328.1</v>
      </c>
      <c r="H68" s="1390">
        <f t="shared" si="8"/>
        <v>-2328.1</v>
      </c>
      <c r="I68" s="1391">
        <f t="shared" si="9"/>
        <v>2328.1</v>
      </c>
      <c r="J68" s="1390">
        <v>0</v>
      </c>
      <c r="K68" s="1390">
        <f t="shared" si="13"/>
        <v>2328.1</v>
      </c>
      <c r="L68" s="1390"/>
      <c r="M68" s="1390">
        <f t="shared" si="14"/>
        <v>344.63064931634091</v>
      </c>
      <c r="N68" s="749">
        <v>0</v>
      </c>
      <c r="O68" s="1390">
        <v>0</v>
      </c>
      <c r="P68" s="1390">
        <v>293.06236093911127</v>
      </c>
      <c r="Q68" s="1390">
        <f t="shared" si="11"/>
        <v>-293.06236093911127</v>
      </c>
      <c r="R68" s="1392">
        <f t="shared" si="12"/>
        <v>293.06236093911127</v>
      </c>
    </row>
    <row r="69" spans="1:18" ht="14.25" customHeight="1" x14ac:dyDescent="0.2">
      <c r="D69" s="1389" t="s">
        <v>88</v>
      </c>
      <c r="E69" s="749">
        <f t="shared" si="7"/>
        <v>0</v>
      </c>
      <c r="F69" s="1390">
        <v>0</v>
      </c>
      <c r="G69" s="1390">
        <v>15.2</v>
      </c>
      <c r="H69" s="1390">
        <f t="shared" si="8"/>
        <v>-15.2</v>
      </c>
      <c r="I69" s="1391">
        <f t="shared" si="9"/>
        <v>15.2</v>
      </c>
      <c r="J69" s="1390">
        <v>0</v>
      </c>
      <c r="K69" s="1390">
        <f t="shared" si="13"/>
        <v>15.2</v>
      </c>
      <c r="L69" s="1390"/>
      <c r="M69" s="1390">
        <f t="shared" si="14"/>
        <v>2.2500690990972818</v>
      </c>
      <c r="N69" s="749">
        <v>0</v>
      </c>
      <c r="O69" s="1390">
        <v>0</v>
      </c>
      <c r="P69" s="1390">
        <v>0</v>
      </c>
      <c r="Q69" s="1390">
        <f t="shared" si="11"/>
        <v>0</v>
      </c>
      <c r="R69" s="1392">
        <f t="shared" si="12"/>
        <v>0</v>
      </c>
    </row>
    <row r="70" spans="1:18" ht="14.25" customHeight="1" x14ac:dyDescent="0.2">
      <c r="D70" s="1389" t="s">
        <v>89</v>
      </c>
      <c r="E70" s="749">
        <f t="shared" si="7"/>
        <v>0</v>
      </c>
      <c r="F70" s="1390">
        <v>0</v>
      </c>
      <c r="G70" s="1390">
        <v>766.90416711093746</v>
      </c>
      <c r="H70" s="1390">
        <f t="shared" si="8"/>
        <v>-766.90416711093746</v>
      </c>
      <c r="I70" s="1391">
        <f t="shared" si="9"/>
        <v>766.90416711093746</v>
      </c>
      <c r="J70" s="1390">
        <v>0</v>
      </c>
      <c r="K70" s="1390">
        <f t="shared" si="13"/>
        <v>766.90416711093746</v>
      </c>
      <c r="L70" s="1390"/>
      <c r="M70" s="1390">
        <f t="shared" si="14"/>
        <v>113.52548476218806</v>
      </c>
      <c r="N70" s="749">
        <v>0</v>
      </c>
      <c r="O70" s="1390">
        <v>0</v>
      </c>
      <c r="P70" s="1390">
        <v>2729.5756643478048</v>
      </c>
      <c r="Q70" s="1390">
        <f t="shared" si="11"/>
        <v>-2729.5756643478048</v>
      </c>
      <c r="R70" s="1392">
        <f t="shared" si="12"/>
        <v>2729.5756643478048</v>
      </c>
    </row>
    <row r="71" spans="1:18" ht="14.25" customHeight="1" x14ac:dyDescent="0.2">
      <c r="B71" s="146" t="s">
        <v>5340</v>
      </c>
      <c r="D71" s="1389" t="s">
        <v>90</v>
      </c>
      <c r="E71" s="749">
        <f t="shared" si="7"/>
        <v>0</v>
      </c>
      <c r="F71" s="1390">
        <v>0</v>
      </c>
      <c r="G71" s="1390">
        <v>301.64808972880496</v>
      </c>
      <c r="H71" s="1390">
        <f t="shared" si="8"/>
        <v>-301.64808972880496</v>
      </c>
      <c r="I71" s="1391">
        <f t="shared" si="9"/>
        <v>301.64808972880496</v>
      </c>
      <c r="J71" s="1390">
        <v>-1905</v>
      </c>
      <c r="K71" s="1390">
        <f t="shared" si="13"/>
        <v>2206.6480897288047</v>
      </c>
      <c r="L71" s="1390"/>
      <c r="M71" s="1390">
        <f t="shared" si="14"/>
        <v>44.653226677665018</v>
      </c>
      <c r="N71" s="749">
        <v>0</v>
      </c>
      <c r="O71" s="1390">
        <v>0</v>
      </c>
      <c r="P71" s="1390">
        <v>3083.9</v>
      </c>
      <c r="Q71" s="1390">
        <f t="shared" si="11"/>
        <v>-3083.9</v>
      </c>
      <c r="R71" s="1392">
        <f t="shared" si="12"/>
        <v>3083.9</v>
      </c>
    </row>
    <row r="72" spans="1:18" ht="14.25" customHeight="1" x14ac:dyDescent="0.2">
      <c r="A72" s="146" t="s">
        <v>91</v>
      </c>
      <c r="B72" s="146" t="s">
        <v>423</v>
      </c>
      <c r="D72" s="1395" t="s">
        <v>341</v>
      </c>
      <c r="E72" s="749">
        <f t="shared" si="7"/>
        <v>137000</v>
      </c>
      <c r="F72" s="1390">
        <v>137000</v>
      </c>
      <c r="G72" s="1390">
        <v>22137.65539721922</v>
      </c>
      <c r="H72" s="1390">
        <f t="shared" si="8"/>
        <v>114862.34460278078</v>
      </c>
      <c r="I72" s="1391">
        <f t="shared" si="9"/>
        <v>0</v>
      </c>
      <c r="J72" s="1390"/>
      <c r="K72" s="1390">
        <f t="shared" si="13"/>
        <v>0</v>
      </c>
      <c r="L72" s="1390"/>
      <c r="M72" s="1390">
        <f t="shared" si="14"/>
        <v>20280.22806423208</v>
      </c>
      <c r="N72" s="749">
        <v>121684.5393873</v>
      </c>
      <c r="O72" s="1390">
        <v>122000</v>
      </c>
      <c r="P72" s="1390">
        <v>4594.8862213961775</v>
      </c>
      <c r="Q72" s="1390">
        <f t="shared" si="11"/>
        <v>117089.65316590382</v>
      </c>
      <c r="R72" s="1392">
        <f t="shared" si="12"/>
        <v>0</v>
      </c>
    </row>
    <row r="73" spans="1:18" ht="14.25" customHeight="1" x14ac:dyDescent="0.2">
      <c r="D73" s="1389" t="s">
        <v>92</v>
      </c>
      <c r="E73" s="749">
        <f t="shared" si="7"/>
        <v>0</v>
      </c>
      <c r="F73" s="1390">
        <v>0</v>
      </c>
      <c r="G73" s="1390">
        <v>602.53205981920314</v>
      </c>
      <c r="H73" s="1390">
        <f t="shared" si="8"/>
        <v>-602.53205981920314</v>
      </c>
      <c r="I73" s="1391">
        <f t="shared" si="9"/>
        <v>602.53205981920314</v>
      </c>
      <c r="J73" s="1390">
        <v>0</v>
      </c>
      <c r="K73" s="1390">
        <f t="shared" si="13"/>
        <v>602.53205981920314</v>
      </c>
      <c r="L73" s="1390"/>
      <c r="M73" s="1390">
        <f t="shared" si="14"/>
        <v>89.193340066751588</v>
      </c>
      <c r="N73" s="749">
        <v>0</v>
      </c>
      <c r="O73" s="1390">
        <v>0</v>
      </c>
      <c r="P73" s="1390">
        <v>22.741982969107276</v>
      </c>
      <c r="Q73" s="1390">
        <f t="shared" si="11"/>
        <v>-22.741982969107276</v>
      </c>
      <c r="R73" s="1392">
        <f t="shared" si="12"/>
        <v>22.741982969107276</v>
      </c>
    </row>
    <row r="74" spans="1:18" ht="14.25" customHeight="1" x14ac:dyDescent="0.2">
      <c r="D74" s="1389" t="s">
        <v>93</v>
      </c>
      <c r="E74" s="749">
        <f t="shared" si="7"/>
        <v>436</v>
      </c>
      <c r="F74" s="1390">
        <v>436</v>
      </c>
      <c r="G74" s="1390">
        <v>246.2</v>
      </c>
      <c r="H74" s="1390">
        <f t="shared" si="8"/>
        <v>189.8</v>
      </c>
      <c r="I74" s="1391">
        <f t="shared" si="9"/>
        <v>0</v>
      </c>
      <c r="J74" s="1390"/>
      <c r="K74" s="1390">
        <f t="shared" si="13"/>
        <v>0</v>
      </c>
      <c r="L74" s="1390"/>
      <c r="M74" s="1390">
        <f t="shared" si="14"/>
        <v>64.541455737264144</v>
      </c>
      <c r="N74" s="749">
        <v>487.54139129999999</v>
      </c>
      <c r="O74" s="1390">
        <v>488</v>
      </c>
      <c r="P74" s="1390">
        <v>228</v>
      </c>
      <c r="Q74" s="1390">
        <f t="shared" si="11"/>
        <v>259.54139129999999</v>
      </c>
      <c r="R74" s="1392">
        <f t="shared" si="12"/>
        <v>0</v>
      </c>
    </row>
    <row r="75" spans="1:18" ht="14.25" customHeight="1" x14ac:dyDescent="0.2">
      <c r="D75" s="1389" t="s">
        <v>94</v>
      </c>
      <c r="E75" s="749">
        <f t="shared" si="7"/>
        <v>0</v>
      </c>
      <c r="F75" s="1390">
        <v>0</v>
      </c>
      <c r="G75" s="1390">
        <v>7.5</v>
      </c>
      <c r="H75" s="1390">
        <f t="shared" si="8"/>
        <v>-7.5</v>
      </c>
      <c r="I75" s="1391">
        <f t="shared" si="9"/>
        <v>7.5</v>
      </c>
      <c r="J75" s="1390">
        <v>-18</v>
      </c>
      <c r="K75" s="1390">
        <f t="shared" si="13"/>
        <v>25.5</v>
      </c>
      <c r="L75" s="1390"/>
      <c r="M75" s="1390">
        <f t="shared" si="14"/>
        <v>1.1102314633703694</v>
      </c>
      <c r="N75" s="749">
        <v>0</v>
      </c>
      <c r="O75" s="1390">
        <v>0</v>
      </c>
      <c r="P75" s="1390">
        <v>1795.1512367491164</v>
      </c>
      <c r="Q75" s="1390">
        <f t="shared" si="11"/>
        <v>-1795.1512367491164</v>
      </c>
      <c r="R75" s="1392">
        <f t="shared" si="12"/>
        <v>1795.1512367491164</v>
      </c>
    </row>
    <row r="76" spans="1:18" ht="14.25" customHeight="1" x14ac:dyDescent="0.2">
      <c r="A76" s="146" t="s">
        <v>342</v>
      </c>
      <c r="B76" s="146" t="s">
        <v>424</v>
      </c>
      <c r="D76" s="1389" t="s">
        <v>95</v>
      </c>
      <c r="E76" s="749">
        <f t="shared" si="7"/>
        <v>6430</v>
      </c>
      <c r="F76" s="1390">
        <v>6430</v>
      </c>
      <c r="G76" s="1390">
        <v>501.7</v>
      </c>
      <c r="H76" s="1390">
        <f t="shared" si="8"/>
        <v>5928.3</v>
      </c>
      <c r="I76" s="1391">
        <f t="shared" si="9"/>
        <v>0</v>
      </c>
      <c r="J76" s="1390"/>
      <c r="K76" s="1390"/>
      <c r="L76" s="1390"/>
      <c r="M76" s="1390">
        <f t="shared" si="14"/>
        <v>951.83844126286351</v>
      </c>
      <c r="N76" s="749">
        <v>0</v>
      </c>
      <c r="O76" s="1390">
        <v>118</v>
      </c>
      <c r="P76" s="1390">
        <v>77.599999999999994</v>
      </c>
      <c r="Q76" s="1390">
        <f t="shared" si="11"/>
        <v>-77.599999999999994</v>
      </c>
      <c r="R76" s="1392">
        <f t="shared" si="12"/>
        <v>77.599999999999994</v>
      </c>
    </row>
    <row r="77" spans="1:18" ht="14.25" customHeight="1" x14ac:dyDescent="0.2">
      <c r="D77" s="1396" t="s">
        <v>96</v>
      </c>
      <c r="E77" s="749">
        <f t="shared" si="7"/>
        <v>10100</v>
      </c>
      <c r="F77" s="1390">
        <v>10100</v>
      </c>
      <c r="G77" s="1390">
        <v>2552.7219275076573</v>
      </c>
      <c r="H77" s="1390">
        <f t="shared" si="8"/>
        <v>7547.2780724923432</v>
      </c>
      <c r="I77" s="1391">
        <f t="shared" si="9"/>
        <v>0</v>
      </c>
      <c r="J77" s="1390">
        <v>35</v>
      </c>
      <c r="K77" s="1390">
        <f>I77-J77</f>
        <v>-35</v>
      </c>
      <c r="L77" s="1390"/>
      <c r="M77" s="1390">
        <f t="shared" si="14"/>
        <v>1495.1117040054307</v>
      </c>
      <c r="N77" s="749">
        <v>30.117526699999999</v>
      </c>
      <c r="O77" s="1390">
        <f>+N77</f>
        <v>30.117526699999999</v>
      </c>
      <c r="P77" s="1390">
        <v>850.39084927035708</v>
      </c>
      <c r="Q77" s="1390">
        <f t="shared" si="11"/>
        <v>-820.2733225703571</v>
      </c>
      <c r="R77" s="1392">
        <f t="shared" si="12"/>
        <v>820.2733225703571</v>
      </c>
    </row>
    <row r="78" spans="1:18" ht="14.25" customHeight="1" x14ac:dyDescent="0.2">
      <c r="A78" s="146" t="s">
        <v>97</v>
      </c>
      <c r="B78" s="161" t="s">
        <v>373</v>
      </c>
      <c r="D78" s="1396" t="s">
        <v>97</v>
      </c>
      <c r="E78" s="749">
        <f t="shared" si="7"/>
        <v>0</v>
      </c>
      <c r="F78" s="1390">
        <v>0</v>
      </c>
      <c r="G78" s="1390">
        <v>124.25690030132812</v>
      </c>
      <c r="H78" s="1390">
        <f t="shared" si="8"/>
        <v>-124.25690030132812</v>
      </c>
      <c r="I78" s="1391">
        <f t="shared" si="9"/>
        <v>124.25690030132812</v>
      </c>
      <c r="J78" s="1390">
        <v>236</v>
      </c>
      <c r="K78" s="1390">
        <f>I78-J78</f>
        <v>-111.74309969867188</v>
      </c>
      <c r="L78" s="1390"/>
      <c r="M78" s="1390">
        <f t="shared" si="14"/>
        <v>18.393856034054615</v>
      </c>
      <c r="N78" s="749">
        <v>0</v>
      </c>
      <c r="O78" s="1390">
        <f>+N78</f>
        <v>0</v>
      </c>
      <c r="P78" s="1390">
        <v>405.33887008171797</v>
      </c>
      <c r="Q78" s="1390">
        <f t="shared" si="11"/>
        <v>-405.33887008171797</v>
      </c>
      <c r="R78" s="1392">
        <f t="shared" si="12"/>
        <v>405.33887008171797</v>
      </c>
    </row>
    <row r="79" spans="1:18" ht="14.25" customHeight="1" x14ac:dyDescent="0.2">
      <c r="D79" s="1389" t="s">
        <v>98</v>
      </c>
      <c r="E79" s="749"/>
      <c r="F79" s="1390"/>
      <c r="G79" s="1390"/>
      <c r="H79" s="1390"/>
      <c r="I79" s="1391">
        <f t="shared" si="9"/>
        <v>0</v>
      </c>
      <c r="J79" s="1390"/>
      <c r="K79" s="1390"/>
      <c r="L79" s="1390"/>
      <c r="M79" s="1390">
        <f t="shared" si="14"/>
        <v>0</v>
      </c>
      <c r="N79" s="749"/>
      <c r="O79" s="1390"/>
      <c r="P79" s="1390"/>
      <c r="Q79" s="1390"/>
      <c r="R79" s="1392"/>
    </row>
    <row r="80" spans="1:18" ht="14.25" customHeight="1" x14ac:dyDescent="0.2">
      <c r="D80" s="1389" t="s">
        <v>99</v>
      </c>
      <c r="E80" s="749">
        <f t="shared" ref="E80:E88" si="15">+F80</f>
        <v>0.35195531000000002</v>
      </c>
      <c r="F80" s="1390">
        <v>0.35195531000000002</v>
      </c>
      <c r="G80" s="1390">
        <v>3.6</v>
      </c>
      <c r="H80" s="1390">
        <f t="shared" ref="H80:H88" si="16">+E80-G80</f>
        <v>-3.24804469</v>
      </c>
      <c r="I80" s="1391">
        <f t="shared" si="9"/>
        <v>3.24804469</v>
      </c>
      <c r="J80" s="1390">
        <v>0</v>
      </c>
      <c r="K80" s="1390">
        <f>I80-J80</f>
        <v>3.24804469</v>
      </c>
      <c r="L80" s="1390"/>
      <c r="M80" s="1390">
        <f t="shared" si="14"/>
        <v>0.53291110241777739</v>
      </c>
      <c r="N80" s="749">
        <v>7.8212299999999998E-2</v>
      </c>
      <c r="O80" s="1390">
        <v>7.821228999999999E-2</v>
      </c>
      <c r="P80" s="1390">
        <v>0</v>
      </c>
      <c r="Q80" s="1390">
        <f t="shared" ref="Q80:Q88" si="17">+N80-P80</f>
        <v>7.8212299999999998E-2</v>
      </c>
      <c r="R80" s="1392">
        <f t="shared" ref="R80:R88" si="18">IF(N80&lt;P80,-Q80,0)</f>
        <v>0</v>
      </c>
    </row>
    <row r="81" spans="1:18" ht="14.25" customHeight="1" x14ac:dyDescent="0.2">
      <c r="D81" s="1389" t="s">
        <v>100</v>
      </c>
      <c r="E81" s="749">
        <f t="shared" si="15"/>
        <v>4020</v>
      </c>
      <c r="F81" s="1390">
        <v>4020</v>
      </c>
      <c r="G81" s="1390">
        <v>2376.3000000000002</v>
      </c>
      <c r="H81" s="1390">
        <f t="shared" si="16"/>
        <v>1643.6999999999998</v>
      </c>
      <c r="I81" s="1391">
        <f t="shared" si="9"/>
        <v>0</v>
      </c>
      <c r="J81" s="1390"/>
      <c r="K81" s="1390"/>
      <c r="L81" s="1390"/>
      <c r="M81" s="1390">
        <f t="shared" si="14"/>
        <v>595.08406436651796</v>
      </c>
      <c r="N81" s="749">
        <v>3701.4363321999999</v>
      </c>
      <c r="O81" s="1390">
        <v>3700</v>
      </c>
      <c r="P81" s="1390">
        <v>236.1</v>
      </c>
      <c r="Q81" s="1390">
        <f t="shared" si="17"/>
        <v>3465.3363322</v>
      </c>
      <c r="R81" s="1392">
        <f t="shared" si="18"/>
        <v>0</v>
      </c>
    </row>
    <row r="82" spans="1:18" ht="14.25" customHeight="1" x14ac:dyDescent="0.2">
      <c r="D82" s="1389" t="s">
        <v>101</v>
      </c>
      <c r="E82" s="749">
        <f t="shared" si="15"/>
        <v>69.929293879999989</v>
      </c>
      <c r="F82" s="1390">
        <v>69.929293879999989</v>
      </c>
      <c r="G82" s="1390">
        <v>23.1</v>
      </c>
      <c r="H82" s="1390">
        <f t="shared" si="16"/>
        <v>46.829293879999987</v>
      </c>
      <c r="I82" s="1391">
        <f t="shared" si="9"/>
        <v>0</v>
      </c>
      <c r="J82" s="1390"/>
      <c r="K82" s="1390"/>
      <c r="L82" s="1390"/>
      <c r="M82" s="1390">
        <f t="shared" si="14"/>
        <v>10.3516936369132</v>
      </c>
      <c r="N82" s="749">
        <v>1.8137638999999999</v>
      </c>
      <c r="O82" s="1390">
        <v>1.8137639240000001</v>
      </c>
      <c r="P82" s="1390">
        <v>-31.3</v>
      </c>
      <c r="Q82" s="1390">
        <f t="shared" si="17"/>
        <v>33.113763900000002</v>
      </c>
      <c r="R82" s="1392">
        <f t="shared" si="18"/>
        <v>0</v>
      </c>
    </row>
    <row r="83" spans="1:18" ht="14.25" customHeight="1" x14ac:dyDescent="0.2">
      <c r="D83" s="1389" t="s">
        <v>102</v>
      </c>
      <c r="E83" s="749">
        <f t="shared" si="15"/>
        <v>0</v>
      </c>
      <c r="F83" s="1390">
        <v>0</v>
      </c>
      <c r="G83" s="1390">
        <v>48948.502210899605</v>
      </c>
      <c r="H83" s="1390">
        <f t="shared" si="16"/>
        <v>-48948.502210899605</v>
      </c>
      <c r="I83" s="1391">
        <f t="shared" si="9"/>
        <v>48948.502210899605</v>
      </c>
      <c r="J83" s="1390">
        <v>25049</v>
      </c>
      <c r="K83" s="1390">
        <f>I83-J83</f>
        <v>23899.502210899605</v>
      </c>
      <c r="L83" s="1390"/>
      <c r="M83" s="1390">
        <f t="shared" si="14"/>
        <v>7245.888965252645</v>
      </c>
      <c r="N83" s="749">
        <v>0</v>
      </c>
      <c r="O83" s="1390">
        <v>0</v>
      </c>
      <c r="P83" s="1390">
        <v>3311.9901675257311</v>
      </c>
      <c r="Q83" s="1390">
        <f t="shared" si="17"/>
        <v>-3311.9901675257311</v>
      </c>
      <c r="R83" s="1392">
        <f t="shared" si="18"/>
        <v>3311.9901675257311</v>
      </c>
    </row>
    <row r="84" spans="1:18" ht="14.25" customHeight="1" x14ac:dyDescent="0.2">
      <c r="D84" s="1389" t="s">
        <v>425</v>
      </c>
      <c r="E84" s="749">
        <f t="shared" si="15"/>
        <v>0</v>
      </c>
      <c r="F84" s="1390">
        <v>0</v>
      </c>
      <c r="G84" s="1390">
        <v>0.30000000000000004</v>
      </c>
      <c r="H84" s="1390">
        <f t="shared" si="16"/>
        <v>-0.30000000000000004</v>
      </c>
      <c r="I84" s="1391">
        <f t="shared" si="9"/>
        <v>0.30000000000000004</v>
      </c>
      <c r="J84" s="1390">
        <v>-1</v>
      </c>
      <c r="K84" s="1390">
        <f>I84-J84</f>
        <v>1.3</v>
      </c>
      <c r="L84" s="1390">
        <v>6.3020096796338532</v>
      </c>
      <c r="M84" s="1390"/>
      <c r="N84" s="749">
        <v>0</v>
      </c>
      <c r="O84" s="1390">
        <v>0</v>
      </c>
      <c r="P84" s="1390">
        <v>-4.5</v>
      </c>
      <c r="Q84" s="1390">
        <f t="shared" si="17"/>
        <v>4.5</v>
      </c>
      <c r="R84" s="1392">
        <f t="shared" si="18"/>
        <v>0</v>
      </c>
    </row>
    <row r="85" spans="1:18" ht="14.25" customHeight="1" x14ac:dyDescent="0.2">
      <c r="D85" s="1389" t="s">
        <v>426</v>
      </c>
      <c r="E85" s="749">
        <f t="shared" si="15"/>
        <v>0</v>
      </c>
      <c r="F85" s="1390">
        <v>0</v>
      </c>
      <c r="G85" s="1390">
        <v>71.900000000000006</v>
      </c>
      <c r="H85" s="1390">
        <f t="shared" si="16"/>
        <v>-71.900000000000006</v>
      </c>
      <c r="I85" s="1391">
        <f t="shared" si="9"/>
        <v>71.900000000000006</v>
      </c>
      <c r="J85" s="1390">
        <v>0</v>
      </c>
      <c r="K85" s="1390">
        <f>I85-J85</f>
        <v>71.900000000000006</v>
      </c>
      <c r="L85" s="1390"/>
      <c r="M85" s="1390">
        <f>$L$226*(I85+F85)/(SUM($I$54:$I$88,$F$54:$F$88)-$F$64-$I$64-$F$66-$I$66-$F$84-$I$84-$F$87-$I$87)</f>
        <v>10.643418962177277</v>
      </c>
      <c r="N85" s="749">
        <v>0</v>
      </c>
      <c r="O85" s="1390">
        <v>0</v>
      </c>
      <c r="P85" s="1390">
        <v>2.5</v>
      </c>
      <c r="Q85" s="1390">
        <f t="shared" si="17"/>
        <v>-2.5</v>
      </c>
      <c r="R85" s="1392">
        <f t="shared" si="18"/>
        <v>2.5</v>
      </c>
    </row>
    <row r="86" spans="1:18" ht="14.25" customHeight="1" x14ac:dyDescent="0.2">
      <c r="D86" s="1389" t="s">
        <v>427</v>
      </c>
      <c r="E86" s="749">
        <f t="shared" si="15"/>
        <v>0</v>
      </c>
      <c r="F86" s="1390">
        <v>0</v>
      </c>
      <c r="G86" s="1390">
        <v>16.3</v>
      </c>
      <c r="H86" s="1390">
        <f t="shared" si="16"/>
        <v>-16.3</v>
      </c>
      <c r="I86" s="1391">
        <f t="shared" si="9"/>
        <v>16.3</v>
      </c>
      <c r="J86" s="1390">
        <v>0</v>
      </c>
      <c r="K86" s="1390">
        <f>I86-J86</f>
        <v>16.3</v>
      </c>
      <c r="L86" s="1390"/>
      <c r="M86" s="1390">
        <f>$L$226*(I86+F86)/(SUM($I$54:$I$88,$F$54:$F$88)-$F$64-$I$64-$F$66-$I$66-$F$84-$I$84-$F$87-$I$87)</f>
        <v>2.4129030470582693</v>
      </c>
      <c r="N86" s="749">
        <v>0</v>
      </c>
      <c r="O86" s="1390">
        <v>0</v>
      </c>
      <c r="P86" s="1390">
        <v>-2.1000000000000005</v>
      </c>
      <c r="Q86" s="1390">
        <f t="shared" si="17"/>
        <v>2.1000000000000005</v>
      </c>
      <c r="R86" s="1392">
        <f t="shared" si="18"/>
        <v>0</v>
      </c>
    </row>
    <row r="87" spans="1:18" ht="14.25" customHeight="1" x14ac:dyDescent="0.2">
      <c r="D87" s="1389" t="s">
        <v>106</v>
      </c>
      <c r="E87" s="749">
        <f t="shared" si="15"/>
        <v>0</v>
      </c>
      <c r="F87" s="1390">
        <v>0</v>
      </c>
      <c r="G87" s="1390">
        <v>0</v>
      </c>
      <c r="H87" s="1390">
        <f t="shared" si="16"/>
        <v>0</v>
      </c>
      <c r="I87" s="1391">
        <f t="shared" si="9"/>
        <v>0</v>
      </c>
      <c r="J87" s="1390">
        <f>IF(F87&lt;H87,-I87,0)</f>
        <v>0</v>
      </c>
      <c r="K87" s="1390">
        <f>I87-J87</f>
        <v>0</v>
      </c>
      <c r="L87" s="1390">
        <v>24.917365191704601</v>
      </c>
      <c r="M87" s="1390"/>
      <c r="N87" s="749">
        <v>0</v>
      </c>
      <c r="O87" s="1390">
        <v>0</v>
      </c>
      <c r="P87" s="1390">
        <v>0</v>
      </c>
      <c r="Q87" s="1390">
        <f t="shared" si="17"/>
        <v>0</v>
      </c>
      <c r="R87" s="1392">
        <f t="shared" si="18"/>
        <v>0</v>
      </c>
    </row>
    <row r="88" spans="1:18" ht="14.25" customHeight="1" x14ac:dyDescent="0.2">
      <c r="D88" s="1389" t="s">
        <v>107</v>
      </c>
      <c r="E88" s="749">
        <f t="shared" si="15"/>
        <v>4220</v>
      </c>
      <c r="F88" s="1390">
        <v>4220</v>
      </c>
      <c r="G88" s="1390">
        <v>1686.4733063921349</v>
      </c>
      <c r="H88" s="1390">
        <f t="shared" si="16"/>
        <v>2533.5266936078651</v>
      </c>
      <c r="I88" s="1391">
        <f t="shared" si="9"/>
        <v>0</v>
      </c>
      <c r="J88" s="1390">
        <f>IF(F88&lt;H88,-I88,0)</f>
        <v>0</v>
      </c>
      <c r="K88" s="1390"/>
      <c r="L88" s="1390"/>
      <c r="M88" s="1390">
        <f>$L$226*(I88+F88)/(SUM($I$54:$I$88,$F$54:$F$88)-$F$64-$I$64-$F$66-$I$66-$F$84-$I$84-$F$87-$I$87)</f>
        <v>624.69023672306116</v>
      </c>
      <c r="N88" s="749">
        <v>322.8</v>
      </c>
      <c r="O88" s="1390">
        <v>323</v>
      </c>
      <c r="P88" s="1390">
        <v>867.71810601889706</v>
      </c>
      <c r="Q88" s="1390">
        <f t="shared" si="17"/>
        <v>-544.91810601889711</v>
      </c>
      <c r="R88" s="1392">
        <f t="shared" si="18"/>
        <v>544.91810601889711</v>
      </c>
    </row>
    <row r="89" spans="1:18" ht="14.25" customHeight="1" x14ac:dyDescent="0.2">
      <c r="D89" s="1389" t="s">
        <v>108</v>
      </c>
      <c r="E89" s="749">
        <v>0</v>
      </c>
      <c r="F89" s="1390">
        <v>0</v>
      </c>
      <c r="G89" s="1390">
        <v>0</v>
      </c>
      <c r="H89" s="1390">
        <v>0</v>
      </c>
      <c r="I89" s="1391">
        <v>0</v>
      </c>
      <c r="J89" s="1390">
        <v>0</v>
      </c>
      <c r="K89" s="1390">
        <v>0</v>
      </c>
      <c r="L89" s="1390">
        <v>0</v>
      </c>
      <c r="M89" s="1390">
        <v>0</v>
      </c>
      <c r="N89" s="749">
        <v>0</v>
      </c>
      <c r="O89" s="1390">
        <v>0</v>
      </c>
      <c r="P89" s="1390">
        <v>0</v>
      </c>
      <c r="Q89" s="1390">
        <v>0</v>
      </c>
      <c r="R89" s="1392">
        <v>0</v>
      </c>
    </row>
    <row r="90" spans="1:18" ht="40" customHeight="1" x14ac:dyDescent="0.15">
      <c r="D90" s="372" t="s">
        <v>109</v>
      </c>
      <c r="E90" s="345">
        <f>SUM(E91:E219)</f>
        <v>160926.41586347498</v>
      </c>
      <c r="F90" s="346">
        <f t="shared" ref="F90:R90" si="19">SUM(F91:F219)</f>
        <v>160937.64714467298</v>
      </c>
      <c r="G90" s="346">
        <f t="shared" si="19"/>
        <v>167663.07073865991</v>
      </c>
      <c r="H90" s="346">
        <f t="shared" si="19"/>
        <v>-6737.630925004938</v>
      </c>
      <c r="I90" s="347">
        <f t="shared" si="19"/>
        <v>0</v>
      </c>
      <c r="J90" s="346">
        <f t="shared" si="19"/>
        <v>0</v>
      </c>
      <c r="K90" s="346">
        <f t="shared" si="19"/>
        <v>0</v>
      </c>
      <c r="L90" s="346">
        <f t="shared" si="19"/>
        <v>0</v>
      </c>
      <c r="M90" s="346">
        <f t="shared" si="19"/>
        <v>0</v>
      </c>
      <c r="N90" s="345">
        <f t="shared" si="19"/>
        <v>20147.489777298008</v>
      </c>
      <c r="O90" s="346">
        <f t="shared" si="19"/>
        <v>20147.489777298008</v>
      </c>
      <c r="P90" s="346">
        <f t="shared" si="19"/>
        <v>80929.430424521051</v>
      </c>
      <c r="Q90" s="346">
        <f t="shared" si="19"/>
        <v>-60781.940647223048</v>
      </c>
      <c r="R90" s="365">
        <f t="shared" si="19"/>
        <v>0</v>
      </c>
    </row>
    <row r="91" spans="1:18" ht="14.25" customHeight="1" x14ac:dyDescent="0.2">
      <c r="A91" s="146" t="s">
        <v>428</v>
      </c>
      <c r="B91" s="146" t="s">
        <v>429</v>
      </c>
      <c r="D91" s="1389" t="s">
        <v>430</v>
      </c>
      <c r="E91" s="749">
        <f t="shared" ref="E91:E122" si="20">+F91</f>
        <v>6.747533E-2</v>
      </c>
      <c r="F91" s="1390">
        <v>6.747533E-2</v>
      </c>
      <c r="G91" s="1390">
        <v>4</v>
      </c>
      <c r="H91" s="1390">
        <f t="shared" ref="H91:H122" si="21">+E91-G91</f>
        <v>-3.9325246699999998</v>
      </c>
      <c r="I91" s="1391"/>
      <c r="J91" s="1390"/>
      <c r="K91" s="1390"/>
      <c r="L91" s="1390"/>
      <c r="M91" s="1390"/>
      <c r="N91" s="749">
        <f>+O91</f>
        <v>0</v>
      </c>
      <c r="O91" s="1390">
        <v>0</v>
      </c>
      <c r="P91" s="1390">
        <v>0.20309275541445002</v>
      </c>
      <c r="Q91" s="1390">
        <f t="shared" ref="Q91:Q122" si="22">+N91-P91</f>
        <v>-0.20309275541445002</v>
      </c>
      <c r="R91" s="1392"/>
    </row>
    <row r="92" spans="1:18" ht="14.25" customHeight="1" x14ac:dyDescent="0.2">
      <c r="D92" s="1389" t="s">
        <v>431</v>
      </c>
      <c r="E92" s="749">
        <f t="shared" si="20"/>
        <v>170</v>
      </c>
      <c r="F92" s="1390">
        <v>170</v>
      </c>
      <c r="G92" s="1390">
        <v>165.9</v>
      </c>
      <c r="H92" s="1390">
        <f t="shared" si="21"/>
        <v>4.0999999999999943</v>
      </c>
      <c r="I92" s="1391"/>
      <c r="J92" s="1390"/>
      <c r="K92" s="1390"/>
      <c r="L92" s="1390"/>
      <c r="M92" s="1390"/>
      <c r="N92" s="749">
        <f t="shared" ref="N92:N155" si="23">+O92</f>
        <v>17.79</v>
      </c>
      <c r="O92" s="1390">
        <v>17.79</v>
      </c>
      <c r="P92" s="1390">
        <v>-0.1</v>
      </c>
      <c r="Q92" s="1390">
        <f t="shared" si="22"/>
        <v>17.89</v>
      </c>
      <c r="R92" s="1392"/>
    </row>
    <row r="93" spans="1:18" ht="14.25" customHeight="1" x14ac:dyDescent="0.2">
      <c r="D93" s="1389" t="s">
        <v>432</v>
      </c>
      <c r="E93" s="749">
        <f t="shared" si="20"/>
        <v>6360</v>
      </c>
      <c r="F93" s="1390">
        <v>6360</v>
      </c>
      <c r="G93" s="1390">
        <v>1128.5611299182819</v>
      </c>
      <c r="H93" s="1390">
        <f t="shared" si="21"/>
        <v>5231.4388700817181</v>
      </c>
      <c r="I93" s="1391"/>
      <c r="J93" s="1390"/>
      <c r="K93" s="1390"/>
      <c r="L93" s="1390"/>
      <c r="M93" s="1390"/>
      <c r="N93" s="749">
        <f t="shared" si="23"/>
        <v>72.356424560000008</v>
      </c>
      <c r="O93" s="1390">
        <v>72.356424560000008</v>
      </c>
      <c r="P93" s="1390">
        <v>247.29999999999998</v>
      </c>
      <c r="Q93" s="1390">
        <f t="shared" si="22"/>
        <v>-174.94357543999996</v>
      </c>
      <c r="R93" s="1392"/>
    </row>
    <row r="94" spans="1:18" ht="14.25" customHeight="1" x14ac:dyDescent="0.2">
      <c r="D94" s="1389" t="s">
        <v>433</v>
      </c>
      <c r="E94" s="749">
        <f t="shared" si="20"/>
        <v>4290</v>
      </c>
      <c r="F94" s="1390">
        <v>4290</v>
      </c>
      <c r="G94" s="1390">
        <v>-1199.9675284897598</v>
      </c>
      <c r="H94" s="1390">
        <f t="shared" si="21"/>
        <v>5489.9675284897603</v>
      </c>
      <c r="I94" s="1391"/>
      <c r="J94" s="1390"/>
      <c r="K94" s="1390"/>
      <c r="L94" s="1390"/>
      <c r="M94" s="1390"/>
      <c r="N94" s="749">
        <f t="shared" si="23"/>
        <v>0</v>
      </c>
      <c r="O94" s="1390">
        <v>0</v>
      </c>
      <c r="P94" s="1390">
        <v>-28.9</v>
      </c>
      <c r="Q94" s="1390">
        <f t="shared" si="22"/>
        <v>28.9</v>
      </c>
      <c r="R94" s="1392"/>
    </row>
    <row r="95" spans="1:18" ht="14.25" customHeight="1" x14ac:dyDescent="0.2">
      <c r="D95" s="1389" t="s">
        <v>275</v>
      </c>
      <c r="E95" s="749">
        <f t="shared" si="20"/>
        <v>8790</v>
      </c>
      <c r="F95" s="1390">
        <v>8790</v>
      </c>
      <c r="G95" s="1390">
        <v>5181.045954950986</v>
      </c>
      <c r="H95" s="1390">
        <f t="shared" si="21"/>
        <v>3608.954045049014</v>
      </c>
      <c r="I95" s="1391"/>
      <c r="J95" s="1390"/>
      <c r="K95" s="1390"/>
      <c r="L95" s="1390"/>
      <c r="M95" s="1390"/>
      <c r="N95" s="749">
        <f t="shared" si="23"/>
        <v>647</v>
      </c>
      <c r="O95" s="1390">
        <v>647</v>
      </c>
      <c r="P95" s="1390">
        <v>-347.43896827740497</v>
      </c>
      <c r="Q95" s="1390">
        <f t="shared" si="22"/>
        <v>994.43896827740491</v>
      </c>
      <c r="R95" s="1392"/>
    </row>
    <row r="96" spans="1:18" ht="14.25" customHeight="1" x14ac:dyDescent="0.2">
      <c r="A96" s="146" t="s">
        <v>434</v>
      </c>
      <c r="B96" s="146" t="s">
        <v>435</v>
      </c>
      <c r="D96" s="1389" t="s">
        <v>436</v>
      </c>
      <c r="E96" s="749">
        <f t="shared" si="20"/>
        <v>-33.1</v>
      </c>
      <c r="F96" s="1390">
        <v>-33.1</v>
      </c>
      <c r="G96" s="1390">
        <v>14.1</v>
      </c>
      <c r="H96" s="1390">
        <f t="shared" si="21"/>
        <v>-47.2</v>
      </c>
      <c r="I96" s="1391"/>
      <c r="J96" s="1390"/>
      <c r="K96" s="1390"/>
      <c r="L96" s="1390"/>
      <c r="M96" s="1390"/>
      <c r="N96" s="749">
        <f t="shared" si="23"/>
        <v>0.68399456999999997</v>
      </c>
      <c r="O96" s="1390">
        <v>0.68399456999999997</v>
      </c>
      <c r="P96" s="1390">
        <v>3.6</v>
      </c>
      <c r="Q96" s="1390">
        <f t="shared" si="22"/>
        <v>-2.9160054300000002</v>
      </c>
      <c r="R96" s="1392"/>
    </row>
    <row r="97" spans="1:18" ht="14.25" customHeight="1" x14ac:dyDescent="0.2">
      <c r="A97" s="146" t="s">
        <v>437</v>
      </c>
      <c r="B97" s="146" t="s">
        <v>438</v>
      </c>
      <c r="D97" s="1389" t="s">
        <v>439</v>
      </c>
      <c r="E97" s="749">
        <f t="shared" si="20"/>
        <v>2270</v>
      </c>
      <c r="F97" s="1390">
        <v>2270</v>
      </c>
      <c r="G97" s="1390">
        <v>191</v>
      </c>
      <c r="H97" s="1390">
        <f t="shared" si="21"/>
        <v>2079</v>
      </c>
      <c r="I97" s="1391"/>
      <c r="J97" s="1390"/>
      <c r="K97" s="1390"/>
      <c r="L97" s="1390"/>
      <c r="M97" s="1390"/>
      <c r="N97" s="749">
        <f t="shared" si="23"/>
        <v>443</v>
      </c>
      <c r="O97" s="1390">
        <v>443</v>
      </c>
      <c r="P97" s="1390">
        <v>-4</v>
      </c>
      <c r="Q97" s="1390">
        <f t="shared" si="22"/>
        <v>447</v>
      </c>
      <c r="R97" s="1392"/>
    </row>
    <row r="98" spans="1:18" ht="14.25" customHeight="1" x14ac:dyDescent="0.2">
      <c r="D98" s="1389" t="s">
        <v>440</v>
      </c>
      <c r="E98" s="749">
        <f t="shared" si="20"/>
        <v>2210</v>
      </c>
      <c r="F98" s="1390">
        <v>2210</v>
      </c>
      <c r="G98" s="1390">
        <v>401.4440790000001</v>
      </c>
      <c r="H98" s="1390">
        <f t="shared" si="21"/>
        <v>1808.5559209999999</v>
      </c>
      <c r="I98" s="1391"/>
      <c r="J98" s="1390"/>
      <c r="K98" s="1390"/>
      <c r="L98" s="1390"/>
      <c r="M98" s="1390"/>
      <c r="N98" s="749">
        <f t="shared" si="23"/>
        <v>14.752823640000001</v>
      </c>
      <c r="O98" s="1390">
        <v>14.752823640000001</v>
      </c>
      <c r="P98" s="1390">
        <v>7</v>
      </c>
      <c r="Q98" s="1390">
        <f t="shared" si="22"/>
        <v>7.7528236400000008</v>
      </c>
      <c r="R98" s="1392"/>
    </row>
    <row r="99" spans="1:18" ht="14.25" customHeight="1" x14ac:dyDescent="0.2">
      <c r="D99" s="1389" t="s">
        <v>441</v>
      </c>
      <c r="E99" s="749">
        <f t="shared" si="20"/>
        <v>1790</v>
      </c>
      <c r="F99" s="1390">
        <v>1790</v>
      </c>
      <c r="G99" s="1390">
        <v>233.90000000000003</v>
      </c>
      <c r="H99" s="1390">
        <f t="shared" si="21"/>
        <v>1556.1</v>
      </c>
      <c r="I99" s="1391"/>
      <c r="J99" s="1390"/>
      <c r="K99" s="1390"/>
      <c r="L99" s="1390"/>
      <c r="M99" s="1390"/>
      <c r="N99" s="749">
        <f t="shared" si="23"/>
        <v>49.1</v>
      </c>
      <c r="O99" s="1390">
        <v>49.1</v>
      </c>
      <c r="P99" s="1390">
        <v>31.900000000000006</v>
      </c>
      <c r="Q99" s="1390">
        <f t="shared" si="22"/>
        <v>17.199999999999996</v>
      </c>
      <c r="R99" s="1392"/>
    </row>
    <row r="100" spans="1:18" ht="14.25" customHeight="1" x14ac:dyDescent="0.2">
      <c r="D100" s="1389" t="s">
        <v>80</v>
      </c>
      <c r="E100" s="749">
        <f t="shared" si="20"/>
        <v>51.461402590000006</v>
      </c>
      <c r="F100" s="1390">
        <v>51.461402590000006</v>
      </c>
      <c r="G100" s="1390">
        <v>66.2</v>
      </c>
      <c r="H100" s="1390">
        <f t="shared" si="21"/>
        <v>-14.738597409999997</v>
      </c>
      <c r="I100" s="1391"/>
      <c r="J100" s="1390"/>
      <c r="K100" s="1390"/>
      <c r="L100" s="1390"/>
      <c r="M100" s="1390"/>
      <c r="N100" s="749">
        <f t="shared" si="23"/>
        <v>1.210522334</v>
      </c>
      <c r="O100" s="1390">
        <v>1.210522334</v>
      </c>
      <c r="P100" s="1390">
        <v>-46.832508833922262</v>
      </c>
      <c r="Q100" s="1390">
        <f t="shared" si="22"/>
        <v>48.043031167922258</v>
      </c>
      <c r="R100" s="1392"/>
    </row>
    <row r="101" spans="1:18" ht="14.25" customHeight="1" x14ac:dyDescent="0.2">
      <c r="D101" s="1389" t="s">
        <v>442</v>
      </c>
      <c r="E101" s="749">
        <f t="shared" si="20"/>
        <v>64.393730180000006</v>
      </c>
      <c r="F101" s="1390">
        <v>64.393730180000006</v>
      </c>
      <c r="G101" s="1390">
        <v>-32.29999999999999</v>
      </c>
      <c r="H101" s="1390">
        <f t="shared" si="21"/>
        <v>96.693730179999989</v>
      </c>
      <c r="I101" s="1391"/>
      <c r="J101" s="1390"/>
      <c r="K101" s="1390"/>
      <c r="L101" s="1390"/>
      <c r="M101" s="1390"/>
      <c r="N101" s="749">
        <f t="shared" si="23"/>
        <v>0.33078056</v>
      </c>
      <c r="O101" s="1390">
        <v>0.33078056</v>
      </c>
      <c r="P101" s="1390">
        <v>0</v>
      </c>
      <c r="Q101" s="1390">
        <f t="shared" si="22"/>
        <v>0.33078056</v>
      </c>
      <c r="R101" s="1392"/>
    </row>
    <row r="102" spans="1:18" ht="14.25" customHeight="1" x14ac:dyDescent="0.2">
      <c r="D102" s="1389" t="s">
        <v>443</v>
      </c>
      <c r="E102" s="749">
        <f t="shared" si="20"/>
        <v>5.3329602449999998</v>
      </c>
      <c r="F102" s="1390">
        <v>5.3329602449999998</v>
      </c>
      <c r="G102" s="1390">
        <v>-3.7</v>
      </c>
      <c r="H102" s="1390">
        <f t="shared" si="21"/>
        <v>9.0329602449999999</v>
      </c>
      <c r="I102" s="1391"/>
      <c r="J102" s="1390"/>
      <c r="K102" s="1390"/>
      <c r="L102" s="1390"/>
      <c r="M102" s="1390"/>
      <c r="N102" s="749">
        <f t="shared" si="23"/>
        <v>0</v>
      </c>
      <c r="O102" s="1390">
        <v>0</v>
      </c>
      <c r="P102" s="1390">
        <v>0</v>
      </c>
      <c r="Q102" s="1390">
        <f t="shared" si="22"/>
        <v>0</v>
      </c>
      <c r="R102" s="1392"/>
    </row>
    <row r="103" spans="1:18" ht="14.25" customHeight="1" x14ac:dyDescent="0.2">
      <c r="A103" s="146" t="s">
        <v>444</v>
      </c>
      <c r="B103" s="146" t="s">
        <v>445</v>
      </c>
      <c r="D103" s="1389" t="s">
        <v>444</v>
      </c>
      <c r="E103" s="749">
        <f t="shared" si="20"/>
        <v>1080</v>
      </c>
      <c r="F103" s="1390">
        <v>1080</v>
      </c>
      <c r="G103" s="1390">
        <v>337.39999999999992</v>
      </c>
      <c r="H103" s="1390">
        <f t="shared" si="21"/>
        <v>742.60000000000014</v>
      </c>
      <c r="I103" s="1391"/>
      <c r="J103" s="1390"/>
      <c r="K103" s="1390"/>
      <c r="L103" s="1390"/>
      <c r="M103" s="1390"/>
      <c r="N103" s="749">
        <f t="shared" si="23"/>
        <v>7.0032867589999999</v>
      </c>
      <c r="O103" s="1390">
        <v>7.0032867589999999</v>
      </c>
      <c r="P103" s="1390">
        <v>2.1</v>
      </c>
      <c r="Q103" s="1390">
        <f t="shared" si="22"/>
        <v>4.9032867590000002</v>
      </c>
      <c r="R103" s="1392"/>
    </row>
    <row r="104" spans="1:18" ht="14.25" customHeight="1" x14ac:dyDescent="0.2">
      <c r="A104" s="146" t="s">
        <v>446</v>
      </c>
      <c r="B104" s="146" t="s">
        <v>447</v>
      </c>
      <c r="D104" s="1389" t="s">
        <v>446</v>
      </c>
      <c r="E104" s="749">
        <f t="shared" si="20"/>
        <v>312</v>
      </c>
      <c r="F104" s="1390">
        <v>312</v>
      </c>
      <c r="G104" s="1390">
        <v>179.5</v>
      </c>
      <c r="H104" s="1390">
        <f t="shared" si="21"/>
        <v>132.5</v>
      </c>
      <c r="I104" s="1391"/>
      <c r="J104" s="1390"/>
      <c r="K104" s="1390"/>
      <c r="L104" s="1390"/>
      <c r="M104" s="1390"/>
      <c r="N104" s="749">
        <f t="shared" si="23"/>
        <v>1.360475361</v>
      </c>
      <c r="O104" s="1390">
        <v>1.360475361</v>
      </c>
      <c r="P104" s="1390">
        <v>-112.8</v>
      </c>
      <c r="Q104" s="1390">
        <f t="shared" si="22"/>
        <v>114.160475361</v>
      </c>
      <c r="R104" s="1392"/>
    </row>
    <row r="105" spans="1:18" ht="14.25" customHeight="1" x14ac:dyDescent="0.2">
      <c r="D105" s="1389" t="s">
        <v>448</v>
      </c>
      <c r="E105" s="749">
        <f t="shared" si="20"/>
        <v>449</v>
      </c>
      <c r="F105" s="1390">
        <v>449</v>
      </c>
      <c r="G105" s="1390">
        <v>40.4</v>
      </c>
      <c r="H105" s="1390">
        <f t="shared" si="21"/>
        <v>408.6</v>
      </c>
      <c r="I105" s="1391"/>
      <c r="J105" s="1390"/>
      <c r="K105" s="1390"/>
      <c r="L105" s="1390"/>
      <c r="M105" s="1390"/>
      <c r="N105" s="749">
        <f t="shared" si="23"/>
        <v>4.7202724099999998</v>
      </c>
      <c r="O105" s="1390">
        <v>4.7202724099999998</v>
      </c>
      <c r="P105" s="1390">
        <v>0.2</v>
      </c>
      <c r="Q105" s="1390">
        <f t="shared" si="22"/>
        <v>4.5202724099999996</v>
      </c>
      <c r="R105" s="1392"/>
    </row>
    <row r="106" spans="1:18" ht="14.25" customHeight="1" x14ac:dyDescent="0.2">
      <c r="B106" s="146" t="s">
        <v>449</v>
      </c>
      <c r="D106" s="1389" t="s">
        <v>450</v>
      </c>
      <c r="E106" s="749">
        <f t="shared" si="20"/>
        <v>0</v>
      </c>
      <c r="F106" s="1390">
        <v>0</v>
      </c>
      <c r="G106" s="1390">
        <v>128.1</v>
      </c>
      <c r="H106" s="1390">
        <f t="shared" si="21"/>
        <v>-128.1</v>
      </c>
      <c r="I106" s="1391"/>
      <c r="J106" s="1390"/>
      <c r="K106" s="1390"/>
      <c r="L106" s="1390"/>
      <c r="M106" s="1390"/>
      <c r="N106" s="749">
        <f t="shared" si="23"/>
        <v>0</v>
      </c>
      <c r="O106" s="1390">
        <v>0</v>
      </c>
      <c r="P106" s="1390">
        <v>-23.1</v>
      </c>
      <c r="Q106" s="1390">
        <f t="shared" si="22"/>
        <v>23.1</v>
      </c>
      <c r="R106" s="1392"/>
    </row>
    <row r="107" spans="1:18" ht="14.25" customHeight="1" x14ac:dyDescent="0.2">
      <c r="D107" s="1389" t="s">
        <v>451</v>
      </c>
      <c r="E107" s="749">
        <f t="shared" si="20"/>
        <v>2570</v>
      </c>
      <c r="F107" s="1390">
        <v>2570</v>
      </c>
      <c r="G107" s="1390">
        <v>2111.4911230000002</v>
      </c>
      <c r="H107" s="1390">
        <f t="shared" si="21"/>
        <v>458.50887699999976</v>
      </c>
      <c r="I107" s="1391"/>
      <c r="J107" s="1390"/>
      <c r="K107" s="1390"/>
      <c r="L107" s="1390"/>
      <c r="M107" s="1390"/>
      <c r="N107" s="749">
        <f t="shared" si="23"/>
        <v>37.64</v>
      </c>
      <c r="O107" s="1390">
        <v>37.64</v>
      </c>
      <c r="P107" s="1390">
        <v>-27.600000000000009</v>
      </c>
      <c r="Q107" s="1390">
        <f t="shared" si="22"/>
        <v>65.240000000000009</v>
      </c>
      <c r="R107" s="1392"/>
    </row>
    <row r="108" spans="1:18" ht="14.25" customHeight="1" x14ac:dyDescent="0.2">
      <c r="A108" s="146" t="s">
        <v>452</v>
      </c>
      <c r="B108" s="146" t="s">
        <v>453</v>
      </c>
      <c r="D108" s="1389" t="s">
        <v>452</v>
      </c>
      <c r="E108" s="749">
        <f t="shared" si="20"/>
        <v>0</v>
      </c>
      <c r="F108" s="1390">
        <v>0</v>
      </c>
      <c r="G108" s="1390">
        <v>100.6</v>
      </c>
      <c r="H108" s="1390">
        <f t="shared" si="21"/>
        <v>-100.6</v>
      </c>
      <c r="I108" s="1391"/>
      <c r="J108" s="1390"/>
      <c r="K108" s="1390"/>
      <c r="L108" s="1390"/>
      <c r="M108" s="1390"/>
      <c r="N108" s="749">
        <f t="shared" si="23"/>
        <v>0</v>
      </c>
      <c r="O108" s="1390">
        <v>0</v>
      </c>
      <c r="P108" s="1390">
        <v>0</v>
      </c>
      <c r="Q108" s="1390">
        <f t="shared" si="22"/>
        <v>0</v>
      </c>
      <c r="R108" s="1392"/>
    </row>
    <row r="109" spans="1:18" ht="14.25" customHeight="1" x14ac:dyDescent="0.2">
      <c r="D109" s="1389" t="s">
        <v>454</v>
      </c>
      <c r="E109" s="749">
        <f t="shared" si="20"/>
        <v>5.770284126</v>
      </c>
      <c r="F109" s="1390">
        <v>5.770284126</v>
      </c>
      <c r="G109" s="1390">
        <v>20</v>
      </c>
      <c r="H109" s="1390">
        <f t="shared" si="21"/>
        <v>-14.229715874</v>
      </c>
      <c r="I109" s="1391"/>
      <c r="J109" s="1390"/>
      <c r="K109" s="1390"/>
      <c r="L109" s="1390"/>
      <c r="M109" s="1390"/>
      <c r="N109" s="749">
        <f t="shared" si="23"/>
        <v>3.1808699999999997E-3</v>
      </c>
      <c r="O109" s="1390">
        <v>3.1808699999999997E-3</v>
      </c>
      <c r="P109" s="1390">
        <v>0</v>
      </c>
      <c r="Q109" s="1390">
        <f t="shared" si="22"/>
        <v>3.1808699999999997E-3</v>
      </c>
      <c r="R109" s="1392"/>
    </row>
    <row r="110" spans="1:18" ht="14.25" customHeight="1" x14ac:dyDescent="0.2">
      <c r="A110" s="146" t="s">
        <v>455</v>
      </c>
      <c r="B110" s="146" t="s">
        <v>456</v>
      </c>
      <c r="D110" s="1389" t="s">
        <v>455</v>
      </c>
      <c r="E110" s="749">
        <f t="shared" si="20"/>
        <v>1070</v>
      </c>
      <c r="F110" s="1390">
        <v>1070</v>
      </c>
      <c r="G110" s="1390">
        <v>117.81952799999999</v>
      </c>
      <c r="H110" s="1390">
        <f t="shared" si="21"/>
        <v>952.18047200000001</v>
      </c>
      <c r="I110" s="1391"/>
      <c r="J110" s="1390"/>
      <c r="K110" s="1390"/>
      <c r="L110" s="1390"/>
      <c r="M110" s="1390"/>
      <c r="N110" s="749">
        <f t="shared" si="23"/>
        <v>2.1449218960000001</v>
      </c>
      <c r="O110" s="1390">
        <v>2.1449218960000001</v>
      </c>
      <c r="P110" s="1390">
        <v>-3.8</v>
      </c>
      <c r="Q110" s="1390">
        <f t="shared" si="22"/>
        <v>5.9449218960000003</v>
      </c>
      <c r="R110" s="1392"/>
    </row>
    <row r="111" spans="1:18" ht="14.25" customHeight="1" x14ac:dyDescent="0.2">
      <c r="D111" s="1389" t="s">
        <v>457</v>
      </c>
      <c r="E111" s="749">
        <f t="shared" si="20"/>
        <v>411</v>
      </c>
      <c r="F111" s="1390">
        <v>411</v>
      </c>
      <c r="G111" s="1390">
        <v>63.900000000000006</v>
      </c>
      <c r="H111" s="1390">
        <f t="shared" si="21"/>
        <v>347.1</v>
      </c>
      <c r="I111" s="1391"/>
      <c r="J111" s="1390"/>
      <c r="K111" s="1390"/>
      <c r="L111" s="1390"/>
      <c r="M111" s="1390"/>
      <c r="N111" s="749">
        <f t="shared" si="23"/>
        <v>83.050200189999998</v>
      </c>
      <c r="O111" s="1390">
        <v>83.050200189999998</v>
      </c>
      <c r="P111" s="1390">
        <v>-1.1000000000000001</v>
      </c>
      <c r="Q111" s="1390">
        <f t="shared" si="22"/>
        <v>84.150200189999993</v>
      </c>
      <c r="R111" s="1392"/>
    </row>
    <row r="112" spans="1:18" ht="14.25" customHeight="1" x14ac:dyDescent="0.2">
      <c r="D112" s="1389" t="s">
        <v>458</v>
      </c>
      <c r="E112" s="749">
        <f t="shared" si="20"/>
        <v>15.538265109999999</v>
      </c>
      <c r="F112" s="1390">
        <v>15.538265109999999</v>
      </c>
      <c r="G112" s="1390">
        <v>8.1999999999999993</v>
      </c>
      <c r="H112" s="1390">
        <f t="shared" si="21"/>
        <v>7.33826511</v>
      </c>
      <c r="I112" s="1391"/>
      <c r="J112" s="1390"/>
      <c r="K112" s="1390"/>
      <c r="L112" s="1390"/>
      <c r="M112" s="1390"/>
      <c r="N112" s="749">
        <f t="shared" si="23"/>
        <v>0</v>
      </c>
      <c r="O112" s="1390">
        <v>0</v>
      </c>
      <c r="P112" s="1390">
        <v>0.3</v>
      </c>
      <c r="Q112" s="1390">
        <f t="shared" si="22"/>
        <v>-0.3</v>
      </c>
      <c r="R112" s="1392"/>
    </row>
    <row r="113" spans="1:18" ht="14.25" customHeight="1" x14ac:dyDescent="0.2">
      <c r="A113" s="146" t="s">
        <v>459</v>
      </c>
      <c r="B113" s="146" t="s">
        <v>460</v>
      </c>
      <c r="D113" s="1389" t="s">
        <v>459</v>
      </c>
      <c r="E113" s="749">
        <f t="shared" si="20"/>
        <v>0</v>
      </c>
      <c r="F113" s="1390">
        <v>0</v>
      </c>
      <c r="G113" s="1390">
        <v>-3</v>
      </c>
      <c r="H113" s="1390">
        <f t="shared" si="21"/>
        <v>3</v>
      </c>
      <c r="I113" s="1391"/>
      <c r="J113" s="1390"/>
      <c r="K113" s="1390"/>
      <c r="L113" s="1390"/>
      <c r="M113" s="1390"/>
      <c r="N113" s="749">
        <f t="shared" si="23"/>
        <v>0</v>
      </c>
      <c r="O113" s="1390">
        <v>0</v>
      </c>
      <c r="P113" s="1390">
        <v>0</v>
      </c>
      <c r="Q113" s="1390">
        <f t="shared" si="22"/>
        <v>0</v>
      </c>
      <c r="R113" s="1392"/>
    </row>
    <row r="114" spans="1:18" ht="14.25" customHeight="1" x14ac:dyDescent="0.2">
      <c r="D114" s="1389" t="s">
        <v>461</v>
      </c>
      <c r="E114" s="749">
        <f t="shared" si="20"/>
        <v>0</v>
      </c>
      <c r="F114" s="1390">
        <v>0</v>
      </c>
      <c r="G114" s="1390">
        <v>-218</v>
      </c>
      <c r="H114" s="1390">
        <f t="shared" si="21"/>
        <v>218</v>
      </c>
      <c r="I114" s="1391"/>
      <c r="J114" s="1390"/>
      <c r="K114" s="1390"/>
      <c r="L114" s="1390"/>
      <c r="M114" s="1390"/>
      <c r="N114" s="749">
        <f t="shared" si="23"/>
        <v>0</v>
      </c>
      <c r="O114" s="1390">
        <v>0</v>
      </c>
      <c r="P114" s="1390">
        <v>0</v>
      </c>
      <c r="Q114" s="1390">
        <f t="shared" si="22"/>
        <v>0</v>
      </c>
      <c r="R114" s="1392"/>
    </row>
    <row r="115" spans="1:18" ht="14.25" customHeight="1" x14ac:dyDescent="0.2">
      <c r="D115" s="1389" t="s">
        <v>462</v>
      </c>
      <c r="E115" s="749">
        <f t="shared" si="20"/>
        <v>0</v>
      </c>
      <c r="F115" s="1390">
        <v>0</v>
      </c>
      <c r="G115" s="1390">
        <v>0</v>
      </c>
      <c r="H115" s="1390">
        <f t="shared" si="21"/>
        <v>0</v>
      </c>
      <c r="I115" s="1391"/>
      <c r="J115" s="1390"/>
      <c r="K115" s="1390"/>
      <c r="L115" s="1390"/>
      <c r="M115" s="1390"/>
      <c r="N115" s="749">
        <f t="shared" si="23"/>
        <v>0</v>
      </c>
      <c r="O115" s="1390">
        <v>0</v>
      </c>
      <c r="P115" s="1390">
        <v>0</v>
      </c>
      <c r="Q115" s="1390">
        <f t="shared" si="22"/>
        <v>0</v>
      </c>
      <c r="R115" s="1392"/>
    </row>
    <row r="116" spans="1:18" ht="14.25" customHeight="1" x14ac:dyDescent="0.2">
      <c r="A116" s="146" t="s">
        <v>463</v>
      </c>
      <c r="B116" s="146" t="s">
        <v>464</v>
      </c>
      <c r="D116" s="1389" t="s">
        <v>465</v>
      </c>
      <c r="E116" s="749">
        <f t="shared" si="20"/>
        <v>0</v>
      </c>
      <c r="F116" s="1390">
        <v>0</v>
      </c>
      <c r="G116" s="1390">
        <v>-126.89999999999998</v>
      </c>
      <c r="H116" s="1390">
        <f t="shared" si="21"/>
        <v>126.89999999999998</v>
      </c>
      <c r="I116" s="1391"/>
      <c r="J116" s="1390"/>
      <c r="K116" s="1390"/>
      <c r="L116" s="1390"/>
      <c r="M116" s="1390"/>
      <c r="N116" s="749">
        <f t="shared" si="23"/>
        <v>0</v>
      </c>
      <c r="O116" s="1390">
        <v>0</v>
      </c>
      <c r="P116" s="1390">
        <v>-10</v>
      </c>
      <c r="Q116" s="1390">
        <f t="shared" si="22"/>
        <v>10</v>
      </c>
      <c r="R116" s="1392"/>
    </row>
    <row r="117" spans="1:18" ht="14.25" customHeight="1" x14ac:dyDescent="0.2">
      <c r="A117" s="146" t="s">
        <v>466</v>
      </c>
      <c r="B117" s="146" t="s">
        <v>467</v>
      </c>
      <c r="D117" s="1389" t="s">
        <v>468</v>
      </c>
      <c r="E117" s="749">
        <f t="shared" si="20"/>
        <v>0</v>
      </c>
      <c r="F117" s="1390">
        <v>0</v>
      </c>
      <c r="G117" s="1390">
        <v>-292.5</v>
      </c>
      <c r="H117" s="1390">
        <f t="shared" si="21"/>
        <v>292.5</v>
      </c>
      <c r="I117" s="1391"/>
      <c r="J117" s="1390"/>
      <c r="K117" s="1390"/>
      <c r="L117" s="1390"/>
      <c r="M117" s="1390"/>
      <c r="N117" s="749">
        <f t="shared" si="23"/>
        <v>0</v>
      </c>
      <c r="O117" s="1390">
        <v>0</v>
      </c>
      <c r="P117" s="1390">
        <v>-82.3</v>
      </c>
      <c r="Q117" s="1390">
        <f t="shared" si="22"/>
        <v>82.3</v>
      </c>
      <c r="R117" s="1392"/>
    </row>
    <row r="118" spans="1:18" ht="14.25" customHeight="1" x14ac:dyDescent="0.2">
      <c r="A118" s="146" t="s">
        <v>469</v>
      </c>
      <c r="B118" s="146" t="s">
        <v>470</v>
      </c>
      <c r="D118" s="1389" t="s">
        <v>471</v>
      </c>
      <c r="E118" s="749">
        <f t="shared" si="20"/>
        <v>686</v>
      </c>
      <c r="F118" s="1390">
        <v>686</v>
      </c>
      <c r="G118" s="1390">
        <v>198.8</v>
      </c>
      <c r="H118" s="1390">
        <f t="shared" si="21"/>
        <v>487.2</v>
      </c>
      <c r="I118" s="1391"/>
      <c r="J118" s="1390"/>
      <c r="K118" s="1390"/>
      <c r="L118" s="1390"/>
      <c r="M118" s="1390"/>
      <c r="N118" s="749">
        <f t="shared" si="23"/>
        <v>15.736626509999999</v>
      </c>
      <c r="O118" s="1390">
        <v>15.736626509999999</v>
      </c>
      <c r="P118" s="1390">
        <v>-11</v>
      </c>
      <c r="Q118" s="1390">
        <f t="shared" si="22"/>
        <v>26.736626510000001</v>
      </c>
      <c r="R118" s="1392"/>
    </row>
    <row r="119" spans="1:18" ht="14.25" customHeight="1" x14ac:dyDescent="0.2">
      <c r="D119" s="1389" t="s">
        <v>472</v>
      </c>
      <c r="E119" s="749">
        <f t="shared" si="20"/>
        <v>-164</v>
      </c>
      <c r="F119" s="1390">
        <v>-164</v>
      </c>
      <c r="G119" s="1390">
        <v>85.403986706843654</v>
      </c>
      <c r="H119" s="1390">
        <f t="shared" si="21"/>
        <v>-249.40398670684365</v>
      </c>
      <c r="I119" s="1391"/>
      <c r="J119" s="1390"/>
      <c r="K119" s="1390"/>
      <c r="L119" s="1390"/>
      <c r="M119" s="1390"/>
      <c r="N119" s="749">
        <f t="shared" si="23"/>
        <v>-213</v>
      </c>
      <c r="O119" s="1390">
        <v>-213</v>
      </c>
      <c r="P119" s="1390">
        <v>107.8</v>
      </c>
      <c r="Q119" s="1390">
        <f t="shared" si="22"/>
        <v>-320.8</v>
      </c>
      <c r="R119" s="1392"/>
    </row>
    <row r="120" spans="1:18" ht="14.25" customHeight="1" x14ac:dyDescent="0.2">
      <c r="D120" s="1389" t="s">
        <v>473</v>
      </c>
      <c r="E120" s="749">
        <f t="shared" si="20"/>
        <v>7.4274139100000003</v>
      </c>
      <c r="F120" s="1390">
        <v>7.4274139100000003</v>
      </c>
      <c r="G120" s="1390">
        <v>13.6</v>
      </c>
      <c r="H120" s="1390">
        <f t="shared" si="21"/>
        <v>-6.1725860899999994</v>
      </c>
      <c r="I120" s="1391"/>
      <c r="J120" s="1390"/>
      <c r="K120" s="1390"/>
      <c r="L120" s="1390"/>
      <c r="M120" s="1390"/>
      <c r="N120" s="749">
        <f t="shared" si="23"/>
        <v>0</v>
      </c>
      <c r="O120" s="1390">
        <v>0</v>
      </c>
      <c r="P120" s="1390">
        <v>1</v>
      </c>
      <c r="Q120" s="1390">
        <f t="shared" si="22"/>
        <v>-1</v>
      </c>
      <c r="R120" s="1392"/>
    </row>
    <row r="121" spans="1:18" ht="14.25" customHeight="1" x14ac:dyDescent="0.2">
      <c r="D121" s="1389" t="s">
        <v>474</v>
      </c>
      <c r="E121" s="749">
        <f t="shared" si="20"/>
        <v>0</v>
      </c>
      <c r="F121" s="1390">
        <v>0</v>
      </c>
      <c r="G121" s="1390">
        <v>3.7</v>
      </c>
      <c r="H121" s="1390">
        <f t="shared" si="21"/>
        <v>-3.7</v>
      </c>
      <c r="I121" s="1391"/>
      <c r="J121" s="1390"/>
      <c r="K121" s="1390"/>
      <c r="L121" s="1390"/>
      <c r="M121" s="1390"/>
      <c r="N121" s="749">
        <f t="shared" si="23"/>
        <v>0</v>
      </c>
      <c r="O121" s="1390">
        <v>0</v>
      </c>
      <c r="P121" s="1390">
        <v>-0.4</v>
      </c>
      <c r="Q121" s="1390">
        <f t="shared" si="22"/>
        <v>0.4</v>
      </c>
      <c r="R121" s="1392"/>
    </row>
    <row r="122" spans="1:18" ht="14.25" customHeight="1" x14ac:dyDescent="0.2">
      <c r="A122" s="147" t="s">
        <v>282</v>
      </c>
      <c r="B122" s="162" t="s">
        <v>475</v>
      </c>
      <c r="D122" s="1389" t="s">
        <v>282</v>
      </c>
      <c r="E122" s="749">
        <f t="shared" si="20"/>
        <v>2340</v>
      </c>
      <c r="F122" s="1390">
        <v>2340</v>
      </c>
      <c r="G122" s="1390">
        <v>428.1</v>
      </c>
      <c r="H122" s="1390">
        <f t="shared" si="21"/>
        <v>1911.9</v>
      </c>
      <c r="I122" s="1391"/>
      <c r="J122" s="1390"/>
      <c r="K122" s="1390"/>
      <c r="L122" s="1390"/>
      <c r="M122" s="1390"/>
      <c r="N122" s="749">
        <f t="shared" si="23"/>
        <v>0</v>
      </c>
      <c r="O122" s="1390">
        <v>0</v>
      </c>
      <c r="P122" s="1390">
        <v>0.7</v>
      </c>
      <c r="Q122" s="1390">
        <f t="shared" si="22"/>
        <v>-0.7</v>
      </c>
      <c r="R122" s="1392"/>
    </row>
    <row r="123" spans="1:18" ht="14.25" customHeight="1" x14ac:dyDescent="0.2">
      <c r="D123" s="1389" t="s">
        <v>276</v>
      </c>
      <c r="E123" s="749">
        <f t="shared" ref="E123:E154" si="24">+F123</f>
        <v>601</v>
      </c>
      <c r="F123" s="1390">
        <v>601</v>
      </c>
      <c r="G123" s="1390">
        <v>423.10000000000008</v>
      </c>
      <c r="H123" s="1390">
        <f t="shared" ref="H123:H154" si="25">+E123-G123</f>
        <v>177.89999999999992</v>
      </c>
      <c r="I123" s="1391"/>
      <c r="J123" s="1390"/>
      <c r="K123" s="1390"/>
      <c r="L123" s="1390"/>
      <c r="M123" s="1390"/>
      <c r="N123" s="749">
        <f t="shared" si="23"/>
        <v>0</v>
      </c>
      <c r="O123" s="1390">
        <v>0</v>
      </c>
      <c r="P123" s="1390">
        <v>-26.9</v>
      </c>
      <c r="Q123" s="1390">
        <f t="shared" ref="Q123:Q154" si="26">+N123-P123</f>
        <v>26.9</v>
      </c>
      <c r="R123" s="1392"/>
    </row>
    <row r="124" spans="1:18" ht="14.25" customHeight="1" x14ac:dyDescent="0.2">
      <c r="D124" s="1389" t="s">
        <v>286</v>
      </c>
      <c r="E124" s="749">
        <f t="shared" si="24"/>
        <v>4370</v>
      </c>
      <c r="F124" s="1390">
        <v>4370</v>
      </c>
      <c r="G124" s="1390">
        <v>932.97225921654695</v>
      </c>
      <c r="H124" s="1390">
        <f t="shared" si="25"/>
        <v>3437.0277407834528</v>
      </c>
      <c r="I124" s="1391"/>
      <c r="J124" s="1390"/>
      <c r="K124" s="1390"/>
      <c r="L124" s="1390"/>
      <c r="M124" s="1390"/>
      <c r="N124" s="749">
        <f t="shared" si="23"/>
        <v>153</v>
      </c>
      <c r="O124" s="1390">
        <v>153</v>
      </c>
      <c r="P124" s="1390">
        <v>5.2</v>
      </c>
      <c r="Q124" s="1390">
        <f t="shared" si="26"/>
        <v>147.80000000000001</v>
      </c>
      <c r="R124" s="1392"/>
    </row>
    <row r="125" spans="1:18" ht="14.25" customHeight="1" x14ac:dyDescent="0.2">
      <c r="A125" s="147" t="s">
        <v>476</v>
      </c>
      <c r="B125" s="162" t="s">
        <v>477</v>
      </c>
      <c r="D125" s="1389" t="s">
        <v>476</v>
      </c>
      <c r="E125" s="749">
        <f t="shared" si="24"/>
        <v>727</v>
      </c>
      <c r="F125" s="1390">
        <v>727</v>
      </c>
      <c r="G125" s="1390">
        <v>113.9</v>
      </c>
      <c r="H125" s="1390">
        <f t="shared" si="25"/>
        <v>613.1</v>
      </c>
      <c r="I125" s="1391"/>
      <c r="J125" s="1390"/>
      <c r="K125" s="1390"/>
      <c r="L125" s="1390"/>
      <c r="M125" s="1390"/>
      <c r="N125" s="749">
        <f t="shared" si="23"/>
        <v>2.0593841930000001</v>
      </c>
      <c r="O125" s="1390">
        <v>2.0593841930000001</v>
      </c>
      <c r="P125" s="1390">
        <v>0</v>
      </c>
      <c r="Q125" s="1390">
        <f t="shared" si="26"/>
        <v>2.0593841930000001</v>
      </c>
      <c r="R125" s="1392"/>
    </row>
    <row r="126" spans="1:18" ht="14.25" customHeight="1" x14ac:dyDescent="0.2">
      <c r="A126" s="147" t="s">
        <v>478</v>
      </c>
      <c r="B126" s="162" t="s">
        <v>479</v>
      </c>
      <c r="D126" s="1389" t="s">
        <v>478</v>
      </c>
      <c r="E126" s="749">
        <f t="shared" si="24"/>
        <v>0</v>
      </c>
      <c r="F126" s="1390">
        <v>0</v>
      </c>
      <c r="G126" s="1390">
        <v>30.9</v>
      </c>
      <c r="H126" s="1390">
        <f t="shared" si="25"/>
        <v>-30.9</v>
      </c>
      <c r="I126" s="1391"/>
      <c r="J126" s="1390"/>
      <c r="K126" s="1390"/>
      <c r="L126" s="1390"/>
      <c r="M126" s="1390"/>
      <c r="N126" s="749">
        <f t="shared" si="23"/>
        <v>0</v>
      </c>
      <c r="O126" s="1390">
        <v>0</v>
      </c>
      <c r="P126" s="1390">
        <v>0</v>
      </c>
      <c r="Q126" s="1390">
        <f t="shared" si="26"/>
        <v>0</v>
      </c>
      <c r="R126" s="1392"/>
    </row>
    <row r="127" spans="1:18" ht="14.25" customHeight="1" x14ac:dyDescent="0.2">
      <c r="D127" s="1389" t="s">
        <v>480</v>
      </c>
      <c r="E127" s="749">
        <f t="shared" si="24"/>
        <v>0</v>
      </c>
      <c r="F127" s="1390">
        <v>0</v>
      </c>
      <c r="G127" s="1390">
        <v>3.2</v>
      </c>
      <c r="H127" s="1390">
        <f t="shared" si="25"/>
        <v>-3.2</v>
      </c>
      <c r="I127" s="1391"/>
      <c r="J127" s="1390"/>
      <c r="K127" s="1390"/>
      <c r="L127" s="1390"/>
      <c r="M127" s="1390"/>
      <c r="N127" s="749">
        <f t="shared" si="23"/>
        <v>0</v>
      </c>
      <c r="O127" s="1390">
        <v>0</v>
      </c>
      <c r="P127" s="1390">
        <v>-0.1</v>
      </c>
      <c r="Q127" s="1390">
        <f t="shared" si="26"/>
        <v>0.1</v>
      </c>
      <c r="R127" s="1392"/>
    </row>
    <row r="128" spans="1:18" ht="14.25" customHeight="1" x14ac:dyDescent="0.2">
      <c r="D128" s="1389" t="s">
        <v>481</v>
      </c>
      <c r="E128" s="749">
        <f t="shared" si="24"/>
        <v>11.99284141</v>
      </c>
      <c r="F128" s="1390">
        <v>11.99284141</v>
      </c>
      <c r="G128" s="1390">
        <v>222.90557802259099</v>
      </c>
      <c r="H128" s="1390">
        <f t="shared" si="25"/>
        <v>-210.91273661259098</v>
      </c>
      <c r="I128" s="1391"/>
      <c r="J128" s="1390"/>
      <c r="K128" s="1390"/>
      <c r="L128" s="1390"/>
      <c r="M128" s="1390"/>
      <c r="N128" s="749">
        <f t="shared" si="23"/>
        <v>0</v>
      </c>
      <c r="O128" s="1390">
        <v>0</v>
      </c>
      <c r="P128" s="1390">
        <v>-0.2</v>
      </c>
      <c r="Q128" s="1390">
        <f t="shared" si="26"/>
        <v>0.2</v>
      </c>
      <c r="R128" s="1392"/>
    </row>
    <row r="129" spans="1:18" ht="14.25" customHeight="1" x14ac:dyDescent="0.2">
      <c r="A129" s="147" t="s">
        <v>482</v>
      </c>
      <c r="B129" s="162" t="s">
        <v>483</v>
      </c>
      <c r="D129" s="1389" t="s">
        <v>484</v>
      </c>
      <c r="E129" s="749">
        <f t="shared" si="24"/>
        <v>0</v>
      </c>
      <c r="F129" s="1390">
        <v>0</v>
      </c>
      <c r="G129" s="1390">
        <v>21.064018702654398</v>
      </c>
      <c r="H129" s="1390">
        <f t="shared" si="25"/>
        <v>-21.064018702654398</v>
      </c>
      <c r="I129" s="1391"/>
      <c r="J129" s="1390"/>
      <c r="K129" s="1390"/>
      <c r="L129" s="1390"/>
      <c r="M129" s="1390"/>
      <c r="N129" s="749">
        <f t="shared" si="23"/>
        <v>0</v>
      </c>
      <c r="O129" s="1390">
        <v>0</v>
      </c>
      <c r="P129" s="1390">
        <v>-7.6898361664977006</v>
      </c>
      <c r="Q129" s="1390">
        <f t="shared" si="26"/>
        <v>7.6898361664977006</v>
      </c>
      <c r="R129" s="1392"/>
    </row>
    <row r="130" spans="1:18" ht="14.25" customHeight="1" x14ac:dyDescent="0.2">
      <c r="D130" s="1389" t="s">
        <v>485</v>
      </c>
      <c r="E130" s="749">
        <f t="shared" si="24"/>
        <v>209</v>
      </c>
      <c r="F130" s="1390">
        <v>209</v>
      </c>
      <c r="G130" s="1390">
        <v>154.67826282966402</v>
      </c>
      <c r="H130" s="1390">
        <f t="shared" si="25"/>
        <v>54.321737170335979</v>
      </c>
      <c r="I130" s="1391"/>
      <c r="J130" s="1390"/>
      <c r="K130" s="1390"/>
      <c r="L130" s="1390"/>
      <c r="M130" s="1390"/>
      <c r="N130" s="749">
        <f t="shared" si="23"/>
        <v>0</v>
      </c>
      <c r="O130" s="1390">
        <v>0</v>
      </c>
      <c r="P130" s="1390">
        <v>0</v>
      </c>
      <c r="Q130" s="1390">
        <f t="shared" si="26"/>
        <v>0</v>
      </c>
      <c r="R130" s="1392"/>
    </row>
    <row r="131" spans="1:18" ht="14.25" customHeight="1" x14ac:dyDescent="0.2">
      <c r="D131" s="1389" t="s">
        <v>486</v>
      </c>
      <c r="E131" s="749">
        <f t="shared" si="24"/>
        <v>0</v>
      </c>
      <c r="F131" s="1390">
        <v>0</v>
      </c>
      <c r="G131" s="1390">
        <v>-63.7</v>
      </c>
      <c r="H131" s="1390">
        <f t="shared" si="25"/>
        <v>63.7</v>
      </c>
      <c r="I131" s="1391"/>
      <c r="J131" s="1390"/>
      <c r="K131" s="1390"/>
      <c r="L131" s="1390"/>
      <c r="M131" s="1390"/>
      <c r="N131" s="749">
        <f t="shared" si="23"/>
        <v>0</v>
      </c>
      <c r="O131" s="1390">
        <v>0</v>
      </c>
      <c r="P131" s="1390">
        <v>-1.1000000000000001</v>
      </c>
      <c r="Q131" s="1390">
        <f t="shared" si="26"/>
        <v>1.1000000000000001</v>
      </c>
      <c r="R131" s="1392"/>
    </row>
    <row r="132" spans="1:18" ht="14.25" customHeight="1" x14ac:dyDescent="0.2">
      <c r="A132" s="147" t="s">
        <v>487</v>
      </c>
      <c r="B132" s="162" t="s">
        <v>488</v>
      </c>
      <c r="D132" s="1389" t="s">
        <v>487</v>
      </c>
      <c r="E132" s="749">
        <f t="shared" si="24"/>
        <v>5.7992729499999998</v>
      </c>
      <c r="F132" s="1390">
        <v>5.7992729499999998</v>
      </c>
      <c r="G132" s="1390">
        <v>-4.2</v>
      </c>
      <c r="H132" s="1390">
        <f t="shared" si="25"/>
        <v>9.9992729499999999</v>
      </c>
      <c r="I132" s="1391"/>
      <c r="J132" s="1390"/>
      <c r="K132" s="1390"/>
      <c r="L132" s="1390"/>
      <c r="M132" s="1390"/>
      <c r="N132" s="749">
        <f t="shared" si="23"/>
        <v>-4.5506935510000002</v>
      </c>
      <c r="O132" s="1390">
        <v>-4.5506935510000002</v>
      </c>
      <c r="P132" s="1390">
        <v>0</v>
      </c>
      <c r="Q132" s="1390">
        <f t="shared" si="26"/>
        <v>-4.5506935510000002</v>
      </c>
      <c r="R132" s="1392"/>
    </row>
    <row r="133" spans="1:18" ht="14.25" customHeight="1" x14ac:dyDescent="0.2">
      <c r="D133" s="1389" t="s">
        <v>489</v>
      </c>
      <c r="E133" s="749">
        <f t="shared" si="24"/>
        <v>592</v>
      </c>
      <c r="F133" s="1390">
        <v>592</v>
      </c>
      <c r="G133" s="1390">
        <v>100.3</v>
      </c>
      <c r="H133" s="1390">
        <f t="shared" si="25"/>
        <v>491.7</v>
      </c>
      <c r="I133" s="1391"/>
      <c r="J133" s="1390"/>
      <c r="K133" s="1390"/>
      <c r="L133" s="1390"/>
      <c r="M133" s="1390"/>
      <c r="N133" s="749">
        <f t="shared" si="23"/>
        <v>213</v>
      </c>
      <c r="O133" s="1390">
        <v>213</v>
      </c>
      <c r="P133" s="1390">
        <v>4.2</v>
      </c>
      <c r="Q133" s="1390">
        <f t="shared" si="26"/>
        <v>208.8</v>
      </c>
      <c r="R133" s="1392"/>
    </row>
    <row r="134" spans="1:18" ht="14.25" customHeight="1" x14ac:dyDescent="0.2">
      <c r="D134" s="1389" t="s">
        <v>490</v>
      </c>
      <c r="E134" s="749">
        <f t="shared" si="24"/>
        <v>813</v>
      </c>
      <c r="F134" s="1390">
        <v>813</v>
      </c>
      <c r="G134" s="1390">
        <v>220.7</v>
      </c>
      <c r="H134" s="1390">
        <f t="shared" si="25"/>
        <v>592.29999999999995</v>
      </c>
      <c r="I134" s="1391"/>
      <c r="J134" s="1390"/>
      <c r="K134" s="1390"/>
      <c r="L134" s="1390"/>
      <c r="M134" s="1390"/>
      <c r="N134" s="749">
        <f t="shared" si="23"/>
        <v>0</v>
      </c>
      <c r="O134" s="1390">
        <v>0</v>
      </c>
      <c r="P134" s="1390">
        <v>-21.5</v>
      </c>
      <c r="Q134" s="1390">
        <f t="shared" si="26"/>
        <v>21.5</v>
      </c>
      <c r="R134" s="1392"/>
    </row>
    <row r="135" spans="1:18" ht="14.25" customHeight="1" x14ac:dyDescent="0.2">
      <c r="D135" s="1389" t="s">
        <v>88</v>
      </c>
      <c r="E135" s="749">
        <f t="shared" si="24"/>
        <v>0</v>
      </c>
      <c r="F135" s="1390">
        <v>0</v>
      </c>
      <c r="G135" s="1390">
        <v>15.2</v>
      </c>
      <c r="H135" s="1390">
        <f t="shared" si="25"/>
        <v>-15.2</v>
      </c>
      <c r="I135" s="1391"/>
      <c r="J135" s="1390"/>
      <c r="K135" s="1390"/>
      <c r="L135" s="1390"/>
      <c r="M135" s="1390"/>
      <c r="N135" s="749">
        <f t="shared" si="23"/>
        <v>0</v>
      </c>
      <c r="O135" s="1390">
        <v>0</v>
      </c>
      <c r="P135" s="1390">
        <v>0</v>
      </c>
      <c r="Q135" s="1390">
        <f t="shared" si="26"/>
        <v>0</v>
      </c>
      <c r="R135" s="1392"/>
    </row>
    <row r="136" spans="1:18" ht="14.25" customHeight="1" x14ac:dyDescent="0.2">
      <c r="D136" s="1389" t="s">
        <v>491</v>
      </c>
      <c r="E136" s="749">
        <f t="shared" si="24"/>
        <v>1310</v>
      </c>
      <c r="F136" s="1390">
        <v>1310</v>
      </c>
      <c r="G136" s="1390">
        <v>253.10000000000002</v>
      </c>
      <c r="H136" s="1390">
        <f t="shared" si="25"/>
        <v>1056.9000000000001</v>
      </c>
      <c r="I136" s="1391"/>
      <c r="J136" s="1390"/>
      <c r="K136" s="1390"/>
      <c r="L136" s="1390"/>
      <c r="M136" s="1390"/>
      <c r="N136" s="749">
        <f t="shared" si="23"/>
        <v>144</v>
      </c>
      <c r="O136" s="1390">
        <v>144</v>
      </c>
      <c r="P136" s="1390">
        <v>165.00000000000011</v>
      </c>
      <c r="Q136" s="1390">
        <f t="shared" si="26"/>
        <v>-21.000000000000114</v>
      </c>
      <c r="R136" s="1392"/>
    </row>
    <row r="137" spans="1:18" ht="14.25" customHeight="1" x14ac:dyDescent="0.2">
      <c r="B137" s="1397"/>
      <c r="D137" s="1389" t="s">
        <v>492</v>
      </c>
      <c r="E137" s="749">
        <f t="shared" si="24"/>
        <v>109</v>
      </c>
      <c r="F137" s="1390">
        <v>109</v>
      </c>
      <c r="G137" s="1390">
        <v>-1750.6</v>
      </c>
      <c r="H137" s="1390">
        <f t="shared" si="25"/>
        <v>1859.6</v>
      </c>
      <c r="I137" s="1391"/>
      <c r="J137" s="1390"/>
      <c r="K137" s="1390"/>
      <c r="L137" s="1390"/>
      <c r="M137" s="1390"/>
      <c r="N137" s="749">
        <f t="shared" si="23"/>
        <v>0</v>
      </c>
      <c r="O137" s="1390">
        <v>0</v>
      </c>
      <c r="P137" s="1390">
        <v>0</v>
      </c>
      <c r="Q137" s="1390">
        <f t="shared" si="26"/>
        <v>0</v>
      </c>
      <c r="R137" s="1392"/>
    </row>
    <row r="138" spans="1:18" ht="14.25" customHeight="1" x14ac:dyDescent="0.2">
      <c r="A138" s="147" t="s">
        <v>493</v>
      </c>
      <c r="B138" s="162" t="s">
        <v>494</v>
      </c>
      <c r="D138" s="1389" t="s">
        <v>493</v>
      </c>
      <c r="E138" s="749">
        <f t="shared" si="24"/>
        <v>1.2252778819999999</v>
      </c>
      <c r="F138" s="1390">
        <v>1.2252778819999999</v>
      </c>
      <c r="G138" s="1390">
        <v>4.9000000000000004</v>
      </c>
      <c r="H138" s="1390">
        <f t="shared" si="25"/>
        <v>-3.6747221180000005</v>
      </c>
      <c r="I138" s="1391"/>
      <c r="J138" s="1390"/>
      <c r="K138" s="1390"/>
      <c r="L138" s="1390"/>
      <c r="M138" s="1390"/>
      <c r="N138" s="749">
        <f t="shared" si="23"/>
        <v>0.43452567999999997</v>
      </c>
      <c r="O138" s="1390">
        <v>0.43452567999999997</v>
      </c>
      <c r="P138" s="1390">
        <v>-2.2000000000000002</v>
      </c>
      <c r="Q138" s="1390">
        <f t="shared" si="26"/>
        <v>2.6345256800000003</v>
      </c>
      <c r="R138" s="1392"/>
    </row>
    <row r="139" spans="1:18" ht="14.25" customHeight="1" x14ac:dyDescent="0.2">
      <c r="D139" s="1389" t="s">
        <v>495</v>
      </c>
      <c r="E139" s="749">
        <f t="shared" si="24"/>
        <v>5.8369999999999997</v>
      </c>
      <c r="F139" s="1390">
        <v>5.8369999999999997</v>
      </c>
      <c r="G139" s="1390">
        <v>25.5</v>
      </c>
      <c r="H139" s="1390">
        <f t="shared" si="25"/>
        <v>-19.663</v>
      </c>
      <c r="I139" s="1391"/>
      <c r="J139" s="1390"/>
      <c r="K139" s="1390"/>
      <c r="L139" s="1390"/>
      <c r="M139" s="1390"/>
      <c r="N139" s="749">
        <f t="shared" si="23"/>
        <v>0</v>
      </c>
      <c r="O139" s="1390">
        <v>0</v>
      </c>
      <c r="P139" s="1390">
        <v>0.1</v>
      </c>
      <c r="Q139" s="1390">
        <f t="shared" si="26"/>
        <v>-0.1</v>
      </c>
      <c r="R139" s="1392"/>
    </row>
    <row r="140" spans="1:18" ht="14.25" customHeight="1" x14ac:dyDescent="0.2">
      <c r="D140" s="1389" t="s">
        <v>496</v>
      </c>
      <c r="E140" s="749">
        <f t="shared" si="24"/>
        <v>0</v>
      </c>
      <c r="F140" s="1390">
        <v>0</v>
      </c>
      <c r="G140" s="1390">
        <v>25</v>
      </c>
      <c r="H140" s="1390">
        <f t="shared" si="25"/>
        <v>-25</v>
      </c>
      <c r="I140" s="1391"/>
      <c r="J140" s="1390"/>
      <c r="K140" s="1390"/>
      <c r="L140" s="1390"/>
      <c r="M140" s="1390"/>
      <c r="N140" s="749">
        <f t="shared" si="23"/>
        <v>0</v>
      </c>
      <c r="O140" s="1390">
        <v>0</v>
      </c>
      <c r="P140" s="1390">
        <v>-1</v>
      </c>
      <c r="Q140" s="1390">
        <f t="shared" si="26"/>
        <v>1</v>
      </c>
      <c r="R140" s="1392"/>
    </row>
    <row r="141" spans="1:18" ht="14.25" customHeight="1" x14ac:dyDescent="0.2">
      <c r="D141" s="1389" t="s">
        <v>280</v>
      </c>
      <c r="E141" s="749">
        <f t="shared" si="24"/>
        <v>1180</v>
      </c>
      <c r="F141" s="1390">
        <v>1180</v>
      </c>
      <c r="G141" s="1390">
        <v>96.4</v>
      </c>
      <c r="H141" s="1390">
        <f t="shared" si="25"/>
        <v>1083.5999999999999</v>
      </c>
      <c r="I141" s="1391"/>
      <c r="J141" s="1390"/>
      <c r="K141" s="1390"/>
      <c r="L141" s="1390"/>
      <c r="M141" s="1390"/>
      <c r="N141" s="749">
        <f t="shared" si="23"/>
        <v>0</v>
      </c>
      <c r="O141" s="1390">
        <v>0</v>
      </c>
      <c r="P141" s="1390">
        <v>0</v>
      </c>
      <c r="Q141" s="1390">
        <f t="shared" si="26"/>
        <v>0</v>
      </c>
      <c r="R141" s="1392"/>
    </row>
    <row r="142" spans="1:18" ht="14.25" customHeight="1" x14ac:dyDescent="0.2">
      <c r="D142" s="1389" t="s">
        <v>292</v>
      </c>
      <c r="E142" s="749">
        <f t="shared" si="24"/>
        <v>18600</v>
      </c>
      <c r="F142" s="1390">
        <v>18600</v>
      </c>
      <c r="G142" s="1390">
        <v>7111.8207493907667</v>
      </c>
      <c r="H142" s="1390">
        <f t="shared" si="25"/>
        <v>11488.179250609233</v>
      </c>
      <c r="I142" s="1391"/>
      <c r="J142" s="1390"/>
      <c r="K142" s="1390"/>
      <c r="L142" s="1390"/>
      <c r="M142" s="1390"/>
      <c r="N142" s="749">
        <f t="shared" si="23"/>
        <v>88.28855978</v>
      </c>
      <c r="O142" s="1390">
        <v>88.28855978</v>
      </c>
      <c r="P142" s="1390">
        <v>-138.1976066683722</v>
      </c>
      <c r="Q142" s="1390">
        <f t="shared" si="26"/>
        <v>226.48616644837222</v>
      </c>
      <c r="R142" s="1392"/>
    </row>
    <row r="143" spans="1:18" ht="14.25" customHeight="1" x14ac:dyDescent="0.2">
      <c r="B143" s="161" t="s">
        <v>497</v>
      </c>
      <c r="D143" s="1389" t="s">
        <v>498</v>
      </c>
      <c r="E143" s="749">
        <f t="shared" si="24"/>
        <v>0</v>
      </c>
      <c r="F143" s="1390">
        <v>0</v>
      </c>
      <c r="G143" s="1390">
        <v>653.79999999999984</v>
      </c>
      <c r="H143" s="1390">
        <f t="shared" si="25"/>
        <v>-653.79999999999984</v>
      </c>
      <c r="I143" s="1391"/>
      <c r="J143" s="1390"/>
      <c r="K143" s="1390"/>
      <c r="L143" s="1390"/>
      <c r="M143" s="1390"/>
      <c r="N143" s="749">
        <f t="shared" si="23"/>
        <v>0</v>
      </c>
      <c r="O143" s="1390">
        <v>0</v>
      </c>
      <c r="P143" s="1390">
        <v>-32.1</v>
      </c>
      <c r="Q143" s="1390">
        <f t="shared" si="26"/>
        <v>32.1</v>
      </c>
      <c r="R143" s="1392"/>
    </row>
    <row r="144" spans="1:18" ht="14.25" customHeight="1" x14ac:dyDescent="0.2">
      <c r="D144" s="1389" t="s">
        <v>499</v>
      </c>
      <c r="E144" s="749">
        <f t="shared" si="24"/>
        <v>104</v>
      </c>
      <c r="F144" s="1390">
        <v>104</v>
      </c>
      <c r="G144" s="1390">
        <v>0</v>
      </c>
      <c r="H144" s="1390">
        <f t="shared" si="25"/>
        <v>104</v>
      </c>
      <c r="I144" s="1391"/>
      <c r="J144" s="1390"/>
      <c r="K144" s="1390"/>
      <c r="L144" s="1390"/>
      <c r="M144" s="1390"/>
      <c r="N144" s="749">
        <f t="shared" si="23"/>
        <v>23.6</v>
      </c>
      <c r="O144" s="1390">
        <v>23.6</v>
      </c>
      <c r="P144" s="1390">
        <v>0.1</v>
      </c>
      <c r="Q144" s="1390">
        <f t="shared" si="26"/>
        <v>23.5</v>
      </c>
      <c r="R144" s="1392"/>
    </row>
    <row r="145" spans="1:18" ht="14.25" customHeight="1" x14ac:dyDescent="0.2">
      <c r="D145" s="1389" t="s">
        <v>500</v>
      </c>
      <c r="E145" s="749">
        <f t="shared" si="24"/>
        <v>244</v>
      </c>
      <c r="F145" s="1390">
        <v>244</v>
      </c>
      <c r="G145" s="1390">
        <v>123.3</v>
      </c>
      <c r="H145" s="1390">
        <f t="shared" si="25"/>
        <v>120.7</v>
      </c>
      <c r="I145" s="1391"/>
      <c r="J145" s="1390"/>
      <c r="K145" s="1390"/>
      <c r="L145" s="1390"/>
      <c r="M145" s="1390"/>
      <c r="N145" s="749">
        <f t="shared" si="23"/>
        <v>22.79321882</v>
      </c>
      <c r="O145" s="1390">
        <v>22.79321882</v>
      </c>
      <c r="P145" s="1390">
        <v>-0.7</v>
      </c>
      <c r="Q145" s="1390">
        <f t="shared" si="26"/>
        <v>23.493218819999999</v>
      </c>
      <c r="R145" s="1392"/>
    </row>
    <row r="146" spans="1:18" ht="14.25" customHeight="1" x14ac:dyDescent="0.2">
      <c r="D146" s="1389" t="s">
        <v>501</v>
      </c>
      <c r="E146" s="749">
        <f t="shared" si="24"/>
        <v>794</v>
      </c>
      <c r="F146" s="1390">
        <v>794</v>
      </c>
      <c r="G146" s="1390">
        <v>101.6</v>
      </c>
      <c r="H146" s="1390">
        <f t="shared" si="25"/>
        <v>692.4</v>
      </c>
      <c r="I146" s="1391"/>
      <c r="J146" s="1390"/>
      <c r="K146" s="1390"/>
      <c r="L146" s="1390"/>
      <c r="M146" s="1390"/>
      <c r="N146" s="749">
        <f t="shared" si="23"/>
        <v>0</v>
      </c>
      <c r="O146" s="1390">
        <v>0</v>
      </c>
      <c r="P146" s="1390">
        <v>7.5</v>
      </c>
      <c r="Q146" s="1390">
        <f t="shared" si="26"/>
        <v>-7.5</v>
      </c>
      <c r="R146" s="1392"/>
    </row>
    <row r="147" spans="1:18" ht="14.25" customHeight="1" x14ac:dyDescent="0.2">
      <c r="D147" s="1389" t="s">
        <v>502</v>
      </c>
      <c r="E147" s="749">
        <f t="shared" si="24"/>
        <v>8770</v>
      </c>
      <c r="F147" s="1390">
        <v>8770</v>
      </c>
      <c r="G147" s="1390">
        <v>1254.7370723232889</v>
      </c>
      <c r="H147" s="1390">
        <f t="shared" si="25"/>
        <v>7515.2629276767111</v>
      </c>
      <c r="I147" s="1391"/>
      <c r="J147" s="1390"/>
      <c r="K147" s="1390"/>
      <c r="L147" s="1390"/>
      <c r="M147" s="1390"/>
      <c r="N147" s="749">
        <f t="shared" si="23"/>
        <v>584</v>
      </c>
      <c r="O147" s="1390">
        <v>584</v>
      </c>
      <c r="P147" s="1390">
        <v>-122.2</v>
      </c>
      <c r="Q147" s="1390">
        <f t="shared" si="26"/>
        <v>706.2</v>
      </c>
      <c r="R147" s="1392"/>
    </row>
    <row r="148" spans="1:18" ht="14.25" customHeight="1" x14ac:dyDescent="0.2">
      <c r="D148" s="1389" t="s">
        <v>503</v>
      </c>
      <c r="E148" s="749">
        <f t="shared" si="24"/>
        <v>0</v>
      </c>
      <c r="F148" s="1390">
        <v>0</v>
      </c>
      <c r="G148" s="1390">
        <v>420.47599667671091</v>
      </c>
      <c r="H148" s="1390">
        <f t="shared" si="25"/>
        <v>-420.47599667671091</v>
      </c>
      <c r="I148" s="1391"/>
      <c r="J148" s="1390"/>
      <c r="K148" s="1390"/>
      <c r="L148" s="1390"/>
      <c r="M148" s="1390"/>
      <c r="N148" s="749">
        <f t="shared" si="23"/>
        <v>0</v>
      </c>
      <c r="O148" s="1390">
        <v>0</v>
      </c>
      <c r="P148" s="1390">
        <v>0.6</v>
      </c>
      <c r="Q148" s="1390">
        <f t="shared" si="26"/>
        <v>-0.6</v>
      </c>
      <c r="R148" s="1392"/>
    </row>
    <row r="149" spans="1:18" ht="14.25" customHeight="1" x14ac:dyDescent="0.2">
      <c r="B149" s="1397"/>
      <c r="D149" s="1389" t="s">
        <v>504</v>
      </c>
      <c r="E149" s="749">
        <f t="shared" si="24"/>
        <v>2.4747287299999998</v>
      </c>
      <c r="F149" s="1390">
        <v>2.4747287299999998</v>
      </c>
      <c r="G149" s="1390">
        <v>0</v>
      </c>
      <c r="H149" s="1390">
        <f t="shared" si="25"/>
        <v>2.4747287299999998</v>
      </c>
      <c r="I149" s="1391"/>
      <c r="J149" s="1390"/>
      <c r="K149" s="1390"/>
      <c r="L149" s="1390"/>
      <c r="M149" s="1390"/>
      <c r="N149" s="749">
        <f t="shared" si="23"/>
        <v>4.677746E-2</v>
      </c>
      <c r="O149" s="1390">
        <v>4.677746E-2</v>
      </c>
      <c r="P149" s="1390">
        <v>0</v>
      </c>
      <c r="Q149" s="1390">
        <f t="shared" si="26"/>
        <v>4.677746E-2</v>
      </c>
      <c r="R149" s="1392"/>
    </row>
    <row r="150" spans="1:18" ht="14.25" customHeight="1" x14ac:dyDescent="0.2">
      <c r="D150" s="1389" t="s">
        <v>505</v>
      </c>
      <c r="E150" s="749">
        <f t="shared" si="24"/>
        <v>116</v>
      </c>
      <c r="F150" s="1390">
        <v>116</v>
      </c>
      <c r="G150" s="1390">
        <v>0</v>
      </c>
      <c r="H150" s="1390">
        <f t="shared" si="25"/>
        <v>116</v>
      </c>
      <c r="I150" s="1391"/>
      <c r="J150" s="1390"/>
      <c r="K150" s="1390"/>
      <c r="L150" s="1390"/>
      <c r="M150" s="1390"/>
      <c r="N150" s="749">
        <f t="shared" si="23"/>
        <v>3.4978055339999998</v>
      </c>
      <c r="O150" s="1390">
        <v>3.4978055339999998</v>
      </c>
      <c r="P150" s="1390">
        <v>0</v>
      </c>
      <c r="Q150" s="1390">
        <f t="shared" si="26"/>
        <v>3.4978055339999998</v>
      </c>
      <c r="R150" s="1392"/>
    </row>
    <row r="151" spans="1:18" ht="14.25" customHeight="1" x14ac:dyDescent="0.2">
      <c r="D151" s="1389" t="s">
        <v>506</v>
      </c>
      <c r="E151" s="749">
        <f t="shared" si="24"/>
        <v>1720</v>
      </c>
      <c r="F151" s="1390">
        <v>1720</v>
      </c>
      <c r="G151" s="1390">
        <v>1125.8999999999999</v>
      </c>
      <c r="H151" s="1390">
        <f t="shared" si="25"/>
        <v>594.10000000000014</v>
      </c>
      <c r="I151" s="1391"/>
      <c r="J151" s="1390"/>
      <c r="K151" s="1390"/>
      <c r="L151" s="1390"/>
      <c r="M151" s="1390"/>
      <c r="N151" s="749">
        <f t="shared" si="23"/>
        <v>3940</v>
      </c>
      <c r="O151" s="1390">
        <v>3940</v>
      </c>
      <c r="P151" s="1390">
        <v>48.3</v>
      </c>
      <c r="Q151" s="1390">
        <f t="shared" si="26"/>
        <v>3891.7</v>
      </c>
      <c r="R151" s="1392"/>
    </row>
    <row r="152" spans="1:18" ht="14.25" customHeight="1" x14ac:dyDescent="0.2">
      <c r="B152" s="161" t="s">
        <v>507</v>
      </c>
      <c r="D152" s="1389" t="s">
        <v>508</v>
      </c>
      <c r="E152" s="749">
        <f t="shared" si="24"/>
        <v>191</v>
      </c>
      <c r="F152" s="1390">
        <v>191</v>
      </c>
      <c r="G152" s="1390">
        <v>0.5</v>
      </c>
      <c r="H152" s="1390">
        <f t="shared" si="25"/>
        <v>190.5</v>
      </c>
      <c r="I152" s="1391"/>
      <c r="J152" s="1390"/>
      <c r="K152" s="1390"/>
      <c r="L152" s="1390"/>
      <c r="M152" s="1390"/>
      <c r="N152" s="749">
        <f t="shared" si="23"/>
        <v>0</v>
      </c>
      <c r="O152" s="1390">
        <v>0</v>
      </c>
      <c r="P152" s="1390">
        <v>0</v>
      </c>
      <c r="Q152" s="1390">
        <f t="shared" si="26"/>
        <v>0</v>
      </c>
      <c r="R152" s="1392"/>
    </row>
    <row r="153" spans="1:18" ht="14.25" customHeight="1" x14ac:dyDescent="0.2">
      <c r="B153" s="161" t="s">
        <v>509</v>
      </c>
      <c r="D153" s="1389" t="s">
        <v>510</v>
      </c>
      <c r="E153" s="749">
        <f t="shared" si="24"/>
        <v>86.209429260000007</v>
      </c>
      <c r="F153" s="1390">
        <v>86.209429260000007</v>
      </c>
      <c r="G153" s="1390">
        <v>56.314139999999995</v>
      </c>
      <c r="H153" s="1390">
        <f t="shared" si="25"/>
        <v>29.895289260000013</v>
      </c>
      <c r="I153" s="1391"/>
      <c r="J153" s="1390"/>
      <c r="K153" s="1390"/>
      <c r="L153" s="1390"/>
      <c r="M153" s="1390"/>
      <c r="N153" s="749">
        <f t="shared" si="23"/>
        <v>0</v>
      </c>
      <c r="O153" s="1390">
        <v>0</v>
      </c>
      <c r="P153" s="1390">
        <v>34</v>
      </c>
      <c r="Q153" s="1390">
        <f t="shared" si="26"/>
        <v>-34</v>
      </c>
      <c r="R153" s="1392"/>
    </row>
    <row r="154" spans="1:18" ht="14.25" customHeight="1" x14ac:dyDescent="0.2">
      <c r="D154" s="1389" t="s">
        <v>511</v>
      </c>
      <c r="E154" s="749">
        <f t="shared" si="24"/>
        <v>126</v>
      </c>
      <c r="F154" s="1390">
        <v>126</v>
      </c>
      <c r="G154" s="1390">
        <v>8.1999999999999993</v>
      </c>
      <c r="H154" s="1390">
        <f t="shared" si="25"/>
        <v>117.8</v>
      </c>
      <c r="I154" s="1391"/>
      <c r="J154" s="1390"/>
      <c r="K154" s="1390"/>
      <c r="L154" s="1390"/>
      <c r="M154" s="1390"/>
      <c r="N154" s="749">
        <f t="shared" si="23"/>
        <v>0</v>
      </c>
      <c r="O154" s="1390">
        <v>0</v>
      </c>
      <c r="P154" s="1390">
        <v>0.1</v>
      </c>
      <c r="Q154" s="1390">
        <f t="shared" si="26"/>
        <v>-0.1</v>
      </c>
      <c r="R154" s="1392"/>
    </row>
    <row r="155" spans="1:18" ht="14.25" customHeight="1" x14ac:dyDescent="0.2">
      <c r="D155" s="1389" t="s">
        <v>512</v>
      </c>
      <c r="E155" s="749">
        <f t="shared" ref="E155:E187" si="27">+F155</f>
        <v>372</v>
      </c>
      <c r="F155" s="1390">
        <v>372</v>
      </c>
      <c r="G155" s="1390">
        <v>-139.95157794228899</v>
      </c>
      <c r="H155" s="1390">
        <f t="shared" ref="H155:H184" si="28">+E155-G155</f>
        <v>511.95157794228896</v>
      </c>
      <c r="I155" s="1391"/>
      <c r="J155" s="1390"/>
      <c r="K155" s="1390"/>
      <c r="L155" s="1390"/>
      <c r="M155" s="1390"/>
      <c r="N155" s="749">
        <f t="shared" si="23"/>
        <v>0</v>
      </c>
      <c r="O155" s="1390">
        <v>0</v>
      </c>
      <c r="P155" s="1390">
        <v>-3.0239202410625001</v>
      </c>
      <c r="Q155" s="1390">
        <f t="shared" ref="Q155:Q184" si="29">+N155-P155</f>
        <v>3.0239202410625001</v>
      </c>
      <c r="R155" s="1392"/>
    </row>
    <row r="156" spans="1:18" ht="14.25" customHeight="1" x14ac:dyDescent="0.2">
      <c r="D156" s="1389" t="s">
        <v>513</v>
      </c>
      <c r="E156" s="749">
        <f t="shared" si="27"/>
        <v>0</v>
      </c>
      <c r="F156" s="1390">
        <v>0</v>
      </c>
      <c r="G156" s="1390">
        <v>-689.97632900561712</v>
      </c>
      <c r="H156" s="1390">
        <f t="shared" si="28"/>
        <v>689.97632900561712</v>
      </c>
      <c r="I156" s="1391"/>
      <c r="J156" s="1390"/>
      <c r="K156" s="1390"/>
      <c r="L156" s="1390"/>
      <c r="M156" s="1390"/>
      <c r="N156" s="749">
        <f t="shared" ref="N156:N217" si="30">+O156</f>
        <v>0</v>
      </c>
      <c r="O156" s="1390">
        <v>0</v>
      </c>
      <c r="P156" s="1390">
        <v>-0.4</v>
      </c>
      <c r="Q156" s="1390">
        <f t="shared" si="29"/>
        <v>0.4</v>
      </c>
      <c r="R156" s="1392"/>
    </row>
    <row r="157" spans="1:18" ht="14.25" customHeight="1" x14ac:dyDescent="0.2">
      <c r="D157" s="1389" t="s">
        <v>514</v>
      </c>
      <c r="E157" s="749">
        <v>1678.768718802</v>
      </c>
      <c r="F157" s="1390">
        <v>1690</v>
      </c>
      <c r="G157" s="1390">
        <v>856</v>
      </c>
      <c r="H157" s="1390">
        <f>+E157-G157</f>
        <v>822.76871880199997</v>
      </c>
      <c r="I157" s="1391"/>
      <c r="J157" s="1390"/>
      <c r="K157" s="1390"/>
      <c r="L157" s="1390"/>
      <c r="M157" s="1390"/>
      <c r="N157" s="749">
        <f t="shared" si="30"/>
        <v>107</v>
      </c>
      <c r="O157" s="1390">
        <v>107</v>
      </c>
      <c r="P157" s="1390">
        <v>73.5</v>
      </c>
      <c r="Q157" s="1390">
        <f>+N157-P157</f>
        <v>33.5</v>
      </c>
      <c r="R157" s="1392"/>
    </row>
    <row r="158" spans="1:18" ht="14.25" customHeight="1" x14ac:dyDescent="0.2">
      <c r="A158" s="146" t="s">
        <v>515</v>
      </c>
      <c r="B158" s="146" t="s">
        <v>516</v>
      </c>
      <c r="D158" s="1389" t="s">
        <v>517</v>
      </c>
      <c r="E158" s="749">
        <f t="shared" si="27"/>
        <v>371</v>
      </c>
      <c r="F158" s="1390">
        <v>371</v>
      </c>
      <c r="G158" s="1390">
        <v>298.3</v>
      </c>
      <c r="H158" s="1390">
        <f t="shared" si="28"/>
        <v>72.699999999999989</v>
      </c>
      <c r="I158" s="1391"/>
      <c r="J158" s="1390"/>
      <c r="K158" s="1390"/>
      <c r="L158" s="1390"/>
      <c r="M158" s="1390"/>
      <c r="N158" s="749">
        <f t="shared" si="30"/>
        <v>39.4570224</v>
      </c>
      <c r="O158" s="1390">
        <v>39.4570224</v>
      </c>
      <c r="P158" s="1390">
        <v>6.3</v>
      </c>
      <c r="Q158" s="1390">
        <f t="shared" si="29"/>
        <v>33.157022400000002</v>
      </c>
      <c r="R158" s="1392"/>
    </row>
    <row r="159" spans="1:18" ht="14.25" customHeight="1" x14ac:dyDescent="0.2">
      <c r="D159" s="1389" t="s">
        <v>518</v>
      </c>
      <c r="E159" s="749">
        <f t="shared" si="27"/>
        <v>347</v>
      </c>
      <c r="F159" s="1390">
        <v>347</v>
      </c>
      <c r="G159" s="1390">
        <v>41.6</v>
      </c>
      <c r="H159" s="1390">
        <f t="shared" si="28"/>
        <v>305.39999999999998</v>
      </c>
      <c r="I159" s="1391"/>
      <c r="J159" s="1390"/>
      <c r="K159" s="1390"/>
      <c r="L159" s="1390"/>
      <c r="M159" s="1390"/>
      <c r="N159" s="749">
        <f t="shared" si="30"/>
        <v>0.10951525999999999</v>
      </c>
      <c r="O159" s="1390">
        <v>0.10951525999999999</v>
      </c>
      <c r="P159" s="1390">
        <v>0</v>
      </c>
      <c r="Q159" s="1390">
        <f t="shared" si="29"/>
        <v>0.10951525999999999</v>
      </c>
      <c r="R159" s="1392"/>
    </row>
    <row r="160" spans="1:18" ht="14.25" customHeight="1" x14ac:dyDescent="0.2">
      <c r="B160" s="1397"/>
      <c r="D160" s="1389" t="s">
        <v>519</v>
      </c>
      <c r="E160" s="749">
        <f t="shared" si="27"/>
        <v>299</v>
      </c>
      <c r="F160" s="1390">
        <v>299</v>
      </c>
      <c r="G160" s="1390">
        <v>70.2</v>
      </c>
      <c r="H160" s="1390">
        <f t="shared" si="28"/>
        <v>228.8</v>
      </c>
      <c r="I160" s="1391"/>
      <c r="J160" s="1390"/>
      <c r="K160" s="1390"/>
      <c r="L160" s="1390"/>
      <c r="M160" s="1390"/>
      <c r="N160" s="749">
        <f t="shared" si="30"/>
        <v>-9.0221839999999998E-2</v>
      </c>
      <c r="O160" s="1390">
        <v>-9.0221839999999998E-2</v>
      </c>
      <c r="P160" s="1390">
        <v>-0.2</v>
      </c>
      <c r="Q160" s="1390">
        <f t="shared" si="29"/>
        <v>0.10977816000000001</v>
      </c>
      <c r="R160" s="1392"/>
    </row>
    <row r="161" spans="1:18" ht="14.25" customHeight="1" x14ac:dyDescent="0.2">
      <c r="D161" s="1389" t="s">
        <v>293</v>
      </c>
      <c r="E161" s="749">
        <f t="shared" si="27"/>
        <v>13200</v>
      </c>
      <c r="F161" s="1390">
        <v>13200</v>
      </c>
      <c r="G161" s="1390">
        <v>5669.7286676192707</v>
      </c>
      <c r="H161" s="1390">
        <f t="shared" si="28"/>
        <v>7530.2713323807293</v>
      </c>
      <c r="I161" s="1391"/>
      <c r="J161" s="1390"/>
      <c r="K161" s="1390"/>
      <c r="L161" s="1390"/>
      <c r="M161" s="1390"/>
      <c r="N161" s="749">
        <f t="shared" si="30"/>
        <v>4790</v>
      </c>
      <c r="O161" s="1390">
        <v>4790</v>
      </c>
      <c r="P161" s="1390">
        <v>740.07738434292605</v>
      </c>
      <c r="Q161" s="1390">
        <f t="shared" si="29"/>
        <v>4049.9226156570739</v>
      </c>
      <c r="R161" s="1392"/>
    </row>
    <row r="162" spans="1:18" ht="14.25" customHeight="1" x14ac:dyDescent="0.2">
      <c r="D162" s="1389" t="s">
        <v>520</v>
      </c>
      <c r="E162" s="749">
        <f t="shared" si="27"/>
        <v>285</v>
      </c>
      <c r="F162" s="1390">
        <v>285</v>
      </c>
      <c r="G162" s="1390">
        <v>11.100000000000001</v>
      </c>
      <c r="H162" s="1390">
        <f t="shared" si="28"/>
        <v>273.89999999999998</v>
      </c>
      <c r="I162" s="1391"/>
      <c r="J162" s="1390"/>
      <c r="K162" s="1390"/>
      <c r="L162" s="1390"/>
      <c r="M162" s="1390"/>
      <c r="N162" s="749">
        <f t="shared" si="30"/>
        <v>0</v>
      </c>
      <c r="O162" s="1390">
        <v>0</v>
      </c>
      <c r="P162" s="1390">
        <v>0.1</v>
      </c>
      <c r="Q162" s="1390">
        <f t="shared" si="29"/>
        <v>-0.1</v>
      </c>
      <c r="R162" s="1392"/>
    </row>
    <row r="163" spans="1:18" ht="14.25" customHeight="1" x14ac:dyDescent="0.2">
      <c r="B163" s="1397"/>
      <c r="D163" s="1389" t="s">
        <v>521</v>
      </c>
      <c r="E163" s="749">
        <f t="shared" si="27"/>
        <v>0</v>
      </c>
      <c r="F163" s="1390">
        <v>0</v>
      </c>
      <c r="G163" s="1390">
        <v>28.3</v>
      </c>
      <c r="H163" s="1390">
        <f t="shared" si="28"/>
        <v>-28.3</v>
      </c>
      <c r="I163" s="1391"/>
      <c r="J163" s="1390"/>
      <c r="K163" s="1390"/>
      <c r="L163" s="1390"/>
      <c r="M163" s="1390"/>
      <c r="N163" s="749">
        <f t="shared" si="30"/>
        <v>0</v>
      </c>
      <c r="O163" s="1390">
        <v>0</v>
      </c>
      <c r="P163" s="1390">
        <v>0</v>
      </c>
      <c r="Q163" s="1390">
        <f t="shared" si="29"/>
        <v>0</v>
      </c>
      <c r="R163" s="1392"/>
    </row>
    <row r="164" spans="1:18" ht="14.25" customHeight="1" x14ac:dyDescent="0.2">
      <c r="D164" s="1389" t="s">
        <v>522</v>
      </c>
      <c r="E164" s="749">
        <f t="shared" si="27"/>
        <v>0</v>
      </c>
      <c r="F164" s="1390">
        <v>0</v>
      </c>
      <c r="G164" s="1390">
        <v>2.2999999999999998</v>
      </c>
      <c r="H164" s="1390">
        <f t="shared" si="28"/>
        <v>-2.2999999999999998</v>
      </c>
      <c r="I164" s="1391"/>
      <c r="J164" s="1390"/>
      <c r="K164" s="1390"/>
      <c r="L164" s="1390"/>
      <c r="M164" s="1390"/>
      <c r="N164" s="749">
        <f t="shared" si="30"/>
        <v>0</v>
      </c>
      <c r="O164" s="1390">
        <v>0</v>
      </c>
      <c r="P164" s="1390">
        <v>0</v>
      </c>
      <c r="Q164" s="1390">
        <f t="shared" si="29"/>
        <v>0</v>
      </c>
      <c r="R164" s="1392"/>
    </row>
    <row r="165" spans="1:18" ht="14.25" customHeight="1" x14ac:dyDescent="0.2">
      <c r="A165" s="161" t="s">
        <v>523</v>
      </c>
      <c r="B165" s="146" t="s">
        <v>524</v>
      </c>
      <c r="D165" s="1389" t="s">
        <v>525</v>
      </c>
      <c r="E165" s="749">
        <f t="shared" si="27"/>
        <v>0</v>
      </c>
      <c r="F165" s="1390">
        <v>0</v>
      </c>
      <c r="G165" s="1390">
        <v>1</v>
      </c>
      <c r="H165" s="1390">
        <f t="shared" si="28"/>
        <v>-1</v>
      </c>
      <c r="I165" s="1391"/>
      <c r="J165" s="1390"/>
      <c r="K165" s="1390"/>
      <c r="L165" s="1390"/>
      <c r="M165" s="1390"/>
      <c r="N165" s="749">
        <f t="shared" si="30"/>
        <v>0</v>
      </c>
      <c r="O165" s="1390">
        <v>0</v>
      </c>
      <c r="P165" s="1390">
        <v>0</v>
      </c>
      <c r="Q165" s="1390">
        <f t="shared" si="29"/>
        <v>0</v>
      </c>
      <c r="R165" s="1392"/>
    </row>
    <row r="166" spans="1:18" ht="14.25" customHeight="1" x14ac:dyDescent="0.2">
      <c r="D166" s="1389" t="s">
        <v>526</v>
      </c>
      <c r="E166" s="749">
        <f t="shared" si="27"/>
        <v>217</v>
      </c>
      <c r="F166" s="1390">
        <v>217</v>
      </c>
      <c r="G166" s="1390">
        <v>62.2</v>
      </c>
      <c r="H166" s="1390">
        <f t="shared" si="28"/>
        <v>154.80000000000001</v>
      </c>
      <c r="I166" s="1391"/>
      <c r="J166" s="1390"/>
      <c r="K166" s="1390"/>
      <c r="L166" s="1390"/>
      <c r="M166" s="1390"/>
      <c r="N166" s="749">
        <f t="shared" si="30"/>
        <v>8.25</v>
      </c>
      <c r="O166" s="1390">
        <v>8.25</v>
      </c>
      <c r="P166" s="1390">
        <v>0.80000000000000016</v>
      </c>
      <c r="Q166" s="1390">
        <f t="shared" si="29"/>
        <v>7.45</v>
      </c>
      <c r="R166" s="1392"/>
    </row>
    <row r="167" spans="1:18" ht="14.25" customHeight="1" x14ac:dyDescent="0.2">
      <c r="D167" s="1389" t="s">
        <v>527</v>
      </c>
      <c r="E167" s="749">
        <f t="shared" si="27"/>
        <v>460</v>
      </c>
      <c r="F167" s="1390">
        <v>460</v>
      </c>
      <c r="G167" s="1390">
        <v>-8.5147560000000002</v>
      </c>
      <c r="H167" s="1390">
        <f t="shared" si="28"/>
        <v>468.51475599999998</v>
      </c>
      <c r="I167" s="1391"/>
      <c r="J167" s="1390"/>
      <c r="K167" s="1390"/>
      <c r="L167" s="1390"/>
      <c r="M167" s="1390"/>
      <c r="N167" s="749">
        <f t="shared" si="30"/>
        <v>0.82106268999999998</v>
      </c>
      <c r="O167" s="1390">
        <v>0.82106268999999998</v>
      </c>
      <c r="P167" s="1390">
        <v>-2</v>
      </c>
      <c r="Q167" s="1390">
        <f t="shared" si="29"/>
        <v>2.8210626899999998</v>
      </c>
      <c r="R167" s="1392"/>
    </row>
    <row r="168" spans="1:18" ht="14.25" customHeight="1" x14ac:dyDescent="0.2">
      <c r="D168" s="1389" t="s">
        <v>528</v>
      </c>
      <c r="E168" s="749">
        <f t="shared" si="27"/>
        <v>44.854206329999997</v>
      </c>
      <c r="F168" s="1390">
        <v>44.854206329999997</v>
      </c>
      <c r="G168" s="1390">
        <v>73.999999999999986</v>
      </c>
      <c r="H168" s="1390">
        <f t="shared" si="28"/>
        <v>-29.145793669999989</v>
      </c>
      <c r="I168" s="1391"/>
      <c r="J168" s="1390"/>
      <c r="K168" s="1390"/>
      <c r="L168" s="1390"/>
      <c r="M168" s="1390"/>
      <c r="N168" s="749">
        <f t="shared" si="30"/>
        <v>1.5007364050000001</v>
      </c>
      <c r="O168" s="1390">
        <v>1.5007364050000001</v>
      </c>
      <c r="P168" s="1390">
        <v>-1.6</v>
      </c>
      <c r="Q168" s="1390">
        <f t="shared" si="29"/>
        <v>3.1007364050000001</v>
      </c>
      <c r="R168" s="1392"/>
    </row>
    <row r="169" spans="1:18" ht="14.25" customHeight="1" x14ac:dyDescent="0.2">
      <c r="D169" s="1389" t="s">
        <v>529</v>
      </c>
      <c r="E169" s="749">
        <f t="shared" si="27"/>
        <v>0</v>
      </c>
      <c r="F169" s="1390">
        <v>0</v>
      </c>
      <c r="G169" s="1390">
        <v>0</v>
      </c>
      <c r="H169" s="1390">
        <f t="shared" si="28"/>
        <v>0</v>
      </c>
      <c r="I169" s="1391"/>
      <c r="J169" s="1390"/>
      <c r="K169" s="1390"/>
      <c r="L169" s="1390"/>
      <c r="M169" s="1390"/>
      <c r="N169" s="749">
        <f t="shared" si="30"/>
        <v>0</v>
      </c>
      <c r="O169" s="1390">
        <v>0</v>
      </c>
      <c r="P169" s="1390">
        <v>0</v>
      </c>
      <c r="Q169" s="1390">
        <f t="shared" si="29"/>
        <v>0</v>
      </c>
      <c r="R169" s="1392"/>
    </row>
    <row r="170" spans="1:18" ht="14.25" customHeight="1" x14ac:dyDescent="0.2">
      <c r="D170" s="1389" t="s">
        <v>530</v>
      </c>
      <c r="E170" s="749">
        <f t="shared" si="27"/>
        <v>1420</v>
      </c>
      <c r="F170" s="1390">
        <v>1420</v>
      </c>
      <c r="G170" s="1390">
        <v>885.37200996986746</v>
      </c>
      <c r="H170" s="1390">
        <f t="shared" si="28"/>
        <v>534.62799003013254</v>
      </c>
      <c r="I170" s="1391"/>
      <c r="J170" s="1390"/>
      <c r="K170" s="1390"/>
      <c r="L170" s="1390"/>
      <c r="M170" s="1390"/>
      <c r="N170" s="749">
        <f t="shared" si="30"/>
        <v>277</v>
      </c>
      <c r="O170" s="1390">
        <v>277</v>
      </c>
      <c r="P170" s="1390">
        <v>46</v>
      </c>
      <c r="Q170" s="1390">
        <f t="shared" si="29"/>
        <v>231</v>
      </c>
      <c r="R170" s="1392"/>
    </row>
    <row r="171" spans="1:18" ht="14.25" customHeight="1" x14ac:dyDescent="0.2">
      <c r="D171" s="1389" t="s">
        <v>531</v>
      </c>
      <c r="E171" s="749">
        <f t="shared" si="27"/>
        <v>59.961276320000003</v>
      </c>
      <c r="F171" s="1390">
        <v>59.961276320000003</v>
      </c>
      <c r="G171" s="1390">
        <v>139.2999169177734</v>
      </c>
      <c r="H171" s="1390">
        <f t="shared" si="28"/>
        <v>-79.338640597773406</v>
      </c>
      <c r="I171" s="1391"/>
      <c r="J171" s="1390"/>
      <c r="K171" s="1390"/>
      <c r="L171" s="1390"/>
      <c r="M171" s="1390"/>
      <c r="N171" s="749">
        <f t="shared" si="30"/>
        <v>0</v>
      </c>
      <c r="O171" s="1390">
        <v>0</v>
      </c>
      <c r="P171" s="1390">
        <v>-4.8</v>
      </c>
      <c r="Q171" s="1390">
        <f t="shared" si="29"/>
        <v>4.8</v>
      </c>
      <c r="R171" s="1392"/>
    </row>
    <row r="172" spans="1:18" ht="14.25" customHeight="1" x14ac:dyDescent="0.2">
      <c r="D172" s="1389" t="s">
        <v>532</v>
      </c>
      <c r="E172" s="749">
        <f t="shared" si="27"/>
        <v>2650</v>
      </c>
      <c r="F172" s="1390">
        <v>2650</v>
      </c>
      <c r="G172" s="1390">
        <v>69.874327000000008</v>
      </c>
      <c r="H172" s="1390">
        <f t="shared" si="28"/>
        <v>2580.125673</v>
      </c>
      <c r="I172" s="1391"/>
      <c r="J172" s="1390"/>
      <c r="K172" s="1390"/>
      <c r="L172" s="1390"/>
      <c r="M172" s="1390"/>
      <c r="N172" s="749">
        <f t="shared" si="30"/>
        <v>4.4102910480000004</v>
      </c>
      <c r="O172" s="1390">
        <v>4.4102910480000004</v>
      </c>
      <c r="P172" s="1390">
        <v>-2</v>
      </c>
      <c r="Q172" s="1390">
        <f t="shared" si="29"/>
        <v>6.4102910480000004</v>
      </c>
      <c r="R172" s="1392"/>
    </row>
    <row r="173" spans="1:18" ht="14.25" customHeight="1" x14ac:dyDescent="0.2">
      <c r="D173" s="1389" t="s">
        <v>533</v>
      </c>
      <c r="E173" s="749">
        <f t="shared" si="27"/>
        <v>232</v>
      </c>
      <c r="F173" s="1390">
        <v>232</v>
      </c>
      <c r="G173" s="1390">
        <v>16.199999999999996</v>
      </c>
      <c r="H173" s="1390">
        <f t="shared" si="28"/>
        <v>215.8</v>
      </c>
      <c r="I173" s="1391"/>
      <c r="J173" s="1390"/>
      <c r="K173" s="1390"/>
      <c r="L173" s="1390"/>
      <c r="M173" s="1390"/>
      <c r="N173" s="749">
        <f t="shared" si="30"/>
        <v>5.9392437220000005</v>
      </c>
      <c r="O173" s="1390">
        <v>5.9392437220000005</v>
      </c>
      <c r="P173" s="1390">
        <v>-5.9</v>
      </c>
      <c r="Q173" s="1390">
        <f t="shared" si="29"/>
        <v>11.839243722000001</v>
      </c>
      <c r="R173" s="1392"/>
    </row>
    <row r="174" spans="1:18" ht="14.25" customHeight="1" x14ac:dyDescent="0.2">
      <c r="D174" s="1389" t="s">
        <v>534</v>
      </c>
      <c r="E174" s="749">
        <f t="shared" si="27"/>
        <v>49.151066979999996</v>
      </c>
      <c r="F174" s="1390">
        <v>49.151066979999996</v>
      </c>
      <c r="G174" s="1390">
        <v>19.8</v>
      </c>
      <c r="H174" s="1390">
        <f t="shared" si="28"/>
        <v>29.351066979999995</v>
      </c>
      <c r="I174" s="1391"/>
      <c r="J174" s="1390"/>
      <c r="K174" s="1390"/>
      <c r="L174" s="1390"/>
      <c r="M174" s="1390"/>
      <c r="N174" s="749">
        <f t="shared" si="30"/>
        <v>0</v>
      </c>
      <c r="O174" s="1390">
        <v>0</v>
      </c>
      <c r="P174" s="1390">
        <v>-0.1</v>
      </c>
      <c r="Q174" s="1390">
        <f t="shared" si="29"/>
        <v>0.1</v>
      </c>
      <c r="R174" s="1392"/>
    </row>
    <row r="175" spans="1:18" ht="14.25" customHeight="1" x14ac:dyDescent="0.2">
      <c r="D175" s="1389" t="s">
        <v>535</v>
      </c>
      <c r="E175" s="749">
        <f t="shared" si="27"/>
        <v>161</v>
      </c>
      <c r="F175" s="1390">
        <v>161</v>
      </c>
      <c r="G175" s="1390">
        <v>-14.8</v>
      </c>
      <c r="H175" s="1390">
        <f t="shared" si="28"/>
        <v>175.8</v>
      </c>
      <c r="I175" s="1391"/>
      <c r="J175" s="1390"/>
      <c r="K175" s="1390"/>
      <c r="L175" s="1390"/>
      <c r="M175" s="1390"/>
      <c r="N175" s="749">
        <f t="shared" si="30"/>
        <v>0</v>
      </c>
      <c r="O175" s="1390">
        <v>0</v>
      </c>
      <c r="P175" s="1390">
        <v>-4.9000000000000004</v>
      </c>
      <c r="Q175" s="1390">
        <f t="shared" si="29"/>
        <v>4.9000000000000004</v>
      </c>
      <c r="R175" s="1392"/>
    </row>
    <row r="176" spans="1:18" ht="14.25" customHeight="1" x14ac:dyDescent="0.2">
      <c r="D176" s="1389" t="s">
        <v>536</v>
      </c>
      <c r="E176" s="749">
        <f t="shared" si="27"/>
        <v>122</v>
      </c>
      <c r="F176" s="1390">
        <v>122</v>
      </c>
      <c r="G176" s="1390">
        <v>16.600000000000001</v>
      </c>
      <c r="H176" s="1390">
        <f t="shared" si="28"/>
        <v>105.4</v>
      </c>
      <c r="I176" s="1391"/>
      <c r="J176" s="1390"/>
      <c r="K176" s="1390"/>
      <c r="L176" s="1390"/>
      <c r="M176" s="1390"/>
      <c r="N176" s="749">
        <f t="shared" si="30"/>
        <v>1.7404697900000001</v>
      </c>
      <c r="O176" s="1390">
        <v>1.7404697900000001</v>
      </c>
      <c r="P176" s="1390">
        <v>9</v>
      </c>
      <c r="Q176" s="1390">
        <f t="shared" si="29"/>
        <v>-7.2595302099999994</v>
      </c>
      <c r="R176" s="1392"/>
    </row>
    <row r="177" spans="2:18" ht="14.25" customHeight="1" x14ac:dyDescent="0.2">
      <c r="D177" s="1389" t="s">
        <v>287</v>
      </c>
      <c r="E177" s="749">
        <f t="shared" si="27"/>
        <v>12700</v>
      </c>
      <c r="F177" s="1390">
        <v>12700</v>
      </c>
      <c r="G177" s="1390">
        <v>4840</v>
      </c>
      <c r="H177" s="1390">
        <f t="shared" si="28"/>
        <v>7860</v>
      </c>
      <c r="I177" s="1391"/>
      <c r="J177" s="1390"/>
      <c r="K177" s="1390"/>
      <c r="L177" s="1390"/>
      <c r="M177" s="1390"/>
      <c r="N177" s="749">
        <f t="shared" si="30"/>
        <v>307</v>
      </c>
      <c r="O177" s="1390">
        <v>307</v>
      </c>
      <c r="P177" s="1390">
        <v>73.3</v>
      </c>
      <c r="Q177" s="1390">
        <f t="shared" si="29"/>
        <v>233.7</v>
      </c>
      <c r="R177" s="1392"/>
    </row>
    <row r="178" spans="2:18" ht="14.25" customHeight="1" x14ac:dyDescent="0.2">
      <c r="D178" s="1389" t="s">
        <v>537</v>
      </c>
      <c r="E178" s="749">
        <f t="shared" si="27"/>
        <v>2520</v>
      </c>
      <c r="F178" s="1390">
        <v>2520</v>
      </c>
      <c r="G178" s="1390">
        <v>510.29701027987608</v>
      </c>
      <c r="H178" s="1390">
        <f t="shared" si="28"/>
        <v>2009.7029897201239</v>
      </c>
      <c r="I178" s="1391"/>
      <c r="J178" s="1390"/>
      <c r="K178" s="1390"/>
      <c r="L178" s="1390"/>
      <c r="M178" s="1390"/>
      <c r="N178" s="749">
        <f t="shared" si="30"/>
        <v>0</v>
      </c>
      <c r="O178" s="1390">
        <v>0</v>
      </c>
      <c r="P178" s="1390">
        <v>37.280388692580004</v>
      </c>
      <c r="Q178" s="1390">
        <f t="shared" si="29"/>
        <v>-37.280388692580004</v>
      </c>
      <c r="R178" s="1392"/>
    </row>
    <row r="179" spans="2:18" ht="14.25" customHeight="1" x14ac:dyDescent="0.2">
      <c r="D179" s="1389" t="s">
        <v>538</v>
      </c>
      <c r="E179" s="749">
        <f t="shared" si="27"/>
        <v>3640</v>
      </c>
      <c r="F179" s="1390">
        <v>3640</v>
      </c>
      <c r="G179" s="1390">
        <v>560.11844021092975</v>
      </c>
      <c r="H179" s="1390">
        <f t="shared" si="28"/>
        <v>3079.8815597890703</v>
      </c>
      <c r="I179" s="1391"/>
      <c r="J179" s="1390"/>
      <c r="K179" s="1390"/>
      <c r="L179" s="1390"/>
      <c r="M179" s="1390"/>
      <c r="N179" s="749">
        <f t="shared" si="30"/>
        <v>29</v>
      </c>
      <c r="O179" s="1390">
        <v>29</v>
      </c>
      <c r="P179" s="1390">
        <v>5.6</v>
      </c>
      <c r="Q179" s="1390">
        <f t="shared" si="29"/>
        <v>23.4</v>
      </c>
      <c r="R179" s="1392"/>
    </row>
    <row r="180" spans="2:18" ht="14.25" customHeight="1" x14ac:dyDescent="0.2">
      <c r="D180" s="1389" t="s">
        <v>539</v>
      </c>
      <c r="E180" s="749">
        <f t="shared" si="27"/>
        <v>28.073087690000001</v>
      </c>
      <c r="F180" s="1390">
        <v>28.073087690000001</v>
      </c>
      <c r="G180" s="1390">
        <v>3</v>
      </c>
      <c r="H180" s="1390">
        <f t="shared" si="28"/>
        <v>25.073087690000001</v>
      </c>
      <c r="I180" s="1391"/>
      <c r="J180" s="1390"/>
      <c r="K180" s="1390"/>
      <c r="L180" s="1390"/>
      <c r="M180" s="1390"/>
      <c r="N180" s="749">
        <f t="shared" si="30"/>
        <v>0</v>
      </c>
      <c r="O180" s="1390">
        <v>0</v>
      </c>
      <c r="P180" s="1390">
        <v>0</v>
      </c>
      <c r="Q180" s="1390">
        <f t="shared" si="29"/>
        <v>0</v>
      </c>
      <c r="R180" s="1392"/>
    </row>
    <row r="181" spans="2:18" ht="14.25" customHeight="1" x14ac:dyDescent="0.2">
      <c r="D181" s="1389" t="s">
        <v>540</v>
      </c>
      <c r="E181" s="749">
        <f t="shared" si="27"/>
        <v>257</v>
      </c>
      <c r="F181" s="1390">
        <v>257</v>
      </c>
      <c r="G181" s="1390">
        <v>0</v>
      </c>
      <c r="H181" s="1390">
        <f t="shared" si="28"/>
        <v>257</v>
      </c>
      <c r="I181" s="1391"/>
      <c r="J181" s="1390"/>
      <c r="K181" s="1390"/>
      <c r="L181" s="1390"/>
      <c r="M181" s="1390"/>
      <c r="N181" s="749">
        <f t="shared" si="30"/>
        <v>4.9125641840000007</v>
      </c>
      <c r="O181" s="1390">
        <v>4.9125641840000007</v>
      </c>
      <c r="P181" s="1390">
        <v>0</v>
      </c>
      <c r="Q181" s="1390">
        <f t="shared" si="29"/>
        <v>4.9125641840000007</v>
      </c>
      <c r="R181" s="1392"/>
    </row>
    <row r="182" spans="2:18" ht="14.25" customHeight="1" x14ac:dyDescent="0.2">
      <c r="D182" s="1389" t="s">
        <v>541</v>
      </c>
      <c r="E182" s="749">
        <f t="shared" si="27"/>
        <v>899</v>
      </c>
      <c r="F182" s="1390">
        <v>899</v>
      </c>
      <c r="G182" s="1390">
        <v>129.30000000000001</v>
      </c>
      <c r="H182" s="1390">
        <f t="shared" si="28"/>
        <v>769.7</v>
      </c>
      <c r="I182" s="1391"/>
      <c r="J182" s="1390"/>
      <c r="K182" s="1390"/>
      <c r="L182" s="1390"/>
      <c r="M182" s="1390"/>
      <c r="N182" s="749">
        <f t="shared" si="30"/>
        <v>0.2</v>
      </c>
      <c r="O182" s="1390">
        <v>0.2</v>
      </c>
      <c r="P182" s="1390">
        <v>0</v>
      </c>
      <c r="Q182" s="1390">
        <f t="shared" si="29"/>
        <v>0.2</v>
      </c>
      <c r="R182" s="1392"/>
    </row>
    <row r="183" spans="2:18" ht="14.25" customHeight="1" x14ac:dyDescent="0.2">
      <c r="D183" s="1389" t="s">
        <v>277</v>
      </c>
      <c r="E183" s="749">
        <f t="shared" si="27"/>
        <v>5810</v>
      </c>
      <c r="F183" s="1390">
        <v>5810</v>
      </c>
      <c r="G183" s="1390">
        <v>961.49149317740103</v>
      </c>
      <c r="H183" s="1390">
        <f t="shared" si="28"/>
        <v>4848.508506822599</v>
      </c>
      <c r="I183" s="1391"/>
      <c r="J183" s="1390"/>
      <c r="K183" s="1390"/>
      <c r="L183" s="1390"/>
      <c r="M183" s="1390"/>
      <c r="N183" s="749">
        <f t="shared" si="30"/>
        <v>0</v>
      </c>
      <c r="O183" s="1390">
        <v>0</v>
      </c>
      <c r="P183" s="1390">
        <v>57.139989792805004</v>
      </c>
      <c r="Q183" s="1390">
        <f t="shared" si="29"/>
        <v>-57.139989792805004</v>
      </c>
      <c r="R183" s="1392"/>
    </row>
    <row r="184" spans="2:18" ht="14.25" customHeight="1" x14ac:dyDescent="0.2">
      <c r="D184" s="1389" t="s">
        <v>294</v>
      </c>
      <c r="E184" s="749">
        <f t="shared" si="27"/>
        <v>4120</v>
      </c>
      <c r="F184" s="1390">
        <v>4120</v>
      </c>
      <c r="G184" s="1390">
        <v>2778.2380543710769</v>
      </c>
      <c r="H184" s="1390">
        <f t="shared" si="28"/>
        <v>1341.7619456289231</v>
      </c>
      <c r="I184" s="1391"/>
      <c r="J184" s="1390"/>
      <c r="K184" s="1390"/>
      <c r="L184" s="1390"/>
      <c r="M184" s="1390"/>
      <c r="N184" s="749">
        <f t="shared" si="30"/>
        <v>700</v>
      </c>
      <c r="O184" s="1390">
        <v>700</v>
      </c>
      <c r="P184" s="1390">
        <v>18.552962750826701</v>
      </c>
      <c r="Q184" s="1390">
        <f t="shared" si="29"/>
        <v>681.44703724917326</v>
      </c>
      <c r="R184" s="1392"/>
    </row>
    <row r="185" spans="2:18" ht="14.25" customHeight="1" x14ac:dyDescent="0.2">
      <c r="D185" s="1389" t="s">
        <v>542</v>
      </c>
      <c r="E185" s="749">
        <f t="shared" si="27"/>
        <v>0</v>
      </c>
      <c r="F185" s="1390">
        <v>0</v>
      </c>
      <c r="G185" s="1390"/>
      <c r="H185" s="1390"/>
      <c r="I185" s="1391"/>
      <c r="J185" s="1390"/>
      <c r="K185" s="1390"/>
      <c r="L185" s="1390"/>
      <c r="M185" s="1390"/>
      <c r="N185" s="749">
        <f t="shared" si="30"/>
        <v>0</v>
      </c>
      <c r="O185" s="1390">
        <v>0</v>
      </c>
      <c r="P185" s="1390"/>
      <c r="Q185" s="1390"/>
      <c r="R185" s="1392"/>
    </row>
    <row r="186" spans="2:18" ht="14.25" customHeight="1" x14ac:dyDescent="0.2">
      <c r="D186" s="1389" t="s">
        <v>543</v>
      </c>
      <c r="E186" s="749">
        <f t="shared" si="27"/>
        <v>4200</v>
      </c>
      <c r="F186" s="1390">
        <v>4200</v>
      </c>
      <c r="G186" s="1390">
        <v>2677.000778127674</v>
      </c>
      <c r="H186" s="1390">
        <f>+E186-G186</f>
        <v>1522.999221872326</v>
      </c>
      <c r="I186" s="1391"/>
      <c r="J186" s="1390"/>
      <c r="K186" s="1390"/>
      <c r="L186" s="1390"/>
      <c r="M186" s="1390"/>
      <c r="N186" s="749">
        <f t="shared" si="30"/>
        <v>-75.900000000000006</v>
      </c>
      <c r="O186" s="1390">
        <v>-75.900000000000006</v>
      </c>
      <c r="P186" s="1390">
        <v>45.724003323289061</v>
      </c>
      <c r="Q186" s="1390">
        <f>+N186-P186</f>
        <v>-121.62400332328906</v>
      </c>
      <c r="R186" s="1392"/>
    </row>
    <row r="187" spans="2:18" ht="14.25" customHeight="1" x14ac:dyDescent="0.2">
      <c r="D187" s="1389" t="s">
        <v>544</v>
      </c>
      <c r="E187" s="749">
        <f t="shared" si="27"/>
        <v>77.336620180000011</v>
      </c>
      <c r="F187" s="1390">
        <v>77.336620180000011</v>
      </c>
      <c r="G187" s="1390">
        <v>-38.1</v>
      </c>
      <c r="H187" s="1390">
        <f>+E187-G187</f>
        <v>115.43662018000001</v>
      </c>
      <c r="I187" s="1391"/>
      <c r="J187" s="1390"/>
      <c r="K187" s="1390"/>
      <c r="L187" s="1390"/>
      <c r="M187" s="1390"/>
      <c r="N187" s="749">
        <f t="shared" si="30"/>
        <v>3.6350981020000002</v>
      </c>
      <c r="O187" s="1390">
        <v>3.6350981020000002</v>
      </c>
      <c r="P187" s="1390">
        <v>0</v>
      </c>
      <c r="Q187" s="1390">
        <f>+N187-P187</f>
        <v>3.6350981020000002</v>
      </c>
      <c r="R187" s="1392"/>
    </row>
    <row r="188" spans="2:18" ht="14.25" customHeight="1" x14ac:dyDescent="0.2">
      <c r="D188" s="1389" t="s">
        <v>545</v>
      </c>
      <c r="E188" s="749">
        <f t="shared" ref="E188:E218" si="31">+F188</f>
        <v>29.095430789999998</v>
      </c>
      <c r="F188" s="1390">
        <v>29.095430789999998</v>
      </c>
      <c r="G188" s="1390">
        <v>5</v>
      </c>
      <c r="H188" s="1390">
        <f>+E188-G188</f>
        <v>24.095430789999998</v>
      </c>
      <c r="I188" s="1391"/>
      <c r="J188" s="1390"/>
      <c r="K188" s="1390"/>
      <c r="L188" s="1390"/>
      <c r="M188" s="1390"/>
      <c r="N188" s="749">
        <f t="shared" si="30"/>
        <v>0.46355962000000001</v>
      </c>
      <c r="O188" s="1390">
        <v>0.46355962000000001</v>
      </c>
      <c r="P188" s="1390">
        <v>-1.3219964664310899</v>
      </c>
      <c r="Q188" s="1390">
        <f>+N188-P188</f>
        <v>1.78555608643109</v>
      </c>
      <c r="R188" s="1392"/>
    </row>
    <row r="189" spans="2:18" ht="14.25" customHeight="1" x14ac:dyDescent="0.2">
      <c r="D189" s="1389" t="s">
        <v>546</v>
      </c>
      <c r="E189" s="749">
        <f t="shared" si="31"/>
        <v>0.97604981999999996</v>
      </c>
      <c r="F189" s="1390">
        <v>0.97604981999999996</v>
      </c>
      <c r="G189" s="1390"/>
      <c r="H189" s="1390"/>
      <c r="I189" s="1391"/>
      <c r="J189" s="1390"/>
      <c r="K189" s="1390"/>
      <c r="L189" s="1390"/>
      <c r="M189" s="1390"/>
      <c r="N189" s="749">
        <f t="shared" si="30"/>
        <v>0</v>
      </c>
      <c r="O189" s="1390">
        <v>0</v>
      </c>
      <c r="P189" s="1390"/>
      <c r="Q189" s="1390"/>
      <c r="R189" s="1392"/>
    </row>
    <row r="190" spans="2:18" ht="14.25" customHeight="1" x14ac:dyDescent="0.2">
      <c r="D190" s="1389" t="s">
        <v>289</v>
      </c>
      <c r="E190" s="749">
        <f t="shared" si="31"/>
        <v>6860</v>
      </c>
      <c r="F190" s="1390">
        <v>6860</v>
      </c>
      <c r="G190" s="1390">
        <v>3458.871811867306</v>
      </c>
      <c r="H190" s="1390">
        <f t="shared" ref="H190:H219" si="32">+E190-G190</f>
        <v>3401.128188132694</v>
      </c>
      <c r="I190" s="1391"/>
      <c r="J190" s="1390"/>
      <c r="K190" s="1390"/>
      <c r="L190" s="1390"/>
      <c r="M190" s="1390"/>
      <c r="N190" s="749">
        <f t="shared" si="30"/>
        <v>5850</v>
      </c>
      <c r="O190" s="1390">
        <v>5850</v>
      </c>
      <c r="P190" s="1390">
        <v>672.20708480565406</v>
      </c>
      <c r="Q190" s="1390">
        <f t="shared" ref="Q190:Q219" si="33">+N190-P190</f>
        <v>5177.7929151943463</v>
      </c>
      <c r="R190" s="1392"/>
    </row>
    <row r="191" spans="2:18" ht="14.25" customHeight="1" x14ac:dyDescent="0.2">
      <c r="D191" s="1389" t="s">
        <v>547</v>
      </c>
      <c r="E191" s="749">
        <f t="shared" si="31"/>
        <v>0</v>
      </c>
      <c r="F191" s="1390">
        <v>0</v>
      </c>
      <c r="G191" s="1390">
        <v>158.9</v>
      </c>
      <c r="H191" s="1390">
        <f t="shared" si="32"/>
        <v>-158.9</v>
      </c>
      <c r="I191" s="1391"/>
      <c r="J191" s="1390"/>
      <c r="K191" s="1390"/>
      <c r="L191" s="1390"/>
      <c r="M191" s="1390"/>
      <c r="N191" s="749">
        <f t="shared" si="30"/>
        <v>0</v>
      </c>
      <c r="O191" s="1390">
        <v>0</v>
      </c>
      <c r="P191" s="1390">
        <v>1.4</v>
      </c>
      <c r="Q191" s="1390">
        <f t="shared" si="33"/>
        <v>-1.4</v>
      </c>
      <c r="R191" s="1392"/>
    </row>
    <row r="192" spans="2:18" ht="14.25" customHeight="1" x14ac:dyDescent="0.2">
      <c r="B192" s="161" t="s">
        <v>548</v>
      </c>
      <c r="D192" s="1389" t="s">
        <v>549</v>
      </c>
      <c r="E192" s="749">
        <f t="shared" si="31"/>
        <v>1530</v>
      </c>
      <c r="F192" s="1390">
        <v>1530</v>
      </c>
      <c r="G192" s="1390">
        <v>687.71594682737498</v>
      </c>
      <c r="H192" s="1390">
        <f t="shared" si="32"/>
        <v>842.28405317262502</v>
      </c>
      <c r="I192" s="1391"/>
      <c r="J192" s="1390"/>
      <c r="K192" s="1390"/>
      <c r="L192" s="1390"/>
      <c r="M192" s="1390"/>
      <c r="N192" s="749">
        <f t="shared" si="30"/>
        <v>384</v>
      </c>
      <c r="O192" s="1390">
        <v>384</v>
      </c>
      <c r="P192" s="1390">
        <v>5.1000000000000032</v>
      </c>
      <c r="Q192" s="1390">
        <f t="shared" si="33"/>
        <v>378.9</v>
      </c>
      <c r="R192" s="1392"/>
    </row>
    <row r="193" spans="2:18" ht="14.25" customHeight="1" x14ac:dyDescent="0.2">
      <c r="D193" s="1389" t="s">
        <v>550</v>
      </c>
      <c r="E193" s="749">
        <f t="shared" si="31"/>
        <v>101</v>
      </c>
      <c r="F193" s="1390">
        <v>101</v>
      </c>
      <c r="G193" s="1390">
        <v>-14.7</v>
      </c>
      <c r="H193" s="1390">
        <f t="shared" si="32"/>
        <v>115.7</v>
      </c>
      <c r="I193" s="1391"/>
      <c r="J193" s="1390"/>
      <c r="K193" s="1390"/>
      <c r="L193" s="1390"/>
      <c r="M193" s="1390"/>
      <c r="N193" s="749">
        <f t="shared" si="30"/>
        <v>0</v>
      </c>
      <c r="O193" s="1390">
        <v>0</v>
      </c>
      <c r="P193" s="1390">
        <v>0</v>
      </c>
      <c r="Q193" s="1390">
        <f t="shared" si="33"/>
        <v>0</v>
      </c>
      <c r="R193" s="1392"/>
    </row>
    <row r="194" spans="2:18" ht="14.25" customHeight="1" x14ac:dyDescent="0.2">
      <c r="D194" s="1389" t="s">
        <v>551</v>
      </c>
      <c r="E194" s="749">
        <f t="shared" si="31"/>
        <v>60.715341850000002</v>
      </c>
      <c r="F194" s="1390">
        <v>60.715341850000002</v>
      </c>
      <c r="G194" s="1390">
        <v>20.100000000000001</v>
      </c>
      <c r="H194" s="1390">
        <f t="shared" si="32"/>
        <v>40.61534185</v>
      </c>
      <c r="I194" s="1391"/>
      <c r="J194" s="1390"/>
      <c r="K194" s="1390"/>
      <c r="L194" s="1390"/>
      <c r="M194" s="1390"/>
      <c r="N194" s="749">
        <f t="shared" si="30"/>
        <v>4.1729951080000003</v>
      </c>
      <c r="O194" s="1390">
        <v>4.1729951080000003</v>
      </c>
      <c r="P194" s="1390">
        <v>0</v>
      </c>
      <c r="Q194" s="1390">
        <f t="shared" si="33"/>
        <v>4.1729951080000003</v>
      </c>
      <c r="R194" s="1392"/>
    </row>
    <row r="195" spans="2:18" ht="14.25" customHeight="1" x14ac:dyDescent="0.2">
      <c r="D195" s="1389" t="s">
        <v>552</v>
      </c>
      <c r="E195" s="749">
        <f t="shared" si="31"/>
        <v>0</v>
      </c>
      <c r="F195" s="1390">
        <v>0</v>
      </c>
      <c r="G195" s="1390">
        <v>0</v>
      </c>
      <c r="H195" s="1390">
        <f t="shared" si="32"/>
        <v>0</v>
      </c>
      <c r="I195" s="1391"/>
      <c r="J195" s="1390"/>
      <c r="K195" s="1390"/>
      <c r="L195" s="1390"/>
      <c r="M195" s="1390"/>
      <c r="N195" s="749">
        <f t="shared" si="30"/>
        <v>0</v>
      </c>
      <c r="O195" s="1390">
        <v>0</v>
      </c>
      <c r="P195" s="1390">
        <v>0</v>
      </c>
      <c r="Q195" s="1390">
        <f t="shared" si="33"/>
        <v>0</v>
      </c>
      <c r="R195" s="1392"/>
    </row>
    <row r="196" spans="2:18" ht="14.25" customHeight="1" x14ac:dyDescent="0.2">
      <c r="D196" s="1389" t="s">
        <v>553</v>
      </c>
      <c r="E196" s="749">
        <f t="shared" si="31"/>
        <v>394</v>
      </c>
      <c r="F196" s="1390">
        <v>394</v>
      </c>
      <c r="G196" s="1390">
        <v>-20</v>
      </c>
      <c r="H196" s="1390">
        <f t="shared" si="32"/>
        <v>414</v>
      </c>
      <c r="I196" s="1391"/>
      <c r="J196" s="1390"/>
      <c r="K196" s="1390"/>
      <c r="L196" s="1390"/>
      <c r="M196" s="1390"/>
      <c r="N196" s="749">
        <f t="shared" si="30"/>
        <v>4.6687575949999998</v>
      </c>
      <c r="O196" s="1390">
        <v>4.6687575949999998</v>
      </c>
      <c r="P196" s="1390">
        <v>0</v>
      </c>
      <c r="Q196" s="1390">
        <f t="shared" si="33"/>
        <v>4.6687575949999998</v>
      </c>
      <c r="R196" s="1392"/>
    </row>
    <row r="197" spans="2:18" ht="14.25" customHeight="1" x14ac:dyDescent="0.2">
      <c r="D197" s="1389" t="s">
        <v>554</v>
      </c>
      <c r="E197" s="749">
        <f t="shared" si="31"/>
        <v>-41.6</v>
      </c>
      <c r="F197" s="1390">
        <v>-41.6</v>
      </c>
      <c r="G197" s="1390">
        <v>10.9</v>
      </c>
      <c r="H197" s="1390">
        <f t="shared" si="32"/>
        <v>-52.5</v>
      </c>
      <c r="I197" s="1391"/>
      <c r="J197" s="1390"/>
      <c r="K197" s="1390"/>
      <c r="L197" s="1390"/>
      <c r="M197" s="1390"/>
      <c r="N197" s="749">
        <f t="shared" si="30"/>
        <v>0</v>
      </c>
      <c r="O197" s="1390">
        <v>0</v>
      </c>
      <c r="P197" s="1390">
        <v>1</v>
      </c>
      <c r="Q197" s="1390">
        <f t="shared" si="33"/>
        <v>-1</v>
      </c>
      <c r="R197" s="1392"/>
    </row>
    <row r="198" spans="2:18" ht="14.25" customHeight="1" x14ac:dyDescent="0.2">
      <c r="D198" s="1389" t="s">
        <v>555</v>
      </c>
      <c r="E198" s="749">
        <f t="shared" si="31"/>
        <v>416</v>
      </c>
      <c r="F198" s="1390">
        <v>416</v>
      </c>
      <c r="G198" s="1390">
        <v>4</v>
      </c>
      <c r="H198" s="1390">
        <f t="shared" si="32"/>
        <v>412</v>
      </c>
      <c r="I198" s="1391"/>
      <c r="J198" s="1390"/>
      <c r="K198" s="1390"/>
      <c r="L198" s="1390"/>
      <c r="M198" s="1390"/>
      <c r="N198" s="749">
        <f t="shared" si="30"/>
        <v>113</v>
      </c>
      <c r="O198" s="1390">
        <v>113</v>
      </c>
      <c r="P198" s="1390">
        <v>-9.8000000000000007</v>
      </c>
      <c r="Q198" s="1390">
        <f t="shared" si="33"/>
        <v>122.8</v>
      </c>
      <c r="R198" s="1392"/>
    </row>
    <row r="199" spans="2:18" ht="14.25" customHeight="1" x14ac:dyDescent="0.2">
      <c r="B199" s="146" t="s">
        <v>556</v>
      </c>
      <c r="D199" s="1389" t="s">
        <v>557</v>
      </c>
      <c r="E199" s="749">
        <f t="shared" si="31"/>
        <v>0</v>
      </c>
      <c r="F199" s="1390">
        <v>0</v>
      </c>
      <c r="G199" s="1390">
        <v>-61</v>
      </c>
      <c r="H199" s="1390">
        <f t="shared" si="32"/>
        <v>61</v>
      </c>
      <c r="I199" s="1391"/>
      <c r="J199" s="1390"/>
      <c r="K199" s="1390"/>
      <c r="L199" s="1390"/>
      <c r="M199" s="1390"/>
      <c r="N199" s="749">
        <f t="shared" si="30"/>
        <v>0</v>
      </c>
      <c r="O199" s="1390">
        <v>0</v>
      </c>
      <c r="P199" s="1390">
        <v>6.9</v>
      </c>
      <c r="Q199" s="1390">
        <f t="shared" si="33"/>
        <v>-6.9</v>
      </c>
      <c r="R199" s="1392"/>
    </row>
    <row r="200" spans="2:18" ht="14.25" customHeight="1" x14ac:dyDescent="0.2">
      <c r="D200" s="1389" t="s">
        <v>558</v>
      </c>
      <c r="E200" s="749">
        <f t="shared" si="31"/>
        <v>42.569490000000002</v>
      </c>
      <c r="F200" s="1390">
        <v>42.569490000000002</v>
      </c>
      <c r="G200" s="1390">
        <v>0</v>
      </c>
      <c r="H200" s="1390">
        <f t="shared" si="32"/>
        <v>42.569490000000002</v>
      </c>
      <c r="I200" s="1391"/>
      <c r="J200" s="1390"/>
      <c r="K200" s="1390"/>
      <c r="L200" s="1390"/>
      <c r="M200" s="1390"/>
      <c r="N200" s="749">
        <f t="shared" si="30"/>
        <v>0</v>
      </c>
      <c r="O200" s="1390">
        <v>0</v>
      </c>
      <c r="P200" s="1390">
        <v>0</v>
      </c>
      <c r="Q200" s="1390">
        <f t="shared" si="33"/>
        <v>0</v>
      </c>
      <c r="R200" s="1392"/>
    </row>
    <row r="201" spans="2:18" ht="14.25" customHeight="1" x14ac:dyDescent="0.2">
      <c r="D201" s="1389" t="s">
        <v>559</v>
      </c>
      <c r="E201" s="749">
        <f t="shared" si="31"/>
        <v>776</v>
      </c>
      <c r="F201" s="1390">
        <v>776</v>
      </c>
      <c r="G201" s="1390">
        <v>65.887873715015587</v>
      </c>
      <c r="H201" s="1390">
        <f t="shared" si="32"/>
        <v>710.11212628498447</v>
      </c>
      <c r="I201" s="1391"/>
      <c r="J201" s="1390"/>
      <c r="K201" s="1390"/>
      <c r="L201" s="1390"/>
      <c r="M201" s="1390"/>
      <c r="N201" s="749">
        <f t="shared" si="30"/>
        <v>0</v>
      </c>
      <c r="O201" s="1390">
        <v>0</v>
      </c>
      <c r="P201" s="1390">
        <v>-7.9</v>
      </c>
      <c r="Q201" s="1390">
        <f t="shared" si="33"/>
        <v>7.9</v>
      </c>
      <c r="R201" s="1392"/>
    </row>
    <row r="202" spans="2:18" ht="14.25" customHeight="1" x14ac:dyDescent="0.2">
      <c r="D202" s="1389" t="s">
        <v>296</v>
      </c>
      <c r="E202" s="749">
        <f t="shared" si="31"/>
        <v>14800</v>
      </c>
      <c r="F202" s="1390">
        <v>14800</v>
      </c>
      <c r="G202" s="1390">
        <v>10417.186510207855</v>
      </c>
      <c r="H202" s="1390">
        <f t="shared" si="32"/>
        <v>4382.8134897921445</v>
      </c>
      <c r="I202" s="1391"/>
      <c r="J202" s="1390"/>
      <c r="K202" s="1390"/>
      <c r="L202" s="1390"/>
      <c r="M202" s="1390"/>
      <c r="N202" s="749">
        <f t="shared" si="30"/>
        <v>-5.7150128420000001</v>
      </c>
      <c r="O202" s="1390">
        <v>-5.7150128420000001</v>
      </c>
      <c r="P202" s="1390">
        <v>96.522487514592797</v>
      </c>
      <c r="Q202" s="1390">
        <f t="shared" si="33"/>
        <v>-102.23750035659279</v>
      </c>
      <c r="R202" s="1392"/>
    </row>
    <row r="203" spans="2:18" ht="14.25" customHeight="1" x14ac:dyDescent="0.2">
      <c r="B203" s="161" t="s">
        <v>560</v>
      </c>
      <c r="D203" s="1389" t="s">
        <v>561</v>
      </c>
      <c r="E203" s="749">
        <f t="shared" si="31"/>
        <v>13.3665</v>
      </c>
      <c r="F203" s="1390">
        <v>13.3665</v>
      </c>
      <c r="G203" s="1390">
        <v>239.18468705386999</v>
      </c>
      <c r="H203" s="1390">
        <f t="shared" si="32"/>
        <v>-225.81818705386999</v>
      </c>
      <c r="I203" s="1391"/>
      <c r="J203" s="1390"/>
      <c r="K203" s="1390"/>
      <c r="L203" s="1390"/>
      <c r="M203" s="1390"/>
      <c r="N203" s="749">
        <f t="shared" si="30"/>
        <v>0</v>
      </c>
      <c r="O203" s="1390">
        <v>0</v>
      </c>
      <c r="P203" s="1390">
        <v>-0.2</v>
      </c>
      <c r="Q203" s="1390">
        <f t="shared" si="33"/>
        <v>0.2</v>
      </c>
      <c r="R203" s="1392"/>
    </row>
    <row r="204" spans="2:18" ht="14.25" customHeight="1" x14ac:dyDescent="0.2">
      <c r="D204" s="1389" t="s">
        <v>562</v>
      </c>
      <c r="E204" s="749">
        <f t="shared" si="31"/>
        <v>121</v>
      </c>
      <c r="F204" s="1390">
        <v>121</v>
      </c>
      <c r="G204" s="1390">
        <v>-0.7</v>
      </c>
      <c r="H204" s="1390">
        <f t="shared" si="32"/>
        <v>121.7</v>
      </c>
      <c r="I204" s="1391"/>
      <c r="J204" s="1390"/>
      <c r="K204" s="1390"/>
      <c r="L204" s="1390"/>
      <c r="M204" s="1390"/>
      <c r="N204" s="749">
        <f t="shared" si="30"/>
        <v>197</v>
      </c>
      <c r="O204" s="1390">
        <v>197</v>
      </c>
      <c r="P204" s="1390">
        <v>10</v>
      </c>
      <c r="Q204" s="1390">
        <f t="shared" si="33"/>
        <v>187</v>
      </c>
      <c r="R204" s="1392"/>
    </row>
    <row r="205" spans="2:18" ht="14.25" customHeight="1" x14ac:dyDescent="0.2">
      <c r="D205" s="1389" t="s">
        <v>563</v>
      </c>
      <c r="E205" s="749">
        <f t="shared" si="31"/>
        <v>0</v>
      </c>
      <c r="F205" s="1390">
        <v>0</v>
      </c>
      <c r="G205" s="1390">
        <v>0</v>
      </c>
      <c r="H205" s="1390">
        <f t="shared" si="32"/>
        <v>0</v>
      </c>
      <c r="I205" s="1391"/>
      <c r="J205" s="1390"/>
      <c r="K205" s="1390"/>
      <c r="L205" s="1390"/>
      <c r="M205" s="1390"/>
      <c r="N205" s="749">
        <f t="shared" si="30"/>
        <v>0</v>
      </c>
      <c r="O205" s="1390">
        <v>0</v>
      </c>
      <c r="P205" s="1390">
        <v>0</v>
      </c>
      <c r="Q205" s="1390">
        <f t="shared" si="33"/>
        <v>0</v>
      </c>
      <c r="R205" s="1392"/>
    </row>
    <row r="206" spans="2:18" ht="14.25" customHeight="1" x14ac:dyDescent="0.2">
      <c r="D206" s="1389" t="s">
        <v>564</v>
      </c>
      <c r="E206" s="749">
        <f t="shared" si="31"/>
        <v>530</v>
      </c>
      <c r="F206" s="1390">
        <v>530</v>
      </c>
      <c r="G206" s="1390">
        <v>331.8</v>
      </c>
      <c r="H206" s="1390">
        <f t="shared" si="32"/>
        <v>198.2</v>
      </c>
      <c r="I206" s="1391"/>
      <c r="J206" s="1390"/>
      <c r="K206" s="1390"/>
      <c r="L206" s="1390"/>
      <c r="M206" s="1390"/>
      <c r="N206" s="749">
        <f t="shared" si="30"/>
        <v>126</v>
      </c>
      <c r="O206" s="1390">
        <v>126</v>
      </c>
      <c r="P206" s="1390">
        <v>-2</v>
      </c>
      <c r="Q206" s="1390">
        <f t="shared" si="33"/>
        <v>128</v>
      </c>
      <c r="R206" s="1392"/>
    </row>
    <row r="207" spans="2:18" ht="14.25" customHeight="1" x14ac:dyDescent="0.2">
      <c r="D207" s="1389" t="s">
        <v>565</v>
      </c>
      <c r="E207" s="749">
        <f t="shared" si="31"/>
        <v>984</v>
      </c>
      <c r="F207" s="1390">
        <v>984</v>
      </c>
      <c r="G207" s="1390">
        <v>233.6</v>
      </c>
      <c r="H207" s="1390">
        <f t="shared" si="32"/>
        <v>750.4</v>
      </c>
      <c r="I207" s="1391"/>
      <c r="J207" s="1390"/>
      <c r="K207" s="1390"/>
      <c r="L207" s="1390"/>
      <c r="M207" s="1390"/>
      <c r="N207" s="749">
        <f t="shared" si="30"/>
        <v>39.86490792</v>
      </c>
      <c r="O207" s="1390">
        <v>39.86490792</v>
      </c>
      <c r="P207" s="1390">
        <v>12.2</v>
      </c>
      <c r="Q207" s="1390">
        <f t="shared" si="33"/>
        <v>27.664907920000001</v>
      </c>
      <c r="R207" s="1392"/>
    </row>
    <row r="208" spans="2:18" ht="14.25" customHeight="1" x14ac:dyDescent="0.2">
      <c r="D208" s="1389" t="s">
        <v>566</v>
      </c>
      <c r="E208" s="749">
        <f t="shared" si="31"/>
        <v>0</v>
      </c>
      <c r="F208" s="1390">
        <v>0</v>
      </c>
      <c r="G208" s="1390">
        <v>0</v>
      </c>
      <c r="H208" s="1390">
        <f t="shared" si="32"/>
        <v>0</v>
      </c>
      <c r="I208" s="1391"/>
      <c r="J208" s="1390"/>
      <c r="K208" s="1390"/>
      <c r="L208" s="1390"/>
      <c r="M208" s="1390"/>
      <c r="N208" s="749">
        <f t="shared" si="30"/>
        <v>0</v>
      </c>
      <c r="O208" s="1390">
        <v>0</v>
      </c>
      <c r="P208" s="1390">
        <v>0</v>
      </c>
      <c r="Q208" s="1390">
        <f t="shared" si="33"/>
        <v>0</v>
      </c>
      <c r="R208" s="1392"/>
    </row>
    <row r="209" spans="2:18" ht="14.25" customHeight="1" x14ac:dyDescent="0.2">
      <c r="D209" s="1389" t="s">
        <v>567</v>
      </c>
      <c r="E209" s="749">
        <f t="shared" si="31"/>
        <v>229</v>
      </c>
      <c r="F209" s="1390">
        <v>229</v>
      </c>
      <c r="G209" s="1390">
        <v>41.836212690500098</v>
      </c>
      <c r="H209" s="1390">
        <f t="shared" si="32"/>
        <v>187.1637873094999</v>
      </c>
      <c r="I209" s="1391"/>
      <c r="J209" s="1390"/>
      <c r="K209" s="1390"/>
      <c r="L209" s="1390"/>
      <c r="M209" s="1390"/>
      <c r="N209" s="749">
        <f t="shared" si="30"/>
        <v>0.28762388</v>
      </c>
      <c r="O209" s="1390">
        <v>0.28762388</v>
      </c>
      <c r="P209" s="1390">
        <v>-0.4</v>
      </c>
      <c r="Q209" s="1390">
        <f t="shared" si="33"/>
        <v>0.68762388000000008</v>
      </c>
      <c r="R209" s="1392"/>
    </row>
    <row r="210" spans="2:18" ht="14.25" customHeight="1" x14ac:dyDescent="0.2">
      <c r="D210" s="1389" t="s">
        <v>568</v>
      </c>
      <c r="E210" s="749">
        <f t="shared" si="31"/>
        <v>471</v>
      </c>
      <c r="F210" s="1390">
        <v>471</v>
      </c>
      <c r="G210" s="1390">
        <v>-157.49593021092966</v>
      </c>
      <c r="H210" s="1390">
        <f t="shared" si="32"/>
        <v>628.4959302109296</v>
      </c>
      <c r="I210" s="1391"/>
      <c r="J210" s="1390"/>
      <c r="K210" s="1390"/>
      <c r="L210" s="1390"/>
      <c r="M210" s="1390"/>
      <c r="N210" s="749">
        <f t="shared" si="30"/>
        <v>42</v>
      </c>
      <c r="O210" s="1390">
        <v>42</v>
      </c>
      <c r="P210" s="1390">
        <v>-3.2039029449206544</v>
      </c>
      <c r="Q210" s="1390">
        <f t="shared" si="33"/>
        <v>45.203902944920657</v>
      </c>
      <c r="R210" s="1392"/>
    </row>
    <row r="211" spans="2:18" ht="14.25" customHeight="1" x14ac:dyDescent="0.2">
      <c r="D211" s="1389" t="s">
        <v>569</v>
      </c>
      <c r="E211" s="749">
        <f t="shared" si="31"/>
        <v>806</v>
      </c>
      <c r="F211" s="1390">
        <v>806</v>
      </c>
      <c r="G211" s="1390">
        <v>188.74232605478502</v>
      </c>
      <c r="H211" s="1390">
        <f t="shared" si="32"/>
        <v>617.25767394521495</v>
      </c>
      <c r="I211" s="1391"/>
      <c r="J211" s="1390"/>
      <c r="K211" s="1390"/>
      <c r="L211" s="1390"/>
      <c r="M211" s="1390"/>
      <c r="N211" s="749">
        <f t="shared" si="30"/>
        <v>32.814710599999998</v>
      </c>
      <c r="O211" s="1390">
        <v>32.814710599999998</v>
      </c>
      <c r="P211" s="1390">
        <v>452.70630963046403</v>
      </c>
      <c r="Q211" s="1390">
        <f t="shared" si="33"/>
        <v>-419.89159903046402</v>
      </c>
      <c r="R211" s="1392"/>
    </row>
    <row r="212" spans="2:18" ht="14.25" customHeight="1" x14ac:dyDescent="0.2">
      <c r="D212" s="1389" t="s">
        <v>570</v>
      </c>
      <c r="E212" s="749">
        <f t="shared" si="31"/>
        <v>25.113928659999999</v>
      </c>
      <c r="F212" s="1390">
        <v>25.113928659999999</v>
      </c>
      <c r="G212" s="1390">
        <v>13.713712525358797</v>
      </c>
      <c r="H212" s="1390">
        <f t="shared" si="32"/>
        <v>11.400216134641202</v>
      </c>
      <c r="I212" s="1391"/>
      <c r="J212" s="1390"/>
      <c r="K212" s="1390"/>
      <c r="L212" s="1390"/>
      <c r="M212" s="1390"/>
      <c r="N212" s="749">
        <f t="shared" si="30"/>
        <v>1.4479432269999999</v>
      </c>
      <c r="O212" s="1390">
        <v>1.4479432269999999</v>
      </c>
      <c r="P212" s="1390">
        <v>0</v>
      </c>
      <c r="Q212" s="1390">
        <f t="shared" si="33"/>
        <v>1.4479432269999999</v>
      </c>
      <c r="R212" s="1392"/>
    </row>
    <row r="213" spans="2:18" ht="14.25" customHeight="1" x14ac:dyDescent="0.2">
      <c r="B213" s="161" t="s">
        <v>571</v>
      </c>
      <c r="D213" s="1389" t="s">
        <v>278</v>
      </c>
      <c r="E213" s="749">
        <f t="shared" si="31"/>
        <v>2330</v>
      </c>
      <c r="F213" s="1390">
        <v>2330</v>
      </c>
      <c r="G213" s="1390">
        <v>2742.1986054943527</v>
      </c>
      <c r="H213" s="1390">
        <f t="shared" si="32"/>
        <v>-412.19860549435271</v>
      </c>
      <c r="I213" s="1391"/>
      <c r="J213" s="1390"/>
      <c r="K213" s="1390"/>
      <c r="L213" s="1390"/>
      <c r="M213" s="1390"/>
      <c r="N213" s="749">
        <f t="shared" si="30"/>
        <v>600</v>
      </c>
      <c r="O213" s="1390">
        <v>600</v>
      </c>
      <c r="P213" s="1390">
        <v>-76.5</v>
      </c>
      <c r="Q213" s="1390">
        <f t="shared" si="33"/>
        <v>676.5</v>
      </c>
      <c r="R213" s="1392"/>
    </row>
    <row r="214" spans="2:18" ht="14.25" customHeight="1" x14ac:dyDescent="0.2">
      <c r="D214" s="1389" t="s">
        <v>572</v>
      </c>
      <c r="E214" s="749">
        <f t="shared" si="31"/>
        <v>0</v>
      </c>
      <c r="F214" s="1390">
        <v>0</v>
      </c>
      <c r="G214" s="1390">
        <v>2080.9400631878912</v>
      </c>
      <c r="H214" s="1390">
        <f t="shared" si="32"/>
        <v>-2080.9400631878912</v>
      </c>
      <c r="I214" s="1391"/>
      <c r="J214" s="1390"/>
      <c r="K214" s="1390"/>
      <c r="L214" s="1390"/>
      <c r="M214" s="1390"/>
      <c r="N214" s="749">
        <f t="shared" si="30"/>
        <v>0</v>
      </c>
      <c r="O214" s="1390">
        <v>0</v>
      </c>
      <c r="P214" s="1390">
        <v>-0.57518286842481992</v>
      </c>
      <c r="Q214" s="1390">
        <f t="shared" si="33"/>
        <v>0.57518286842481992</v>
      </c>
      <c r="R214" s="1392"/>
    </row>
    <row r="215" spans="2:18" ht="14.25" customHeight="1" x14ac:dyDescent="0.2">
      <c r="D215" s="1389" t="s">
        <v>573</v>
      </c>
      <c r="E215" s="749">
        <f t="shared" si="31"/>
        <v>73.865486590000003</v>
      </c>
      <c r="F215" s="1390">
        <v>73.865486590000003</v>
      </c>
      <c r="G215" s="1390">
        <v>0</v>
      </c>
      <c r="H215" s="1390">
        <f t="shared" si="32"/>
        <v>73.865486590000003</v>
      </c>
      <c r="I215" s="1391"/>
      <c r="J215" s="1390"/>
      <c r="K215" s="1390"/>
      <c r="L215" s="1390"/>
      <c r="M215" s="1390"/>
      <c r="N215" s="749">
        <f t="shared" si="30"/>
        <v>4.4454228530000002</v>
      </c>
      <c r="O215" s="1390">
        <v>4.4454228530000002</v>
      </c>
      <c r="P215" s="1390">
        <v>0</v>
      </c>
      <c r="Q215" s="1390">
        <f t="shared" si="33"/>
        <v>4.4454228530000002</v>
      </c>
      <c r="R215" s="1392"/>
    </row>
    <row r="216" spans="2:18" ht="14.25" customHeight="1" x14ac:dyDescent="0.2">
      <c r="B216" s="161" t="s">
        <v>574</v>
      </c>
      <c r="D216" s="1389" t="s">
        <v>575</v>
      </c>
      <c r="E216" s="749">
        <f t="shared" si="31"/>
        <v>204</v>
      </c>
      <c r="F216" s="1390">
        <v>204</v>
      </c>
      <c r="G216" s="1390">
        <v>-117.9</v>
      </c>
      <c r="H216" s="1390">
        <f t="shared" si="32"/>
        <v>321.89999999999998</v>
      </c>
      <c r="I216" s="1391"/>
      <c r="J216" s="1390"/>
      <c r="K216" s="1390"/>
      <c r="L216" s="1390"/>
      <c r="M216" s="1390"/>
      <c r="N216" s="749">
        <f t="shared" si="30"/>
        <v>0</v>
      </c>
      <c r="O216" s="1390">
        <v>0</v>
      </c>
      <c r="P216" s="1390">
        <v>-0.1</v>
      </c>
      <c r="Q216" s="1390">
        <f t="shared" si="33"/>
        <v>0.1</v>
      </c>
      <c r="R216" s="1392"/>
    </row>
    <row r="217" spans="2:18" ht="14.25" customHeight="1" x14ac:dyDescent="0.2">
      <c r="D217" s="1389" t="s">
        <v>576</v>
      </c>
      <c r="E217" s="749">
        <f t="shared" si="31"/>
        <v>34.138577740000002</v>
      </c>
      <c r="F217" s="1390">
        <v>34.138577740000002</v>
      </c>
      <c r="G217" s="1390">
        <v>161.00000000000003</v>
      </c>
      <c r="H217" s="1390">
        <f t="shared" si="32"/>
        <v>-126.86142226000003</v>
      </c>
      <c r="I217" s="1391"/>
      <c r="J217" s="1390"/>
      <c r="K217" s="1390"/>
      <c r="L217" s="1390"/>
      <c r="M217" s="1390"/>
      <c r="N217" s="749">
        <f t="shared" si="30"/>
        <v>0</v>
      </c>
      <c r="O217" s="1390">
        <v>0</v>
      </c>
      <c r="P217" s="1390">
        <v>0.1</v>
      </c>
      <c r="Q217" s="1390">
        <f t="shared" si="33"/>
        <v>-0.1</v>
      </c>
      <c r="R217" s="1392"/>
    </row>
    <row r="218" spans="2:18" ht="14.25" customHeight="1" x14ac:dyDescent="0.2">
      <c r="D218" s="1389" t="s">
        <v>577</v>
      </c>
      <c r="E218" s="749">
        <f t="shared" si="31"/>
        <v>148</v>
      </c>
      <c r="F218" s="1390">
        <v>148</v>
      </c>
      <c r="G218" s="1390">
        <v>52.6</v>
      </c>
      <c r="H218" s="1390">
        <f t="shared" si="32"/>
        <v>95.4</v>
      </c>
      <c r="I218" s="1391"/>
      <c r="J218" s="1390"/>
      <c r="K218" s="1390"/>
      <c r="L218" s="1390"/>
      <c r="M218" s="1390"/>
      <c r="N218" s="749">
        <f>+O218</f>
        <v>193</v>
      </c>
      <c r="O218" s="1390">
        <v>193</v>
      </c>
      <c r="P218" s="1390">
        <v>-0.2</v>
      </c>
      <c r="Q218" s="1390">
        <f t="shared" si="33"/>
        <v>193.2</v>
      </c>
      <c r="R218" s="1392"/>
    </row>
    <row r="219" spans="2:18" ht="14.25" customHeight="1" x14ac:dyDescent="0.2">
      <c r="D219" s="1862" t="s">
        <v>578</v>
      </c>
      <c r="E219" s="1398">
        <f>+F219</f>
        <v>-1672.4</v>
      </c>
      <c r="F219" s="1399">
        <v>-1672.4</v>
      </c>
      <c r="G219" s="1399">
        <v>106261.94453427197</v>
      </c>
      <c r="H219" s="1399">
        <f t="shared" si="32"/>
        <v>-107934.34453427196</v>
      </c>
      <c r="I219" s="1400"/>
      <c r="J219" s="1399"/>
      <c r="K219" s="1399"/>
      <c r="L219" s="1399"/>
      <c r="M219" s="1399"/>
      <c r="N219" s="1398"/>
      <c r="O219" s="1399"/>
      <c r="P219" s="1399">
        <v>79071.100643379541</v>
      </c>
      <c r="Q219" s="1399">
        <f t="shared" si="33"/>
        <v>-79071.100643379541</v>
      </c>
      <c r="R219" s="1401"/>
    </row>
    <row r="220" spans="2:18" ht="40" customHeight="1" thickBot="1" x14ac:dyDescent="0.2">
      <c r="D220" s="341" t="s">
        <v>110</v>
      </c>
      <c r="E220" s="342">
        <f>E90+E53+E45+E9</f>
        <v>1516995.635771058</v>
      </c>
      <c r="F220" s="343">
        <f>F90+F53+F45+F9</f>
        <v>1597312.476559171</v>
      </c>
      <c r="G220" s="343">
        <f t="shared" ref="G220:R220" si="34">G90+G53+G45+G9</f>
        <v>1244689.8070919209</v>
      </c>
      <c r="H220" s="343">
        <f t="shared" si="34"/>
        <v>272631.60144590726</v>
      </c>
      <c r="I220" s="344">
        <f t="shared" si="34"/>
        <v>249862.67504173159</v>
      </c>
      <c r="J220" s="343">
        <f t="shared" si="34"/>
        <v>175720.7</v>
      </c>
      <c r="K220" s="343">
        <f t="shared" si="34"/>
        <v>74141.975041731595</v>
      </c>
      <c r="L220" s="343">
        <f t="shared" si="34"/>
        <v>44346.683670168517</v>
      </c>
      <c r="M220" s="343">
        <f t="shared" si="34"/>
        <v>45353.768002438665</v>
      </c>
      <c r="N220" s="342">
        <f t="shared" si="34"/>
        <v>1637523.6694827664</v>
      </c>
      <c r="O220" s="343">
        <f t="shared" si="34"/>
        <v>1754391.2836004097</v>
      </c>
      <c r="P220" s="343">
        <f t="shared" si="34"/>
        <v>841399.6892654784</v>
      </c>
      <c r="Q220" s="343">
        <f t="shared" si="34"/>
        <v>796123.9802172879</v>
      </c>
      <c r="R220" s="366">
        <f t="shared" si="34"/>
        <v>182484.31967309996</v>
      </c>
    </row>
    <row r="221" spans="2:18" ht="14" thickTop="1" x14ac:dyDescent="0.15">
      <c r="J221" s="338"/>
      <c r="K221" s="338"/>
      <c r="L221" s="338"/>
      <c r="M221" s="338"/>
    </row>
    <row r="222" spans="2:18" ht="14" thickBot="1" x14ac:dyDescent="0.2">
      <c r="I222" s="163"/>
      <c r="J222" s="163"/>
      <c r="K222" s="163"/>
      <c r="L222" s="163"/>
      <c r="M222" s="163"/>
    </row>
    <row r="223" spans="2:18" x14ac:dyDescent="0.15">
      <c r="D223" s="2239" t="s">
        <v>579</v>
      </c>
      <c r="E223" s="2240"/>
      <c r="F223" s="2240"/>
      <c r="G223" s="2240"/>
      <c r="H223" s="2240"/>
      <c r="I223" s="2240"/>
      <c r="J223" s="2240"/>
      <c r="K223" s="2240"/>
      <c r="L223" s="2240"/>
      <c r="M223" s="2240"/>
      <c r="N223" s="2240"/>
      <c r="O223" s="2240"/>
      <c r="P223" s="2240"/>
      <c r="Q223" s="2240"/>
      <c r="R223" s="2241"/>
    </row>
    <row r="224" spans="2:18" ht="14" thickBot="1" x14ac:dyDescent="0.2">
      <c r="D224" s="2242"/>
      <c r="E224" s="2243"/>
      <c r="F224" s="2243"/>
      <c r="G224" s="2243"/>
      <c r="H224" s="2243"/>
      <c r="I224" s="2243"/>
      <c r="J224" s="2243"/>
      <c r="K224" s="2243"/>
      <c r="L224" s="2243"/>
      <c r="M224" s="2243"/>
      <c r="N224" s="2243"/>
      <c r="O224" s="2243"/>
      <c r="P224" s="2243"/>
      <c r="Q224" s="2243"/>
      <c r="R224" s="2244"/>
    </row>
    <row r="225" spans="4:15" x14ac:dyDescent="0.15">
      <c r="I225" s="163"/>
      <c r="J225" s="163"/>
      <c r="K225" s="163"/>
      <c r="L225" s="163"/>
      <c r="M225" s="163"/>
    </row>
    <row r="226" spans="4:15" ht="18" x14ac:dyDescent="0.2">
      <c r="D226" s="555" t="s">
        <v>580</v>
      </c>
      <c r="E226" s="556">
        <f>N220-E220</f>
        <v>120528.03371170838</v>
      </c>
      <c r="F226" s="556">
        <f>O220-F220</f>
        <v>157078.80704123876</v>
      </c>
      <c r="G226" s="556"/>
      <c r="H226" s="556"/>
      <c r="I226" s="556">
        <f>O220+R220-F220-I220</f>
        <v>89700.451672607189</v>
      </c>
      <c r="J226" s="557"/>
      <c r="K226" s="557"/>
      <c r="L226" s="558">
        <f>I226-L220</f>
        <v>45353.768002438672</v>
      </c>
      <c r="M226" s="559">
        <f>L226-M220</f>
        <v>0</v>
      </c>
      <c r="O226" s="164"/>
    </row>
    <row r="227" spans="4:15" x14ac:dyDescent="0.15">
      <c r="D227" s="555" t="s">
        <v>26</v>
      </c>
      <c r="E227" s="555"/>
      <c r="F227" s="559">
        <f>F226-TableB9!S54*1000</f>
        <v>-29945.192958761239</v>
      </c>
      <c r="G227" s="555"/>
      <c r="H227" s="555"/>
      <c r="I227" s="560"/>
      <c r="J227" s="560"/>
      <c r="K227" s="560"/>
      <c r="L227" s="560"/>
      <c r="M227" s="560"/>
    </row>
    <row r="228" spans="4:15" x14ac:dyDescent="0.15">
      <c r="D228" s="555"/>
      <c r="E228" s="555"/>
      <c r="F228" s="555"/>
      <c r="G228" s="555"/>
      <c r="H228" s="555"/>
      <c r="I228" s="561"/>
      <c r="J228" s="561"/>
      <c r="K228" s="561"/>
      <c r="L228" s="561"/>
      <c r="M228" s="561"/>
      <c r="O228" s="164"/>
    </row>
    <row r="229" spans="4:15" x14ac:dyDescent="0.15">
      <c r="D229" s="555" t="s">
        <v>326</v>
      </c>
      <c r="E229" s="555">
        <v>0.90165899999999999</v>
      </c>
      <c r="F229" s="555"/>
      <c r="G229" s="555"/>
      <c r="H229" s="555"/>
      <c r="I229" s="561"/>
      <c r="J229" s="561"/>
      <c r="K229" s="561"/>
      <c r="L229" s="561"/>
      <c r="M229" s="561"/>
    </row>
    <row r="230" spans="4:15" x14ac:dyDescent="0.15">
      <c r="D230" s="555"/>
      <c r="E230" s="555"/>
      <c r="F230" s="555"/>
      <c r="G230" s="555"/>
      <c r="H230" s="555"/>
      <c r="I230" s="561"/>
      <c r="J230" s="561"/>
      <c r="K230" s="561"/>
      <c r="L230" s="561"/>
      <c r="M230" s="561"/>
    </row>
    <row r="231" spans="4:15" x14ac:dyDescent="0.15">
      <c r="D231" s="555"/>
      <c r="E231" s="555"/>
      <c r="F231" s="555"/>
      <c r="G231" s="555"/>
      <c r="H231" s="555"/>
      <c r="I231" s="561"/>
      <c r="J231" s="561"/>
      <c r="K231" s="561"/>
      <c r="L231" s="561"/>
      <c r="M231" s="561"/>
    </row>
    <row r="232" spans="4:15" x14ac:dyDescent="0.15">
      <c r="D232" s="555"/>
      <c r="E232" s="555"/>
      <c r="F232" s="555"/>
      <c r="G232" s="555"/>
      <c r="H232" s="555"/>
      <c r="I232" s="561"/>
      <c r="J232" s="561"/>
      <c r="K232" s="561"/>
      <c r="L232" s="561"/>
      <c r="M232" s="561"/>
    </row>
    <row r="233" spans="4:15" x14ac:dyDescent="0.15">
      <c r="D233" s="555"/>
      <c r="E233" s="555"/>
      <c r="F233" s="555"/>
      <c r="G233" s="555"/>
      <c r="H233" s="555"/>
      <c r="I233" s="561"/>
      <c r="J233" s="561"/>
      <c r="K233" s="561"/>
      <c r="L233" s="561"/>
      <c r="M233" s="561"/>
    </row>
  </sheetData>
  <mergeCells count="18">
    <mergeCell ref="D223:R224"/>
    <mergeCell ref="H7:H8"/>
    <mergeCell ref="N7:N8"/>
    <mergeCell ref="O7:O8"/>
    <mergeCell ref="E5:R5"/>
    <mergeCell ref="D2:R2"/>
    <mergeCell ref="E6:H6"/>
    <mergeCell ref="I7:I8"/>
    <mergeCell ref="E7:E8"/>
    <mergeCell ref="F7:F8"/>
    <mergeCell ref="G7:G8"/>
    <mergeCell ref="I6:M6"/>
    <mergeCell ref="L7:L8"/>
    <mergeCell ref="M7:M8"/>
    <mergeCell ref="R7:R8"/>
    <mergeCell ref="P7:P8"/>
    <mergeCell ref="Q7:Q8"/>
    <mergeCell ref="N6:Q6"/>
  </mergeCells>
  <phoneticPr fontId="37" type="noConversion"/>
  <pageMargins left="0.7" right="0.7" top="0.75" bottom="0.75" header="0.3" footer="0.3"/>
  <pageSetup scale="47" fitToHeight="0"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3"/>
  <sheetViews>
    <sheetView topLeftCell="A22" workbookViewId="0">
      <selection activeCell="A2" sqref="A2:M40"/>
    </sheetView>
  </sheetViews>
  <sheetFormatPr baseColWidth="10" defaultColWidth="8.83203125" defaultRowHeight="13" x14ac:dyDescent="0.15"/>
  <cols>
    <col min="1" max="1" width="19.33203125" style="145" customWidth="1"/>
    <col min="2" max="7" width="10.83203125" style="145" customWidth="1"/>
    <col min="8" max="8" width="19.33203125" style="145" customWidth="1"/>
    <col min="9" max="13" width="10.83203125" style="145" customWidth="1"/>
    <col min="14" max="16384" width="8.83203125" style="145"/>
  </cols>
  <sheetData>
    <row r="1" spans="1:14" ht="14" thickBot="1" x14ac:dyDescent="0.2"/>
    <row r="2" spans="1:14" ht="34" customHeight="1" thickTop="1" x14ac:dyDescent="0.15">
      <c r="A2" s="2224" t="s">
        <v>581</v>
      </c>
      <c r="B2" s="2225"/>
      <c r="C2" s="2225"/>
      <c r="D2" s="2225"/>
      <c r="E2" s="2225"/>
      <c r="F2" s="2225"/>
      <c r="G2" s="2225"/>
      <c r="H2" s="2225"/>
      <c r="I2" s="2225"/>
      <c r="J2" s="2225"/>
      <c r="K2" s="2225"/>
      <c r="L2" s="2225"/>
      <c r="M2" s="2226"/>
    </row>
    <row r="3" spans="1:14" ht="13" customHeight="1" x14ac:dyDescent="0.2">
      <c r="A3" s="1389"/>
      <c r="B3" s="374"/>
      <c r="C3" s="374"/>
      <c r="D3" s="374"/>
      <c r="E3" s="374"/>
      <c r="F3" s="374"/>
      <c r="G3" s="374"/>
      <c r="H3" s="374"/>
      <c r="I3" s="374"/>
      <c r="J3" s="374"/>
      <c r="K3" s="374"/>
      <c r="L3" s="374"/>
      <c r="M3" s="1402"/>
    </row>
    <row r="4" spans="1:14" ht="13" customHeight="1" thickBot="1" x14ac:dyDescent="0.25">
      <c r="A4" s="1389"/>
      <c r="B4" s="160" t="s">
        <v>1</v>
      </c>
      <c r="C4" s="160" t="s">
        <v>2</v>
      </c>
      <c r="D4" s="160" t="s">
        <v>3</v>
      </c>
      <c r="E4" s="160" t="s">
        <v>4</v>
      </c>
      <c r="F4" s="160" t="s">
        <v>5</v>
      </c>
      <c r="G4" s="160" t="s">
        <v>6</v>
      </c>
      <c r="H4" s="376"/>
      <c r="I4" s="160" t="s">
        <v>7</v>
      </c>
      <c r="J4" s="160" t="s">
        <v>8</v>
      </c>
      <c r="K4" s="160" t="s">
        <v>9</v>
      </c>
      <c r="L4" s="160" t="s">
        <v>10</v>
      </c>
      <c r="M4" s="377" t="s">
        <v>11</v>
      </c>
    </row>
    <row r="5" spans="1:14" s="373" customFormat="1" ht="35.25" customHeight="1" x14ac:dyDescent="0.2">
      <c r="A5" s="2261" t="s">
        <v>582</v>
      </c>
      <c r="B5" s="2262"/>
      <c r="C5" s="2262"/>
      <c r="D5" s="2262"/>
      <c r="E5" s="2262"/>
      <c r="F5" s="2262"/>
      <c r="G5" s="2263"/>
      <c r="H5" s="2254" t="s">
        <v>583</v>
      </c>
      <c r="I5" s="2255"/>
      <c r="J5" s="2255"/>
      <c r="K5" s="2255"/>
      <c r="L5" s="2255"/>
      <c r="M5" s="2256"/>
      <c r="N5" s="375"/>
    </row>
    <row r="6" spans="1:14" ht="18" customHeight="1" x14ac:dyDescent="0.2">
      <c r="A6" s="1403"/>
      <c r="B6" s="2257" t="s">
        <v>584</v>
      </c>
      <c r="C6" s="2258"/>
      <c r="D6" s="2258"/>
      <c r="E6" s="2258"/>
      <c r="F6" s="2258"/>
      <c r="G6" s="2259"/>
      <c r="H6" s="1404"/>
      <c r="I6" s="2257" t="s">
        <v>584</v>
      </c>
      <c r="J6" s="2258"/>
      <c r="K6" s="2258"/>
      <c r="L6" s="2258"/>
      <c r="M6" s="2260"/>
      <c r="N6" s="1405"/>
    </row>
    <row r="7" spans="1:14" ht="68" x14ac:dyDescent="0.15">
      <c r="A7" s="1406" t="s">
        <v>585</v>
      </c>
      <c r="B7" s="1840" t="s">
        <v>586</v>
      </c>
      <c r="C7" s="1842" t="s">
        <v>63</v>
      </c>
      <c r="D7" s="1842" t="s">
        <v>46</v>
      </c>
      <c r="E7" s="1842" t="s">
        <v>32</v>
      </c>
      <c r="F7" s="1842" t="s">
        <v>587</v>
      </c>
      <c r="G7" s="378" t="s">
        <v>588</v>
      </c>
      <c r="H7" s="1841" t="s">
        <v>589</v>
      </c>
      <c r="I7" s="1840" t="s">
        <v>590</v>
      </c>
      <c r="J7" s="1842" t="s">
        <v>63</v>
      </c>
      <c r="K7" s="1842" t="s">
        <v>46</v>
      </c>
      <c r="L7" s="1842" t="s">
        <v>32</v>
      </c>
      <c r="M7" s="382" t="s">
        <v>231</v>
      </c>
    </row>
    <row r="8" spans="1:14" ht="12" customHeight="1" x14ac:dyDescent="0.2">
      <c r="A8" s="1407" t="s">
        <v>35</v>
      </c>
      <c r="B8" s="1408">
        <v>3.6888795431532673E-2</v>
      </c>
      <c r="C8" s="1409">
        <v>-8.1000000000000221E-3</v>
      </c>
      <c r="D8" s="1409"/>
      <c r="E8" s="1409"/>
      <c r="F8" s="1409">
        <v>5.9442737982594772E-2</v>
      </c>
      <c r="G8" s="379">
        <f t="shared" ref="G8:G37" si="0">+SUM(B8:E8)</f>
        <v>2.8788795431532649E-2</v>
      </c>
      <c r="H8" s="1410" t="s">
        <v>514</v>
      </c>
      <c r="I8" s="1408">
        <v>4.6580802720318911E-3</v>
      </c>
      <c r="J8" s="1409">
        <v>4.4362669257446552E-4</v>
      </c>
      <c r="K8" s="1409"/>
      <c r="L8" s="1409"/>
      <c r="M8" s="383">
        <f t="shared" ref="M8:M37" si="1">+SUM(H8:K8)</f>
        <v>5.1017069646063567E-3</v>
      </c>
      <c r="N8" s="1411"/>
    </row>
    <row r="9" spans="1:14" ht="16" x14ac:dyDescent="0.2">
      <c r="A9" s="1412" t="s">
        <v>57</v>
      </c>
      <c r="B9" s="1413">
        <v>-0.10413546906313796</v>
      </c>
      <c r="C9" s="1414">
        <v>1.2399999999999998E-2</v>
      </c>
      <c r="D9" s="1414"/>
      <c r="E9" s="1414"/>
      <c r="F9" s="1414">
        <v>-2.4123684040136741E-2</v>
      </c>
      <c r="G9" s="380">
        <f t="shared" si="0"/>
        <v>-9.1735469063137967E-2</v>
      </c>
      <c r="H9" s="1415" t="s">
        <v>48</v>
      </c>
      <c r="I9" s="1413">
        <v>-9.094347197776546E-3</v>
      </c>
      <c r="J9" s="1414">
        <v>0</v>
      </c>
      <c r="K9" s="1414"/>
      <c r="L9" s="1414"/>
      <c r="M9" s="384">
        <f t="shared" si="1"/>
        <v>-9.094347197776546E-3</v>
      </c>
      <c r="N9" s="1411"/>
    </row>
    <row r="10" spans="1:14" ht="16" x14ac:dyDescent="0.2">
      <c r="A10" s="1412" t="s">
        <v>48</v>
      </c>
      <c r="B10" s="1413">
        <v>-0.1477557084219201</v>
      </c>
      <c r="C10" s="1414">
        <v>-1.1000000000000001E-3</v>
      </c>
      <c r="D10" s="1414"/>
      <c r="E10" s="1414"/>
      <c r="F10" s="1414">
        <v>-4.0132787929942487E-2</v>
      </c>
      <c r="G10" s="380">
        <f t="shared" si="0"/>
        <v>-0.14885570842192009</v>
      </c>
      <c r="H10" s="1415" t="s">
        <v>34</v>
      </c>
      <c r="I10" s="1413">
        <v>0</v>
      </c>
      <c r="J10" s="1414">
        <v>1.4861494201244595E-2</v>
      </c>
      <c r="K10" s="1414"/>
      <c r="L10" s="1414"/>
      <c r="M10" s="384">
        <f t="shared" si="1"/>
        <v>1.4861494201244595E-2</v>
      </c>
      <c r="N10" s="1411"/>
    </row>
    <row r="11" spans="1:14" ht="16" x14ac:dyDescent="0.2">
      <c r="A11" s="1412" t="s">
        <v>472</v>
      </c>
      <c r="B11" s="1413">
        <v>0.17129281668568724</v>
      </c>
      <c r="C11" s="1414">
        <v>-1.95E-2</v>
      </c>
      <c r="D11" s="1414"/>
      <c r="E11" s="1414"/>
      <c r="F11" s="1414">
        <v>4.6376888587993839E-2</v>
      </c>
      <c r="G11" s="380">
        <f t="shared" si="0"/>
        <v>0.15179281668568725</v>
      </c>
      <c r="H11" s="1415" t="s">
        <v>543</v>
      </c>
      <c r="I11" s="1413">
        <v>-3.5822855425388087E-2</v>
      </c>
      <c r="J11" s="1414"/>
      <c r="K11" s="1414"/>
      <c r="L11" s="1414"/>
      <c r="M11" s="384">
        <f t="shared" si="1"/>
        <v>-3.5822855425388087E-2</v>
      </c>
      <c r="N11" s="1411"/>
    </row>
    <row r="12" spans="1:14" ht="16" x14ac:dyDescent="0.2">
      <c r="A12" s="1412" t="s">
        <v>37</v>
      </c>
      <c r="B12" s="1413">
        <v>-0.31315243257151559</v>
      </c>
      <c r="C12" s="1414"/>
      <c r="D12" s="1414"/>
      <c r="E12" s="1414"/>
      <c r="F12" s="1414">
        <v>-5.8700047595954256E-2</v>
      </c>
      <c r="G12" s="380">
        <f t="shared" si="0"/>
        <v>-0.31315243257151559</v>
      </c>
      <c r="H12" s="1415" t="s">
        <v>451</v>
      </c>
      <c r="I12" s="1413">
        <v>4.1035469063138055E-2</v>
      </c>
      <c r="J12" s="1414">
        <v>1.1090667314361623E-4</v>
      </c>
      <c r="K12" s="1414"/>
      <c r="L12" s="1414"/>
      <c r="M12" s="384">
        <f t="shared" si="1"/>
        <v>4.1146375736281673E-2</v>
      </c>
      <c r="N12" s="1411"/>
    </row>
    <row r="13" spans="1:14" ht="16" x14ac:dyDescent="0.2">
      <c r="A13" s="1412" t="s">
        <v>58</v>
      </c>
      <c r="B13" s="1413">
        <v>-0.32379999999999926</v>
      </c>
      <c r="C13" s="1414"/>
      <c r="D13" s="1414"/>
      <c r="E13" s="1414"/>
      <c r="F13" s="1414">
        <v>-8.9067832294142169E-2</v>
      </c>
      <c r="G13" s="380">
        <f t="shared" si="0"/>
        <v>-0.32379999999999926</v>
      </c>
      <c r="H13" s="1415" t="s">
        <v>57</v>
      </c>
      <c r="I13" s="1413">
        <v>-5.7782376707824136E-2</v>
      </c>
      <c r="J13" s="1414">
        <v>1.3308800777233965E-3</v>
      </c>
      <c r="K13" s="1414"/>
      <c r="L13" s="1414"/>
      <c r="M13" s="384">
        <f t="shared" si="1"/>
        <v>-5.6451496630100739E-2</v>
      </c>
      <c r="N13" s="1411"/>
    </row>
    <row r="14" spans="1:14" ht="16" x14ac:dyDescent="0.2">
      <c r="A14" s="1412" t="s">
        <v>451</v>
      </c>
      <c r="B14" s="1413">
        <v>-0.31406322545441223</v>
      </c>
      <c r="C14" s="1414">
        <v>-3.4000000000000002E-2</v>
      </c>
      <c r="D14" s="1414"/>
      <c r="E14" s="1414"/>
      <c r="F14" s="1414">
        <v>-8.3951520741730193E-2</v>
      </c>
      <c r="G14" s="380">
        <f t="shared" si="0"/>
        <v>-0.34806322545441226</v>
      </c>
      <c r="H14" s="1415" t="s">
        <v>40</v>
      </c>
      <c r="I14" s="1413">
        <v>8.6396298378877134E-2</v>
      </c>
      <c r="J14" s="1414"/>
      <c r="K14" s="1414"/>
      <c r="L14" s="1414"/>
      <c r="M14" s="384">
        <f t="shared" si="1"/>
        <v>8.6396298378877134E-2</v>
      </c>
      <c r="N14" s="1411"/>
    </row>
    <row r="15" spans="1:14" ht="16" x14ac:dyDescent="0.2">
      <c r="A15" s="1412" t="s">
        <v>36</v>
      </c>
      <c r="B15" s="1413">
        <v>-0.36899999999999999</v>
      </c>
      <c r="C15" s="1414">
        <v>-1.4299999999999998E-2</v>
      </c>
      <c r="D15" s="1414"/>
      <c r="E15" s="1414"/>
      <c r="F15" s="1414">
        <v>-0.10543452785158977</v>
      </c>
      <c r="G15" s="380">
        <f t="shared" si="0"/>
        <v>-0.38329999999999997</v>
      </c>
      <c r="H15" s="1415" t="s">
        <v>36</v>
      </c>
      <c r="I15" s="1413">
        <v>0.15515843572791932</v>
      </c>
      <c r="J15" s="1414">
        <v>-1.3974240816095664E-2</v>
      </c>
      <c r="K15" s="1414"/>
      <c r="L15" s="1414"/>
      <c r="M15" s="384">
        <f t="shared" si="1"/>
        <v>0.14118419491182366</v>
      </c>
      <c r="N15" s="1411"/>
    </row>
    <row r="16" spans="1:14" ht="16" x14ac:dyDescent="0.2">
      <c r="A16" s="1412" t="s">
        <v>55</v>
      </c>
      <c r="B16" s="1413">
        <v>-0.40109999999999946</v>
      </c>
      <c r="C16" s="1414"/>
      <c r="D16" s="1414"/>
      <c r="E16" s="1414"/>
      <c r="F16" s="1414">
        <v>-0.1103307829931453</v>
      </c>
      <c r="G16" s="380">
        <f t="shared" si="0"/>
        <v>-0.40109999999999946</v>
      </c>
      <c r="H16" s="1415" t="s">
        <v>56</v>
      </c>
      <c r="I16" s="1413">
        <v>-0.17013083660230752</v>
      </c>
      <c r="J16" s="1414"/>
      <c r="K16" s="1414"/>
      <c r="L16" s="1414"/>
      <c r="M16" s="384">
        <f t="shared" si="1"/>
        <v>-0.17013083660230752</v>
      </c>
      <c r="N16" s="1411"/>
    </row>
    <row r="17" spans="1:17" ht="16" x14ac:dyDescent="0.2">
      <c r="A17" s="1412" t="s">
        <v>514</v>
      </c>
      <c r="B17" s="1413">
        <v>-0.51803349614432959</v>
      </c>
      <c r="C17" s="1414">
        <v>-3.0799999999999998E-2</v>
      </c>
      <c r="D17" s="1414"/>
      <c r="E17" s="1414"/>
      <c r="F17" s="1414">
        <v>-0.14966586643373336</v>
      </c>
      <c r="G17" s="380">
        <f t="shared" si="0"/>
        <v>-0.54883349614432964</v>
      </c>
      <c r="H17" s="1415" t="s">
        <v>472</v>
      </c>
      <c r="I17" s="1413">
        <v>-0.18044515720466384</v>
      </c>
      <c r="J17" s="1414">
        <v>-1.7745067702978621E-3</v>
      </c>
      <c r="K17" s="1414"/>
      <c r="L17" s="1414"/>
      <c r="M17" s="384">
        <f t="shared" si="1"/>
        <v>-0.1822196639749617</v>
      </c>
      <c r="N17" s="1411"/>
    </row>
    <row r="18" spans="1:17" ht="16" x14ac:dyDescent="0.2">
      <c r="A18" s="1412" t="s">
        <v>40</v>
      </c>
      <c r="B18" s="1413">
        <v>-0.60762529759033068</v>
      </c>
      <c r="C18" s="1414">
        <v>1.29E-2</v>
      </c>
      <c r="D18" s="1414"/>
      <c r="E18" s="1414"/>
      <c r="F18" s="1414">
        <v>-0.14309168115939735</v>
      </c>
      <c r="G18" s="380">
        <f t="shared" si="0"/>
        <v>-0.59472529759033066</v>
      </c>
      <c r="H18" s="1415" t="s">
        <v>54</v>
      </c>
      <c r="I18" s="1413">
        <v>0.12698814074944081</v>
      </c>
      <c r="J18" s="1414">
        <v>-0.16580547634970649</v>
      </c>
      <c r="K18" s="1414"/>
      <c r="L18" s="1414"/>
      <c r="M18" s="384">
        <f t="shared" si="1"/>
        <v>-3.8817335600265679E-2</v>
      </c>
      <c r="N18" s="1411"/>
    </row>
    <row r="19" spans="1:17" ht="16" x14ac:dyDescent="0.2">
      <c r="A19" s="1412" t="s">
        <v>96</v>
      </c>
      <c r="B19" s="1413">
        <v>1.1061198839028947</v>
      </c>
      <c r="C19" s="1414"/>
      <c r="D19" s="1414"/>
      <c r="E19" s="1414"/>
      <c r="F19" s="1414">
        <v>0.30862911622615108</v>
      </c>
      <c r="G19" s="380">
        <f t="shared" si="0"/>
        <v>1.1061198839028947</v>
      </c>
      <c r="H19" s="1415" t="s">
        <v>96</v>
      </c>
      <c r="I19" s="1413">
        <v>-0.40991106393880605</v>
      </c>
      <c r="J19" s="1414"/>
      <c r="K19" s="1414"/>
      <c r="L19" s="1414"/>
      <c r="M19" s="384">
        <f t="shared" si="1"/>
        <v>-0.40991106393880605</v>
      </c>
      <c r="N19" s="1411"/>
      <c r="Q19" s="1416"/>
    </row>
    <row r="20" spans="1:17" ht="16" x14ac:dyDescent="0.2">
      <c r="A20" s="1412" t="s">
        <v>543</v>
      </c>
      <c r="B20" s="1413">
        <v>-1.0928000000000002</v>
      </c>
      <c r="C20" s="1414">
        <v>9.4800000000000009E-2</v>
      </c>
      <c r="D20" s="1414"/>
      <c r="E20" s="1414"/>
      <c r="F20" s="1414">
        <v>-0.27452037254340367</v>
      </c>
      <c r="G20" s="380">
        <f t="shared" si="0"/>
        <v>-0.99800000000000022</v>
      </c>
      <c r="H20" s="1415" t="s">
        <v>35</v>
      </c>
      <c r="I20" s="1413">
        <v>-0.48100224142386405</v>
      </c>
      <c r="J20" s="1414">
        <v>0.20517734531569029</v>
      </c>
      <c r="K20" s="1414"/>
      <c r="L20" s="1414"/>
      <c r="M20" s="384">
        <f t="shared" si="1"/>
        <v>-0.27582489610817373</v>
      </c>
      <c r="N20" s="1411"/>
    </row>
    <row r="21" spans="1:17" ht="16" x14ac:dyDescent="0.2">
      <c r="A21" s="1412" t="s">
        <v>56</v>
      </c>
      <c r="B21" s="1413">
        <v>-1.4168826093900249</v>
      </c>
      <c r="C21" s="1414">
        <v>-1.5699999999999995E-2</v>
      </c>
      <c r="D21" s="1414"/>
      <c r="E21" s="1414"/>
      <c r="F21" s="1414">
        <v>-0.3341281528341406</v>
      </c>
      <c r="G21" s="380">
        <f t="shared" si="0"/>
        <v>-1.4325826093900249</v>
      </c>
      <c r="H21" s="1415" t="s">
        <v>55</v>
      </c>
      <c r="I21" s="1413">
        <v>1.2014519901647964</v>
      </c>
      <c r="J21" s="1414"/>
      <c r="K21" s="1414"/>
      <c r="L21" s="1414"/>
      <c r="M21" s="384">
        <f t="shared" si="1"/>
        <v>1.2014519901647964</v>
      </c>
      <c r="N21" s="1411"/>
    </row>
    <row r="22" spans="1:17" ht="16" x14ac:dyDescent="0.2">
      <c r="A22" s="1412" t="s">
        <v>30</v>
      </c>
      <c r="B22" s="1413">
        <v>-1.8105</v>
      </c>
      <c r="C22" s="1414"/>
      <c r="D22" s="1414"/>
      <c r="E22" s="1414"/>
      <c r="F22" s="1414">
        <v>-0.49801516481947111</v>
      </c>
      <c r="G22" s="380">
        <f t="shared" si="0"/>
        <v>-1.8105</v>
      </c>
      <c r="H22" s="1415" t="s">
        <v>41</v>
      </c>
      <c r="I22" s="1413">
        <v>1.2346130854347377</v>
      </c>
      <c r="J22" s="1414">
        <v>-0.29356996381115252</v>
      </c>
      <c r="K22" s="1414"/>
      <c r="L22" s="1414"/>
      <c r="M22" s="384">
        <f t="shared" si="1"/>
        <v>0.94104312162358517</v>
      </c>
      <c r="N22" s="1411"/>
    </row>
    <row r="23" spans="1:17" ht="16" x14ac:dyDescent="0.2">
      <c r="A23" s="1412" t="s">
        <v>59</v>
      </c>
      <c r="B23" s="1413">
        <v>-1.7636000000000003</v>
      </c>
      <c r="C23" s="1414"/>
      <c r="D23" s="1414">
        <v>-0.18432689076469042</v>
      </c>
      <c r="E23" s="1414"/>
      <c r="F23" s="1414">
        <v>-0.53083107708843724</v>
      </c>
      <c r="G23" s="380">
        <f t="shared" si="0"/>
        <v>-1.9479268907646907</v>
      </c>
      <c r="H23" s="1415" t="s">
        <v>45</v>
      </c>
      <c r="I23" s="1413">
        <v>-1.4780532329849763</v>
      </c>
      <c r="J23" s="1414">
        <v>0.2403347607022166</v>
      </c>
      <c r="K23" s="1414">
        <v>-1.6746907644686074E-2</v>
      </c>
      <c r="L23" s="1414"/>
      <c r="M23" s="384">
        <f t="shared" si="1"/>
        <v>-1.2544653799274457</v>
      </c>
      <c r="N23" s="1411"/>
    </row>
    <row r="24" spans="1:17" ht="16" x14ac:dyDescent="0.2">
      <c r="A24" s="1412" t="s">
        <v>39</v>
      </c>
      <c r="B24" s="1413">
        <v>0.87090000000000145</v>
      </c>
      <c r="C24" s="1414">
        <v>1.0498000000000003</v>
      </c>
      <c r="D24" s="1414">
        <v>0.75427628404973501</v>
      </c>
      <c r="E24" s="1414"/>
      <c r="F24" s="1414"/>
      <c r="G24" s="380">
        <f t="shared" si="0"/>
        <v>2.6749762840497366</v>
      </c>
      <c r="H24" s="1415" t="s">
        <v>86</v>
      </c>
      <c r="I24" s="1413">
        <v>-1.7419002083936388</v>
      </c>
      <c r="J24" s="1414"/>
      <c r="K24" s="1414"/>
      <c r="L24" s="1414"/>
      <c r="M24" s="384">
        <f t="shared" si="1"/>
        <v>-1.7419002083936388</v>
      </c>
      <c r="N24" s="1411"/>
    </row>
    <row r="25" spans="1:17" ht="16" x14ac:dyDescent="0.2">
      <c r="A25" s="1412" t="s">
        <v>41</v>
      </c>
      <c r="B25" s="1413">
        <v>-2.2133553388808851</v>
      </c>
      <c r="C25" s="1414">
        <v>0.67020000000000002</v>
      </c>
      <c r="D25" s="1414"/>
      <c r="E25" s="1414"/>
      <c r="F25" s="1414">
        <v>-0.38485115553654908</v>
      </c>
      <c r="G25" s="380">
        <f t="shared" si="0"/>
        <v>-1.5431553388808852</v>
      </c>
      <c r="H25" s="1415" t="s">
        <v>58</v>
      </c>
      <c r="I25" s="1413">
        <v>2.0966906557800677</v>
      </c>
      <c r="J25" s="1414">
        <v>-0.80396247361807527</v>
      </c>
      <c r="K25" s="1414"/>
      <c r="L25" s="1414"/>
      <c r="M25" s="384">
        <f t="shared" si="1"/>
        <v>1.2927281821619925</v>
      </c>
      <c r="N25" s="1411"/>
    </row>
    <row r="26" spans="1:17" ht="16" x14ac:dyDescent="0.2">
      <c r="A26" s="1412" t="s">
        <v>31</v>
      </c>
      <c r="B26" s="1413">
        <v>-1.1296021390570052</v>
      </c>
      <c r="C26" s="1414">
        <v>2.9830999999999999</v>
      </c>
      <c r="D26" s="1414">
        <v>-0.33061279264112042</v>
      </c>
      <c r="E26" s="1414"/>
      <c r="F26" s="1414">
        <v>0.60342218561970296</v>
      </c>
      <c r="G26" s="380">
        <f t="shared" si="0"/>
        <v>1.5228850683018742</v>
      </c>
      <c r="H26" s="1415" t="s">
        <v>37</v>
      </c>
      <c r="I26" s="1413">
        <v>3.2225042948609173</v>
      </c>
      <c r="J26" s="1414">
        <v>-0.85919399684359621</v>
      </c>
      <c r="K26" s="1414"/>
      <c r="L26" s="1414"/>
      <c r="M26" s="384">
        <f t="shared" si="1"/>
        <v>2.3633102980173213</v>
      </c>
      <c r="N26" s="1411"/>
    </row>
    <row r="27" spans="1:17" ht="16" x14ac:dyDescent="0.2">
      <c r="A27" s="1412" t="s">
        <v>45</v>
      </c>
      <c r="B27" s="1413">
        <v>-4.0287781571525381</v>
      </c>
      <c r="C27" s="1414">
        <v>0.98580000000000001</v>
      </c>
      <c r="D27" s="1414">
        <v>-8.3180004857712295E-3</v>
      </c>
      <c r="E27" s="1414"/>
      <c r="F27" s="1414">
        <v>-0.64278477611164886</v>
      </c>
      <c r="G27" s="380">
        <f t="shared" si="0"/>
        <v>-3.0512961576383089</v>
      </c>
      <c r="H27" s="1415" t="s">
        <v>59</v>
      </c>
      <c r="I27" s="1413">
        <v>4.738154890041578</v>
      </c>
      <c r="J27" s="1414">
        <v>1.7367985014290326</v>
      </c>
      <c r="K27" s="1414">
        <v>8.4289071589148373E-3</v>
      </c>
      <c r="L27" s="1414"/>
      <c r="M27" s="384">
        <f t="shared" si="1"/>
        <v>6.4833822986295253</v>
      </c>
      <c r="N27" s="1411"/>
    </row>
    <row r="28" spans="1:17" ht="16" x14ac:dyDescent="0.2">
      <c r="A28" s="1412" t="s">
        <v>86</v>
      </c>
      <c r="B28" s="1413">
        <v>-5.3437000000000001</v>
      </c>
      <c r="C28" s="1414"/>
      <c r="D28" s="1414"/>
      <c r="E28" s="1414"/>
      <c r="F28" s="1414">
        <v>-1.4698943033669196</v>
      </c>
      <c r="G28" s="380">
        <f t="shared" si="0"/>
        <v>-5.3437000000000001</v>
      </c>
      <c r="H28" s="1415" t="s">
        <v>32</v>
      </c>
      <c r="I28" s="1413">
        <v>5.4696209653918695</v>
      </c>
      <c r="J28" s="1414">
        <v>-2.5125183340879995</v>
      </c>
      <c r="K28" s="1414">
        <v>6.649149234447E-3</v>
      </c>
      <c r="L28" s="1414"/>
      <c r="M28" s="384">
        <f t="shared" si="1"/>
        <v>2.9637517805383169</v>
      </c>
      <c r="N28" s="1411"/>
    </row>
    <row r="29" spans="1:17" ht="16" x14ac:dyDescent="0.2">
      <c r="A29" s="1412" t="s">
        <v>46</v>
      </c>
      <c r="B29" s="1413">
        <v>-4.8689999999999998</v>
      </c>
      <c r="C29" s="1414">
        <v>0.98350000000000004</v>
      </c>
      <c r="D29" s="1414"/>
      <c r="E29" s="1414">
        <v>6.649149234447E-3</v>
      </c>
      <c r="F29" s="1414">
        <v>-1.0687864804783513</v>
      </c>
      <c r="G29" s="380">
        <f t="shared" si="0"/>
        <v>-3.8788508507655526</v>
      </c>
      <c r="H29" s="1415" t="s">
        <v>30</v>
      </c>
      <c r="I29" s="1413">
        <v>-8.2916046975630486</v>
      </c>
      <c r="J29" s="1414"/>
      <c r="K29" s="1414"/>
      <c r="L29" s="1414"/>
      <c r="M29" s="384">
        <f t="shared" si="1"/>
        <v>-8.2916046975630486</v>
      </c>
      <c r="N29" s="1411"/>
    </row>
    <row r="30" spans="1:17" ht="16" x14ac:dyDescent="0.2">
      <c r="A30" s="1412" t="s">
        <v>63</v>
      </c>
      <c r="B30" s="1413">
        <v>3.9965000000000002</v>
      </c>
      <c r="C30" s="1414"/>
      <c r="D30" s="1414"/>
      <c r="E30" s="1414">
        <v>-2.5125183340879995</v>
      </c>
      <c r="F30" s="1414">
        <v>1.0993193074846817</v>
      </c>
      <c r="G30" s="380">
        <f t="shared" si="0"/>
        <v>1.4839816659120006</v>
      </c>
      <c r="H30" s="1415" t="s">
        <v>43</v>
      </c>
      <c r="I30" s="1413">
        <v>5.4122456494084794</v>
      </c>
      <c r="J30" s="1414">
        <v>-2.9653117198408707</v>
      </c>
      <c r="K30" s="1414"/>
      <c r="L30" s="1414"/>
      <c r="M30" s="384">
        <f t="shared" si="1"/>
        <v>2.4469339295676087</v>
      </c>
      <c r="N30" s="1411"/>
    </row>
    <row r="31" spans="1:17" ht="16" x14ac:dyDescent="0.2">
      <c r="A31" s="1412" t="s">
        <v>34</v>
      </c>
      <c r="B31" s="1413">
        <v>-6.148133023016463</v>
      </c>
      <c r="C31" s="1414">
        <v>0.39129999999999998</v>
      </c>
      <c r="D31" s="1414"/>
      <c r="E31" s="1414"/>
      <c r="F31" s="1414">
        <v>-1.504938286795807</v>
      </c>
      <c r="G31" s="380">
        <f t="shared" si="0"/>
        <v>-5.7568330230164628</v>
      </c>
      <c r="H31" s="1415" t="s">
        <v>38</v>
      </c>
      <c r="I31" s="1413">
        <v>3.5166287920377877</v>
      </c>
      <c r="J31" s="1414">
        <v>-6.6680419094136463</v>
      </c>
      <c r="K31" s="1414">
        <v>-1.9832331291541478</v>
      </c>
      <c r="L31" s="1414"/>
      <c r="M31" s="384">
        <f t="shared" si="1"/>
        <v>-5.1346462465300062</v>
      </c>
      <c r="N31" s="1411"/>
    </row>
    <row r="32" spans="1:17" ht="16" x14ac:dyDescent="0.2">
      <c r="A32" s="1412" t="s">
        <v>54</v>
      </c>
      <c r="B32" s="1413">
        <v>-7.231743257151539</v>
      </c>
      <c r="C32" s="1414">
        <v>0.27179999999999999</v>
      </c>
      <c r="D32" s="1414"/>
      <c r="E32" s="1414"/>
      <c r="F32" s="1414">
        <v>-1.8756508179348299</v>
      </c>
      <c r="G32" s="380">
        <f t="shared" si="0"/>
        <v>-6.9599432571515392</v>
      </c>
      <c r="H32" s="1415" t="s">
        <v>31</v>
      </c>
      <c r="I32" s="1413">
        <v>-13.243809466771808</v>
      </c>
      <c r="J32" s="1414">
        <v>-3.2185116546277475</v>
      </c>
      <c r="K32" s="1414">
        <v>-0.25741438836633362</v>
      </c>
      <c r="L32" s="1414"/>
      <c r="M32" s="384">
        <f t="shared" si="1"/>
        <v>-16.71973550976589</v>
      </c>
      <c r="N32" s="1411"/>
    </row>
    <row r="33" spans="1:14" ht="16" x14ac:dyDescent="0.2">
      <c r="A33" s="1412" t="s">
        <v>38</v>
      </c>
      <c r="B33" s="1413">
        <v>-8.5152360315817841</v>
      </c>
      <c r="C33" s="1414">
        <v>-0.86229999999999996</v>
      </c>
      <c r="D33" s="1414"/>
      <c r="E33" s="1414"/>
      <c r="F33" s="1414">
        <v>-2.3761966314791501</v>
      </c>
      <c r="G33" s="380">
        <f t="shared" si="0"/>
        <v>-9.3775360315817835</v>
      </c>
      <c r="H33" s="1415" t="s">
        <v>46</v>
      </c>
      <c r="I33" s="1413">
        <v>7.0710767596175508</v>
      </c>
      <c r="J33" s="1414">
        <v>10.646596995094596</v>
      </c>
      <c r="K33" s="1414"/>
      <c r="L33" s="1414"/>
      <c r="M33" s="384">
        <f t="shared" si="1"/>
        <v>17.717673754712145</v>
      </c>
      <c r="N33" s="1411"/>
    </row>
    <row r="34" spans="1:14" ht="16" x14ac:dyDescent="0.2">
      <c r="A34" s="1412" t="s">
        <v>62</v>
      </c>
      <c r="B34" s="1413">
        <v>-10.525017051568271</v>
      </c>
      <c r="C34" s="1414">
        <v>9.4597000000000016</v>
      </c>
      <c r="D34" s="1414"/>
      <c r="E34" s="1414">
        <v>5.4696209653918695</v>
      </c>
      <c r="F34" s="1414">
        <v>0.35049484839158984</v>
      </c>
      <c r="G34" s="380">
        <f t="shared" si="0"/>
        <v>4.4043039138235995</v>
      </c>
      <c r="H34" s="1415" t="s">
        <v>39</v>
      </c>
      <c r="I34" s="1413">
        <v>-22.979419048664738</v>
      </c>
      <c r="J34" s="1414">
        <v>-2.9584355061059671</v>
      </c>
      <c r="K34" s="1414">
        <v>2.8613921671052978E-2</v>
      </c>
      <c r="L34" s="1414"/>
      <c r="M34" s="384">
        <f t="shared" si="1"/>
        <v>-25.909240633099653</v>
      </c>
      <c r="N34" s="1411"/>
    </row>
    <row r="35" spans="1:14" ht="16" x14ac:dyDescent="0.2">
      <c r="A35" s="1412" t="s">
        <v>49</v>
      </c>
      <c r="B35" s="1413">
        <v>6.0349478359335409</v>
      </c>
      <c r="C35" s="1414">
        <v>23.136299999999999</v>
      </c>
      <c r="D35" s="1414"/>
      <c r="E35" s="1414"/>
      <c r="F35" s="1414">
        <v>8.0383856180720272</v>
      </c>
      <c r="G35" s="380">
        <f t="shared" si="0"/>
        <v>29.171247835933539</v>
      </c>
      <c r="H35" s="1415" t="s">
        <v>51</v>
      </c>
      <c r="I35" s="1413">
        <v>19.8008337963687</v>
      </c>
      <c r="J35" s="1414">
        <v>4.2992971844122891</v>
      </c>
      <c r="K35" s="1414">
        <v>-2.2080409556162586</v>
      </c>
      <c r="L35" s="1414"/>
      <c r="M35" s="384">
        <f t="shared" si="1"/>
        <v>21.89209002516473</v>
      </c>
      <c r="N35" s="1411"/>
    </row>
    <row r="36" spans="1:14" ht="16" x14ac:dyDescent="0.2">
      <c r="A36" s="1412" t="s">
        <v>51</v>
      </c>
      <c r="B36" s="1413">
        <v>9.4419948771098632</v>
      </c>
      <c r="C36" s="1414">
        <v>22.242800000000003</v>
      </c>
      <c r="D36" s="1414">
        <v>0</v>
      </c>
      <c r="E36" s="1414"/>
      <c r="F36" s="1414">
        <v>8.1587564748104988</v>
      </c>
      <c r="G36" s="380">
        <f t="shared" si="0"/>
        <v>31.684794877109866</v>
      </c>
      <c r="H36" s="1415" t="s">
        <v>62</v>
      </c>
      <c r="I36" s="1413">
        <v>-17.428318244480458</v>
      </c>
      <c r="J36" s="1414">
        <v>12.401584190919186</v>
      </c>
      <c r="K36" s="1414">
        <v>0.23822753391248799</v>
      </c>
      <c r="L36" s="1414"/>
      <c r="M36" s="384">
        <f t="shared" si="1"/>
        <v>-4.7885065196487844</v>
      </c>
      <c r="N36" s="1411"/>
    </row>
    <row r="37" spans="1:14" ht="16" x14ac:dyDescent="0.2">
      <c r="A37" s="1412" t="s">
        <v>43</v>
      </c>
      <c r="B37" s="1413">
        <v>-1.4747999999999992</v>
      </c>
      <c r="C37" s="1414">
        <v>46.219499999999996</v>
      </c>
      <c r="D37" s="1414"/>
      <c r="E37" s="1414"/>
      <c r="F37" s="1414">
        <v>12.30794760855995</v>
      </c>
      <c r="G37" s="380">
        <f t="shared" si="0"/>
        <v>44.744699999999995</v>
      </c>
      <c r="H37" s="1415" t="s">
        <v>49</v>
      </c>
      <c r="I37" s="1413">
        <v>-48.802596103404952</v>
      </c>
      <c r="J37" s="1414"/>
      <c r="K37" s="1414"/>
      <c r="L37" s="1414"/>
      <c r="M37" s="384">
        <f t="shared" si="1"/>
        <v>-48.802596103404952</v>
      </c>
      <c r="N37" s="1411"/>
    </row>
    <row r="38" spans="1:14" ht="16" x14ac:dyDescent="0.2">
      <c r="A38" s="1412"/>
      <c r="B38" s="1417"/>
      <c r="C38" s="1418"/>
      <c r="D38" s="1418"/>
      <c r="E38" s="1418"/>
      <c r="F38" s="1418"/>
      <c r="G38" s="381"/>
      <c r="H38" s="1415" t="s">
        <v>591</v>
      </c>
      <c r="I38" s="1413">
        <v>-0.92602488393523941</v>
      </c>
      <c r="J38" s="1414"/>
      <c r="K38" s="1414"/>
      <c r="L38" s="1414"/>
      <c r="M38" s="384"/>
      <c r="N38" s="1411"/>
    </row>
    <row r="39" spans="1:14" ht="16" x14ac:dyDescent="0.2">
      <c r="A39" s="1412"/>
      <c r="B39" s="1419"/>
      <c r="C39" s="1420"/>
      <c r="D39" s="1420"/>
      <c r="E39" s="1420"/>
      <c r="F39" s="1420"/>
      <c r="G39" s="385"/>
      <c r="H39" s="1415" t="s">
        <v>63</v>
      </c>
      <c r="I39" s="1413">
        <v>122.56340811770303</v>
      </c>
      <c r="J39" s="1414"/>
      <c r="K39" s="1414">
        <v>1.0907671303674671</v>
      </c>
      <c r="L39" s="1414">
        <v>0.31</v>
      </c>
      <c r="M39" s="384"/>
      <c r="N39" s="1411"/>
    </row>
    <row r="40" spans="1:14" ht="27" customHeight="1" thickBot="1" x14ac:dyDescent="0.25">
      <c r="A40" s="388" t="s">
        <v>231</v>
      </c>
      <c r="B40" s="389">
        <f>SUM(B8:B37)</f>
        <v>-39.003169027980633</v>
      </c>
      <c r="C40" s="390">
        <f t="shared" ref="C40:M40" si="2">SUM(C8:C37)</f>
        <v>107.52809999999999</v>
      </c>
      <c r="D40" s="390">
        <f t="shared" si="2"/>
        <v>0.23101860015815293</v>
      </c>
      <c r="E40" s="390">
        <f t="shared" si="2"/>
        <v>2.9637517805383169</v>
      </c>
      <c r="F40" s="390">
        <f t="shared" si="2"/>
        <v>19.207678835706709</v>
      </c>
      <c r="G40" s="386">
        <f t="shared" si="2"/>
        <v>71.71970135271583</v>
      </c>
      <c r="H40" s="391" t="s">
        <v>231</v>
      </c>
      <c r="I40" s="389">
        <f t="shared" si="2"/>
        <v>-61.131832577466362</v>
      </c>
      <c r="J40" s="390">
        <f t="shared" si="2"/>
        <v>9.0854361032325421</v>
      </c>
      <c r="K40" s="390">
        <f t="shared" si="2"/>
        <v>-4.1835158688045233</v>
      </c>
      <c r="L40" s="390">
        <f t="shared" si="2"/>
        <v>0</v>
      </c>
      <c r="M40" s="387">
        <f t="shared" si="2"/>
        <v>-56.229912343038343</v>
      </c>
      <c r="N40" s="1421"/>
    </row>
    <row r="41" spans="1:14" ht="15" thickTop="1" thickBot="1" x14ac:dyDescent="0.2"/>
    <row r="42" spans="1:14" x14ac:dyDescent="0.15">
      <c r="A42" s="2248" t="s">
        <v>389</v>
      </c>
      <c r="B42" s="2249"/>
      <c r="C42" s="2249"/>
      <c r="D42" s="2249"/>
      <c r="E42" s="2249"/>
      <c r="F42" s="2249"/>
      <c r="G42" s="2249"/>
      <c r="H42" s="2249"/>
      <c r="I42" s="2249"/>
      <c r="J42" s="2249"/>
      <c r="K42" s="2249"/>
      <c r="L42" s="2249"/>
      <c r="M42" s="2250"/>
    </row>
    <row r="43" spans="1:14" ht="14" thickBot="1" x14ac:dyDescent="0.2">
      <c r="A43" s="2251"/>
      <c r="B43" s="2252"/>
      <c r="C43" s="2252"/>
      <c r="D43" s="2252"/>
      <c r="E43" s="2252"/>
      <c r="F43" s="2252"/>
      <c r="G43" s="2252"/>
      <c r="H43" s="2252"/>
      <c r="I43" s="2252"/>
      <c r="J43" s="2252"/>
      <c r="K43" s="2252"/>
      <c r="L43" s="2252"/>
      <c r="M43" s="2253"/>
    </row>
  </sheetData>
  <mergeCells count="6">
    <mergeCell ref="A42:M43"/>
    <mergeCell ref="H5:M5"/>
    <mergeCell ref="A2:M2"/>
    <mergeCell ref="B6:G6"/>
    <mergeCell ref="I6:M6"/>
    <mergeCell ref="A5:G5"/>
  </mergeCells>
  <pageMargins left="0.7" right="0.7" top="0.75" bottom="0.75" header="0.3" footer="0.3"/>
  <pageSetup paperSize="9" scale="52" fitToHeight="0"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Y41"/>
  <sheetViews>
    <sheetView topLeftCell="B1" workbookViewId="0">
      <selection activeCell="G20" sqref="G20"/>
    </sheetView>
  </sheetViews>
  <sheetFormatPr baseColWidth="10" defaultColWidth="8.83203125" defaultRowHeight="16" x14ac:dyDescent="0.2"/>
  <cols>
    <col min="1" max="1" width="0" style="143" hidden="1" customWidth="1"/>
    <col min="2" max="2" width="68.1640625" style="143" customWidth="1"/>
    <col min="3" max="4" width="15.6640625" style="143" customWidth="1"/>
    <col min="5" max="16384" width="8.83203125" style="143"/>
  </cols>
  <sheetData>
    <row r="1" spans="2:25" ht="17" thickBot="1" x14ac:dyDescent="0.25">
      <c r="B1" s="1027"/>
      <c r="C1" s="1027"/>
      <c r="D1" s="1027"/>
      <c r="E1" s="1027"/>
      <c r="F1" s="954"/>
      <c r="G1" s="954"/>
      <c r="H1" s="954"/>
      <c r="I1" s="954"/>
      <c r="J1" s="954"/>
      <c r="K1" s="954"/>
      <c r="L1" s="954"/>
      <c r="M1" s="954"/>
      <c r="N1" s="954"/>
      <c r="O1" s="954"/>
      <c r="P1" s="954"/>
      <c r="Q1" s="954"/>
      <c r="R1" s="954"/>
      <c r="S1" s="954"/>
      <c r="T1" s="954"/>
      <c r="U1" s="954"/>
      <c r="V1" s="954"/>
      <c r="W1" s="954"/>
      <c r="X1" s="954"/>
      <c r="Y1" s="954"/>
    </row>
    <row r="2" spans="2:25" ht="31" customHeight="1" thickTop="1" x14ac:dyDescent="0.2">
      <c r="B2" s="2264" t="s">
        <v>592</v>
      </c>
      <c r="C2" s="2265"/>
      <c r="D2" s="2266"/>
      <c r="E2" s="604"/>
      <c r="F2" s="954"/>
      <c r="G2" s="954"/>
      <c r="H2" s="954"/>
      <c r="I2" s="954"/>
      <c r="J2" s="954"/>
      <c r="K2" s="954"/>
      <c r="L2" s="954"/>
      <c r="M2" s="954"/>
      <c r="N2" s="954"/>
      <c r="O2" s="954"/>
      <c r="P2" s="954"/>
      <c r="Q2" s="954"/>
      <c r="R2" s="954"/>
      <c r="S2" s="954"/>
      <c r="T2" s="954"/>
      <c r="U2" s="954"/>
      <c r="V2" s="954"/>
      <c r="W2" s="954"/>
      <c r="X2" s="954"/>
      <c r="Y2" s="954"/>
    </row>
    <row r="3" spans="2:25" ht="20" x14ac:dyDescent="0.2">
      <c r="B3" s="669"/>
      <c r="C3" s="603"/>
      <c r="D3" s="670"/>
      <c r="E3" s="603"/>
      <c r="F3" s="954"/>
      <c r="G3" s="954"/>
      <c r="H3" s="954"/>
      <c r="I3" s="954"/>
      <c r="J3" s="954"/>
      <c r="K3" s="954"/>
      <c r="L3" s="954"/>
      <c r="M3" s="954"/>
      <c r="N3" s="954"/>
      <c r="O3" s="954"/>
      <c r="P3" s="954"/>
      <c r="Q3" s="954"/>
      <c r="R3" s="954"/>
      <c r="S3" s="954"/>
      <c r="T3" s="954"/>
      <c r="U3" s="954"/>
      <c r="V3" s="954"/>
      <c r="W3" s="954"/>
      <c r="X3" s="954"/>
      <c r="Y3" s="954"/>
    </row>
    <row r="4" spans="2:25" ht="20" x14ac:dyDescent="0.2">
      <c r="B4" s="669"/>
      <c r="C4" s="678" t="s">
        <v>1</v>
      </c>
      <c r="D4" s="679" t="s">
        <v>2</v>
      </c>
      <c r="E4" s="603"/>
      <c r="F4" s="954"/>
      <c r="G4" s="954"/>
      <c r="H4" s="954"/>
      <c r="I4" s="954"/>
      <c r="J4" s="954"/>
      <c r="K4" s="954"/>
      <c r="L4" s="954"/>
      <c r="M4" s="954"/>
      <c r="N4" s="954"/>
      <c r="O4" s="954"/>
      <c r="P4" s="954"/>
      <c r="Q4" s="954"/>
      <c r="R4" s="954"/>
      <c r="S4" s="954"/>
      <c r="T4" s="954"/>
      <c r="U4" s="954"/>
      <c r="V4" s="954"/>
      <c r="W4" s="954"/>
      <c r="X4" s="954"/>
      <c r="Y4" s="954"/>
    </row>
    <row r="5" spans="2:25" x14ac:dyDescent="0.2">
      <c r="B5" s="1316"/>
      <c r="C5" s="2267" t="s">
        <v>593</v>
      </c>
      <c r="D5" s="2269" t="s">
        <v>594</v>
      </c>
      <c r="E5" s="1027"/>
      <c r="F5" s="954"/>
      <c r="G5" s="954"/>
      <c r="H5" s="954"/>
      <c r="I5" s="954"/>
      <c r="J5" s="954"/>
      <c r="K5" s="954"/>
      <c r="L5" s="954"/>
      <c r="M5" s="954"/>
      <c r="N5" s="954"/>
      <c r="O5" s="954"/>
      <c r="P5" s="954"/>
      <c r="Q5" s="954"/>
      <c r="R5" s="954"/>
      <c r="S5" s="954"/>
      <c r="T5" s="954"/>
      <c r="U5" s="954"/>
      <c r="V5" s="954"/>
      <c r="W5" s="954"/>
      <c r="X5" s="954"/>
      <c r="Y5" s="954"/>
    </row>
    <row r="6" spans="2:25" x14ac:dyDescent="0.2">
      <c r="B6" s="1863"/>
      <c r="C6" s="2268"/>
      <c r="D6" s="2270"/>
      <c r="E6" s="1027"/>
      <c r="F6" s="954"/>
      <c r="G6" s="573"/>
      <c r="H6" s="601"/>
      <c r="I6" s="573"/>
      <c r="J6" s="573"/>
      <c r="K6" s="601"/>
      <c r="L6" s="601"/>
      <c r="M6" s="601"/>
      <c r="N6" s="602"/>
      <c r="O6" s="573"/>
      <c r="P6" s="573"/>
      <c r="Q6" s="573"/>
      <c r="R6" s="601"/>
      <c r="S6" s="601"/>
      <c r="T6" s="601"/>
      <c r="U6" s="601"/>
      <c r="V6" s="573"/>
      <c r="W6" s="573"/>
      <c r="X6" s="601"/>
      <c r="Y6" s="601"/>
    </row>
    <row r="7" spans="2:25" s="617" customFormat="1" ht="32.25" customHeight="1" x14ac:dyDescent="0.2">
      <c r="B7" s="671" t="s">
        <v>595</v>
      </c>
      <c r="C7" s="1422"/>
      <c r="D7" s="1423"/>
      <c r="E7" s="1037"/>
      <c r="F7" s="1424"/>
      <c r="G7" s="581"/>
      <c r="H7" s="613"/>
      <c r="I7" s="581"/>
      <c r="J7" s="581"/>
      <c r="K7" s="613"/>
      <c r="L7" s="613"/>
      <c r="M7" s="613"/>
      <c r="N7" s="618"/>
      <c r="O7" s="581"/>
      <c r="P7" s="581"/>
      <c r="Q7" s="581"/>
      <c r="R7" s="613"/>
      <c r="S7" s="613"/>
      <c r="T7" s="613"/>
      <c r="U7" s="613"/>
      <c r="V7" s="581"/>
      <c r="W7" s="581"/>
      <c r="X7" s="613"/>
      <c r="Y7" s="613"/>
    </row>
    <row r="8" spans="2:25" ht="17" x14ac:dyDescent="0.2">
      <c r="B8" s="1425" t="s">
        <v>596</v>
      </c>
      <c r="C8" s="1426">
        <f>+TableF4!AE35</f>
        <v>-93628.6</v>
      </c>
      <c r="D8" s="1427">
        <f>+TableF4!AE35/TableF4!AE99</f>
        <v>-9.2085196849681236E-2</v>
      </c>
      <c r="E8" s="1027"/>
      <c r="F8" s="954"/>
      <c r="G8" s="573"/>
      <c r="H8" s="583"/>
      <c r="I8" s="573"/>
      <c r="J8" s="573"/>
      <c r="K8" s="575"/>
      <c r="L8" s="573"/>
      <c r="M8" s="583"/>
      <c r="N8" s="583"/>
      <c r="O8" s="573"/>
      <c r="P8" s="573"/>
      <c r="Q8" s="573"/>
      <c r="R8" s="583"/>
      <c r="S8" s="583"/>
      <c r="T8" s="583"/>
      <c r="U8" s="583"/>
      <c r="V8" s="573"/>
      <c r="W8" s="573"/>
      <c r="X8" s="583"/>
      <c r="Y8" s="583"/>
    </row>
    <row r="9" spans="2:25" ht="17" x14ac:dyDescent="0.2">
      <c r="B9" s="1428" t="s">
        <v>597</v>
      </c>
      <c r="C9" s="1426">
        <f>TableF4!AE36-TableF4!V36-TableF4!U36-TableF4!T36-TableF4!P36-TableF4!G36-TableF4!D36</f>
        <v>-24594.100000000017</v>
      </c>
      <c r="D9" s="1427">
        <f>+C9/TableF4!$AE$100</f>
        <v>-3.1282187999156469E-2</v>
      </c>
      <c r="E9" s="1027"/>
      <c r="F9" s="954"/>
      <c r="G9" s="573"/>
      <c r="H9" s="583"/>
      <c r="I9" s="573"/>
      <c r="J9" s="573"/>
      <c r="K9" s="575"/>
      <c r="L9" s="573"/>
      <c r="M9" s="583"/>
      <c r="N9" s="583"/>
      <c r="O9" s="573"/>
      <c r="P9" s="573"/>
      <c r="Q9" s="573"/>
      <c r="R9" s="583"/>
      <c r="S9" s="583"/>
      <c r="T9" s="583"/>
      <c r="U9" s="583"/>
      <c r="V9" s="573"/>
      <c r="W9" s="573"/>
      <c r="X9" s="583"/>
      <c r="Y9" s="583"/>
    </row>
    <row r="10" spans="2:25" x14ac:dyDescent="0.2">
      <c r="B10" s="1425"/>
      <c r="C10" s="1422"/>
      <c r="D10" s="1429"/>
      <c r="E10" s="1027"/>
      <c r="F10" s="954"/>
      <c r="G10" s="954"/>
      <c r="H10" s="954"/>
      <c r="I10" s="954"/>
      <c r="J10" s="954"/>
      <c r="K10" s="954"/>
      <c r="L10" s="954"/>
      <c r="M10" s="954"/>
      <c r="N10" s="954"/>
      <c r="O10" s="954"/>
      <c r="P10" s="954"/>
      <c r="Q10" s="954"/>
      <c r="R10" s="954"/>
      <c r="S10" s="954"/>
      <c r="T10" s="954"/>
      <c r="U10" s="954"/>
      <c r="V10" s="954"/>
      <c r="W10" s="954"/>
      <c r="X10" s="954"/>
      <c r="Y10" s="954"/>
    </row>
    <row r="11" spans="2:25" s="617" customFormat="1" ht="32.25" customHeight="1" x14ac:dyDescent="0.2">
      <c r="B11" s="671" t="s">
        <v>598</v>
      </c>
      <c r="C11" s="1422"/>
      <c r="D11" s="1429"/>
      <c r="E11" s="1037"/>
      <c r="F11" s="1424"/>
      <c r="G11" s="1424"/>
      <c r="H11" s="1424"/>
      <c r="I11" s="1424"/>
      <c r="J11" s="1424"/>
      <c r="K11" s="1424"/>
      <c r="L11" s="1424"/>
      <c r="M11" s="1424"/>
      <c r="N11" s="1424"/>
      <c r="O11" s="1424"/>
      <c r="P11" s="1424"/>
      <c r="Q11" s="1424"/>
      <c r="R11" s="1424"/>
      <c r="S11" s="1424"/>
      <c r="T11" s="1424"/>
      <c r="U11" s="1424"/>
      <c r="V11" s="1424"/>
      <c r="W11" s="1424"/>
      <c r="X11" s="1424"/>
      <c r="Y11" s="1424"/>
    </row>
    <row r="12" spans="2:25" ht="15" customHeight="1" x14ac:dyDescent="0.2">
      <c r="B12" s="1425" t="s">
        <v>599</v>
      </c>
      <c r="C12" s="1426">
        <f>+TableF4!T99</f>
        <v>61021</v>
      </c>
      <c r="D12" s="1430">
        <f>+C12/TableF4!T99</f>
        <v>1</v>
      </c>
      <c r="E12" s="1027"/>
      <c r="F12" s="954"/>
      <c r="G12" s="954"/>
      <c r="H12" s="954"/>
      <c r="I12" s="954"/>
      <c r="J12" s="954"/>
      <c r="K12" s="954"/>
      <c r="L12" s="954"/>
      <c r="M12" s="954"/>
      <c r="N12" s="954"/>
      <c r="O12" s="954"/>
      <c r="P12" s="954"/>
      <c r="Q12" s="954"/>
      <c r="R12" s="954"/>
      <c r="S12" s="954"/>
      <c r="T12" s="954"/>
      <c r="U12" s="954"/>
      <c r="V12" s="954"/>
      <c r="W12" s="954"/>
      <c r="X12" s="954"/>
      <c r="Y12" s="954"/>
    </row>
    <row r="13" spans="2:25" ht="17" x14ac:dyDescent="0.2">
      <c r="B13" s="1425" t="s">
        <v>600</v>
      </c>
      <c r="C13" s="1426">
        <f>+TableF4!T67</f>
        <v>37171.800000000003</v>
      </c>
      <c r="D13" s="1430">
        <f>+C13/C12</f>
        <v>0.60916405827502007</v>
      </c>
      <c r="E13" s="1027"/>
      <c r="F13" s="954"/>
      <c r="G13" s="954"/>
      <c r="H13" s="954"/>
      <c r="I13" s="954"/>
      <c r="J13" s="954"/>
      <c r="K13" s="954"/>
      <c r="L13" s="954"/>
      <c r="M13" s="954"/>
      <c r="N13" s="954"/>
      <c r="O13" s="954"/>
      <c r="P13" s="954"/>
      <c r="Q13" s="954"/>
      <c r="R13" s="954"/>
      <c r="S13" s="954"/>
      <c r="T13" s="954"/>
      <c r="U13" s="954"/>
      <c r="V13" s="954"/>
      <c r="W13" s="954"/>
      <c r="X13" s="954"/>
      <c r="Y13" s="954"/>
    </row>
    <row r="14" spans="2:25" ht="17" x14ac:dyDescent="0.2">
      <c r="B14" s="1425" t="s">
        <v>601</v>
      </c>
      <c r="C14" s="1426">
        <f>+C13-C12</f>
        <v>-23849.199999999997</v>
      </c>
      <c r="D14" s="1427">
        <f>+C14/C12</f>
        <v>-0.39083594172497987</v>
      </c>
      <c r="E14" s="1027"/>
      <c r="F14" s="954"/>
      <c r="G14" s="954"/>
      <c r="H14" s="954"/>
      <c r="I14" s="954"/>
      <c r="J14" s="954"/>
      <c r="K14" s="954"/>
      <c r="L14" s="954"/>
      <c r="M14" s="954"/>
      <c r="N14" s="954"/>
      <c r="O14" s="954"/>
      <c r="P14" s="954"/>
      <c r="Q14" s="954"/>
      <c r="R14" s="954"/>
      <c r="S14" s="954"/>
      <c r="T14" s="954"/>
      <c r="U14" s="954"/>
      <c r="V14" s="954"/>
      <c r="W14" s="954"/>
      <c r="X14" s="954"/>
      <c r="Y14" s="954"/>
    </row>
    <row r="15" spans="2:25" ht="17" x14ac:dyDescent="0.2">
      <c r="B15" s="1425" t="s">
        <v>602</v>
      </c>
      <c r="C15" s="1426">
        <f>+TableF4!T36</f>
        <v>-27767.8</v>
      </c>
      <c r="D15" s="1427">
        <f>+C15/TableF4!$T$100</f>
        <v>-0.53689746514820469</v>
      </c>
      <c r="E15" s="1027"/>
      <c r="F15" s="954"/>
      <c r="G15" s="954"/>
      <c r="H15" s="954"/>
      <c r="I15" s="954"/>
      <c r="J15" s="954"/>
      <c r="K15" s="954"/>
      <c r="L15" s="954"/>
      <c r="M15" s="954"/>
      <c r="N15" s="954"/>
      <c r="O15" s="954"/>
      <c r="P15" s="954"/>
      <c r="Q15" s="954"/>
      <c r="R15" s="954"/>
      <c r="S15" s="954"/>
      <c r="T15" s="954"/>
      <c r="U15" s="954"/>
      <c r="V15" s="954"/>
      <c r="W15" s="954"/>
      <c r="X15" s="954"/>
      <c r="Y15" s="954"/>
    </row>
    <row r="16" spans="2:25" x14ac:dyDescent="0.2">
      <c r="B16" s="1425"/>
      <c r="C16" s="1422"/>
      <c r="D16" s="1429"/>
      <c r="E16" s="1027"/>
      <c r="F16" s="954"/>
      <c r="G16" s="954"/>
      <c r="H16" s="954"/>
      <c r="I16" s="954"/>
      <c r="J16" s="954"/>
      <c r="K16" s="954"/>
      <c r="L16" s="954"/>
      <c r="M16" s="954"/>
      <c r="N16" s="954"/>
      <c r="O16" s="954"/>
      <c r="P16" s="954"/>
      <c r="Q16" s="954"/>
      <c r="R16" s="954"/>
      <c r="S16" s="954"/>
      <c r="T16" s="954"/>
      <c r="U16" s="954"/>
      <c r="V16" s="954"/>
      <c r="W16" s="954"/>
      <c r="X16" s="954"/>
      <c r="Y16" s="954"/>
    </row>
    <row r="17" spans="2:5" s="617" customFormat="1" ht="32.25" customHeight="1" x14ac:dyDescent="0.2">
      <c r="B17" s="671" t="s">
        <v>603</v>
      </c>
      <c r="C17" s="1422"/>
      <c r="D17" s="1429"/>
      <c r="E17" s="1037"/>
    </row>
    <row r="18" spans="2:5" ht="17" x14ac:dyDescent="0.2">
      <c r="B18" s="1425" t="s">
        <v>49</v>
      </c>
      <c r="C18" s="1426">
        <f>+C15</f>
        <v>-27767.8</v>
      </c>
      <c r="D18" s="1427">
        <f>+C18/TableF4!$T$100</f>
        <v>-0.53689746514820469</v>
      </c>
      <c r="E18" s="1027"/>
    </row>
    <row r="19" spans="2:5" ht="17" x14ac:dyDescent="0.2">
      <c r="B19" s="1425" t="s">
        <v>43</v>
      </c>
      <c r="C19" s="1426">
        <f>+TableF4!P36</f>
        <v>-19957.900000000001</v>
      </c>
      <c r="D19" s="1427">
        <f>+TableF4!P36/TableF4!$P$100</f>
        <v>-0.34598075756262464</v>
      </c>
      <c r="E19" s="1027"/>
    </row>
    <row r="20" spans="2:5" ht="17" x14ac:dyDescent="0.2">
      <c r="B20" s="1425" t="s">
        <v>31</v>
      </c>
      <c r="C20" s="1426">
        <f>+TableF4!D36</f>
        <v>-14484.8</v>
      </c>
      <c r="D20" s="1427">
        <f>+TableF4!D36/TableF4!D100</f>
        <v>-0.30481481481481482</v>
      </c>
      <c r="E20" s="1027"/>
    </row>
    <row r="21" spans="2:5" ht="17" x14ac:dyDescent="0.2">
      <c r="B21" s="1425" t="s">
        <v>51</v>
      </c>
      <c r="C21" s="1426">
        <f>+TableF4!V36</f>
        <v>-6773.2</v>
      </c>
      <c r="D21" s="1427">
        <f>+C21/TableF4!V100</f>
        <v>-0.11672577748825538</v>
      </c>
      <c r="E21" s="1027"/>
    </row>
    <row r="22" spans="2:5" ht="17" x14ac:dyDescent="0.2">
      <c r="B22" s="1425" t="s">
        <v>86</v>
      </c>
      <c r="C22" s="1426">
        <f>+TableF4!G36</f>
        <v>72.5</v>
      </c>
      <c r="D22" s="1427">
        <f>+C22/TableF4!G100</f>
        <v>1.7123287671232876E-2</v>
      </c>
      <c r="E22" s="1027"/>
    </row>
    <row r="23" spans="2:5" ht="17" x14ac:dyDescent="0.2">
      <c r="B23" s="1425" t="s">
        <v>96</v>
      </c>
      <c r="C23" s="1426">
        <f>+TableF4!U36</f>
        <v>-146.39999999999998</v>
      </c>
      <c r="D23" s="1427">
        <f>+C23/TableF4!U100</f>
        <v>-4.4675007628928891E-2</v>
      </c>
      <c r="E23" s="1027"/>
    </row>
    <row r="24" spans="2:5" ht="17" x14ac:dyDescent="0.2">
      <c r="B24" s="672" t="s">
        <v>604</v>
      </c>
      <c r="C24" s="680">
        <f>SUM(C18:C23)</f>
        <v>-69057.599999999991</v>
      </c>
      <c r="D24" s="673">
        <f>+C24/(TableF4!D100+TableF4!G100+TableF4!P100+TableF4!T100+TableF4!U100+TableF4!V100)</f>
        <v>-0.3104248103942433</v>
      </c>
      <c r="E24" s="1027"/>
    </row>
    <row r="25" spans="2:5" x14ac:dyDescent="0.2">
      <c r="B25" s="1431"/>
      <c r="C25" s="1037"/>
      <c r="D25" s="1432"/>
      <c r="E25" s="1027"/>
    </row>
    <row r="26" spans="2:5" s="617" customFormat="1" ht="32.25" customHeight="1" x14ac:dyDescent="0.2">
      <c r="B26" s="671" t="s">
        <v>605</v>
      </c>
      <c r="C26" s="1037"/>
      <c r="D26" s="1432"/>
      <c r="E26" s="1037"/>
    </row>
    <row r="27" spans="2:5" ht="17" x14ac:dyDescent="0.2">
      <c r="B27" s="1425" t="s">
        <v>49</v>
      </c>
      <c r="C27" s="1426">
        <f>+TableF4!T35-TableF4!T36</f>
        <v>3918.5999999999985</v>
      </c>
      <c r="D27" s="1427">
        <f>+C27/(TableF4!T99-TableF4!T100)</f>
        <v>0.42126424424854853</v>
      </c>
      <c r="E27" s="1027"/>
    </row>
    <row r="28" spans="2:5" ht="17" x14ac:dyDescent="0.2">
      <c r="B28" s="1425" t="s">
        <v>43</v>
      </c>
      <c r="C28" s="1426">
        <f>+TableF4!P35-TableF4!P36</f>
        <v>4081.7000000000007</v>
      </c>
      <c r="D28" s="1427">
        <f>+C28/(TableF4!P99-TableF4!P100)</f>
        <v>0.5130341880341881</v>
      </c>
      <c r="E28" s="1027"/>
    </row>
    <row r="29" spans="2:5" ht="17" x14ac:dyDescent="0.2">
      <c r="B29" s="1425" t="s">
        <v>31</v>
      </c>
      <c r="C29" s="1426">
        <f>+TableF4!D35-TableF4!D36</f>
        <v>-11535.8</v>
      </c>
      <c r="D29" s="1427">
        <f>+C29/(TableF4!C99-TableF4!C100)</f>
        <v>-2.8539831766452251</v>
      </c>
      <c r="E29" s="1027"/>
    </row>
    <row r="30" spans="2:5" ht="17" x14ac:dyDescent="0.2">
      <c r="B30" s="1425" t="s">
        <v>51</v>
      </c>
      <c r="C30" s="1426">
        <f>(TableF4!V35-TableF4!V36)</f>
        <v>9557.9</v>
      </c>
      <c r="D30" s="1433">
        <f>+C30/(TableF4!V99-TableF4!V100)</f>
        <v>0.37533329929982606</v>
      </c>
      <c r="E30" s="1027"/>
    </row>
    <row r="31" spans="2:5" ht="17" x14ac:dyDescent="0.2">
      <c r="B31" s="1425" t="s">
        <v>86</v>
      </c>
      <c r="C31" s="1426">
        <f>+TableF4!G35-TableF4!G36</f>
        <v>510.4</v>
      </c>
      <c r="D31" s="1427">
        <f>+C31/(TableF4!G99-TableF4!G100)</f>
        <v>1.8035335689045935</v>
      </c>
      <c r="E31" s="1027"/>
    </row>
    <row r="32" spans="2:5" ht="17" x14ac:dyDescent="0.2">
      <c r="B32" s="1425" t="s">
        <v>96</v>
      </c>
      <c r="C32" s="1426">
        <f>+TableF4!U35-TableF4!U36</f>
        <v>330.7</v>
      </c>
      <c r="D32" s="1427">
        <f>+C32/(TableF4!U99-TableF4!U100)</f>
        <v>1.5031818181818182</v>
      </c>
      <c r="E32" s="954"/>
    </row>
    <row r="33" spans="2:4" ht="17" x14ac:dyDescent="0.2">
      <c r="B33" s="674" t="s">
        <v>606</v>
      </c>
      <c r="C33" s="681">
        <f>SUM(C27:C32)</f>
        <v>6863.4999999999991</v>
      </c>
      <c r="D33" s="675">
        <f>+C33/(TableF4!D101+TableF4!G101+TableF4!P101+TableF4!T101+TableF4!U101+TableF4!V101)</f>
        <v>0.1050716373172326</v>
      </c>
    </row>
    <row r="34" spans="2:4" x14ac:dyDescent="0.2">
      <c r="B34" s="1431"/>
      <c r="C34" s="1037"/>
      <c r="D34" s="1432"/>
    </row>
    <row r="35" spans="2:4" ht="17" x14ac:dyDescent="0.2">
      <c r="B35" s="1431" t="s">
        <v>607</v>
      </c>
      <c r="C35" s="1434">
        <f>+TableF4!AE37-TableF4!V37-TableF4!U37-TableF4!T37-TableF4!P37-TableF4!G37-TableF4!D37</f>
        <v>-6840.3999999999978</v>
      </c>
      <c r="D35" s="1435">
        <f>+C35/(TableF4!AE101-TableF4!V101-TableF4!U101-TableF4!T101-TableF4!P101-TableF4!G101-TableF4!D101)</f>
        <v>-4.1397482768700249E-2</v>
      </c>
    </row>
    <row r="36" spans="2:4" x14ac:dyDescent="0.2">
      <c r="B36" s="1431"/>
      <c r="C36" s="1037"/>
      <c r="D36" s="1432"/>
    </row>
    <row r="37" spans="2:4" ht="18" thickBot="1" x14ac:dyDescent="0.25">
      <c r="B37" s="676" t="s">
        <v>608</v>
      </c>
      <c r="C37" s="293">
        <f>+C35+C33+C24+C9</f>
        <v>-93628.6</v>
      </c>
      <c r="D37" s="677">
        <f>+C37/TableF4!$AE$99</f>
        <v>-9.2085196849681236E-2</v>
      </c>
    </row>
    <row r="38" spans="2:4" ht="17" thickTop="1" x14ac:dyDescent="0.2">
      <c r="B38" s="954"/>
      <c r="C38" s="954"/>
      <c r="D38" s="954"/>
    </row>
    <row r="40" spans="2:4" x14ac:dyDescent="0.2">
      <c r="B40" s="572"/>
      <c r="C40" s="954"/>
      <c r="D40" s="954"/>
    </row>
    <row r="41" spans="2:4" x14ac:dyDescent="0.2">
      <c r="B41" s="572"/>
      <c r="C41" s="954"/>
      <c r="D41" s="954"/>
    </row>
  </sheetData>
  <mergeCells count="3">
    <mergeCell ref="B2:D2"/>
    <mergeCell ref="C5:C6"/>
    <mergeCell ref="D5:D6"/>
  </mergeCells>
  <pageMargins left="0.7" right="0.7" top="0.75" bottom="0.75" header="0.3" footer="0.3"/>
  <pageSetup paperSize="9" scale="88"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T108"/>
  <sheetViews>
    <sheetView workbookViewId="0">
      <pane xSplit="1" ySplit="8" topLeftCell="B9" activePane="bottomRight" state="frozen"/>
      <selection pane="topRight" activeCell="AR8" sqref="AR8"/>
      <selection pane="bottomLeft" activeCell="AR8" sqref="AR8"/>
      <selection pane="bottomRight" activeCell="A3" sqref="A3:L3"/>
    </sheetView>
  </sheetViews>
  <sheetFormatPr baseColWidth="10" defaultColWidth="10.83203125" defaultRowHeight="16" x14ac:dyDescent="0.2"/>
  <cols>
    <col min="1" max="1" width="19" style="1" customWidth="1"/>
    <col min="2" max="2" width="11.33203125" style="1" customWidth="1"/>
    <col min="3" max="3" width="11.83203125" style="1" customWidth="1"/>
    <col min="4" max="13" width="11.33203125" style="1" customWidth="1"/>
    <col min="14" max="14" width="21.6640625" style="1" bestFit="1" customWidth="1"/>
    <col min="15" max="17" width="10.83203125" style="172"/>
    <col min="18" max="16384" width="10.83203125" style="1"/>
  </cols>
  <sheetData>
    <row r="2" spans="1:17" ht="17" thickBot="1" x14ac:dyDescent="0.25">
      <c r="A2" s="954"/>
      <c r="B2" s="954"/>
      <c r="C2" s="954"/>
      <c r="D2" s="954"/>
      <c r="E2" s="954"/>
      <c r="F2" s="954"/>
      <c r="G2" s="954"/>
      <c r="H2" s="954"/>
      <c r="I2" s="954"/>
      <c r="J2" s="954"/>
      <c r="K2" s="954"/>
      <c r="L2" s="954"/>
      <c r="M2" s="954"/>
      <c r="N2" s="954"/>
    </row>
    <row r="3" spans="1:17" ht="32.25" customHeight="1" thickTop="1" x14ac:dyDescent="0.2">
      <c r="A3" s="1951" t="s">
        <v>118</v>
      </c>
      <c r="B3" s="1952"/>
      <c r="C3" s="1952"/>
      <c r="D3" s="1952"/>
      <c r="E3" s="1952"/>
      <c r="F3" s="1952"/>
      <c r="G3" s="1952"/>
      <c r="H3" s="1952"/>
      <c r="I3" s="1952"/>
      <c r="J3" s="1952"/>
      <c r="K3" s="1952"/>
      <c r="L3" s="1953"/>
      <c r="M3" s="620"/>
      <c r="N3" s="954"/>
    </row>
    <row r="4" spans="1:17" ht="12" customHeight="1" x14ac:dyDescent="0.2">
      <c r="A4" s="4"/>
      <c r="B4" s="620"/>
      <c r="C4" s="620"/>
      <c r="D4" s="620"/>
      <c r="E4" s="620"/>
      <c r="F4" s="620"/>
      <c r="G4" s="620"/>
      <c r="H4" s="620"/>
      <c r="I4" s="620"/>
      <c r="J4" s="620"/>
      <c r="K4" s="620"/>
      <c r="L4" s="5"/>
      <c r="M4" s="620"/>
      <c r="N4" s="954"/>
    </row>
    <row r="5" spans="1:17" ht="17" thickBot="1" x14ac:dyDescent="0.25">
      <c r="A5" s="1074"/>
      <c r="B5" s="126" t="s">
        <v>1</v>
      </c>
      <c r="C5" s="126" t="s">
        <v>2</v>
      </c>
      <c r="D5" s="126" t="s">
        <v>3</v>
      </c>
      <c r="E5" s="126" t="s">
        <v>4</v>
      </c>
      <c r="F5" s="126" t="s">
        <v>5</v>
      </c>
      <c r="G5" s="126" t="s">
        <v>6</v>
      </c>
      <c r="H5" s="126" t="s">
        <v>7</v>
      </c>
      <c r="I5" s="126" t="s">
        <v>8</v>
      </c>
      <c r="J5" s="126" t="s">
        <v>9</v>
      </c>
      <c r="K5" s="126" t="s">
        <v>10</v>
      </c>
      <c r="L5" s="185" t="s">
        <v>11</v>
      </c>
      <c r="M5" s="126"/>
      <c r="N5" s="954"/>
    </row>
    <row r="6" spans="1:17" ht="21" customHeight="1" x14ac:dyDescent="0.2">
      <c r="A6" s="1074"/>
      <c r="B6" s="1964" t="s">
        <v>14</v>
      </c>
      <c r="C6" s="1965"/>
      <c r="D6" s="1965"/>
      <c r="E6" s="1965"/>
      <c r="F6" s="1965"/>
      <c r="G6" s="1966"/>
      <c r="H6" s="1986" t="s">
        <v>119</v>
      </c>
      <c r="I6" s="1988" t="s">
        <v>120</v>
      </c>
      <c r="J6" s="1989" t="s">
        <v>121</v>
      </c>
      <c r="K6" s="1991" t="s">
        <v>122</v>
      </c>
      <c r="L6" s="1981" t="s">
        <v>123</v>
      </c>
      <c r="M6" s="1802"/>
      <c r="N6" s="954"/>
    </row>
    <row r="7" spans="1:17" ht="85" customHeight="1" x14ac:dyDescent="0.2">
      <c r="A7" s="1074"/>
      <c r="B7" s="1983" t="s">
        <v>124</v>
      </c>
      <c r="C7" s="1967" t="s">
        <v>125</v>
      </c>
      <c r="D7" s="1984" t="s">
        <v>126</v>
      </c>
      <c r="E7" s="1803" t="s">
        <v>127</v>
      </c>
      <c r="F7" s="1803" t="s">
        <v>128</v>
      </c>
      <c r="G7" s="1985" t="s">
        <v>129</v>
      </c>
      <c r="H7" s="1987"/>
      <c r="I7" s="1975"/>
      <c r="J7" s="1990"/>
      <c r="K7" s="1992"/>
      <c r="L7" s="1982"/>
      <c r="M7" s="1802"/>
      <c r="N7" s="1098"/>
      <c r="O7" s="317" t="s">
        <v>26</v>
      </c>
      <c r="P7" s="545" t="s">
        <v>130</v>
      </c>
      <c r="Q7" s="546" t="s">
        <v>131</v>
      </c>
    </row>
    <row r="8" spans="1:17" ht="33" customHeight="1" x14ac:dyDescent="0.2">
      <c r="A8" s="1074"/>
      <c r="B8" s="1960"/>
      <c r="C8" s="1968"/>
      <c r="D8" s="1984"/>
      <c r="E8" s="127"/>
      <c r="F8" s="127"/>
      <c r="G8" s="1985"/>
      <c r="H8" s="1987"/>
      <c r="I8" s="1975"/>
      <c r="J8" s="1990"/>
      <c r="K8" s="1992"/>
      <c r="L8" s="1982"/>
      <c r="M8" s="1802"/>
      <c r="N8" s="1098"/>
      <c r="O8" s="10"/>
      <c r="Q8" s="547"/>
    </row>
    <row r="9" spans="1:17" ht="40" customHeight="1" x14ac:dyDescent="0.2">
      <c r="A9" s="190" t="s">
        <v>28</v>
      </c>
      <c r="B9" s="174">
        <f t="shared" ref="B9:G9" si="0">SUM(B10:B44)</f>
        <v>26359.302824524231</v>
      </c>
      <c r="C9" s="201">
        <f t="shared" si="0"/>
        <v>15382.439705866644</v>
      </c>
      <c r="D9" s="202">
        <f t="shared" si="0"/>
        <v>6320.6828851727678</v>
      </c>
      <c r="E9" s="202">
        <f t="shared" si="0"/>
        <v>-9.1668137796673932</v>
      </c>
      <c r="F9" s="202">
        <f t="shared" si="0"/>
        <v>6329.8496989524356</v>
      </c>
      <c r="G9" s="203">
        <f t="shared" si="0"/>
        <v>4656.1796282132627</v>
      </c>
      <c r="H9" s="204">
        <f>(G9+D9)/B9</f>
        <v>0.41643220180972884</v>
      </c>
      <c r="I9" s="204">
        <f>D9/(D9+C9)</f>
        <v>0.29123380097306334</v>
      </c>
      <c r="J9" s="205">
        <f>1-I9</f>
        <v>0.70876619902693672</v>
      </c>
      <c r="K9" s="204">
        <f>E9/D9</f>
        <v>-1.4502885125230942E-3</v>
      </c>
      <c r="L9" s="206">
        <f>F9/C9</f>
        <v>0.41149842417638866</v>
      </c>
      <c r="M9" s="176"/>
      <c r="N9" s="1098"/>
      <c r="O9" s="268">
        <f>B9-C9-D9-G9</f>
        <v>6.0527155710587977E-4</v>
      </c>
      <c r="P9" s="318">
        <f>G9/B9</f>
        <v>0.17664274579679837</v>
      </c>
      <c r="Q9" s="318">
        <f>G9/(G9+D9)</f>
        <v>0.42418128336172195</v>
      </c>
    </row>
    <row r="10" spans="1:17" ht="14.25" customHeight="1" x14ac:dyDescent="0.2">
      <c r="A10" s="1088" t="s">
        <v>29</v>
      </c>
      <c r="B10" s="168">
        <f>+TableA1!E10</f>
        <v>774.05825301069046</v>
      </c>
      <c r="C10" s="1099">
        <f>B10-D10-G10</f>
        <v>496.98457655004552</v>
      </c>
      <c r="D10" s="1100">
        <v>163.01301940514912</v>
      </c>
      <c r="E10" s="1101">
        <v>-15.834391363469035</v>
      </c>
      <c r="F10" s="1095">
        <f>D10-E10</f>
        <v>178.84741076861815</v>
      </c>
      <c r="G10" s="1102">
        <v>114.06065705549587</v>
      </c>
      <c r="H10" s="1103">
        <f>(G10+D10)/B10</f>
        <v>0.35794938608686128</v>
      </c>
      <c r="I10" s="24">
        <f>D10/(D10+C10)</f>
        <v>0.24699032300144261</v>
      </c>
      <c r="J10" s="1104">
        <f>1-I10</f>
        <v>0.75300967699855736</v>
      </c>
      <c r="K10" s="1105">
        <f>E10/D10</f>
        <v>-9.7135746710602128E-2</v>
      </c>
      <c r="L10" s="191">
        <f>F10/C10</f>
        <v>0.35986511293798373</v>
      </c>
      <c r="M10" s="24"/>
      <c r="N10" s="954"/>
      <c r="O10" s="268">
        <f t="shared" ref="O10:O73" si="1">B10-C10-D10-G10</f>
        <v>0</v>
      </c>
      <c r="P10" s="318">
        <f t="shared" ref="P10:P52" si="2">G10/B10</f>
        <v>0.1473540997875267</v>
      </c>
      <c r="Q10" s="318">
        <f t="shared" ref="Q10:Q52" si="3">G10/(G10+D10)</f>
        <v>0.41166183129524692</v>
      </c>
    </row>
    <row r="11" spans="1:17" ht="14.25" customHeight="1" x14ac:dyDescent="0.2">
      <c r="A11" s="1074" t="s">
        <v>30</v>
      </c>
      <c r="B11" s="168">
        <f>+TableA1!E11</f>
        <v>216.83707476995184</v>
      </c>
      <c r="C11" s="1099">
        <v>124.3274896607254</v>
      </c>
      <c r="D11" s="1100">
        <v>47.620441874367138</v>
      </c>
      <c r="E11" s="1106">
        <v>-0.33660175299087369</v>
      </c>
      <c r="F11" s="1107">
        <f t="shared" ref="F11:F43" si="4">D11-E11</f>
        <v>47.957043627358011</v>
      </c>
      <c r="G11" s="1108">
        <v>44.889032328186154</v>
      </c>
      <c r="H11" s="1103">
        <f t="shared" ref="H11:H44" si="5">(G11+D11)/B11</f>
        <v>0.42663125897957732</v>
      </c>
      <c r="I11" s="24">
        <f t="shared" ref="I11:I44" si="6">D11/(D11+C11)</f>
        <v>0.27694687251674421</v>
      </c>
      <c r="J11" s="1104">
        <f t="shared" ref="J11:J44" si="7">1-I11</f>
        <v>0.72305312748325579</v>
      </c>
      <c r="K11" s="1105">
        <f t="shared" ref="K11:K44" si="8">E11/D11</f>
        <v>-7.0684298536939404E-3</v>
      </c>
      <c r="L11" s="191">
        <f t="shared" ref="L11:L44" si="9">F11/C11</f>
        <v>0.38573161702393371</v>
      </c>
      <c r="M11" s="24"/>
      <c r="N11" s="954"/>
      <c r="O11" s="268">
        <f t="shared" si="1"/>
        <v>1.1090667314306302E-4</v>
      </c>
      <c r="P11" s="318">
        <f t="shared" si="2"/>
        <v>0.20701733029653765</v>
      </c>
      <c r="Q11" s="318">
        <f t="shared" si="3"/>
        <v>0.48523713614348057</v>
      </c>
    </row>
    <row r="12" spans="1:17" ht="14.25" customHeight="1" x14ac:dyDescent="0.2">
      <c r="A12" s="1074" t="s">
        <v>31</v>
      </c>
      <c r="B12" s="168">
        <f>+TableA1!E12</f>
        <v>283.38418404296965</v>
      </c>
      <c r="C12" s="1099">
        <v>166.52659153848629</v>
      </c>
      <c r="D12" s="1100">
        <v>59.610340494577216</v>
      </c>
      <c r="E12" s="1101">
        <v>-17.063324383164808</v>
      </c>
      <c r="F12" s="1107">
        <f t="shared" si="4"/>
        <v>76.673664877742027</v>
      </c>
      <c r="G12" s="1108">
        <v>57.247252009906191</v>
      </c>
      <c r="H12" s="1103">
        <f t="shared" si="5"/>
        <v>0.41236455343874889</v>
      </c>
      <c r="I12" s="24">
        <f t="shared" si="6"/>
        <v>0.26360285318570426</v>
      </c>
      <c r="J12" s="1104">
        <f t="shared" si="7"/>
        <v>0.7363971468142958</v>
      </c>
      <c r="K12" s="1105">
        <f t="shared" si="8"/>
        <v>-0.2862477255052262</v>
      </c>
      <c r="L12" s="191">
        <f t="shared" si="9"/>
        <v>0.46042895713758619</v>
      </c>
      <c r="M12" s="24"/>
      <c r="N12" s="1098"/>
      <c r="O12" s="268">
        <f t="shared" si="1"/>
        <v>0</v>
      </c>
      <c r="P12" s="318">
        <f t="shared" si="2"/>
        <v>0.20201286886647762</v>
      </c>
      <c r="Q12" s="318">
        <f t="shared" si="3"/>
        <v>0.48988902460667944</v>
      </c>
    </row>
    <row r="13" spans="1:17" x14ac:dyDescent="0.2">
      <c r="A13" s="1088" t="s">
        <v>32</v>
      </c>
      <c r="B13" s="168">
        <f>+TableA1!E13</f>
        <v>963.75367641885134</v>
      </c>
      <c r="C13" s="1099">
        <f>B13-D13-G13</f>
        <v>613.39428253347273</v>
      </c>
      <c r="D13" s="1100">
        <v>181.32856122048508</v>
      </c>
      <c r="E13" s="1101">
        <v>38.37157121659169</v>
      </c>
      <c r="F13" s="1107">
        <f t="shared" si="4"/>
        <v>142.9569900038934</v>
      </c>
      <c r="G13" s="1108">
        <v>169.03083266489352</v>
      </c>
      <c r="H13" s="1103">
        <f t="shared" si="5"/>
        <v>0.363536246302329</v>
      </c>
      <c r="I13" s="24">
        <f t="shared" si="6"/>
        <v>0.22816578464507242</v>
      </c>
      <c r="J13" s="1104">
        <f t="shared" si="7"/>
        <v>0.77183421535492758</v>
      </c>
      <c r="K13" s="1105">
        <f t="shared" si="8"/>
        <v>0.21161349849312525</v>
      </c>
      <c r="L13" s="191">
        <f t="shared" si="9"/>
        <v>0.23305888899623428</v>
      </c>
      <c r="M13" s="24"/>
      <c r="N13" s="954"/>
      <c r="O13" s="268">
        <f t="shared" si="1"/>
        <v>0</v>
      </c>
      <c r="P13" s="318">
        <f t="shared" si="2"/>
        <v>0.17538800297290075</v>
      </c>
      <c r="Q13" s="318">
        <f t="shared" si="3"/>
        <v>0.48244983755221532</v>
      </c>
    </row>
    <row r="14" spans="1:17" x14ac:dyDescent="0.2">
      <c r="A14" s="1088" t="s">
        <v>33</v>
      </c>
      <c r="B14" s="168">
        <f>C14+D14+G14</f>
        <v>154.1756815022006</v>
      </c>
      <c r="C14" s="1099">
        <v>67.029473521292758</v>
      </c>
      <c r="D14" s="1100">
        <v>66.204407980907845</v>
      </c>
      <c r="E14" s="1101">
        <v>-1.3380769776890027</v>
      </c>
      <c r="F14" s="1107">
        <f t="shared" si="4"/>
        <v>67.542484958596845</v>
      </c>
      <c r="G14" s="1108">
        <v>20.941800000000001</v>
      </c>
      <c r="H14" s="1103">
        <f t="shared" si="5"/>
        <v>0.56523964824935102</v>
      </c>
      <c r="I14" s="24">
        <f t="shared" si="6"/>
        <v>0.49690369472433599</v>
      </c>
      <c r="J14" s="1104">
        <f t="shared" si="7"/>
        <v>0.50309630527566407</v>
      </c>
      <c r="K14" s="1105">
        <f t="shared" si="8"/>
        <v>-2.0211297381813004E-2</v>
      </c>
      <c r="L14" s="191">
        <f t="shared" si="9"/>
        <v>1.0076535203150763</v>
      </c>
      <c r="M14" s="24"/>
      <c r="N14" s="954"/>
      <c r="O14" s="268">
        <f t="shared" si="1"/>
        <v>0</v>
      </c>
      <c r="P14" s="318">
        <f t="shared" si="2"/>
        <v>0.13583076005213632</v>
      </c>
      <c r="Q14" s="318">
        <f t="shared" si="3"/>
        <v>0.24030649738182491</v>
      </c>
    </row>
    <row r="15" spans="1:17" x14ac:dyDescent="0.2">
      <c r="A15" s="1088" t="s">
        <v>34</v>
      </c>
      <c r="B15" s="168">
        <f>+TableA1!E15</f>
        <v>112.15354438741807</v>
      </c>
      <c r="C15" s="1099">
        <v>54.009329742364955</v>
      </c>
      <c r="D15" s="1100">
        <v>32.639016210173281</v>
      </c>
      <c r="E15" s="1101">
        <v>-0.93842166776767111</v>
      </c>
      <c r="F15" s="1107">
        <f t="shared" si="4"/>
        <v>33.577437877940952</v>
      </c>
      <c r="G15" s="1108">
        <v>25.505198434879823</v>
      </c>
      <c r="H15" s="1103">
        <f t="shared" si="5"/>
        <v>0.51843403579116853</v>
      </c>
      <c r="I15" s="24">
        <f t="shared" si="6"/>
        <v>0.37668366142905202</v>
      </c>
      <c r="J15" s="1104">
        <f t="shared" si="7"/>
        <v>0.62331633857094793</v>
      </c>
      <c r="K15" s="1105">
        <f t="shared" si="8"/>
        <v>-2.8751530429865522E-2</v>
      </c>
      <c r="L15" s="191">
        <f t="shared" si="9"/>
        <v>0.62169699268833523</v>
      </c>
      <c r="M15" s="24"/>
      <c r="N15" s="954"/>
      <c r="O15" s="268">
        <f t="shared" si="1"/>
        <v>0</v>
      </c>
      <c r="P15" s="318">
        <f t="shared" si="2"/>
        <v>0.22741321796104663</v>
      </c>
      <c r="Q15" s="318">
        <f t="shared" si="3"/>
        <v>0.43865410497981161</v>
      </c>
    </row>
    <row r="16" spans="1:17" x14ac:dyDescent="0.2">
      <c r="A16" s="1088" t="s">
        <v>35</v>
      </c>
      <c r="B16" s="168">
        <f>+TableA1!E16</f>
        <v>171.31642871995703</v>
      </c>
      <c r="C16" s="1099">
        <v>98.579989289388223</v>
      </c>
      <c r="D16" s="1100">
        <v>41.257110123549566</v>
      </c>
      <c r="E16" s="1101">
        <v>-10.435489075577294</v>
      </c>
      <c r="F16" s="1107">
        <f t="shared" si="4"/>
        <v>51.69259919912686</v>
      </c>
      <c r="G16" s="1108">
        <v>31.479329307019256</v>
      </c>
      <c r="H16" s="1103">
        <f t="shared" si="5"/>
        <v>0.42457363823213756</v>
      </c>
      <c r="I16" s="24">
        <f t="shared" si="6"/>
        <v>0.29503694153235877</v>
      </c>
      <c r="J16" s="1104">
        <f t="shared" si="7"/>
        <v>0.70496305846764118</v>
      </c>
      <c r="K16" s="1105">
        <f t="shared" si="8"/>
        <v>-0.25293795528399637</v>
      </c>
      <c r="L16" s="191">
        <f t="shared" si="9"/>
        <v>0.52437213243531344</v>
      </c>
      <c r="M16" s="24"/>
      <c r="N16" s="954"/>
      <c r="O16" s="268">
        <f t="shared" si="1"/>
        <v>0</v>
      </c>
      <c r="P16" s="318">
        <f t="shared" si="2"/>
        <v>0.18374962367723091</v>
      </c>
      <c r="Q16" s="318">
        <f t="shared" si="3"/>
        <v>0.43278622865596977</v>
      </c>
    </row>
    <row r="17" spans="1:17" x14ac:dyDescent="0.2">
      <c r="A17" s="1088" t="s">
        <v>36</v>
      </c>
      <c r="B17" s="168">
        <f>+TableA1!E17</f>
        <v>14.300084621791608</v>
      </c>
      <c r="C17" s="1099">
        <v>7.9577756114007627</v>
      </c>
      <c r="D17" s="1100">
        <v>4.0342302355990451</v>
      </c>
      <c r="E17" s="1101">
        <v>-4.5471735988882649E-2</v>
      </c>
      <c r="F17" s="1107">
        <f t="shared" si="4"/>
        <v>4.0797019715879275</v>
      </c>
      <c r="G17" s="1108">
        <v>2.3078569614455131</v>
      </c>
      <c r="H17" s="1103">
        <f t="shared" si="5"/>
        <v>0.4434999767330034</v>
      </c>
      <c r="I17" s="24">
        <f t="shared" si="6"/>
        <v>0.33640996235907772</v>
      </c>
      <c r="J17" s="1104">
        <f t="shared" si="7"/>
        <v>0.66359003764092228</v>
      </c>
      <c r="K17" s="1105">
        <f t="shared" si="8"/>
        <v>-1.1271477663230226E-2</v>
      </c>
      <c r="L17" s="191">
        <f t="shared" si="9"/>
        <v>0.51266863641431581</v>
      </c>
      <c r="M17" s="24"/>
      <c r="N17" s="954"/>
      <c r="O17" s="268">
        <f t="shared" si="1"/>
        <v>2.218133462874583E-4</v>
      </c>
      <c r="P17" s="318">
        <f t="shared" si="2"/>
        <v>0.16138764367370365</v>
      </c>
      <c r="Q17" s="318">
        <f t="shared" si="3"/>
        <v>0.36389549524342479</v>
      </c>
    </row>
    <row r="18" spans="1:17" x14ac:dyDescent="0.2">
      <c r="A18" s="1088" t="s">
        <v>37</v>
      </c>
      <c r="B18" s="168">
        <f>+TableA1!E18</f>
        <v>127.77114186183469</v>
      </c>
      <c r="C18" s="1099">
        <v>75.447591606139355</v>
      </c>
      <c r="D18" s="1100">
        <v>26.548839417118892</v>
      </c>
      <c r="E18" s="1101">
        <v>1.4539864849128108</v>
      </c>
      <c r="F18" s="1107">
        <f t="shared" si="4"/>
        <v>25.094852932206081</v>
      </c>
      <c r="G18" s="1108">
        <v>25.774710838576446</v>
      </c>
      <c r="H18" s="1103">
        <f t="shared" si="5"/>
        <v>0.40950992135826259</v>
      </c>
      <c r="I18" s="24">
        <f t="shared" si="6"/>
        <v>0.26029184698692992</v>
      </c>
      <c r="J18" s="1104">
        <f t="shared" si="7"/>
        <v>0.73970815301307002</v>
      </c>
      <c r="K18" s="1105">
        <f t="shared" si="8"/>
        <v>5.4766480073523263E-2</v>
      </c>
      <c r="L18" s="191">
        <f t="shared" si="9"/>
        <v>0.33261304168871642</v>
      </c>
      <c r="M18" s="24"/>
      <c r="N18" s="954"/>
      <c r="O18" s="268">
        <f t="shared" si="1"/>
        <v>0</v>
      </c>
      <c r="P18" s="318">
        <f t="shared" si="2"/>
        <v>0.20172560456920646</v>
      </c>
      <c r="Q18" s="318">
        <f t="shared" si="3"/>
        <v>0.49260248420874131</v>
      </c>
    </row>
    <row r="19" spans="1:17" x14ac:dyDescent="0.2">
      <c r="A19" s="1088" t="s">
        <v>38</v>
      </c>
      <c r="B19" s="168">
        <f>+TableA1!E19</f>
        <v>1308.4658390810716</v>
      </c>
      <c r="C19" s="1099">
        <v>871.38042208861668</v>
      </c>
      <c r="D19" s="1100">
        <v>174.67801020119578</v>
      </c>
      <c r="E19" s="1101">
        <v>-12.980517024728861</v>
      </c>
      <c r="F19" s="1107">
        <f t="shared" si="4"/>
        <v>187.65852722592464</v>
      </c>
      <c r="G19" s="1108">
        <v>262.40740679125923</v>
      </c>
      <c r="H19" s="1103">
        <f t="shared" si="5"/>
        <v>0.33404419430576626</v>
      </c>
      <c r="I19" s="24">
        <f t="shared" si="6"/>
        <v>0.16698685733915186</v>
      </c>
      <c r="J19" s="1104">
        <f t="shared" si="7"/>
        <v>0.83301314266084814</v>
      </c>
      <c r="K19" s="1105">
        <f t="shared" si="8"/>
        <v>-7.4311111111111119E-2</v>
      </c>
      <c r="L19" s="191">
        <f t="shared" si="9"/>
        <v>0.21535775015018682</v>
      </c>
      <c r="M19" s="24"/>
      <c r="N19" s="954"/>
      <c r="O19" s="268">
        <f t="shared" si="1"/>
        <v>0</v>
      </c>
      <c r="P19" s="318">
        <f t="shared" si="2"/>
        <v>0.20054585985641513</v>
      </c>
      <c r="Q19" s="318">
        <f t="shared" si="3"/>
        <v>0.60035726791541277</v>
      </c>
    </row>
    <row r="20" spans="1:17" x14ac:dyDescent="0.2">
      <c r="A20" s="1088" t="s">
        <v>39</v>
      </c>
      <c r="B20" s="168">
        <f>+TableA1!E20</f>
        <v>2072.973263728305</v>
      </c>
      <c r="C20" s="1099">
        <v>1223.0067020902579</v>
      </c>
      <c r="D20" s="1100">
        <v>507.14627148400893</v>
      </c>
      <c r="E20" s="1101">
        <v>-45.903162947411388</v>
      </c>
      <c r="F20" s="1107">
        <f>D20-E20</f>
        <v>553.04943443142031</v>
      </c>
      <c r="G20" s="1108">
        <v>342.82029015403828</v>
      </c>
      <c r="H20" s="1103">
        <f t="shared" si="5"/>
        <v>0.41002292528817119</v>
      </c>
      <c r="I20" s="24">
        <f t="shared" si="6"/>
        <v>0.29312221475787303</v>
      </c>
      <c r="J20" s="1104">
        <f t="shared" si="7"/>
        <v>0.70687778524212697</v>
      </c>
      <c r="K20" s="1105">
        <f t="shared" si="8"/>
        <v>-9.0512669674352092E-2</v>
      </c>
      <c r="L20" s="191">
        <f t="shared" si="9"/>
        <v>0.45220474547375394</v>
      </c>
      <c r="M20" s="24"/>
      <c r="N20" s="954"/>
      <c r="O20" s="268">
        <f t="shared" si="1"/>
        <v>0</v>
      </c>
      <c r="P20" s="318">
        <f t="shared" si="2"/>
        <v>0.16537612720458614</v>
      </c>
      <c r="Q20" s="318">
        <f t="shared" si="3"/>
        <v>0.40333385526762178</v>
      </c>
    </row>
    <row r="21" spans="1:17" x14ac:dyDescent="0.2">
      <c r="A21" s="1088" t="s">
        <v>40</v>
      </c>
      <c r="B21" s="168">
        <f>+TableA1!E21</f>
        <v>65.374766181006336</v>
      </c>
      <c r="C21" s="1099">
        <v>27.693378982519995</v>
      </c>
      <c r="D21" s="1100">
        <v>19.839164251673861</v>
      </c>
      <c r="E21" s="1101">
        <v>-2.7686198440873979</v>
      </c>
      <c r="F21" s="1107">
        <f t="shared" si="4"/>
        <v>22.607784095761257</v>
      </c>
      <c r="G21" s="1108">
        <v>17.842223057719163</v>
      </c>
      <c r="H21" s="1103">
        <f t="shared" si="5"/>
        <v>0.57639039511151302</v>
      </c>
      <c r="I21" s="24">
        <f t="shared" si="6"/>
        <v>0.41738065968668825</v>
      </c>
      <c r="J21" s="1104">
        <f t="shared" si="7"/>
        <v>0.58261934031331175</v>
      </c>
      <c r="K21" s="1105">
        <f t="shared" si="8"/>
        <v>-0.13955324977229347</v>
      </c>
      <c r="L21" s="191">
        <f t="shared" si="9"/>
        <v>0.81636062215561511</v>
      </c>
      <c r="M21" s="24"/>
      <c r="N21" s="954"/>
      <c r="O21" s="268">
        <f t="shared" si="1"/>
        <v>-1.1090668294855277E-7</v>
      </c>
      <c r="P21" s="318">
        <f t="shared" si="2"/>
        <v>0.2729221701278215</v>
      </c>
      <c r="Q21" s="318">
        <f t="shared" si="3"/>
        <v>0.4735022867183965</v>
      </c>
    </row>
    <row r="22" spans="1:17" x14ac:dyDescent="0.2">
      <c r="A22" s="1088" t="s">
        <v>41</v>
      </c>
      <c r="B22" s="168">
        <f>+TableA1!E22</f>
        <v>66.600399165868637</v>
      </c>
      <c r="C22" s="1099">
        <v>34.2062595652135</v>
      </c>
      <c r="D22" s="1100">
        <v>19.543121548691975</v>
      </c>
      <c r="E22" s="1101">
        <v>-1.125168034510843</v>
      </c>
      <c r="F22" s="1107">
        <f t="shared" si="4"/>
        <v>20.668289583202817</v>
      </c>
      <c r="G22" s="1108">
        <v>12.851018051963162</v>
      </c>
      <c r="H22" s="1103">
        <f t="shared" si="5"/>
        <v>0.48639557729942978</v>
      </c>
      <c r="I22" s="24">
        <f t="shared" si="6"/>
        <v>0.36359714556110462</v>
      </c>
      <c r="J22" s="1104">
        <f t="shared" si="7"/>
        <v>0.63640285443889533</v>
      </c>
      <c r="K22" s="1105">
        <f t="shared" si="8"/>
        <v>-5.7573608786470998E-2</v>
      </c>
      <c r="L22" s="191">
        <f t="shared" si="9"/>
        <v>0.60422536243108271</v>
      </c>
      <c r="M22" s="24"/>
      <c r="N22" s="954"/>
      <c r="O22" s="268">
        <f t="shared" si="1"/>
        <v>0</v>
      </c>
      <c r="P22" s="318">
        <f t="shared" si="2"/>
        <v>0.19295707252380928</v>
      </c>
      <c r="Q22" s="318">
        <f t="shared" si="3"/>
        <v>0.39670811481294177</v>
      </c>
    </row>
    <row r="23" spans="1:17" x14ac:dyDescent="0.2">
      <c r="A23" s="1088" t="s">
        <v>42</v>
      </c>
      <c r="B23" s="168">
        <f>+TableA1!E23</f>
        <v>8.7968397543178742</v>
      </c>
      <c r="C23" s="1099">
        <f>+B23*$C$101</f>
        <v>5.1275502981429524</v>
      </c>
      <c r="D23" s="1100">
        <f>B23-C23-G23</f>
        <v>2.1512894561749221</v>
      </c>
      <c r="E23" s="1101">
        <f>+B23*E$101</f>
        <v>2.292478048831671E-3</v>
      </c>
      <c r="F23" s="1107">
        <f t="shared" si="4"/>
        <v>2.1489969781260903</v>
      </c>
      <c r="G23" s="1108">
        <v>1.518</v>
      </c>
      <c r="H23" s="1103">
        <f t="shared" si="5"/>
        <v>0.41711450460079985</v>
      </c>
      <c r="I23" s="24">
        <f t="shared" si="6"/>
        <v>0.29555389715768332</v>
      </c>
      <c r="J23" s="1104">
        <f t="shared" si="7"/>
        <v>0.70444610284231668</v>
      </c>
      <c r="K23" s="1105">
        <f t="shared" si="8"/>
        <v>1.0656297516131502E-3</v>
      </c>
      <c r="L23" s="191">
        <f t="shared" si="9"/>
        <v>0.41910792740626918</v>
      </c>
      <c r="M23" s="24"/>
      <c r="N23" s="954"/>
      <c r="O23" s="268">
        <f t="shared" si="1"/>
        <v>0</v>
      </c>
      <c r="P23" s="318">
        <f t="shared" si="2"/>
        <v>0.17256197025243061</v>
      </c>
      <c r="Q23" s="318">
        <f t="shared" si="3"/>
        <v>0.41370407489804589</v>
      </c>
    </row>
    <row r="24" spans="1:17" x14ac:dyDescent="0.2">
      <c r="A24" s="1088" t="s">
        <v>43</v>
      </c>
      <c r="B24" s="168">
        <f>+TableA1!E24</f>
        <v>216.35996679454206</v>
      </c>
      <c r="C24" s="1099">
        <v>61.361034049457722</v>
      </c>
      <c r="D24" s="1100">
        <v>100.86714256720114</v>
      </c>
      <c r="E24" s="1101">
        <v>-24.667497801275207</v>
      </c>
      <c r="F24" s="1107">
        <f t="shared" si="4"/>
        <v>125.53464036847635</v>
      </c>
      <c r="G24" s="1108">
        <v>54.131790177883211</v>
      </c>
      <c r="H24" s="1103">
        <f t="shared" si="5"/>
        <v>0.716393772107911</v>
      </c>
      <c r="I24" s="24">
        <f t="shared" si="6"/>
        <v>0.62176093370973218</v>
      </c>
      <c r="J24" s="1104">
        <f t="shared" si="7"/>
        <v>0.37823906629026782</v>
      </c>
      <c r="K24" s="1105">
        <f t="shared" si="8"/>
        <v>-0.24455434320290054</v>
      </c>
      <c r="L24" s="191">
        <f t="shared" si="9"/>
        <v>2.0458364548956904</v>
      </c>
      <c r="M24" s="24"/>
      <c r="N24" s="954"/>
      <c r="O24" s="268">
        <f t="shared" si="1"/>
        <v>0</v>
      </c>
      <c r="P24" s="318">
        <f t="shared" si="2"/>
        <v>0.25019318952515551</v>
      </c>
      <c r="Q24" s="318">
        <f t="shared" si="3"/>
        <v>0.34923976068215834</v>
      </c>
    </row>
    <row r="25" spans="1:17" x14ac:dyDescent="0.2">
      <c r="A25" s="1088" t="s">
        <v>44</v>
      </c>
      <c r="B25" s="168">
        <f>+TableA1!E25</f>
        <v>168.61095158963607</v>
      </c>
      <c r="C25" s="1099">
        <v>91.954332974943853</v>
      </c>
      <c r="D25" s="1100">
        <v>53.865003050041011</v>
      </c>
      <c r="E25" s="1101">
        <f>+B25*E$101</f>
        <v>4.3940428165936636E-2</v>
      </c>
      <c r="F25" s="1107">
        <f t="shared" si="4"/>
        <v>53.821062621875072</v>
      </c>
      <c r="G25" s="1108">
        <v>22.791615590379109</v>
      </c>
      <c r="H25" s="1103">
        <f t="shared" si="5"/>
        <v>0.45463605962551212</v>
      </c>
      <c r="I25" s="24">
        <f t="shared" si="6"/>
        <v>0.3693954760623222</v>
      </c>
      <c r="J25" s="1104">
        <f t="shared" si="7"/>
        <v>0.63060452393767785</v>
      </c>
      <c r="K25" s="1105">
        <f t="shared" si="8"/>
        <v>8.1575096403718077E-4</v>
      </c>
      <c r="L25" s="191">
        <f t="shared" si="9"/>
        <v>0.58530208289956809</v>
      </c>
      <c r="M25" s="24"/>
      <c r="N25" s="954"/>
      <c r="O25" s="268">
        <f t="shared" si="1"/>
        <v>-2.5727899810590316E-8</v>
      </c>
      <c r="P25" s="318">
        <f t="shared" si="2"/>
        <v>0.13517280684026475</v>
      </c>
      <c r="Q25" s="318">
        <f t="shared" si="3"/>
        <v>0.29732090972196057</v>
      </c>
    </row>
    <row r="26" spans="1:17" x14ac:dyDescent="0.2">
      <c r="A26" s="1088" t="s">
        <v>45</v>
      </c>
      <c r="B26" s="168">
        <f>+TableA1!E26</f>
        <v>872.75122856867165</v>
      </c>
      <c r="C26" s="1099">
        <v>491.69619556839115</v>
      </c>
      <c r="D26" s="1100">
        <v>194.378029831677</v>
      </c>
      <c r="E26" s="1101">
        <v>-17.51637814295648</v>
      </c>
      <c r="F26" s="1107">
        <f t="shared" si="4"/>
        <v>211.89440797463348</v>
      </c>
      <c r="G26" s="1108">
        <v>186.6768922619305</v>
      </c>
      <c r="H26" s="1103">
        <f t="shared" si="5"/>
        <v>0.43661344678774583</v>
      </c>
      <c r="I26" s="24">
        <f t="shared" si="6"/>
        <v>0.28331924248914903</v>
      </c>
      <c r="J26" s="1104">
        <f t="shared" si="7"/>
        <v>0.71668075751085092</v>
      </c>
      <c r="K26" s="1105">
        <f t="shared" si="8"/>
        <v>-9.0115010210386995E-2</v>
      </c>
      <c r="L26" s="191">
        <f t="shared" si="9"/>
        <v>0.43094579515647402</v>
      </c>
      <c r="M26" s="24"/>
      <c r="N26" s="954"/>
      <c r="O26" s="268">
        <f t="shared" si="1"/>
        <v>1.1090667300095447E-4</v>
      </c>
      <c r="P26" s="318">
        <f t="shared" si="2"/>
        <v>0.21389473443432913</v>
      </c>
      <c r="Q26" s="318">
        <f t="shared" si="3"/>
        <v>0.48989497691378109</v>
      </c>
    </row>
    <row r="27" spans="1:17" x14ac:dyDescent="0.2">
      <c r="A27" s="1088" t="s">
        <v>46</v>
      </c>
      <c r="B27" s="168">
        <f>+TableA1!E27</f>
        <v>2733.7570791303033</v>
      </c>
      <c r="C27" s="1099">
        <f>B27-D27-G27</f>
        <v>1514.0182782989034</v>
      </c>
      <c r="D27" s="1100">
        <v>559.73103340990883</v>
      </c>
      <c r="E27" s="1101">
        <v>-74.404330391180793</v>
      </c>
      <c r="F27" s="1107">
        <f t="shared" si="4"/>
        <v>634.13536380108962</v>
      </c>
      <c r="G27" s="1108">
        <v>660.00776742149105</v>
      </c>
      <c r="H27" s="1103">
        <f t="shared" si="5"/>
        <v>0.44617673243280209</v>
      </c>
      <c r="I27" s="24">
        <f t="shared" si="6"/>
        <v>0.26991258309263949</v>
      </c>
      <c r="J27" s="1104">
        <f t="shared" si="7"/>
        <v>0.73008741690736056</v>
      </c>
      <c r="K27" s="1105">
        <f t="shared" si="8"/>
        <v>-0.13292872102857325</v>
      </c>
      <c r="L27" s="191">
        <f t="shared" si="9"/>
        <v>0.41884260770852871</v>
      </c>
      <c r="M27" s="24"/>
      <c r="N27" s="1109"/>
      <c r="O27" s="302">
        <f t="shared" si="1"/>
        <v>0</v>
      </c>
      <c r="P27" s="318">
        <f t="shared" si="2"/>
        <v>0.2414288279159979</v>
      </c>
      <c r="Q27" s="318">
        <f t="shared" si="3"/>
        <v>0.54110582279715602</v>
      </c>
    </row>
    <row r="28" spans="1:17" x14ac:dyDescent="0.2">
      <c r="A28" s="1088" t="s">
        <v>47</v>
      </c>
      <c r="B28" s="168">
        <f>C28+D28+G28</f>
        <v>843.46264777451415</v>
      </c>
      <c r="C28" s="1099">
        <v>414.68018379403401</v>
      </c>
      <c r="D28" s="1100">
        <v>244.98356771713927</v>
      </c>
      <c r="E28" s="1101">
        <v>-3.2335019659066044</v>
      </c>
      <c r="F28" s="1107">
        <f t="shared" si="4"/>
        <v>248.21706968304588</v>
      </c>
      <c r="G28" s="1108">
        <v>183.79889626334088</v>
      </c>
      <c r="H28" s="1103">
        <f t="shared" si="5"/>
        <v>0.50835975382173426</v>
      </c>
      <c r="I28" s="24">
        <f t="shared" si="6"/>
        <v>0.37137642799975767</v>
      </c>
      <c r="J28" s="1104">
        <f t="shared" si="7"/>
        <v>0.62862357200024233</v>
      </c>
      <c r="K28" s="1105">
        <f t="shared" si="8"/>
        <v>-1.3198852461974272E-2</v>
      </c>
      <c r="L28" s="191">
        <f>F28/C28</f>
        <v>0.59857470740953445</v>
      </c>
      <c r="M28" s="24"/>
      <c r="N28" s="954"/>
      <c r="O28" s="268">
        <f t="shared" si="1"/>
        <v>0</v>
      </c>
      <c r="P28" s="318">
        <f t="shared" si="2"/>
        <v>0.21790994153481055</v>
      </c>
      <c r="Q28" s="318">
        <f t="shared" si="3"/>
        <v>0.42865301569727471</v>
      </c>
    </row>
    <row r="29" spans="1:17" x14ac:dyDescent="0.2">
      <c r="A29" s="1074" t="s">
        <v>48</v>
      </c>
      <c r="B29" s="168">
        <f>+TableA1!E29</f>
        <v>16.865578894016473</v>
      </c>
      <c r="C29" s="1099">
        <v>9.2021529203390635</v>
      </c>
      <c r="D29" s="1100">
        <v>4.0502828674698534</v>
      </c>
      <c r="E29" s="1101">
        <v>-0.13559228045192251</v>
      </c>
      <c r="F29" s="1107">
        <f t="shared" si="4"/>
        <v>4.1858751479217755</v>
      </c>
      <c r="G29" s="1108">
        <v>3.6131442152742888</v>
      </c>
      <c r="H29" s="1103">
        <f t="shared" si="5"/>
        <v>0.45438268860507086</v>
      </c>
      <c r="I29" s="24">
        <f t="shared" si="6"/>
        <v>0.30562554177366846</v>
      </c>
      <c r="J29" s="1104">
        <f t="shared" si="7"/>
        <v>0.69437445822633159</v>
      </c>
      <c r="K29" s="1105">
        <f t="shared" si="8"/>
        <v>-3.3477237242105225E-2</v>
      </c>
      <c r="L29" s="191">
        <f t="shared" si="9"/>
        <v>0.4548799812563365</v>
      </c>
      <c r="M29" s="24"/>
      <c r="N29" s="954"/>
      <c r="O29" s="268">
        <f t="shared" si="1"/>
        <v>-1.1090667331181692E-6</v>
      </c>
      <c r="P29" s="318">
        <f t="shared" si="2"/>
        <v>0.21423185281568669</v>
      </c>
      <c r="Q29" s="318">
        <f t="shared" si="3"/>
        <v>0.47147890575093504</v>
      </c>
    </row>
    <row r="30" spans="1:17" x14ac:dyDescent="0.2">
      <c r="A30" s="1074" t="s">
        <v>49</v>
      </c>
      <c r="B30" s="168">
        <f>+TableA1!E30</f>
        <v>39.231128397764564</v>
      </c>
      <c r="C30" s="1099">
        <v>21.552271978652684</v>
      </c>
      <c r="D30" s="1100">
        <v>13.500336601752991</v>
      </c>
      <c r="E30" s="1101">
        <v>-45.776729340027664</v>
      </c>
      <c r="F30" s="1107">
        <f t="shared" si="4"/>
        <v>59.277065941780656</v>
      </c>
      <c r="G30" s="1108">
        <v>4.1785198173588904</v>
      </c>
      <c r="H30" s="1103">
        <f t="shared" si="5"/>
        <v>0.45063339091004179</v>
      </c>
      <c r="I30" s="24">
        <f t="shared" si="6"/>
        <v>0.38514499058708135</v>
      </c>
      <c r="J30" s="1104">
        <f t="shared" si="7"/>
        <v>0.6148550094129186</v>
      </c>
      <c r="K30" s="1105">
        <f t="shared" si="8"/>
        <v>-3.3907842960066379</v>
      </c>
      <c r="L30" s="191">
        <f t="shared" si="9"/>
        <v>2.7503859454118813</v>
      </c>
      <c r="M30" s="24"/>
      <c r="N30" s="954"/>
      <c r="O30" s="268">
        <f t="shared" si="1"/>
        <v>0</v>
      </c>
      <c r="P30" s="318">
        <f t="shared" si="2"/>
        <v>0.1065103143349042</v>
      </c>
      <c r="Q30" s="318">
        <f t="shared" si="3"/>
        <v>0.23635690670815479</v>
      </c>
    </row>
    <row r="31" spans="1:17" x14ac:dyDescent="0.2">
      <c r="A31" s="1074" t="s">
        <v>50</v>
      </c>
      <c r="B31" s="168">
        <f>+TableA1!E31</f>
        <v>580.51899302302263</v>
      </c>
      <c r="C31" s="1099">
        <v>140.22820286912128</v>
      </c>
      <c r="D31" s="1100">
        <v>337.9335418818979</v>
      </c>
      <c r="E31" s="1101">
        <v>12.88885403053848</v>
      </c>
      <c r="F31" s="1107">
        <f t="shared" si="4"/>
        <v>325.04468785135941</v>
      </c>
      <c r="G31" s="1108">
        <v>102.35718517362183</v>
      </c>
      <c r="H31" s="1103">
        <f t="shared" si="5"/>
        <v>0.75844327635643494</v>
      </c>
      <c r="I31" s="24">
        <f t="shared" si="6"/>
        <v>0.70673479338641221</v>
      </c>
      <c r="J31" s="1104">
        <f t="shared" si="7"/>
        <v>0.29326520661358779</v>
      </c>
      <c r="K31" s="1105">
        <f t="shared" si="8"/>
        <v>3.8140203422135935E-2</v>
      </c>
      <c r="L31" s="191">
        <f t="shared" si="9"/>
        <v>2.3179694326877476</v>
      </c>
      <c r="M31" s="24"/>
      <c r="N31" s="954"/>
      <c r="O31" s="268">
        <f t="shared" si="1"/>
        <v>6.3098381630766198E-5</v>
      </c>
      <c r="P31" s="318">
        <f t="shared" si="2"/>
        <v>0.17632013147511691</v>
      </c>
      <c r="Q31" s="318">
        <f t="shared" si="3"/>
        <v>0.2324763591051392</v>
      </c>
    </row>
    <row r="32" spans="1:17" x14ac:dyDescent="0.2">
      <c r="A32" s="1074" t="s">
        <v>51</v>
      </c>
      <c r="B32" s="168">
        <f>+TableA1!E32</f>
        <v>501.13845699981925</v>
      </c>
      <c r="C32" s="1099">
        <v>282.03899700441076</v>
      </c>
      <c r="D32" s="1100">
        <v>147.30735233608272</v>
      </c>
      <c r="E32" s="1101">
        <v>-12.440401526519448</v>
      </c>
      <c r="F32" s="1107">
        <f t="shared" si="4"/>
        <v>159.74775386260217</v>
      </c>
      <c r="G32" s="1108">
        <v>71.792107659325765</v>
      </c>
      <c r="H32" s="1103">
        <f t="shared" si="5"/>
        <v>0.43720344534541983</v>
      </c>
      <c r="I32" s="24">
        <f t="shared" si="6"/>
        <v>0.34309678552608469</v>
      </c>
      <c r="J32" s="1104">
        <f t="shared" si="7"/>
        <v>0.65690321447391531</v>
      </c>
      <c r="K32" s="1105">
        <f t="shared" si="8"/>
        <v>-8.4452006836268356E-2</v>
      </c>
      <c r="L32" s="191">
        <f t="shared" si="9"/>
        <v>0.56640307035308279</v>
      </c>
      <c r="M32" s="24"/>
      <c r="N32" s="954"/>
      <c r="O32" s="268">
        <f t="shared" si="1"/>
        <v>0</v>
      </c>
      <c r="P32" s="318">
        <f t="shared" si="2"/>
        <v>0.14325802910661806</v>
      </c>
      <c r="Q32" s="318">
        <f t="shared" si="3"/>
        <v>0.32766903058925961</v>
      </c>
    </row>
    <row r="33" spans="1:20" x14ac:dyDescent="0.2">
      <c r="A33" s="1074" t="s">
        <v>52</v>
      </c>
      <c r="B33" s="168">
        <f>+C33+D33+G33</f>
        <v>117.72450705207552</v>
      </c>
      <c r="C33" s="1099">
        <v>57.141860911103748</v>
      </c>
      <c r="D33" s="1100">
        <v>43.654346140971775</v>
      </c>
      <c r="E33" s="1101">
        <f>+B33*E$101</f>
        <v>3.0679295720254882E-2</v>
      </c>
      <c r="F33" s="1107">
        <f t="shared" si="4"/>
        <v>43.62366684525152</v>
      </c>
      <c r="G33" s="1108">
        <v>16.9283</v>
      </c>
      <c r="H33" s="1103">
        <f t="shared" si="5"/>
        <v>0.51461371687182345</v>
      </c>
      <c r="I33" s="24">
        <f t="shared" si="6"/>
        <v>0.43309512746266454</v>
      </c>
      <c r="J33" s="1104">
        <f t="shared" si="7"/>
        <v>0.56690487253733546</v>
      </c>
      <c r="K33" s="1105">
        <f t="shared" si="8"/>
        <v>7.02777579606463E-4</v>
      </c>
      <c r="L33" s="191">
        <f t="shared" si="9"/>
        <v>0.76342747942908895</v>
      </c>
      <c r="M33" s="24"/>
      <c r="N33" s="954"/>
      <c r="O33" s="268">
        <f t="shared" si="1"/>
        <v>0</v>
      </c>
      <c r="P33" s="318">
        <f t="shared" si="2"/>
        <v>0.14379588773739146</v>
      </c>
      <c r="Q33" s="318">
        <f t="shared" si="3"/>
        <v>0.27942490264636138</v>
      </c>
      <c r="R33" s="954"/>
      <c r="S33" s="954"/>
      <c r="T33" s="954"/>
    </row>
    <row r="34" spans="1:20" x14ac:dyDescent="0.2">
      <c r="A34" s="1074" t="s">
        <v>53</v>
      </c>
      <c r="B34" s="168">
        <f>+TableA1!E34</f>
        <v>244.0517414879925</v>
      </c>
      <c r="C34" s="1099">
        <v>120.45063054869772</v>
      </c>
      <c r="D34" s="1100">
        <v>79.92071592763395</v>
      </c>
      <c r="E34" s="1101">
        <v>3.7908441132233497</v>
      </c>
      <c r="F34" s="1107">
        <f t="shared" si="4"/>
        <v>76.129871814410606</v>
      </c>
      <c r="G34" s="1108">
        <v>43.680395011660849</v>
      </c>
      <c r="H34" s="1103">
        <f t="shared" si="5"/>
        <v>0.50645453372180116</v>
      </c>
      <c r="I34" s="24">
        <f t="shared" si="6"/>
        <v>0.39886299779431972</v>
      </c>
      <c r="J34" s="1104">
        <f t="shared" si="7"/>
        <v>0.60113700220568034</v>
      </c>
      <c r="K34" s="1105">
        <f t="shared" si="8"/>
        <v>4.7432559496287004E-2</v>
      </c>
      <c r="L34" s="191">
        <f t="shared" si="9"/>
        <v>0.63204211939456467</v>
      </c>
      <c r="M34" s="24"/>
      <c r="N34" s="954"/>
      <c r="O34" s="268">
        <f t="shared" si="1"/>
        <v>0</v>
      </c>
      <c r="P34" s="318">
        <f t="shared" si="2"/>
        <v>0.17898005867665548</v>
      </c>
      <c r="Q34" s="318">
        <f t="shared" si="3"/>
        <v>0.35339807773341092</v>
      </c>
      <c r="R34" s="954"/>
      <c r="S34" s="954"/>
      <c r="T34" s="954"/>
    </row>
    <row r="35" spans="1:20" x14ac:dyDescent="0.2">
      <c r="A35" s="1074" t="s">
        <v>54</v>
      </c>
      <c r="B35" s="168">
        <f>+TableA1!E35</f>
        <v>234.89932351770796</v>
      </c>
      <c r="C35" s="1099">
        <v>110.83432816023345</v>
      </c>
      <c r="D35" s="1100">
        <v>87.729672370340893</v>
      </c>
      <c r="E35" s="1101">
        <v>-5.4914444886589732E-2</v>
      </c>
      <c r="F35" s="1107">
        <f t="shared" si="4"/>
        <v>87.784586815227485</v>
      </c>
      <c r="G35" s="1108">
        <v>36.335322987133573</v>
      </c>
      <c r="H35" s="1103">
        <f t="shared" si="5"/>
        <v>0.52816242081736686</v>
      </c>
      <c r="I35" s="24">
        <f t="shared" si="6"/>
        <v>0.44182063282328221</v>
      </c>
      <c r="J35" s="1104">
        <f t="shared" si="7"/>
        <v>0.55817936717671779</v>
      </c>
      <c r="K35" s="1105">
        <f t="shared" si="8"/>
        <v>-6.2595064364055308E-4</v>
      </c>
      <c r="L35" s="191">
        <f t="shared" si="9"/>
        <v>0.79203427559300121</v>
      </c>
      <c r="M35" s="24"/>
      <c r="N35" s="954"/>
      <c r="O35" s="268">
        <f t="shared" si="1"/>
        <v>0</v>
      </c>
      <c r="P35" s="318">
        <f t="shared" si="2"/>
        <v>0.15468466423401353</v>
      </c>
      <c r="Q35" s="318">
        <f t="shared" si="3"/>
        <v>0.29287328696090992</v>
      </c>
      <c r="R35" s="954"/>
      <c r="S35" s="954"/>
      <c r="T35" s="954"/>
    </row>
    <row r="36" spans="1:20" x14ac:dyDescent="0.2">
      <c r="A36" s="1074" t="s">
        <v>55</v>
      </c>
      <c r="B36" s="168">
        <f>+TableA1!E36</f>
        <v>101.75390252856124</v>
      </c>
      <c r="C36" s="1099">
        <v>57.993657247362911</v>
      </c>
      <c r="D36" s="1100">
        <v>26.458278573163476</v>
      </c>
      <c r="E36" s="1101">
        <v>-0.15979433466532239</v>
      </c>
      <c r="F36" s="1107">
        <f t="shared" si="4"/>
        <v>26.618072907828797</v>
      </c>
      <c r="G36" s="1108">
        <v>17.301966708034854</v>
      </c>
      <c r="H36" s="1103">
        <f t="shared" si="5"/>
        <v>0.43005962615453786</v>
      </c>
      <c r="I36" s="24">
        <f t="shared" si="6"/>
        <v>0.3132939264931886</v>
      </c>
      <c r="J36" s="1104">
        <f t="shared" si="7"/>
        <v>0.68670607350681134</v>
      </c>
      <c r="K36" s="1105">
        <f t="shared" si="8"/>
        <v>-6.03948341625676E-3</v>
      </c>
      <c r="L36" s="191">
        <f t="shared" si="9"/>
        <v>0.45898248483094545</v>
      </c>
      <c r="M36" s="24"/>
      <c r="N36" s="954"/>
      <c r="O36" s="268">
        <f t="shared" si="1"/>
        <v>0</v>
      </c>
      <c r="P36" s="318">
        <f t="shared" si="2"/>
        <v>0.17003737722175694</v>
      </c>
      <c r="Q36" s="318">
        <f t="shared" si="3"/>
        <v>0.39538093529536672</v>
      </c>
      <c r="R36" s="954"/>
      <c r="S36" s="954"/>
      <c r="T36" s="954"/>
    </row>
    <row r="37" spans="1:20" x14ac:dyDescent="0.2">
      <c r="A37" s="1074" t="s">
        <v>56</v>
      </c>
      <c r="B37" s="168">
        <f>+TableA1!E37</f>
        <v>43.35690211044308</v>
      </c>
      <c r="C37" s="1099">
        <v>21.242901141118761</v>
      </c>
      <c r="D37" s="1100">
        <v>10.906050957180039</v>
      </c>
      <c r="E37" s="1101">
        <v>-0.69849909999234772</v>
      </c>
      <c r="F37" s="1107">
        <f t="shared" si="4"/>
        <v>11.604550057172386</v>
      </c>
      <c r="G37" s="1108">
        <v>11.207950012144281</v>
      </c>
      <c r="H37" s="1103">
        <f t="shared" si="5"/>
        <v>0.5100456880658425</v>
      </c>
      <c r="I37" s="24">
        <f t="shared" si="6"/>
        <v>0.33923503708094876</v>
      </c>
      <c r="J37" s="1104">
        <f t="shared" si="7"/>
        <v>0.66076496291905129</v>
      </c>
      <c r="K37" s="1105">
        <f t="shared" si="8"/>
        <v>-6.404693162858259E-2</v>
      </c>
      <c r="L37" s="191">
        <f t="shared" si="9"/>
        <v>0.546278965386233</v>
      </c>
      <c r="M37" s="24"/>
      <c r="N37" s="954"/>
      <c r="O37" s="268">
        <f t="shared" si="1"/>
        <v>0</v>
      </c>
      <c r="P37" s="318">
        <f t="shared" si="2"/>
        <v>0.25850440106616146</v>
      </c>
      <c r="Q37" s="318">
        <f t="shared" si="3"/>
        <v>0.50682597091731674</v>
      </c>
      <c r="R37" s="954"/>
      <c r="S37" s="954"/>
      <c r="T37" s="954"/>
    </row>
    <row r="38" spans="1:20" x14ac:dyDescent="0.2">
      <c r="A38" s="1074" t="s">
        <v>57</v>
      </c>
      <c r="B38" s="168">
        <f>+TableA1!E38</f>
        <v>23.475728296395868</v>
      </c>
      <c r="C38" s="1099">
        <v>14.942894708531718</v>
      </c>
      <c r="D38" s="1100">
        <v>3.0845410515505307</v>
      </c>
      <c r="E38" s="1101">
        <v>-0.33321743585989821</v>
      </c>
      <c r="F38" s="1107">
        <f t="shared" si="4"/>
        <v>3.417758487410429</v>
      </c>
      <c r="G38" s="1108">
        <v>5.4482925363136179</v>
      </c>
      <c r="H38" s="1103">
        <f t="shared" si="5"/>
        <v>0.36347471227012623</v>
      </c>
      <c r="I38" s="24">
        <f t="shared" si="6"/>
        <v>0.17110259565481639</v>
      </c>
      <c r="J38" s="1104">
        <f t="shared" si="7"/>
        <v>0.82889740434518355</v>
      </c>
      <c r="K38" s="1105">
        <f t="shared" si="8"/>
        <v>-0.10802820591166948</v>
      </c>
      <c r="L38" s="191">
        <f t="shared" si="9"/>
        <v>0.22872131230765103</v>
      </c>
      <c r="M38" s="24"/>
      <c r="N38" s="954"/>
      <c r="O38" s="268">
        <f t="shared" si="1"/>
        <v>0</v>
      </c>
      <c r="P38" s="318">
        <f t="shared" si="2"/>
        <v>0.23208193873798036</v>
      </c>
      <c r="Q38" s="318">
        <f t="shared" si="3"/>
        <v>0.63850917520089345</v>
      </c>
      <c r="R38" s="954"/>
      <c r="S38" s="954"/>
      <c r="T38" s="954"/>
    </row>
    <row r="39" spans="1:20" x14ac:dyDescent="0.2">
      <c r="A39" s="1074" t="s">
        <v>58</v>
      </c>
      <c r="B39" s="168">
        <f>+TableA1!E39</f>
        <v>678.97508925214515</v>
      </c>
      <c r="C39" s="1099">
        <v>393.17191976124013</v>
      </c>
      <c r="D39" s="1100">
        <v>152.19833662171621</v>
      </c>
      <c r="E39" s="1101">
        <v>-6.7553254611776739</v>
      </c>
      <c r="F39" s="1107">
        <f t="shared" si="4"/>
        <v>158.95366208289389</v>
      </c>
      <c r="G39" s="1108">
        <v>133.60483286918893</v>
      </c>
      <c r="H39" s="1103">
        <f t="shared" si="5"/>
        <v>0.42093321833898512</v>
      </c>
      <c r="I39" s="24">
        <f t="shared" si="6"/>
        <v>0.27907340901048933</v>
      </c>
      <c r="J39" s="1104">
        <f t="shared" si="7"/>
        <v>0.72092659098951062</v>
      </c>
      <c r="K39" s="1105">
        <f t="shared" si="8"/>
        <v>-4.4385015047620435E-2</v>
      </c>
      <c r="L39" s="191">
        <f t="shared" si="9"/>
        <v>0.40428538787668511</v>
      </c>
      <c r="M39" s="24"/>
      <c r="N39" s="954"/>
      <c r="O39" s="268">
        <f t="shared" si="1"/>
        <v>0</v>
      </c>
      <c r="P39" s="318">
        <f t="shared" si="2"/>
        <v>0.1967742778550941</v>
      </c>
      <c r="Q39" s="318">
        <f t="shared" si="3"/>
        <v>0.46747148783260961</v>
      </c>
      <c r="R39" s="954"/>
      <c r="S39" s="954"/>
      <c r="T39" s="954"/>
    </row>
    <row r="40" spans="1:20" x14ac:dyDescent="0.2">
      <c r="A40" s="1074" t="s">
        <v>59</v>
      </c>
      <c r="B40" s="168">
        <f>+TableA1!E40</f>
        <v>287.8253425286855</v>
      </c>
      <c r="C40" s="1099">
        <v>164.05430760342725</v>
      </c>
      <c r="D40" s="1100">
        <v>66.119444338073464</v>
      </c>
      <c r="E40" s="1101">
        <v>2.7516819819128777</v>
      </c>
      <c r="F40" s="1107">
        <f t="shared" si="4"/>
        <v>63.367762356160583</v>
      </c>
      <c r="G40" s="1108">
        <v>57.651590587184749</v>
      </c>
      <c r="H40" s="1103">
        <f t="shared" si="5"/>
        <v>0.43002132417482608</v>
      </c>
      <c r="I40" s="24">
        <f t="shared" si="6"/>
        <v>0.28725883720606815</v>
      </c>
      <c r="J40" s="1104">
        <f t="shared" si="7"/>
        <v>0.71274116279393185</v>
      </c>
      <c r="K40" s="1105">
        <f t="shared" si="8"/>
        <v>4.1616834646149327E-2</v>
      </c>
      <c r="L40" s="191">
        <f t="shared" si="9"/>
        <v>0.38626088690911503</v>
      </c>
      <c r="M40" s="24"/>
      <c r="N40" s="954"/>
      <c r="O40" s="268">
        <f t="shared" si="1"/>
        <v>0</v>
      </c>
      <c r="P40" s="318">
        <f t="shared" si="2"/>
        <v>0.20030060619640894</v>
      </c>
      <c r="Q40" s="318">
        <f t="shared" si="3"/>
        <v>0.46579226409473662</v>
      </c>
      <c r="R40" s="954"/>
      <c r="S40" s="954"/>
      <c r="T40" s="954"/>
    </row>
    <row r="41" spans="1:20" x14ac:dyDescent="0.2">
      <c r="A41" s="1074" t="s">
        <v>60</v>
      </c>
      <c r="B41" s="168">
        <f>+TableA1!E41</f>
        <v>483.52057116672086</v>
      </c>
      <c r="C41" s="1099">
        <v>321.15382930461016</v>
      </c>
      <c r="D41" s="1100">
        <v>64.840660819363634</v>
      </c>
      <c r="E41" s="1101">
        <v>-30.048578057962487</v>
      </c>
      <c r="F41" s="1107">
        <f t="shared" si="4"/>
        <v>94.889238877326122</v>
      </c>
      <c r="G41" s="1108">
        <v>97.526081250565014</v>
      </c>
      <c r="H41" s="1103">
        <f t="shared" si="5"/>
        <v>0.33580110496259236</v>
      </c>
      <c r="I41" s="24">
        <f t="shared" si="6"/>
        <v>0.16798338442224423</v>
      </c>
      <c r="J41" s="1104">
        <f t="shared" si="7"/>
        <v>0.83201661557775575</v>
      </c>
      <c r="K41" s="1105">
        <f t="shared" si="8"/>
        <v>-0.46342183559284389</v>
      </c>
      <c r="L41" s="191">
        <f t="shared" si="9"/>
        <v>0.29546351380205693</v>
      </c>
      <c r="M41" s="24"/>
      <c r="N41" s="954"/>
      <c r="O41" s="268">
        <f t="shared" si="1"/>
        <v>-2.07817947739386E-7</v>
      </c>
      <c r="P41" s="318">
        <f t="shared" si="2"/>
        <v>0.20169996286866856</v>
      </c>
      <c r="Q41" s="318">
        <f t="shared" si="3"/>
        <v>0.6006530648287699</v>
      </c>
      <c r="R41" s="954"/>
      <c r="S41" s="954"/>
      <c r="T41" s="954"/>
    </row>
    <row r="42" spans="1:20" x14ac:dyDescent="0.2">
      <c r="A42" s="1074" t="s">
        <v>61</v>
      </c>
      <c r="B42" s="168">
        <f>+TableA1!E42</f>
        <v>461.75718903871274</v>
      </c>
      <c r="C42" s="1099">
        <v>180.37437743772173</v>
      </c>
      <c r="D42" s="1100">
        <v>218.62581160099097</v>
      </c>
      <c r="E42" s="1101">
        <v>6.0263182952703511</v>
      </c>
      <c r="F42" s="1107">
        <f t="shared" si="4"/>
        <v>212.59949330572061</v>
      </c>
      <c r="G42" s="1108">
        <v>62.756999999999998</v>
      </c>
      <c r="H42" s="1103">
        <f t="shared" si="5"/>
        <v>0.6093739703041211</v>
      </c>
      <c r="I42" s="24">
        <f t="shared" si="6"/>
        <v>0.54793410531386721</v>
      </c>
      <c r="J42" s="1104">
        <f t="shared" si="7"/>
        <v>0.45206589468613279</v>
      </c>
      <c r="K42" s="1105">
        <f t="shared" si="8"/>
        <v>2.7564532527700109E-2</v>
      </c>
      <c r="L42" s="191">
        <f t="shared" si="9"/>
        <v>1.1786568376604671</v>
      </c>
      <c r="M42" s="24"/>
      <c r="N42" s="954"/>
      <c r="O42" s="268">
        <f t="shared" si="1"/>
        <v>0</v>
      </c>
      <c r="P42" s="318">
        <f t="shared" si="2"/>
        <v>0.13590909137905935</v>
      </c>
      <c r="Q42" s="318">
        <f t="shared" si="3"/>
        <v>0.22303068066926296</v>
      </c>
      <c r="R42" s="105"/>
      <c r="S42" s="105"/>
      <c r="T42" s="106"/>
    </row>
    <row r="43" spans="1:20" x14ac:dyDescent="0.2">
      <c r="A43" s="1074" t="s">
        <v>62</v>
      </c>
      <c r="B43" s="168">
        <f>+TableA1!E43</f>
        <v>1619.5418191262634</v>
      </c>
      <c r="C43" s="1099">
        <v>1012.5690365062753</v>
      </c>
      <c r="D43" s="1100">
        <v>402.15111260493916</v>
      </c>
      <c r="E43" s="1101">
        <v>-22.899877013803483</v>
      </c>
      <c r="F43" s="1107">
        <f t="shared" si="4"/>
        <v>425.05098961874262</v>
      </c>
      <c r="G43" s="1108">
        <v>204.82167001504862</v>
      </c>
      <c r="H43" s="1103">
        <f t="shared" si="5"/>
        <v>0.37478055549528649</v>
      </c>
      <c r="I43" s="24">
        <f t="shared" si="6"/>
        <v>0.28426195304957452</v>
      </c>
      <c r="J43" s="1104">
        <f t="shared" si="7"/>
        <v>0.71573804695042553</v>
      </c>
      <c r="K43" s="1105">
        <f t="shared" si="8"/>
        <v>-5.6943463031767401E-2</v>
      </c>
      <c r="L43" s="191">
        <f t="shared" si="9"/>
        <v>0.41977482452487414</v>
      </c>
      <c r="M43" s="24"/>
      <c r="N43" s="954"/>
      <c r="O43" s="268">
        <f t="shared" si="1"/>
        <v>2.5579538487363607E-13</v>
      </c>
      <c r="P43" s="318">
        <f t="shared" si="2"/>
        <v>0.12646889854659582</v>
      </c>
      <c r="Q43" s="318">
        <f t="shared" si="3"/>
        <v>0.33744786567025187</v>
      </c>
      <c r="R43" s="954"/>
      <c r="S43" s="954"/>
      <c r="T43" s="954"/>
    </row>
    <row r="44" spans="1:20" x14ac:dyDescent="0.2">
      <c r="A44" s="1074" t="s">
        <v>63</v>
      </c>
      <c r="B44" s="168">
        <f>+TableA1!E44</f>
        <v>9749.7634999999991</v>
      </c>
      <c r="C44" s="1099">
        <v>6036.1069000000007</v>
      </c>
      <c r="D44" s="1100">
        <v>2162.7638000000002</v>
      </c>
      <c r="E44" s="1101">
        <v>273.36689999999993</v>
      </c>
      <c r="F44" s="1107">
        <f>D44-E44</f>
        <v>1889.3969000000002</v>
      </c>
      <c r="G44" s="1108">
        <v>1550.8926999999999</v>
      </c>
      <c r="H44" s="1103">
        <f t="shared" si="5"/>
        <v>0.38089708534981392</v>
      </c>
      <c r="I44" s="689">
        <f t="shared" si="6"/>
        <v>0.26378801168312116</v>
      </c>
      <c r="J44" s="1104">
        <f t="shared" si="7"/>
        <v>0.73621198831687884</v>
      </c>
      <c r="K44" s="1105">
        <f t="shared" si="8"/>
        <v>0.12639702033111516</v>
      </c>
      <c r="L44" s="191">
        <f t="shared" si="9"/>
        <v>0.31301581156556391</v>
      </c>
      <c r="M44" s="24"/>
      <c r="N44" s="954"/>
      <c r="O44" s="268">
        <f t="shared" si="1"/>
        <v>9.9999998383282218E-5</v>
      </c>
      <c r="P44" s="318">
        <f t="shared" si="2"/>
        <v>0.15906977641047396</v>
      </c>
      <c r="Q44" s="318">
        <f t="shared" si="3"/>
        <v>0.41761878084308546</v>
      </c>
      <c r="R44" s="954"/>
      <c r="S44" s="954"/>
      <c r="T44" s="954"/>
    </row>
    <row r="45" spans="1:20" ht="40" customHeight="1" x14ac:dyDescent="0.2">
      <c r="A45" s="187" t="s">
        <v>64</v>
      </c>
      <c r="B45" s="168">
        <f t="shared" ref="B45:G45" si="10">SUM(B46:B52)</f>
        <v>9449.600738407149</v>
      </c>
      <c r="C45" s="1110">
        <f t="shared" si="10"/>
        <v>4635.4243070321654</v>
      </c>
      <c r="D45" s="208">
        <f t="shared" si="10"/>
        <v>3321.8450289362322</v>
      </c>
      <c r="E45" s="209">
        <f t="shared" si="10"/>
        <v>164.74348387507928</v>
      </c>
      <c r="F45" s="175">
        <f t="shared" si="10"/>
        <v>3157.101545061153</v>
      </c>
      <c r="G45" s="781">
        <f t="shared" si="10"/>
        <v>1492.331402438941</v>
      </c>
      <c r="H45" s="195">
        <f>(G45+D45)/B45</f>
        <v>0.50945818396414755</v>
      </c>
      <c r="I45" s="176">
        <f>D45/(D45+C45)</f>
        <v>0.41746042375628151</v>
      </c>
      <c r="J45" s="196">
        <f>1-I45</f>
        <v>0.58253957624371844</v>
      </c>
      <c r="K45" s="176">
        <f>E45/D45</f>
        <v>4.959397035081909E-2</v>
      </c>
      <c r="L45" s="186">
        <f>F45/C45</f>
        <v>0.68108145790918762</v>
      </c>
      <c r="M45" s="176"/>
      <c r="N45" s="954"/>
      <c r="O45" s="268">
        <f t="shared" si="1"/>
        <v>-1.8962964531965554E-10</v>
      </c>
      <c r="P45" s="318">
        <f t="shared" si="2"/>
        <v>0.15792533925517921</v>
      </c>
      <c r="Q45" s="318">
        <f t="shared" si="3"/>
        <v>0.30998685314336416</v>
      </c>
      <c r="R45" s="954"/>
      <c r="S45" s="954"/>
      <c r="T45" s="954"/>
    </row>
    <row r="46" spans="1:20" x14ac:dyDescent="0.2">
      <c r="A46" s="1088" t="s">
        <v>65</v>
      </c>
      <c r="B46" s="168">
        <f>C46+D46+G46</f>
        <v>1105.0676793002151</v>
      </c>
      <c r="C46" s="1099">
        <v>683.84777930021517</v>
      </c>
      <c r="D46" s="1100">
        <v>228.2663</v>
      </c>
      <c r="E46" s="1101">
        <v>-46.069400000000002</v>
      </c>
      <c r="F46" s="1107">
        <f t="shared" ref="F46:F51" si="11">D46-E46</f>
        <v>274.33569999999997</v>
      </c>
      <c r="G46" s="1108">
        <v>192.95359999999999</v>
      </c>
      <c r="H46" s="1103">
        <f t="shared" ref="H46:H52" si="12">(G46+D46)/B46</f>
        <v>0.38117113357865812</v>
      </c>
      <c r="I46" s="24">
        <f t="shared" ref="I46:I53" si="13">D46/(D46+C46)</f>
        <v>0.25026069126696149</v>
      </c>
      <c r="J46" s="1104">
        <f t="shared" ref="J46:J53" si="14">1-I46</f>
        <v>0.74973930873303851</v>
      </c>
      <c r="K46" s="1105">
        <f t="shared" ref="K46:K53" si="15">E46/D46</f>
        <v>-0.20182304615267344</v>
      </c>
      <c r="L46" s="191">
        <f t="shared" ref="L46:L51" si="16">F46/C46</f>
        <v>0.40116486198248541</v>
      </c>
      <c r="M46" s="24"/>
      <c r="N46" s="954"/>
      <c r="O46" s="268">
        <f t="shared" si="1"/>
        <v>0</v>
      </c>
      <c r="P46" s="318">
        <f t="shared" si="2"/>
        <v>0.17460794810521288</v>
      </c>
      <c r="Q46" s="318">
        <f t="shared" si="3"/>
        <v>0.45808282087337276</v>
      </c>
      <c r="R46" s="954"/>
      <c r="S46" s="954"/>
      <c r="T46" s="954"/>
    </row>
    <row r="47" spans="1:20" x14ac:dyDescent="0.2">
      <c r="A47" s="1074" t="s">
        <v>66</v>
      </c>
      <c r="B47" s="168">
        <f>+TableA1!E47</f>
        <v>6211.8447853385696</v>
      </c>
      <c r="C47" s="1099">
        <v>3000.3468631285727</v>
      </c>
      <c r="D47" s="1100">
        <f>B47-C47-G47</f>
        <v>2262.1510287447009</v>
      </c>
      <c r="E47" s="1101">
        <v>193.44695620379616</v>
      </c>
      <c r="F47" s="1107">
        <f t="shared" si="11"/>
        <v>2068.7040725409047</v>
      </c>
      <c r="G47" s="1108">
        <v>949.34689346529626</v>
      </c>
      <c r="H47" s="1103">
        <f t="shared" si="12"/>
        <v>0.51699584152358347</v>
      </c>
      <c r="I47" s="24">
        <f t="shared" si="13"/>
        <v>0.42986260046547031</v>
      </c>
      <c r="J47" s="1104">
        <f t="shared" si="14"/>
        <v>0.57013739953452969</v>
      </c>
      <c r="K47" s="1105">
        <f t="shared" si="15"/>
        <v>8.5514607002673285E-2</v>
      </c>
      <c r="L47" s="191">
        <f t="shared" si="16"/>
        <v>0.6894883048234598</v>
      </c>
      <c r="M47" s="24"/>
      <c r="N47" s="954"/>
      <c r="O47" s="268">
        <f t="shared" si="1"/>
        <v>0</v>
      </c>
      <c r="P47" s="318">
        <f t="shared" si="2"/>
        <v>0.15282849560342857</v>
      </c>
      <c r="Q47" s="318">
        <f t="shared" si="3"/>
        <v>0.29560875219623423</v>
      </c>
      <c r="R47" s="954"/>
      <c r="S47" s="954"/>
      <c r="T47" s="954"/>
    </row>
    <row r="48" spans="1:20" x14ac:dyDescent="0.2">
      <c r="A48" s="1074" t="s">
        <v>67</v>
      </c>
      <c r="B48" s="168">
        <f>+TableA1!E48</f>
        <v>135.02409969740114</v>
      </c>
      <c r="C48" s="1099">
        <v>54.170478374899503</v>
      </c>
      <c r="D48" s="1100">
        <v>63.58782132250164</v>
      </c>
      <c r="E48" s="1101">
        <v>4.9870875135386079</v>
      </c>
      <c r="F48" s="1107">
        <f t="shared" si="11"/>
        <v>58.600733808963028</v>
      </c>
      <c r="G48" s="1108">
        <v>17.265799999999999</v>
      </c>
      <c r="H48" s="1103">
        <f t="shared" si="12"/>
        <v>0.59880881637945005</v>
      </c>
      <c r="I48" s="24">
        <f t="shared" si="13"/>
        <v>0.53998589896339155</v>
      </c>
      <c r="J48" s="1104">
        <f t="shared" si="14"/>
        <v>0.46001410103660845</v>
      </c>
      <c r="K48" s="1105">
        <f t="shared" si="15"/>
        <v>7.8428343821458177E-2</v>
      </c>
      <c r="L48" s="191">
        <f t="shared" si="16"/>
        <v>1.0817835759803136</v>
      </c>
      <c r="M48" s="24"/>
      <c r="N48" s="954"/>
      <c r="O48" s="268">
        <f t="shared" si="1"/>
        <v>0</v>
      </c>
      <c r="P48" s="318">
        <f t="shared" si="2"/>
        <v>0.12787198758365295</v>
      </c>
      <c r="Q48" s="318">
        <f t="shared" si="3"/>
        <v>0.2135439293576194</v>
      </c>
      <c r="R48" s="954"/>
      <c r="S48" s="954"/>
      <c r="T48" s="954"/>
    </row>
    <row r="49" spans="1:17" x14ac:dyDescent="0.2">
      <c r="A49" s="1074" t="s">
        <v>68</v>
      </c>
      <c r="B49" s="168">
        <f>+TableA1!E49</f>
        <v>29.987501894855708</v>
      </c>
      <c r="C49" s="1099">
        <v>15.631819704056245</v>
      </c>
      <c r="D49" s="1100">
        <v>11.754449253082553</v>
      </c>
      <c r="E49" s="1101">
        <v>-1.4482909191884843</v>
      </c>
      <c r="F49" s="1107">
        <f>D49-E49</f>
        <v>13.202740172271037</v>
      </c>
      <c r="G49" s="1108">
        <v>2.601232937903974</v>
      </c>
      <c r="H49" s="1103">
        <f>(G49+D49)/B49</f>
        <v>0.47872217703633441</v>
      </c>
      <c r="I49" s="24">
        <f>D49/(D49+C49)</f>
        <v>0.4292095893558554</v>
      </c>
      <c r="J49" s="1104">
        <f>1-I49</f>
        <v>0.5707904106441446</v>
      </c>
      <c r="K49" s="1105">
        <f>E49/D49</f>
        <v>-0.12321214614191101</v>
      </c>
      <c r="L49" s="191">
        <f>F49/C49</f>
        <v>0.84460673307568312</v>
      </c>
      <c r="M49" s="24"/>
      <c r="N49" s="954"/>
      <c r="O49" s="268">
        <f t="shared" si="1"/>
        <v>-1.8706414195435173E-10</v>
      </c>
      <c r="P49" s="318">
        <f t="shared" si="2"/>
        <v>8.6743902410564247E-2</v>
      </c>
      <c r="Q49" s="318">
        <f t="shared" si="3"/>
        <v>0.18119883843187923</v>
      </c>
    </row>
    <row r="50" spans="1:17" x14ac:dyDescent="0.2">
      <c r="A50" s="1074" t="s">
        <v>69</v>
      </c>
      <c r="B50" s="168">
        <f>+TableA1!E50</f>
        <v>919.01579786888453</v>
      </c>
      <c r="C50" s="1099">
        <v>318.62573018831665</v>
      </c>
      <c r="D50" s="1100">
        <f>B50-C50-G50</f>
        <v>392.14914516074521</v>
      </c>
      <c r="E50" s="1101">
        <f>+B50*$E$102</f>
        <v>16.022038228747046</v>
      </c>
      <c r="F50" s="1107">
        <f t="shared" si="11"/>
        <v>376.12710693199818</v>
      </c>
      <c r="G50" s="1108">
        <v>208.24092251982265</v>
      </c>
      <c r="H50" s="1103">
        <f t="shared" si="12"/>
        <v>0.6532967867068431</v>
      </c>
      <c r="I50" s="24">
        <f t="shared" si="13"/>
        <v>0.55172060628642872</v>
      </c>
      <c r="J50" s="1104">
        <f t="shared" si="14"/>
        <v>0.44827939371357128</v>
      </c>
      <c r="K50" s="1105">
        <f t="shared" si="15"/>
        <v>4.0857001542562277E-2</v>
      </c>
      <c r="L50" s="191">
        <f t="shared" si="16"/>
        <v>1.1804668339549873</v>
      </c>
      <c r="M50" s="24"/>
      <c r="N50" s="954"/>
      <c r="O50" s="268">
        <f t="shared" si="1"/>
        <v>0</v>
      </c>
      <c r="P50" s="318">
        <f t="shared" si="2"/>
        <v>0.22659123271081383</v>
      </c>
      <c r="Q50" s="318">
        <f t="shared" si="3"/>
        <v>0.34684271730926658</v>
      </c>
    </row>
    <row r="51" spans="1:17" x14ac:dyDescent="0.2">
      <c r="A51" s="1074" t="s">
        <v>70</v>
      </c>
      <c r="B51" s="168">
        <f>+TableA1!E51</f>
        <v>856.3415010588692</v>
      </c>
      <c r="C51" s="1099">
        <v>465.66449313355542</v>
      </c>
      <c r="D51" s="1100">
        <v>304.59339180293296</v>
      </c>
      <c r="E51" s="1101">
        <f>+B51*$E$102</f>
        <v>14.929380211574236</v>
      </c>
      <c r="F51" s="1107">
        <f t="shared" si="11"/>
        <v>289.6640115913587</v>
      </c>
      <c r="G51" s="1108">
        <v>86.083616122380846</v>
      </c>
      <c r="H51" s="1103">
        <f t="shared" si="12"/>
        <v>0.45621636630040741</v>
      </c>
      <c r="I51" s="24">
        <f t="shared" si="13"/>
        <v>0.39544339338772</v>
      </c>
      <c r="J51" s="1104">
        <f t="shared" si="14"/>
        <v>0.60455660661228006</v>
      </c>
      <c r="K51" s="1105">
        <f t="shared" si="15"/>
        <v>4.9014130356555156E-2</v>
      </c>
      <c r="L51" s="191">
        <f t="shared" si="16"/>
        <v>0.62204444586734098</v>
      </c>
      <c r="M51" s="24"/>
      <c r="N51" s="954"/>
      <c r="O51" s="268">
        <f t="shared" si="1"/>
        <v>0</v>
      </c>
      <c r="P51" s="318">
        <f t="shared" si="2"/>
        <v>0.10052486772617952</v>
      </c>
      <c r="Q51" s="318">
        <f t="shared" si="3"/>
        <v>0.22034472051356951</v>
      </c>
    </row>
    <row r="52" spans="1:17" x14ac:dyDescent="0.2">
      <c r="A52" s="1074" t="s">
        <v>71</v>
      </c>
      <c r="B52" s="168">
        <f>+TableA1!E52</f>
        <v>192.31937324835505</v>
      </c>
      <c r="C52" s="1099">
        <v>97.137143202548756</v>
      </c>
      <c r="D52" s="1100">
        <f>B52-C52-G52</f>
        <v>59.342892652268709</v>
      </c>
      <c r="E52" s="1101">
        <v>-17.12428736338828</v>
      </c>
      <c r="F52" s="1107">
        <f>D52-E52</f>
        <v>76.467180015656993</v>
      </c>
      <c r="G52" s="1108">
        <v>35.839337393537583</v>
      </c>
      <c r="H52" s="1103">
        <f t="shared" si="12"/>
        <v>0.49491753450595444</v>
      </c>
      <c r="I52" s="24">
        <f t="shared" si="13"/>
        <v>0.37923619027878536</v>
      </c>
      <c r="J52" s="1104">
        <f t="shared" si="14"/>
        <v>0.6207638097212147</v>
      </c>
      <c r="K52" s="1105">
        <f t="shared" si="15"/>
        <v>-0.28856509344314224</v>
      </c>
      <c r="L52" s="191">
        <f t="shared" ref="L52:L91" si="17">F52/C52</f>
        <v>0.78720845080042035</v>
      </c>
      <c r="M52" s="24"/>
      <c r="N52" s="954"/>
      <c r="O52" s="268">
        <f t="shared" si="1"/>
        <v>0</v>
      </c>
      <c r="P52" s="318">
        <f t="shared" si="2"/>
        <v>0.18635323518476643</v>
      </c>
      <c r="Q52" s="318">
        <f t="shared" si="3"/>
        <v>0.37653391159557786</v>
      </c>
    </row>
    <row r="53" spans="1:17" ht="40" customHeight="1" x14ac:dyDescent="0.2">
      <c r="A53" s="187" t="s">
        <v>72</v>
      </c>
      <c r="B53" s="168">
        <f t="shared" ref="B53:G53" si="18">SUM(B54:B89)</f>
        <v>687.54671431433303</v>
      </c>
      <c r="C53" s="1110">
        <f t="shared" si="18"/>
        <v>314.67446275208073</v>
      </c>
      <c r="D53" s="208">
        <f t="shared" si="18"/>
        <v>265.16973811058523</v>
      </c>
      <c r="E53" s="209">
        <f t="shared" si="18"/>
        <v>-33.628710695772561</v>
      </c>
      <c r="F53" s="175">
        <f t="shared" si="18"/>
        <v>298.79844880635773</v>
      </c>
      <c r="G53" s="781">
        <f t="shared" si="18"/>
        <v>107.70251345166704</v>
      </c>
      <c r="H53" s="195">
        <f t="shared" ref="H53:H89" si="19">(G53+D53)/B53</f>
        <v>0.54232278883639939</v>
      </c>
      <c r="I53" s="176">
        <f t="shared" si="13"/>
        <v>0.45731204643605594</v>
      </c>
      <c r="J53" s="196">
        <f t="shared" si="14"/>
        <v>0.54268795356394406</v>
      </c>
      <c r="K53" s="176">
        <f t="shared" si="15"/>
        <v>-0.12681956446232259</v>
      </c>
      <c r="L53" s="186">
        <f t="shared" si="17"/>
        <v>0.9495478158383921</v>
      </c>
      <c r="M53" s="176"/>
      <c r="N53" s="954"/>
      <c r="O53" s="268">
        <f t="shared" si="1"/>
        <v>0</v>
      </c>
    </row>
    <row r="54" spans="1:17" ht="15.75" customHeight="1" x14ac:dyDescent="0.2">
      <c r="A54" s="1074" t="str">
        <f>+TableA1!A54</f>
        <v>Andorra</v>
      </c>
      <c r="B54" s="122">
        <f>TableA1!E54</f>
        <v>1.8902000000000001</v>
      </c>
      <c r="C54" s="1091">
        <v>0.50910500000000003</v>
      </c>
      <c r="D54" s="1111">
        <f t="shared" ref="D54:D88" si="20">B54-C54-G54</f>
        <v>1.1254930000000001</v>
      </c>
      <c r="E54" s="1036">
        <f t="shared" ref="E54:E64" si="21">+B54*$E$103</f>
        <v>-9.2451883826600065E-2</v>
      </c>
      <c r="F54" s="1036">
        <f t="shared" ref="F54:F89" si="22">D54-E54</f>
        <v>1.2179448838266</v>
      </c>
      <c r="G54" s="1112">
        <v>0.255602</v>
      </c>
      <c r="H54" s="1103">
        <f t="shared" si="19"/>
        <v>0.73066077663739293</v>
      </c>
      <c r="I54" s="24">
        <f t="shared" ref="I54:I89" si="23">D54/(D54+C54)</f>
        <v>0.6885442169879078</v>
      </c>
      <c r="J54" s="1104">
        <f t="shared" ref="J54:J89" si="24">1-I54</f>
        <v>0.3114557830120922</v>
      </c>
      <c r="K54" s="1105">
        <f t="shared" ref="K54:K91" si="25">E54/D54</f>
        <v>-8.2143455202831173E-2</v>
      </c>
      <c r="L54" s="191">
        <f t="shared" si="17"/>
        <v>2.3923255199351803</v>
      </c>
      <c r="M54" s="24"/>
      <c r="N54" s="954"/>
      <c r="O54" s="268">
        <f t="shared" si="1"/>
        <v>0</v>
      </c>
    </row>
    <row r="55" spans="1:17" ht="15.75" customHeight="1" x14ac:dyDescent="0.2">
      <c r="A55" s="1074" t="str">
        <f>+TableA1!A55</f>
        <v>Anguilla</v>
      </c>
      <c r="B55" s="122">
        <f>TableA1!E55</f>
        <v>0.17888200000000001</v>
      </c>
      <c r="C55" s="1091">
        <v>4.8179904000000003E-2</v>
      </c>
      <c r="D55" s="1111">
        <f t="shared" si="20"/>
        <v>0.10651282000000002</v>
      </c>
      <c r="E55" s="1036">
        <f t="shared" si="21"/>
        <v>-8.7493269932651958E-3</v>
      </c>
      <c r="F55" s="1036">
        <f t="shared" si="22"/>
        <v>0.11526214699326522</v>
      </c>
      <c r="G55" s="1112">
        <v>2.4189275999999999E-2</v>
      </c>
      <c r="H55" s="1103">
        <f t="shared" si="19"/>
        <v>0.73066097203743252</v>
      </c>
      <c r="I55" s="24">
        <f t="shared" si="23"/>
        <v>0.68854447220154968</v>
      </c>
      <c r="J55" s="1104">
        <f t="shared" si="24"/>
        <v>0.31145552779845032</v>
      </c>
      <c r="K55" s="1105">
        <f t="shared" si="25"/>
        <v>-8.214341703904933E-2</v>
      </c>
      <c r="L55" s="191">
        <f t="shared" si="17"/>
        <v>2.3923282826230872</v>
      </c>
      <c r="M55" s="24"/>
      <c r="N55" s="954"/>
      <c r="O55" s="268">
        <f t="shared" si="1"/>
        <v>0</v>
      </c>
    </row>
    <row r="56" spans="1:17" ht="15.75" customHeight="1" x14ac:dyDescent="0.2">
      <c r="A56" s="1074" t="str">
        <f>+TableA1!A56</f>
        <v>Antigua and Barbuda</v>
      </c>
      <c r="B56" s="122">
        <f>TableA1!E56</f>
        <v>0.91761499999999996</v>
      </c>
      <c r="C56" s="1091">
        <v>9.4220399999999996E-2</v>
      </c>
      <c r="D56" s="1111">
        <f t="shared" si="20"/>
        <v>0.6993106</v>
      </c>
      <c r="E56" s="1036">
        <f t="shared" si="21"/>
        <v>-4.4881618547003288E-2</v>
      </c>
      <c r="F56" s="1036">
        <f t="shared" si="22"/>
        <v>0.74419221854700335</v>
      </c>
      <c r="G56" s="1112">
        <v>0.124084</v>
      </c>
      <c r="H56" s="1103">
        <f t="shared" si="19"/>
        <v>0.89732033587070836</v>
      </c>
      <c r="I56" s="24">
        <f t="shared" si="23"/>
        <v>0.88126437404461833</v>
      </c>
      <c r="J56" s="1104">
        <f t="shared" si="24"/>
        <v>0.11873562595538167</v>
      </c>
      <c r="K56" s="1105">
        <f t="shared" si="25"/>
        <v>-6.4179805864523265E-2</v>
      </c>
      <c r="L56" s="191">
        <f t="shared" si="17"/>
        <v>7.8984192228753365</v>
      </c>
      <c r="M56" s="24"/>
      <c r="N56" s="954"/>
      <c r="O56" s="268">
        <f t="shared" si="1"/>
        <v>0</v>
      </c>
    </row>
    <row r="57" spans="1:17" ht="15.75" customHeight="1" x14ac:dyDescent="0.2">
      <c r="A57" s="1074" t="str">
        <f>+TableA1!A57</f>
        <v>Aruba</v>
      </c>
      <c r="B57" s="122">
        <f>TableA1!E57</f>
        <v>1.6807799999999999</v>
      </c>
      <c r="C57" s="1091">
        <v>0.45270100000000002</v>
      </c>
      <c r="D57" s="1111">
        <f t="shared" si="20"/>
        <v>1.0007949999999999</v>
      </c>
      <c r="E57" s="1036">
        <f t="shared" si="21"/>
        <v>-8.2208907680707252E-2</v>
      </c>
      <c r="F57" s="1036">
        <f t="shared" si="22"/>
        <v>1.0830039076807072</v>
      </c>
      <c r="G57" s="1112">
        <v>0.22728400000000001</v>
      </c>
      <c r="H57" s="1103">
        <f t="shared" si="19"/>
        <v>0.73066016968312331</v>
      </c>
      <c r="I57" s="24">
        <f t="shared" si="23"/>
        <v>0.68854334652451743</v>
      </c>
      <c r="J57" s="1104">
        <f t="shared" si="24"/>
        <v>0.31145665347548257</v>
      </c>
      <c r="K57" s="1105">
        <f t="shared" si="25"/>
        <v>-8.2143603515912114E-2</v>
      </c>
      <c r="L57" s="191">
        <f t="shared" si="17"/>
        <v>2.3923161373195709</v>
      </c>
      <c r="M57" s="24"/>
      <c r="N57" s="954"/>
      <c r="O57" s="268">
        <f t="shared" si="1"/>
        <v>0</v>
      </c>
    </row>
    <row r="58" spans="1:17" ht="15.75" customHeight="1" x14ac:dyDescent="0.2">
      <c r="A58" s="1074" t="str">
        <f>+TableA1!A58</f>
        <v>Bahamas, The</v>
      </c>
      <c r="B58" s="122">
        <f>TableA1!E58</f>
        <v>7.5567900000000003</v>
      </c>
      <c r="C58" s="1091">
        <v>0.49227100000000001</v>
      </c>
      <c r="D58" s="1111">
        <f t="shared" si="20"/>
        <v>6.0426490000000008</v>
      </c>
      <c r="E58" s="1036">
        <f t="shared" si="21"/>
        <v>-0.3696114015352942</v>
      </c>
      <c r="F58" s="1036">
        <f t="shared" si="22"/>
        <v>6.4122604015352946</v>
      </c>
      <c r="G58" s="1112">
        <v>1.0218700000000001</v>
      </c>
      <c r="H58" s="1103">
        <f t="shared" si="19"/>
        <v>0.93485712848974234</v>
      </c>
      <c r="I58" s="24">
        <f t="shared" si="23"/>
        <v>0.92467069221964471</v>
      </c>
      <c r="J58" s="1104">
        <f t="shared" si="24"/>
        <v>7.5329307780355292E-2</v>
      </c>
      <c r="K58" s="1105">
        <f t="shared" si="25"/>
        <v>-6.1167114213533526E-2</v>
      </c>
      <c r="L58" s="191">
        <f t="shared" si="17"/>
        <v>13.025874775347917</v>
      </c>
      <c r="M58" s="24"/>
      <c r="N58" s="954"/>
      <c r="O58" s="268">
        <f t="shared" si="1"/>
        <v>0</v>
      </c>
    </row>
    <row r="59" spans="1:17" ht="15.75" customHeight="1" x14ac:dyDescent="0.2">
      <c r="A59" s="1074" t="str">
        <f>+TableA1!A59</f>
        <v>Bahrain</v>
      </c>
      <c r="B59" s="122">
        <f>TableA1!E59</f>
        <v>22.1172</v>
      </c>
      <c r="C59" s="1113">
        <f>+B59*SUM($C$60:$C$73,$C$54:$C$58,$C$75:$C$89)/SUM($B$75:$B$89,$B$60:$B$73,$B$54:$B$58)</f>
        <v>10.122538414747584</v>
      </c>
      <c r="D59" s="1111">
        <f t="shared" si="20"/>
        <v>10.950201585252415</v>
      </c>
      <c r="E59" s="1036">
        <f t="shared" si="21"/>
        <v>-1.0817780155378685</v>
      </c>
      <c r="F59" s="1036">
        <f t="shared" si="22"/>
        <v>12.031979600790283</v>
      </c>
      <c r="G59" s="1112">
        <v>1.0444599999999999</v>
      </c>
      <c r="H59" s="1103">
        <f t="shared" si="19"/>
        <v>0.54232278883639951</v>
      </c>
      <c r="I59" s="24">
        <f t="shared" si="23"/>
        <v>0.5196382428318489</v>
      </c>
      <c r="J59" s="1104">
        <f t="shared" si="24"/>
        <v>0.4803617571681511</v>
      </c>
      <c r="K59" s="1105">
        <f t="shared" si="25"/>
        <v>-9.8790694136151117E-2</v>
      </c>
      <c r="L59" s="191">
        <f t="shared" si="17"/>
        <v>1.1886326440866672</v>
      </c>
      <c r="M59" s="24"/>
      <c r="N59" s="954"/>
      <c r="O59" s="268">
        <f t="shared" si="1"/>
        <v>0</v>
      </c>
    </row>
    <row r="60" spans="1:17" ht="15.75" customHeight="1" x14ac:dyDescent="0.2">
      <c r="A60" s="1074" t="str">
        <f>+TableA1!A60</f>
        <v>Barbados</v>
      </c>
      <c r="B60" s="122">
        <f>TableA1!E60</f>
        <v>3.0819800000000002</v>
      </c>
      <c r="C60" s="1113">
        <v>0.34493299999999999</v>
      </c>
      <c r="D60" s="1111">
        <f t="shared" si="20"/>
        <v>2.3202859999999998</v>
      </c>
      <c r="E60" s="1036">
        <f t="shared" si="21"/>
        <v>-0.1507432318886387</v>
      </c>
      <c r="F60" s="1036">
        <f t="shared" si="22"/>
        <v>2.4710292318886387</v>
      </c>
      <c r="G60" s="1112">
        <v>0.41676099999999999</v>
      </c>
      <c r="H60" s="1103">
        <f t="shared" si="19"/>
        <v>0.88808071434597236</v>
      </c>
      <c r="I60" s="24">
        <f t="shared" si="23"/>
        <v>0.87057986604477899</v>
      </c>
      <c r="J60" s="1104">
        <f t="shared" si="24"/>
        <v>0.12942013395522101</v>
      </c>
      <c r="K60" s="1105">
        <f t="shared" si="25"/>
        <v>-6.4967522059193872E-2</v>
      </c>
      <c r="L60" s="191">
        <f t="shared" si="17"/>
        <v>7.1637948004065679</v>
      </c>
      <c r="M60" s="24"/>
      <c r="N60" s="954"/>
      <c r="O60" s="268">
        <f t="shared" si="1"/>
        <v>0</v>
      </c>
    </row>
    <row r="61" spans="1:17" ht="15.75" customHeight="1" x14ac:dyDescent="0.2">
      <c r="A61" s="1074" t="str">
        <f>+TableA1!A61</f>
        <v>Belize</v>
      </c>
      <c r="B61" s="122">
        <f>TableA1!E61</f>
        <v>1.17154</v>
      </c>
      <c r="C61" s="1113">
        <v>0.13389599999999999</v>
      </c>
      <c r="D61" s="1111">
        <f t="shared" si="20"/>
        <v>0.87922299999999998</v>
      </c>
      <c r="E61" s="1036">
        <f t="shared" si="21"/>
        <v>-5.7301386085184133E-2</v>
      </c>
      <c r="F61" s="1036">
        <f t="shared" si="22"/>
        <v>0.93652438608518407</v>
      </c>
      <c r="G61" s="1112">
        <v>0.15842100000000001</v>
      </c>
      <c r="H61" s="1103">
        <f t="shared" si="19"/>
        <v>0.88570940812947063</v>
      </c>
      <c r="I61" s="24">
        <f t="shared" si="23"/>
        <v>0.86783783543690329</v>
      </c>
      <c r="J61" s="1104">
        <f t="shared" si="24"/>
        <v>0.13216216456309671</v>
      </c>
      <c r="K61" s="1105">
        <f t="shared" si="25"/>
        <v>-6.5172756041623273E-2</v>
      </c>
      <c r="L61" s="191">
        <f t="shared" si="17"/>
        <v>6.9944164581853387</v>
      </c>
      <c r="M61" s="24"/>
      <c r="N61" s="954"/>
      <c r="O61" s="268">
        <f t="shared" si="1"/>
        <v>0</v>
      </c>
    </row>
    <row r="62" spans="1:17" ht="15.75" customHeight="1" x14ac:dyDescent="0.2">
      <c r="A62" s="1074" t="str">
        <f>+TableA1!A62</f>
        <v>Bermuda</v>
      </c>
      <c r="B62" s="122">
        <f>TableA1!E62</f>
        <v>4.8467700000000002</v>
      </c>
      <c r="C62" s="1113">
        <v>3.0988699999999998</v>
      </c>
      <c r="D62" s="1111">
        <f t="shared" si="20"/>
        <v>1.5341060000000004</v>
      </c>
      <c r="E62" s="1036">
        <f t="shared" si="21"/>
        <v>-0.23706116652960027</v>
      </c>
      <c r="F62" s="1036">
        <f t="shared" si="22"/>
        <v>1.7711671665296007</v>
      </c>
      <c r="G62" s="1112">
        <v>0.21379400000000001</v>
      </c>
      <c r="H62" s="1103">
        <f t="shared" si="19"/>
        <v>0.36063192600432875</v>
      </c>
      <c r="I62" s="24">
        <f t="shared" si="23"/>
        <v>0.33112755170758501</v>
      </c>
      <c r="J62" s="1104">
        <f t="shared" si="24"/>
        <v>0.66887244829241499</v>
      </c>
      <c r="K62" s="1105">
        <f t="shared" si="25"/>
        <v>-0.15452724031429393</v>
      </c>
      <c r="L62" s="191">
        <f t="shared" si="17"/>
        <v>0.57155258740431214</v>
      </c>
      <c r="M62" s="24"/>
      <c r="N62" s="954"/>
      <c r="O62" s="268">
        <f t="shared" si="1"/>
        <v>0</v>
      </c>
    </row>
    <row r="63" spans="1:17" ht="15.75" customHeight="1" x14ac:dyDescent="0.2">
      <c r="A63" s="1074" t="str">
        <f>+TableA1!A63</f>
        <v>Bonaire</v>
      </c>
      <c r="B63" s="122">
        <f>TableA1!E63</f>
        <v>0.26904600000000001</v>
      </c>
      <c r="C63" s="1113">
        <v>7.2464799999999996E-2</v>
      </c>
      <c r="D63" s="1111">
        <f t="shared" si="20"/>
        <v>0.16019941200000001</v>
      </c>
      <c r="E63" s="1036">
        <f t="shared" si="21"/>
        <v>-1.3159353262094721E-2</v>
      </c>
      <c r="F63" s="1036">
        <f t="shared" si="22"/>
        <v>0.17335876526209473</v>
      </c>
      <c r="G63" s="1112">
        <v>3.6381787999999998E-2</v>
      </c>
      <c r="H63" s="1103">
        <f t="shared" si="19"/>
        <v>0.73066018450376513</v>
      </c>
      <c r="I63" s="24">
        <f t="shared" si="23"/>
        <v>0.68854341895950899</v>
      </c>
      <c r="J63" s="1104">
        <f t="shared" si="24"/>
        <v>0.31145658104049101</v>
      </c>
      <c r="K63" s="1105">
        <f t="shared" si="25"/>
        <v>-8.2143580290386584E-2</v>
      </c>
      <c r="L63" s="191">
        <f t="shared" si="17"/>
        <v>2.3923168940243364</v>
      </c>
      <c r="M63" s="24"/>
      <c r="N63" s="954"/>
      <c r="O63" s="268">
        <f t="shared" si="1"/>
        <v>0</v>
      </c>
    </row>
    <row r="64" spans="1:17" ht="15.75" customHeight="1" x14ac:dyDescent="0.2">
      <c r="A64" s="1074" t="str">
        <f>+TableA1!A64</f>
        <v>British Virgin Islands</v>
      </c>
      <c r="B64" s="122">
        <f>TableA1!E64</f>
        <v>0.60508099999999998</v>
      </c>
      <c r="C64" s="1113">
        <v>0.16297200000000001</v>
      </c>
      <c r="D64" s="1111">
        <f t="shared" si="20"/>
        <v>0.36028688799999997</v>
      </c>
      <c r="E64" s="1036">
        <f t="shared" si="21"/>
        <v>-2.9595216547287584E-2</v>
      </c>
      <c r="F64" s="1036">
        <f t="shared" si="22"/>
        <v>0.38988210454728756</v>
      </c>
      <c r="G64" s="1112">
        <v>8.1822112000000002E-2</v>
      </c>
      <c r="H64" s="1103">
        <f t="shared" si="19"/>
        <v>0.73066085367083078</v>
      </c>
      <c r="I64" s="24">
        <f t="shared" si="23"/>
        <v>0.68854422975420149</v>
      </c>
      <c r="J64" s="1104">
        <f t="shared" si="24"/>
        <v>0.31145577024579851</v>
      </c>
      <c r="K64" s="1105">
        <f t="shared" si="25"/>
        <v>-8.2143473806594883E-2</v>
      </c>
      <c r="L64" s="191">
        <f t="shared" si="17"/>
        <v>2.3923257034784351</v>
      </c>
      <c r="M64" s="24"/>
      <c r="N64" s="954"/>
      <c r="O64" s="268">
        <f t="shared" si="1"/>
        <v>0</v>
      </c>
    </row>
    <row r="65" spans="1:15" ht="15.75" customHeight="1" x14ac:dyDescent="0.2">
      <c r="A65" s="1074" t="str">
        <f>+TableA1!A65</f>
        <v>Cayman Islands</v>
      </c>
      <c r="B65" s="122">
        <f>TableA1!E65</f>
        <v>2.3189600000000001</v>
      </c>
      <c r="C65" s="1113">
        <v>1.41639</v>
      </c>
      <c r="D65" s="1111">
        <f t="shared" si="20"/>
        <v>0.58898800000000007</v>
      </c>
      <c r="E65" s="1036">
        <v>-0.47557262591999999</v>
      </c>
      <c r="F65" s="1036">
        <f t="shared" si="22"/>
        <v>1.06456062592</v>
      </c>
      <c r="G65" s="1112">
        <v>0.31358200000000003</v>
      </c>
      <c r="H65" s="1103">
        <f t="shared" si="19"/>
        <v>0.38921326801669714</v>
      </c>
      <c r="I65" s="24">
        <f t="shared" si="23"/>
        <v>0.29370422932733875</v>
      </c>
      <c r="J65" s="1104">
        <f t="shared" si="24"/>
        <v>0.70629577067266125</v>
      </c>
      <c r="K65" s="1105">
        <f t="shared" si="25"/>
        <v>-0.80744026350282172</v>
      </c>
      <c r="L65" s="191">
        <f t="shared" si="17"/>
        <v>0.75160134279400448</v>
      </c>
      <c r="M65" s="24"/>
      <c r="N65" s="954"/>
      <c r="O65" s="268">
        <f t="shared" si="1"/>
        <v>0</v>
      </c>
    </row>
    <row r="66" spans="1:15" ht="15.75" customHeight="1" x14ac:dyDescent="0.2">
      <c r="A66" s="1074" t="str">
        <f>+TableA1!A66</f>
        <v>Curacao</v>
      </c>
      <c r="B66" s="122">
        <f>TableA1!E66</f>
        <v>2.0247299999999999</v>
      </c>
      <c r="C66" s="1113">
        <v>1.3583099999999999</v>
      </c>
      <c r="D66" s="1111">
        <f t="shared" si="20"/>
        <v>0.35703400000000002</v>
      </c>
      <c r="E66" s="1036">
        <f>+B66*$E$103</f>
        <v>-9.9031902835801475E-2</v>
      </c>
      <c r="F66" s="1036">
        <f t="shared" si="22"/>
        <v>0.45606590283580151</v>
      </c>
      <c r="G66" s="1112">
        <v>0.30938599999999999</v>
      </c>
      <c r="H66" s="1103">
        <f t="shared" si="19"/>
        <v>0.32914018165385017</v>
      </c>
      <c r="I66" s="24">
        <f t="shared" si="23"/>
        <v>0.20814134074564636</v>
      </c>
      <c r="J66" s="1104">
        <f t="shared" si="24"/>
        <v>0.79185865925435361</v>
      </c>
      <c r="K66" s="1105">
        <f t="shared" si="25"/>
        <v>-0.27737387149627618</v>
      </c>
      <c r="L66" s="191">
        <f t="shared" si="17"/>
        <v>0.33575980655064125</v>
      </c>
      <c r="M66" s="24"/>
      <c r="N66" s="954"/>
      <c r="O66" s="268">
        <f t="shared" si="1"/>
        <v>0</v>
      </c>
    </row>
    <row r="67" spans="1:15" ht="15.75" customHeight="1" x14ac:dyDescent="0.2">
      <c r="A67" s="1074" t="str">
        <f>+TableA1!A67</f>
        <v>Cyprus</v>
      </c>
      <c r="B67" s="122">
        <f>TableA1!E67</f>
        <v>9.9627499999999998</v>
      </c>
      <c r="C67" s="1113">
        <v>5.5453299999999999</v>
      </c>
      <c r="D67" s="1111">
        <f t="shared" si="20"/>
        <v>3.12425</v>
      </c>
      <c r="E67" s="1036">
        <v>0</v>
      </c>
      <c r="F67" s="1036">
        <f t="shared" si="22"/>
        <v>3.12425</v>
      </c>
      <c r="G67" s="1112">
        <v>1.2931699999999999</v>
      </c>
      <c r="H67" s="1103">
        <f t="shared" si="19"/>
        <v>0.44339364131389425</v>
      </c>
      <c r="I67" s="24">
        <f t="shared" si="23"/>
        <v>0.36036924510760615</v>
      </c>
      <c r="J67" s="1104">
        <f t="shared" si="24"/>
        <v>0.63963075489239385</v>
      </c>
      <c r="K67" s="1105">
        <f t="shared" si="25"/>
        <v>0</v>
      </c>
      <c r="L67" s="191">
        <f t="shared" si="17"/>
        <v>0.56340199771699795</v>
      </c>
      <c r="M67" s="24"/>
      <c r="N67" s="954"/>
      <c r="O67" s="268">
        <f t="shared" si="1"/>
        <v>0</v>
      </c>
    </row>
    <row r="68" spans="1:15" ht="15.75" customHeight="1" x14ac:dyDescent="0.2">
      <c r="A68" s="1074" t="str">
        <f>+TableA1!A68</f>
        <v>Jersey</v>
      </c>
      <c r="B68" s="122">
        <f>TableA1!E68</f>
        <v>4.6878599999999997</v>
      </c>
      <c r="C68" s="1113">
        <v>1.2626299999999999</v>
      </c>
      <c r="D68" s="1111">
        <f t="shared" si="20"/>
        <v>2.7913139999999999</v>
      </c>
      <c r="E68" s="1036">
        <f>+B68*$E$103</f>
        <v>-0.2292886933210059</v>
      </c>
      <c r="F68" s="1036">
        <f t="shared" si="22"/>
        <v>3.0206026933210057</v>
      </c>
      <c r="G68" s="1112">
        <v>0.63391600000000004</v>
      </c>
      <c r="H68" s="1103">
        <f t="shared" si="19"/>
        <v>0.73065961867461915</v>
      </c>
      <c r="I68" s="24">
        <f t="shared" si="23"/>
        <v>0.68854281164219344</v>
      </c>
      <c r="J68" s="1104">
        <f t="shared" si="24"/>
        <v>0.31145718835780656</v>
      </c>
      <c r="K68" s="1105">
        <f t="shared" si="25"/>
        <v>-8.2143640350389069E-2</v>
      </c>
      <c r="L68" s="191">
        <f t="shared" si="17"/>
        <v>2.3923102518718911</v>
      </c>
      <c r="M68" s="24"/>
      <c r="N68" s="954"/>
      <c r="O68" s="268">
        <f t="shared" si="1"/>
        <v>0</v>
      </c>
    </row>
    <row r="69" spans="1:15" ht="15.75" customHeight="1" x14ac:dyDescent="0.2">
      <c r="A69" s="1074" t="str">
        <f>+TableA1!A69</f>
        <v>Grenada</v>
      </c>
      <c r="B69" s="122">
        <f>TableA1!E69</f>
        <v>0.50683400000000001</v>
      </c>
      <c r="C69" s="1113">
        <v>7.3907048000000003E-2</v>
      </c>
      <c r="D69" s="1111">
        <f t="shared" si="20"/>
        <v>0.35847732799999998</v>
      </c>
      <c r="E69" s="1036">
        <f>+B69*$E$103</f>
        <v>-2.4789841332859497E-2</v>
      </c>
      <c r="F69" s="1036">
        <f t="shared" si="22"/>
        <v>0.38326716933285948</v>
      </c>
      <c r="G69" s="1112">
        <v>7.4449624000000006E-2</v>
      </c>
      <c r="H69" s="1103">
        <f t="shared" si="19"/>
        <v>0.85417898562448447</v>
      </c>
      <c r="I69" s="24">
        <f t="shared" si="23"/>
        <v>0.82907095606988346</v>
      </c>
      <c r="J69" s="1104">
        <f t="shared" si="24"/>
        <v>0.17092904393011654</v>
      </c>
      <c r="K69" s="1105">
        <f t="shared" si="25"/>
        <v>-6.9153163663559489E-2</v>
      </c>
      <c r="L69" s="191">
        <f t="shared" si="17"/>
        <v>5.1857999974895419</v>
      </c>
      <c r="M69" s="24"/>
      <c r="N69" s="954"/>
      <c r="O69" s="268">
        <f t="shared" si="1"/>
        <v>0</v>
      </c>
    </row>
    <row r="70" spans="1:15" ht="15.75" customHeight="1" x14ac:dyDescent="0.2">
      <c r="A70" s="1074" t="str">
        <f>+TableA1!A70</f>
        <v>Guernsey</v>
      </c>
      <c r="B70" s="122">
        <f>TableA1!E70</f>
        <v>3.1522600000000001</v>
      </c>
      <c r="C70" s="1113">
        <v>0.84902900000000003</v>
      </c>
      <c r="D70" s="1111">
        <f t="shared" si="20"/>
        <v>1.8769660000000004</v>
      </c>
      <c r="E70" s="1036">
        <f>+B70*$E$103</f>
        <v>-0.15418070855530544</v>
      </c>
      <c r="F70" s="1036">
        <f t="shared" si="22"/>
        <v>2.0311467085553057</v>
      </c>
      <c r="G70" s="1112">
        <v>0.42626500000000001</v>
      </c>
      <c r="H70" s="1103">
        <f t="shared" si="19"/>
        <v>0.73066022472765579</v>
      </c>
      <c r="I70" s="24">
        <f t="shared" si="23"/>
        <v>0.68854344927265099</v>
      </c>
      <c r="J70" s="1104">
        <f t="shared" si="24"/>
        <v>0.31145655072734901</v>
      </c>
      <c r="K70" s="1105">
        <f t="shared" si="25"/>
        <v>-8.2143580946754183E-2</v>
      </c>
      <c r="L70" s="191">
        <f t="shared" si="17"/>
        <v>2.3923172336343113</v>
      </c>
      <c r="M70" s="24"/>
      <c r="N70" s="954"/>
      <c r="O70" s="268">
        <f t="shared" si="1"/>
        <v>0</v>
      </c>
    </row>
    <row r="71" spans="1:15" ht="15.75" customHeight="1" x14ac:dyDescent="0.2">
      <c r="A71" s="1074" t="str">
        <f>+TableA1!A71</f>
        <v>Gibraltar</v>
      </c>
      <c r="B71" s="122">
        <f>TableA1!E71</f>
        <v>1.6875</v>
      </c>
      <c r="C71" s="1113">
        <v>0.45451200000000003</v>
      </c>
      <c r="D71" s="1111">
        <f t="shared" si="20"/>
        <v>1.0047949999999999</v>
      </c>
      <c r="E71" s="1036">
        <f>+B71*$E$103</f>
        <v>-8.2537590708595704E-2</v>
      </c>
      <c r="F71" s="1036">
        <f t="shared" si="22"/>
        <v>1.0873325907085956</v>
      </c>
      <c r="G71" s="1112">
        <v>0.22819300000000001</v>
      </c>
      <c r="H71" s="1103">
        <f t="shared" si="19"/>
        <v>0.73065955555555551</v>
      </c>
      <c r="I71" s="24">
        <f t="shared" si="23"/>
        <v>0.68854257534569485</v>
      </c>
      <c r="J71" s="1104">
        <f t="shared" si="24"/>
        <v>0.31145742465430515</v>
      </c>
      <c r="K71" s="1105">
        <f t="shared" si="25"/>
        <v>-8.2143711611418965E-2</v>
      </c>
      <c r="L71" s="191">
        <f t="shared" si="17"/>
        <v>2.3923077734110332</v>
      </c>
      <c r="M71" s="24"/>
      <c r="N71" s="954"/>
      <c r="O71" s="268">
        <f t="shared" si="1"/>
        <v>0</v>
      </c>
    </row>
    <row r="72" spans="1:15" ht="15.75" customHeight="1" x14ac:dyDescent="0.2">
      <c r="A72" s="1074" t="str">
        <f>+TableA1!A72</f>
        <v>Hong Kong</v>
      </c>
      <c r="B72" s="122">
        <f>TableA1!E72</f>
        <v>219.09200000000001</v>
      </c>
      <c r="C72" s="1113">
        <v>117.069</v>
      </c>
      <c r="D72" s="1111">
        <f t="shared" si="20"/>
        <v>72.396300000000011</v>
      </c>
      <c r="E72" s="1036">
        <v>-1.5334282122</v>
      </c>
      <c r="F72" s="1036">
        <f t="shared" si="22"/>
        <v>73.929728212200004</v>
      </c>
      <c r="G72" s="1112">
        <v>29.6267</v>
      </c>
      <c r="H72" s="1103">
        <f t="shared" si="19"/>
        <v>0.46566282657513741</v>
      </c>
      <c r="I72" s="24">
        <f t="shared" si="23"/>
        <v>0.38210849163408817</v>
      </c>
      <c r="J72" s="1104">
        <f t="shared" si="24"/>
        <v>0.61789150836591178</v>
      </c>
      <c r="K72" s="1105">
        <f t="shared" si="25"/>
        <v>-2.1181030138280543E-2</v>
      </c>
      <c r="L72" s="191">
        <f t="shared" si="17"/>
        <v>0.63150559253260896</v>
      </c>
      <c r="M72" s="24"/>
      <c r="N72" s="954"/>
      <c r="O72" s="268">
        <f t="shared" si="1"/>
        <v>0</v>
      </c>
    </row>
    <row r="73" spans="1:15" ht="15.75" customHeight="1" x14ac:dyDescent="0.2">
      <c r="A73" s="1074" t="str">
        <f>+TableA1!A73</f>
        <v>Isle of man</v>
      </c>
      <c r="B73" s="122">
        <f>TableA1!E73</f>
        <v>4.56663</v>
      </c>
      <c r="C73" s="1113">
        <v>1.22997</v>
      </c>
      <c r="D73" s="1111">
        <f t="shared" si="20"/>
        <v>2.7191380000000001</v>
      </c>
      <c r="E73" s="1036">
        <f>+B73*$E$103</f>
        <v>-0.22335919280450039</v>
      </c>
      <c r="F73" s="1036">
        <f t="shared" si="22"/>
        <v>2.9424971928045003</v>
      </c>
      <c r="G73" s="1112">
        <v>0.61752200000000002</v>
      </c>
      <c r="H73" s="1103">
        <f t="shared" si="19"/>
        <v>0.73066134107646119</v>
      </c>
      <c r="I73" s="24">
        <f t="shared" si="23"/>
        <v>0.68854485620550265</v>
      </c>
      <c r="J73" s="1104">
        <f t="shared" si="24"/>
        <v>0.31145514379449735</v>
      </c>
      <c r="K73" s="1105">
        <f t="shared" si="25"/>
        <v>-8.2143382500079215E-2</v>
      </c>
      <c r="L73" s="191">
        <f t="shared" si="17"/>
        <v>2.3923324900643919</v>
      </c>
      <c r="M73" s="24"/>
      <c r="N73" s="954"/>
      <c r="O73" s="268">
        <f t="shared" si="1"/>
        <v>0</v>
      </c>
    </row>
    <row r="74" spans="1:15" ht="15.75" customHeight="1" x14ac:dyDescent="0.2">
      <c r="A74" s="1088" t="str">
        <f>+TableA1!A74</f>
        <v>Lebanon</v>
      </c>
      <c r="B74" s="122">
        <f>TableA1!E74</f>
        <v>33.252099999999999</v>
      </c>
      <c r="C74" s="1113">
        <f>+B74*SUM($C$60:$C$73,$C$54:$C$58,$C$75:$C$89)/SUM($B$75:$B$89,$B$60:$B$73,$B$54:$B$58)</f>
        <v>15.218728393333157</v>
      </c>
      <c r="D74" s="1111">
        <f t="shared" si="20"/>
        <v>13.53685160666684</v>
      </c>
      <c r="E74" s="1114">
        <f>+B74*$E$103</f>
        <v>-1.6263989451859528</v>
      </c>
      <c r="F74" s="1114">
        <f t="shared" si="22"/>
        <v>15.163250551852792</v>
      </c>
      <c r="G74" s="1112">
        <v>4.4965200000000003</v>
      </c>
      <c r="H74" s="1115">
        <f t="shared" si="19"/>
        <v>0.54232278883639951</v>
      </c>
      <c r="I74" s="138">
        <f t="shared" si="23"/>
        <v>0.47075564487542393</v>
      </c>
      <c r="J74" s="1116">
        <f t="shared" si="24"/>
        <v>0.52924435512457602</v>
      </c>
      <c r="K74" s="1117">
        <f t="shared" si="25"/>
        <v>-0.12014602748433457</v>
      </c>
      <c r="L74" s="139">
        <f t="shared" si="17"/>
        <v>0.9963546335773581</v>
      </c>
      <c r="M74" s="24"/>
      <c r="N74" s="954"/>
      <c r="O74" s="268">
        <f t="shared" ref="O74:O91" si="26">B74-C74-D74-G74</f>
        <v>0</v>
      </c>
    </row>
    <row r="75" spans="1:15" ht="15.75" customHeight="1" x14ac:dyDescent="0.2">
      <c r="A75" s="1074" t="str">
        <f>+TableA1!A75</f>
        <v>Liechtenstein</v>
      </c>
      <c r="B75" s="122">
        <f>TableA1!E75</f>
        <v>4.7388899999999996</v>
      </c>
      <c r="C75" s="1113">
        <v>2.9184000000000001</v>
      </c>
      <c r="D75" s="1111">
        <f t="shared" si="20"/>
        <v>1.1529629999999995</v>
      </c>
      <c r="E75" s="1036">
        <f>+B75*$E$103</f>
        <v>-0.23178463006403383</v>
      </c>
      <c r="F75" s="1036">
        <f t="shared" si="22"/>
        <v>1.3847476300640333</v>
      </c>
      <c r="G75" s="1112">
        <v>0.66752699999999998</v>
      </c>
      <c r="H75" s="1103">
        <f t="shared" si="19"/>
        <v>0.38415958167418945</v>
      </c>
      <c r="I75" s="24">
        <f t="shared" si="23"/>
        <v>0.28318845556144207</v>
      </c>
      <c r="J75" s="1104">
        <f t="shared" si="24"/>
        <v>0.71681154443855788</v>
      </c>
      <c r="K75" s="1105">
        <f t="shared" si="25"/>
        <v>-0.20103388405701997</v>
      </c>
      <c r="L75" s="191">
        <f t="shared" si="17"/>
        <v>0.47448863420505527</v>
      </c>
      <c r="M75" s="24"/>
      <c r="N75" s="954"/>
      <c r="O75" s="268">
        <f t="shared" si="26"/>
        <v>0</v>
      </c>
    </row>
    <row r="76" spans="1:15" ht="15.75" customHeight="1" x14ac:dyDescent="0.2">
      <c r="A76" s="1074" t="str">
        <f>+TableA1!A76</f>
        <v>Macau</v>
      </c>
      <c r="B76" s="122">
        <f>TableA1!E76</f>
        <v>25.217500000000001</v>
      </c>
      <c r="C76" s="1113">
        <v>10.102600000000001</v>
      </c>
      <c r="D76" s="1111">
        <f t="shared" si="20"/>
        <v>11.70486</v>
      </c>
      <c r="E76" s="1036">
        <f>+B76*$E$103</f>
        <v>-1.2334172999668223</v>
      </c>
      <c r="F76" s="1036">
        <f t="shared" si="22"/>
        <v>12.938277299966822</v>
      </c>
      <c r="G76" s="1112">
        <v>3.41004</v>
      </c>
      <c r="H76" s="1103">
        <f t="shared" si="19"/>
        <v>0.5993813819768018</v>
      </c>
      <c r="I76" s="24">
        <f t="shared" si="23"/>
        <v>0.53673651126724531</v>
      </c>
      <c r="J76" s="1104">
        <f t="shared" si="24"/>
        <v>0.46326348873275469</v>
      </c>
      <c r="K76" s="1105">
        <f t="shared" si="25"/>
        <v>-0.1053765102672584</v>
      </c>
      <c r="L76" s="191">
        <f t="shared" si="17"/>
        <v>1.2806878724255955</v>
      </c>
      <c r="M76" s="24"/>
      <c r="N76" s="954"/>
      <c r="O76" s="268">
        <f t="shared" si="26"/>
        <v>0</v>
      </c>
    </row>
    <row r="77" spans="1:15" ht="15.75" customHeight="1" x14ac:dyDescent="0.2">
      <c r="A77" s="1074" t="s">
        <v>96</v>
      </c>
      <c r="B77" s="122">
        <f>TableA1!E77</f>
        <v>5.8736199999999998</v>
      </c>
      <c r="C77" s="1113">
        <v>2.7482700000000002</v>
      </c>
      <c r="D77" s="1111">
        <f t="shared" si="20"/>
        <v>2.3345849999999997</v>
      </c>
      <c r="E77" s="1036">
        <v>1.6701859999999999E-3</v>
      </c>
      <c r="F77" s="1036">
        <f t="shared" si="22"/>
        <v>2.3329148139999996</v>
      </c>
      <c r="G77" s="1112">
        <v>0.79076500000000005</v>
      </c>
      <c r="H77" s="1103">
        <f t="shared" si="19"/>
        <v>0.53209945485067123</v>
      </c>
      <c r="I77" s="24">
        <f t="shared" si="23"/>
        <v>0.45930584287767395</v>
      </c>
      <c r="J77" s="1104">
        <f t="shared" si="24"/>
        <v>0.54069415712232605</v>
      </c>
      <c r="K77" s="1105">
        <f t="shared" si="25"/>
        <v>7.1541023351045271E-4</v>
      </c>
      <c r="L77" s="191">
        <f t="shared" si="17"/>
        <v>0.84886667394397175</v>
      </c>
      <c r="M77" s="24"/>
      <c r="N77" s="954"/>
      <c r="O77" s="268">
        <f t="shared" si="26"/>
        <v>0</v>
      </c>
    </row>
    <row r="78" spans="1:15" ht="15.75" customHeight="1" x14ac:dyDescent="0.2">
      <c r="A78" s="1074" t="s">
        <v>97</v>
      </c>
      <c r="B78" s="122">
        <f>TableA1!E78</f>
        <v>0.12894600000000001</v>
      </c>
      <c r="C78" s="1091">
        <v>8.3486143999999998E-2</v>
      </c>
      <c r="D78" s="1111">
        <f t="shared" si="20"/>
        <v>2.8023098000000007E-2</v>
      </c>
      <c r="E78" s="1036">
        <f>+B78*$E$103</f>
        <v>-6.3068990645988639E-3</v>
      </c>
      <c r="F78" s="1036">
        <f t="shared" si="22"/>
        <v>3.4329997064598869E-2</v>
      </c>
      <c r="G78" s="1112">
        <v>1.7436758E-2</v>
      </c>
      <c r="H78" s="1103">
        <f t="shared" si="19"/>
        <v>0.35254956338312166</v>
      </c>
      <c r="I78" s="24">
        <f t="shared" si="23"/>
        <v>0.25130740284289621</v>
      </c>
      <c r="J78" s="1104">
        <f t="shared" si="24"/>
        <v>0.74869259715710379</v>
      </c>
      <c r="K78" s="1105">
        <f t="shared" si="25"/>
        <v>-0.22506073613270247</v>
      </c>
      <c r="L78" s="191">
        <f t="shared" si="17"/>
        <v>0.41120592495682723</v>
      </c>
      <c r="M78" s="24"/>
      <c r="N78" s="954"/>
      <c r="O78" s="268">
        <f t="shared" si="26"/>
        <v>0</v>
      </c>
    </row>
    <row r="79" spans="1:15" ht="15.75" customHeight="1" x14ac:dyDescent="0.2">
      <c r="A79" s="1074" t="str">
        <f>+TableA1!A79</f>
        <v>Monaco</v>
      </c>
      <c r="B79" s="122">
        <f>TableA1!E79</f>
        <v>3.85907</v>
      </c>
      <c r="C79" s="1091">
        <v>1.0394000000000001</v>
      </c>
      <c r="D79" s="1111">
        <f t="shared" si="20"/>
        <v>2.2978269999999998</v>
      </c>
      <c r="E79" s="1036">
        <f>+B79*$E$103</f>
        <v>-0.18875160899307877</v>
      </c>
      <c r="F79" s="1036">
        <f t="shared" si="22"/>
        <v>2.4865786089930788</v>
      </c>
      <c r="G79" s="1112">
        <v>0.52184299999999995</v>
      </c>
      <c r="H79" s="1103">
        <f t="shared" si="19"/>
        <v>0.73066049592259275</v>
      </c>
      <c r="I79" s="24">
        <f t="shared" si="23"/>
        <v>0.688543811973234</v>
      </c>
      <c r="J79" s="1104">
        <f t="shared" si="24"/>
        <v>0.311456188026766</v>
      </c>
      <c r="K79" s="1105">
        <f t="shared" si="25"/>
        <v>-8.2143524727091632E-2</v>
      </c>
      <c r="L79" s="191">
        <f t="shared" si="17"/>
        <v>2.3923211554676529</v>
      </c>
      <c r="M79" s="24"/>
      <c r="N79" s="954"/>
      <c r="O79" s="268">
        <f t="shared" si="26"/>
        <v>0</v>
      </c>
    </row>
    <row r="80" spans="1:15" ht="15.75" customHeight="1" x14ac:dyDescent="0.2">
      <c r="A80" s="1074" t="str">
        <f>+TableA1!A80</f>
        <v>Sint Maarten</v>
      </c>
      <c r="B80" s="122">
        <f>TableA1!E80</f>
        <v>0.53428699999999996</v>
      </c>
      <c r="C80" s="1091">
        <v>0.14390500000000001</v>
      </c>
      <c r="D80" s="1111">
        <f t="shared" si="20"/>
        <v>0.31813307199999996</v>
      </c>
      <c r="E80" s="1036">
        <f>+B80*$E$103</f>
        <v>-2.6132599541880575E-2</v>
      </c>
      <c r="F80" s="1036">
        <f t="shared" si="22"/>
        <v>0.34426567154188054</v>
      </c>
      <c r="G80" s="1112">
        <v>7.2248928000000004E-2</v>
      </c>
      <c r="H80" s="1103">
        <f t="shared" si="19"/>
        <v>0.73065973905410386</v>
      </c>
      <c r="I80" s="24">
        <f t="shared" si="23"/>
        <v>0.68854298223285804</v>
      </c>
      <c r="J80" s="1104">
        <f t="shared" si="24"/>
        <v>0.31145701776714196</v>
      </c>
      <c r="K80" s="1105">
        <f t="shared" si="25"/>
        <v>-8.2143611720697104E-2</v>
      </c>
      <c r="L80" s="191">
        <f t="shared" si="17"/>
        <v>2.3923120916012683</v>
      </c>
      <c r="M80" s="24"/>
      <c r="N80" s="954"/>
      <c r="O80" s="268">
        <f t="shared" si="26"/>
        <v>0</v>
      </c>
    </row>
    <row r="81" spans="1:17" ht="15.75" customHeight="1" x14ac:dyDescent="0.2">
      <c r="A81" s="1074" t="str">
        <f>+TableA1!A81</f>
        <v>Mauritius</v>
      </c>
      <c r="B81" s="122">
        <f>TableA1!E81</f>
        <v>7.8608700000000002</v>
      </c>
      <c r="C81" s="1091">
        <v>0.36308000000000001</v>
      </c>
      <c r="D81" s="1111">
        <f t="shared" si="20"/>
        <v>6.4348000000000001</v>
      </c>
      <c r="E81" s="1036">
        <f>+B81*$E$103</f>
        <v>-0.38448430854724669</v>
      </c>
      <c r="F81" s="1036">
        <f t="shared" si="22"/>
        <v>6.819284308547247</v>
      </c>
      <c r="G81" s="1112">
        <v>1.0629900000000001</v>
      </c>
      <c r="H81" s="1103">
        <f t="shared" si="19"/>
        <v>0.9538117282183779</v>
      </c>
      <c r="I81" s="24">
        <f t="shared" si="23"/>
        <v>0.9465892307601782</v>
      </c>
      <c r="J81" s="1104">
        <f t="shared" si="24"/>
        <v>5.3410769239821798E-2</v>
      </c>
      <c r="K81" s="1105">
        <f t="shared" si="25"/>
        <v>-5.9750778353211707E-2</v>
      </c>
      <c r="L81" s="191">
        <f t="shared" si="17"/>
        <v>18.781767953473743</v>
      </c>
      <c r="M81" s="24"/>
      <c r="N81" s="954"/>
      <c r="O81" s="268">
        <f t="shared" si="26"/>
        <v>0</v>
      </c>
    </row>
    <row r="82" spans="1:17" ht="15.75" customHeight="1" x14ac:dyDescent="0.2">
      <c r="A82" s="1074" t="str">
        <f>+TableA1!A82</f>
        <v>Seychelles</v>
      </c>
      <c r="B82" s="122">
        <f>TableA1!E82</f>
        <v>0.96659899999999999</v>
      </c>
      <c r="C82" s="1091">
        <v>6.9840823999999996E-2</v>
      </c>
      <c r="D82" s="1111">
        <f t="shared" si="20"/>
        <v>0.76605017600000003</v>
      </c>
      <c r="E82" s="1036">
        <f>+B82*$E$103</f>
        <v>-4.7277483046718756E-2</v>
      </c>
      <c r="F82" s="1036">
        <f t="shared" si="22"/>
        <v>0.81332765904671878</v>
      </c>
      <c r="G82" s="1112">
        <v>0.13070799999999999</v>
      </c>
      <c r="H82" s="1103">
        <f t="shared" si="19"/>
        <v>0.92774581393111322</v>
      </c>
      <c r="I82" s="24">
        <f t="shared" si="23"/>
        <v>0.91644745068435951</v>
      </c>
      <c r="J82" s="1104">
        <f t="shared" si="24"/>
        <v>8.355254931564049E-2</v>
      </c>
      <c r="K82" s="1105">
        <f t="shared" si="25"/>
        <v>-6.1715909124363616E-2</v>
      </c>
      <c r="L82" s="191">
        <f t="shared" si="17"/>
        <v>11.645447640290138</v>
      </c>
      <c r="M82" s="24"/>
      <c r="N82" s="954"/>
      <c r="O82" s="268">
        <f t="shared" si="26"/>
        <v>0</v>
      </c>
    </row>
    <row r="83" spans="1:17" ht="15.75" customHeight="1" x14ac:dyDescent="0.2">
      <c r="A83" s="1074" t="str">
        <f>+TableA1!A83</f>
        <v>Singapore</v>
      </c>
      <c r="B83" s="122">
        <f>TableA1!E83</f>
        <v>193.44101831433295</v>
      </c>
      <c r="C83" s="1091">
        <v>103.461294</v>
      </c>
      <c r="D83" s="1111">
        <f t="shared" si="20"/>
        <v>45.48921462866592</v>
      </c>
      <c r="E83" s="1036">
        <v>-19.058138157438236</v>
      </c>
      <c r="F83" s="1036">
        <f t="shared" si="22"/>
        <v>64.547352786104156</v>
      </c>
      <c r="G83" s="1112">
        <v>44.490509685667035</v>
      </c>
      <c r="H83" s="1103">
        <f t="shared" si="19"/>
        <v>0.46515328082134033</v>
      </c>
      <c r="I83" s="24">
        <f t="shared" si="23"/>
        <v>0.30539818257398954</v>
      </c>
      <c r="J83" s="1104">
        <f t="shared" si="24"/>
        <v>0.69460181742601046</v>
      </c>
      <c r="K83" s="1105">
        <f t="shared" si="25"/>
        <v>-0.41895948991452531</v>
      </c>
      <c r="L83" s="191">
        <f t="shared" si="17"/>
        <v>0.62387923338851881</v>
      </c>
      <c r="M83" s="24"/>
      <c r="N83" s="954"/>
      <c r="O83" s="268">
        <f t="shared" si="26"/>
        <v>0</v>
      </c>
    </row>
    <row r="84" spans="1:17" ht="15.75" customHeight="1" x14ac:dyDescent="0.2">
      <c r="A84" s="1074" t="str">
        <f>+TableA1!A84</f>
        <v>St. Kitts and Nevis</v>
      </c>
      <c r="B84" s="122">
        <f>TableA1!E84</f>
        <v>0.59048</v>
      </c>
      <c r="C84" s="1091">
        <v>7.3737880000000006E-2</v>
      </c>
      <c r="D84" s="1111">
        <f t="shared" si="20"/>
        <v>0.43689451199999996</v>
      </c>
      <c r="E84" s="1036">
        <f t="shared" ref="E84:E89" si="27">+B84*$E$103</f>
        <v>-2.8881064629103167E-2</v>
      </c>
      <c r="F84" s="1036">
        <f t="shared" si="22"/>
        <v>0.46577557662910313</v>
      </c>
      <c r="G84" s="1112">
        <v>7.9847608E-2</v>
      </c>
      <c r="H84" s="1103">
        <f t="shared" si="19"/>
        <v>0.8751221379216908</v>
      </c>
      <c r="I84" s="24">
        <f t="shared" si="23"/>
        <v>0.85559498152635793</v>
      </c>
      <c r="J84" s="1104">
        <f t="shared" si="24"/>
        <v>0.14440501847364207</v>
      </c>
      <c r="K84" s="1105">
        <f t="shared" si="25"/>
        <v>-6.6105350000604191E-2</v>
      </c>
      <c r="L84" s="191">
        <f t="shared" si="17"/>
        <v>6.3166391090861724</v>
      </c>
      <c r="M84" s="24"/>
      <c r="N84" s="954"/>
      <c r="O84" s="268">
        <f t="shared" si="26"/>
        <v>0</v>
      </c>
    </row>
    <row r="85" spans="1:17" ht="15.75" customHeight="1" x14ac:dyDescent="0.2">
      <c r="A85" s="1074" t="str">
        <f>+TableA1!A85</f>
        <v>St. Lucia</v>
      </c>
      <c r="B85" s="122">
        <f>TableA1!E85</f>
        <v>1.1087400000000001</v>
      </c>
      <c r="C85" s="1091">
        <v>0.115233</v>
      </c>
      <c r="D85" s="1111">
        <f t="shared" si="20"/>
        <v>0.84357800000000005</v>
      </c>
      <c r="E85" s="1036">
        <f t="shared" si="27"/>
        <v>-5.4229764931702763E-2</v>
      </c>
      <c r="F85" s="1036">
        <f t="shared" si="22"/>
        <v>0.89780776493170278</v>
      </c>
      <c r="G85" s="1112">
        <v>0.14992900000000001</v>
      </c>
      <c r="H85" s="1103">
        <f t="shared" si="19"/>
        <v>0.89606851020076839</v>
      </c>
      <c r="I85" s="24">
        <f t="shared" si="23"/>
        <v>0.87981677306580752</v>
      </c>
      <c r="J85" s="1104">
        <f t="shared" si="24"/>
        <v>0.12018322693419248</v>
      </c>
      <c r="K85" s="1105">
        <f t="shared" si="25"/>
        <v>-6.4285418694777205E-2</v>
      </c>
      <c r="L85" s="191">
        <f t="shared" si="17"/>
        <v>7.7912383165560453</v>
      </c>
      <c r="M85" s="24"/>
      <c r="N85" s="954"/>
      <c r="O85" s="268">
        <f t="shared" si="26"/>
        <v>0</v>
      </c>
    </row>
    <row r="86" spans="1:17" ht="15.75" customHeight="1" x14ac:dyDescent="0.2">
      <c r="A86" s="1074" t="str">
        <f>+TableA1!A86</f>
        <v>St. Vincent and the Grenadines</v>
      </c>
      <c r="B86" s="122">
        <f>TableA1!E86</f>
        <v>0.50773400000000002</v>
      </c>
      <c r="C86" s="1091">
        <v>7.3914943999999996E-2</v>
      </c>
      <c r="D86" s="1111">
        <f t="shared" si="20"/>
        <v>0.36516068800000001</v>
      </c>
      <c r="E86" s="1036">
        <f t="shared" si="27"/>
        <v>-2.4833861381237412E-2</v>
      </c>
      <c r="F86" s="1036">
        <f t="shared" si="22"/>
        <v>0.3899945493812374</v>
      </c>
      <c r="G86" s="1112">
        <v>6.8658367999999997E-2</v>
      </c>
      <c r="H86" s="1103">
        <f t="shared" si="19"/>
        <v>0.8544219138367728</v>
      </c>
      <c r="I86" s="24">
        <f t="shared" si="23"/>
        <v>0.83165783156009898</v>
      </c>
      <c r="J86" s="1104">
        <f t="shared" si="24"/>
        <v>0.16834216843990102</v>
      </c>
      <c r="K86" s="1105">
        <f t="shared" si="25"/>
        <v>-6.8008036454453746E-2</v>
      </c>
      <c r="L86" s="191">
        <f t="shared" si="17"/>
        <v>5.2762611763764227</v>
      </c>
      <c r="M86" s="24"/>
      <c r="N86" s="954"/>
      <c r="O86" s="268">
        <f t="shared" si="26"/>
        <v>0</v>
      </c>
    </row>
    <row r="87" spans="1:17" ht="15.75" customHeight="1" x14ac:dyDescent="0.2">
      <c r="A87" s="1074" t="str">
        <f>+TableA1!A87</f>
        <v>Turks and Caicos</v>
      </c>
      <c r="B87" s="122">
        <f>TableA1!E87</f>
        <v>0.424902</v>
      </c>
      <c r="C87" s="1091">
        <v>0.114443</v>
      </c>
      <c r="D87" s="1111">
        <f t="shared" si="20"/>
        <v>0.253001696</v>
      </c>
      <c r="E87" s="1036">
        <f t="shared" si="27"/>
        <v>-2.0782451773193322E-2</v>
      </c>
      <c r="F87" s="1036">
        <f t="shared" si="22"/>
        <v>0.27378414777319332</v>
      </c>
      <c r="G87" s="1112">
        <v>5.7457304000000001E-2</v>
      </c>
      <c r="H87" s="1103">
        <f t="shared" si="19"/>
        <v>0.73066024636269067</v>
      </c>
      <c r="I87" s="24">
        <f t="shared" si="23"/>
        <v>0.68854360602881037</v>
      </c>
      <c r="J87" s="1104">
        <f t="shared" si="24"/>
        <v>0.31145639397118963</v>
      </c>
      <c r="K87" s="1105">
        <f t="shared" si="25"/>
        <v>-8.2143527501069888E-2</v>
      </c>
      <c r="L87" s="191">
        <f t="shared" si="17"/>
        <v>2.3923188641786157</v>
      </c>
      <c r="M87" s="24"/>
      <c r="N87" s="954"/>
      <c r="O87" s="268">
        <f t="shared" si="26"/>
        <v>0</v>
      </c>
    </row>
    <row r="88" spans="1:17" ht="15.75" customHeight="1" x14ac:dyDescent="0.2">
      <c r="A88" s="1074" t="str">
        <f>+TableA1!A88</f>
        <v>Panama</v>
      </c>
      <c r="B88" s="122">
        <f>TableA1!E88</f>
        <v>35.049199999999999</v>
      </c>
      <c r="C88" s="1091">
        <v>10.2681</v>
      </c>
      <c r="D88" s="1111">
        <f t="shared" si="20"/>
        <v>20.04157</v>
      </c>
      <c r="E88" s="1036">
        <f t="shared" si="27"/>
        <v>-1.7142971995636815</v>
      </c>
      <c r="F88" s="1036">
        <f t="shared" si="22"/>
        <v>21.755867199563681</v>
      </c>
      <c r="G88" s="1112">
        <v>4.7395300000000002</v>
      </c>
      <c r="H88" s="1103">
        <f t="shared" si="19"/>
        <v>0.70703753580680884</v>
      </c>
      <c r="I88" s="24">
        <f t="shared" si="23"/>
        <v>0.6612269285676815</v>
      </c>
      <c r="J88" s="1104">
        <f t="shared" si="24"/>
        <v>0.3387730714323185</v>
      </c>
      <c r="K88" s="1105">
        <f t="shared" si="25"/>
        <v>-8.5537071175745286E-2</v>
      </c>
      <c r="L88" s="191">
        <f t="shared" si="17"/>
        <v>2.1187821699792249</v>
      </c>
      <c r="M88" s="24"/>
      <c r="N88" s="954"/>
      <c r="O88" s="268">
        <f t="shared" si="26"/>
        <v>0</v>
      </c>
    </row>
    <row r="89" spans="1:17" ht="15.75" customHeight="1" x14ac:dyDescent="0.2">
      <c r="A89" s="1074" t="s">
        <v>108</v>
      </c>
      <c r="B89" s="122">
        <f>C89+D89+G89</f>
        <v>81.677350000000004</v>
      </c>
      <c r="C89" s="1091">
        <v>23.088800000000003</v>
      </c>
      <c r="D89" s="1111">
        <v>48.7699</v>
      </c>
      <c r="E89" s="1036">
        <f t="shared" si="27"/>
        <v>-3.9949343315334636</v>
      </c>
      <c r="F89" s="1036">
        <f t="shared" si="22"/>
        <v>52.764834331533464</v>
      </c>
      <c r="G89" s="1112">
        <v>9.8186499999999999</v>
      </c>
      <c r="H89" s="1103">
        <f t="shared" si="19"/>
        <v>0.71731697955430718</v>
      </c>
      <c r="I89" s="24">
        <f t="shared" si="23"/>
        <v>0.67869165459436365</v>
      </c>
      <c r="J89" s="1104">
        <f t="shared" si="24"/>
        <v>0.32130834540563635</v>
      </c>
      <c r="K89" s="1105">
        <f t="shared" si="25"/>
        <v>-8.1913933215640458E-2</v>
      </c>
      <c r="L89" s="191">
        <f t="shared" si="17"/>
        <v>2.2852999866399926</v>
      </c>
      <c r="M89" s="24"/>
      <c r="N89" s="954"/>
      <c r="O89" s="268">
        <f t="shared" si="26"/>
        <v>0</v>
      </c>
    </row>
    <row r="90" spans="1:17" ht="40" customHeight="1" x14ac:dyDescent="0.2">
      <c r="A90" s="1582" t="s">
        <v>109</v>
      </c>
      <c r="B90" s="1583">
        <f>TableA1!E90</f>
        <v>4259.654706389314</v>
      </c>
      <c r="C90" s="1768">
        <f>+B90*C102</f>
        <v>2089.5387553579658</v>
      </c>
      <c r="D90" s="1585">
        <f>B90-C90-G90</f>
        <v>1497.408536414895</v>
      </c>
      <c r="E90" s="1769">
        <f>+B90*E102</f>
        <v>74.262434558027934</v>
      </c>
      <c r="F90" s="1586">
        <f t="shared" ref="F90" si="28">D90-E90</f>
        <v>1423.1461018568671</v>
      </c>
      <c r="G90" s="1587">
        <f>+B90*D102</f>
        <v>672.70741461645321</v>
      </c>
      <c r="H90" s="1588">
        <f t="shared" ref="H90" si="29">(G90+D90)/B90</f>
        <v>0.50945818396412745</v>
      </c>
      <c r="I90" s="1589">
        <f t="shared" ref="I90" si="30">D90/(D90+C90)</f>
        <v>0.41746042375626763</v>
      </c>
      <c r="J90" s="1590">
        <f t="shared" ref="J90" si="31">1-I90</f>
        <v>0.58253957624373243</v>
      </c>
      <c r="K90" s="1589">
        <f t="shared" si="25"/>
        <v>4.9593970350821907E-2</v>
      </c>
      <c r="L90" s="1766">
        <f t="shared" si="17"/>
        <v>0.68108145790914665</v>
      </c>
      <c r="M90" s="176"/>
      <c r="N90" s="954"/>
      <c r="O90" s="268">
        <f t="shared" si="26"/>
        <v>0</v>
      </c>
    </row>
    <row r="91" spans="1:17" ht="40" customHeight="1" thickBot="1" x14ac:dyDescent="0.25">
      <c r="A91" s="210" t="s">
        <v>110</v>
      </c>
      <c r="B91" s="165">
        <f>TableA1!E91</f>
        <v>40756.104983635028</v>
      </c>
      <c r="C91" s="211">
        <f>C90+C53+C45+C9</f>
        <v>22422.077231008858</v>
      </c>
      <c r="D91" s="212">
        <f>D90+D53+D45+D9</f>
        <v>11405.10618863448</v>
      </c>
      <c r="E91" s="213">
        <f>E90+E53+E45+E9</f>
        <v>196.21039395766726</v>
      </c>
      <c r="F91" s="170">
        <f>F90+F53+F45+F9</f>
        <v>11208.895794676813</v>
      </c>
      <c r="G91" s="166">
        <f>G90+G53+G45+G9</f>
        <v>6928.9209587203241</v>
      </c>
      <c r="H91" s="197">
        <f>(G91+D91)/B91</f>
        <v>0.44984738248948336</v>
      </c>
      <c r="I91" s="167">
        <f>D91/(D91+C91)</f>
        <v>0.33715802013866669</v>
      </c>
      <c r="J91" s="198">
        <f>1-I91</f>
        <v>0.66284197986133331</v>
      </c>
      <c r="K91" s="167">
        <f t="shared" si="25"/>
        <v>1.7203732320633422E-2</v>
      </c>
      <c r="L91" s="199">
        <f t="shared" si="17"/>
        <v>0.49990443254630074</v>
      </c>
      <c r="M91" s="176"/>
      <c r="N91" s="954"/>
      <c r="O91" s="268">
        <f t="shared" si="26"/>
        <v>6.0527136702148709E-4</v>
      </c>
    </row>
    <row r="92" spans="1:17" ht="17" thickTop="1" x14ac:dyDescent="0.2">
      <c r="A92" s="192"/>
      <c r="B92" s="193"/>
      <c r="C92" s="152"/>
      <c r="D92" s="153"/>
      <c r="E92" s="194"/>
      <c r="F92" s="152"/>
      <c r="G92" s="152"/>
      <c r="H92" s="155"/>
      <c r="I92" s="154"/>
      <c r="J92" s="155"/>
      <c r="K92" s="155"/>
      <c r="L92" s="154"/>
      <c r="M92" s="154"/>
      <c r="N92" s="954"/>
    </row>
    <row r="93" spans="1:17" s="2" customFormat="1" ht="17" thickBot="1" x14ac:dyDescent="0.25">
      <c r="B93" s="954"/>
      <c r="C93" s="954"/>
      <c r="D93" s="954"/>
      <c r="E93" s="954"/>
      <c r="F93" s="954"/>
      <c r="G93" s="954"/>
      <c r="H93" s="954"/>
      <c r="I93" s="954"/>
      <c r="J93" s="954"/>
      <c r="K93" s="954"/>
      <c r="L93" s="954"/>
      <c r="M93" s="954"/>
      <c r="N93" s="954"/>
      <c r="O93" s="314"/>
      <c r="P93" s="314"/>
      <c r="Q93" s="314"/>
    </row>
    <row r="94" spans="1:17" s="2" customFormat="1" ht="47.25" customHeight="1" thickBot="1" x14ac:dyDescent="0.25">
      <c r="A94" s="1948" t="s">
        <v>132</v>
      </c>
      <c r="B94" s="1979"/>
      <c r="C94" s="1979"/>
      <c r="D94" s="1979"/>
      <c r="E94" s="1979"/>
      <c r="F94" s="1979"/>
      <c r="G94" s="1979"/>
      <c r="H94" s="1979"/>
      <c r="I94" s="1979"/>
      <c r="J94" s="1979"/>
      <c r="K94" s="1979"/>
      <c r="L94" s="1980"/>
      <c r="M94" s="1118"/>
      <c r="N94" s="954"/>
      <c r="O94" s="314"/>
      <c r="P94" s="314"/>
      <c r="Q94" s="314"/>
    </row>
    <row r="95" spans="1:17" s="2" customFormat="1" x14ac:dyDescent="0.2">
      <c r="A95" s="954"/>
      <c r="B95" s="954"/>
      <c r="C95" s="954"/>
      <c r="D95" s="954"/>
      <c r="E95" s="954"/>
      <c r="F95" s="954"/>
      <c r="G95" s="954"/>
      <c r="H95" s="954"/>
      <c r="I95" s="954"/>
      <c r="J95" s="954"/>
      <c r="K95" s="954"/>
      <c r="L95" s="954"/>
      <c r="M95" s="954"/>
      <c r="N95" s="954"/>
      <c r="O95" s="314"/>
      <c r="P95" s="314"/>
      <c r="Q95" s="314"/>
    </row>
    <row r="96" spans="1:17" s="2" customFormat="1" x14ac:dyDescent="0.2">
      <c r="A96" s="954"/>
      <c r="B96" s="954"/>
      <c r="C96" s="954"/>
      <c r="D96" s="954"/>
      <c r="E96" s="1075"/>
      <c r="F96" s="954"/>
      <c r="H96" s="954"/>
      <c r="I96" s="954"/>
      <c r="J96" s="954"/>
      <c r="K96" s="954"/>
      <c r="L96" s="954"/>
      <c r="M96" s="954"/>
      <c r="N96" s="954"/>
      <c r="O96" s="314"/>
      <c r="P96" s="314"/>
      <c r="Q96" s="314"/>
    </row>
    <row r="97" spans="1:18" s="2" customFormat="1" x14ac:dyDescent="0.2">
      <c r="A97" s="1000" t="s">
        <v>133</v>
      </c>
      <c r="B97" s="1003">
        <f>SUM(B10:B44)-B12-B24-B30-B32-B41</f>
        <v>24835.668517122413</v>
      </c>
      <c r="C97" s="1003">
        <f t="shared" ref="C97:G97" si="32">SUM(C10:C44)-C12-C24-C30-C32-C41</f>
        <v>14529.806981991025</v>
      </c>
      <c r="D97" s="1003">
        <f t="shared" si="32"/>
        <v>5934.5570523537908</v>
      </c>
      <c r="E97" s="1003">
        <f t="shared" si="32"/>
        <v>120.82971732928223</v>
      </c>
      <c r="F97" s="1003">
        <f t="shared" si="32"/>
        <v>5813.7273350245077</v>
      </c>
      <c r="G97" s="1003">
        <f t="shared" si="32"/>
        <v>4371.3038772982236</v>
      </c>
      <c r="H97" s="1103">
        <f t="shared" ref="H97" si="33">(G97+D97)/B97</f>
        <v>0.41496209061362144</v>
      </c>
      <c r="I97" s="689">
        <f t="shared" ref="I97" si="34">D97/(D97+C97)</f>
        <v>0.28999469724023558</v>
      </c>
      <c r="J97" s="1104">
        <f t="shared" ref="J97" si="35">1-I97</f>
        <v>0.71000530275976437</v>
      </c>
      <c r="K97" s="1105">
        <f t="shared" ref="K97" si="36">E97/D97</f>
        <v>2.0360359882522015E-2</v>
      </c>
      <c r="L97" s="191">
        <f t="shared" ref="L97" si="37">F97/C97</f>
        <v>0.4001241958843868</v>
      </c>
      <c r="M97" s="954"/>
      <c r="N97" s="954"/>
      <c r="O97" s="314"/>
      <c r="P97" s="314"/>
      <c r="Q97" s="314"/>
    </row>
    <row r="98" spans="1:18" s="2" customFormat="1" x14ac:dyDescent="0.2">
      <c r="A98" s="954"/>
      <c r="C98" s="128"/>
      <c r="D98" s="128"/>
      <c r="E98" s="128"/>
      <c r="F98" s="128"/>
      <c r="G98" s="128"/>
      <c r="H98" s="954"/>
      <c r="I98" s="954"/>
      <c r="J98" s="954"/>
      <c r="K98" s="954"/>
      <c r="L98" s="954"/>
      <c r="M98" s="954"/>
      <c r="N98" s="954"/>
      <c r="O98" s="314"/>
      <c r="P98" s="314"/>
      <c r="Q98" s="314"/>
    </row>
    <row r="99" spans="1:18" x14ac:dyDescent="0.2">
      <c r="A99" s="954"/>
      <c r="B99" s="128"/>
      <c r="C99" s="129"/>
      <c r="D99" s="129"/>
      <c r="E99" s="129"/>
      <c r="F99" s="129"/>
      <c r="G99" s="129"/>
      <c r="H99" s="954"/>
      <c r="I99" s="954"/>
      <c r="J99" s="954"/>
      <c r="K99" s="954"/>
      <c r="L99" s="954"/>
      <c r="M99" s="954"/>
      <c r="N99" s="954"/>
      <c r="R99" s="954"/>
    </row>
    <row r="100" spans="1:18" s="2" customFormat="1" ht="30" customHeight="1" x14ac:dyDescent="0.2">
      <c r="A100" s="128" t="s">
        <v>112</v>
      </c>
      <c r="B100" s="1767"/>
      <c r="C100" s="128" t="s">
        <v>125</v>
      </c>
      <c r="D100" s="128" t="s">
        <v>134</v>
      </c>
      <c r="E100" s="128" t="s">
        <v>127</v>
      </c>
      <c r="F100" s="129"/>
      <c r="G100" s="129"/>
      <c r="H100" s="954"/>
      <c r="I100" s="954"/>
      <c r="J100" s="954"/>
      <c r="K100" s="954"/>
      <c r="L100" s="954"/>
      <c r="M100" s="954"/>
      <c r="N100" s="954"/>
      <c r="O100" s="314"/>
      <c r="P100" s="314"/>
      <c r="Q100" s="314"/>
    </row>
    <row r="101" spans="1:18" x14ac:dyDescent="0.2">
      <c r="A101" s="954"/>
      <c r="B101" s="128" t="s">
        <v>115</v>
      </c>
      <c r="C101" s="130">
        <f>+(+C11+C12+SUM(C14:C22)+SUM(C24:C26)+SUM(C28:C44))/(B11+B12+SUM(B28:B44)+SUM(B24:B26)+SUM(B14:B22))</f>
        <v>0.5828854953992002</v>
      </c>
      <c r="D101" s="130">
        <f>+SUM(G10:G44)/SUM(B10:B44)</f>
        <v>0.17664274579679837</v>
      </c>
      <c r="E101" s="130">
        <f>(SUM(E11:E13,E26:E27,E28:E32)+SUM(E14:E22)+SUM(E24)+SUM(E34:E44))/(SUM(B11:B13)+SUM(B14:B22)+SUM(B24)+SUM(B34:B44,B26:B27,B28:B32))</f>
        <v>2.6060245643401908E-4</v>
      </c>
      <c r="F101" s="130"/>
      <c r="G101" s="133">
        <f>+SUM(G49,G51:G53)</f>
        <v>232.22669990548945</v>
      </c>
      <c r="H101" s="954"/>
      <c r="I101" s="954"/>
      <c r="J101" s="954"/>
      <c r="K101" s="954"/>
      <c r="L101" s="954"/>
      <c r="M101" s="954"/>
      <c r="N101" s="954"/>
      <c r="R101" s="954"/>
    </row>
    <row r="102" spans="1:18" x14ac:dyDescent="0.2">
      <c r="A102" s="954"/>
      <c r="B102" s="128" t="s">
        <v>64</v>
      </c>
      <c r="C102" s="130">
        <f>+SUM(C46:C52)/SUM(B46:B52)</f>
        <v>0.4905418160358726</v>
      </c>
      <c r="D102" s="130">
        <f>+SUM(G46:G52)/SUM(B46:B52)</f>
        <v>0.15792533925517921</v>
      </c>
      <c r="E102" s="130">
        <f>+SUM(E46:E49,E52)/SUM(B46:B49,B52)</f>
        <v>1.7433909477835661E-2</v>
      </c>
      <c r="F102" s="130"/>
      <c r="G102" s="130"/>
      <c r="H102" s="954"/>
      <c r="I102" s="954"/>
      <c r="J102" s="954"/>
      <c r="K102" s="954"/>
      <c r="L102" s="954"/>
      <c r="M102" s="954"/>
      <c r="N102" s="954"/>
      <c r="R102" s="954"/>
    </row>
    <row r="103" spans="1:18" x14ac:dyDescent="0.2">
      <c r="A103" s="954"/>
      <c r="B103" s="128" t="s">
        <v>116</v>
      </c>
      <c r="C103" s="131">
        <v>0</v>
      </c>
      <c r="D103" s="132">
        <v>0</v>
      </c>
      <c r="E103" s="132">
        <f>+(E65+E67+E72+E83+E77)/(B83+B67+B65+B72+B77)</f>
        <v>-4.8911164864353013E-2</v>
      </c>
      <c r="F103" s="128"/>
      <c r="G103" s="128"/>
      <c r="H103" s="954"/>
      <c r="I103" s="954"/>
      <c r="J103"/>
      <c r="K103"/>
      <c r="L103"/>
      <c r="M103"/>
      <c r="N103"/>
      <c r="R103"/>
    </row>
    <row r="104" spans="1:18" ht="15" customHeight="1" x14ac:dyDescent="0.2">
      <c r="A104" s="954"/>
      <c r="B104" s="128"/>
      <c r="C104" s="128"/>
      <c r="D104" s="128"/>
      <c r="E104" s="128"/>
      <c r="F104" s="128"/>
      <c r="G104" s="128"/>
      <c r="H104" s="954"/>
      <c r="I104" s="954"/>
      <c r="J104"/>
      <c r="K104"/>
      <c r="L104"/>
      <c r="M104"/>
      <c r="N104"/>
      <c r="R104"/>
    </row>
    <row r="105" spans="1:18" x14ac:dyDescent="0.2">
      <c r="A105" s="954"/>
      <c r="B105" s="954"/>
      <c r="C105" s="954"/>
      <c r="D105" s="954"/>
      <c r="E105" s="954"/>
      <c r="F105" s="954"/>
      <c r="G105" s="954"/>
      <c r="H105" s="954"/>
      <c r="I105" s="954"/>
      <c r="J105"/>
      <c r="K105"/>
      <c r="L105"/>
      <c r="M105"/>
      <c r="N105"/>
      <c r="R105"/>
    </row>
    <row r="106" spans="1:18" x14ac:dyDescent="0.2">
      <c r="A106" s="954"/>
      <c r="B106" s="954"/>
      <c r="C106" s="954"/>
      <c r="D106" s="954"/>
      <c r="E106" s="954"/>
      <c r="F106" s="954"/>
      <c r="G106" s="954"/>
      <c r="H106" s="954"/>
      <c r="I106" s="954"/>
      <c r="J106"/>
      <c r="K106"/>
      <c r="L106"/>
      <c r="M106"/>
      <c r="N106"/>
      <c r="R106"/>
    </row>
    <row r="107" spans="1:18" x14ac:dyDescent="0.2">
      <c r="A107" s="954"/>
      <c r="B107" s="954"/>
      <c r="C107" s="954"/>
      <c r="D107" s="954"/>
      <c r="E107" s="954"/>
      <c r="F107" s="954"/>
      <c r="G107" s="954"/>
      <c r="H107" s="954"/>
      <c r="I107" s="954"/>
      <c r="J107"/>
      <c r="K107"/>
      <c r="L107"/>
      <c r="M107"/>
      <c r="N107"/>
      <c r="R107"/>
    </row>
    <row r="108" spans="1:18" x14ac:dyDescent="0.2">
      <c r="A108" s="954"/>
      <c r="B108" s="954"/>
      <c r="C108" s="954"/>
      <c r="D108" s="954"/>
      <c r="E108" s="954"/>
      <c r="F108" s="954"/>
      <c r="G108" s="954"/>
      <c r="H108" s="954"/>
      <c r="I108" s="954"/>
      <c r="J108"/>
      <c r="K108"/>
      <c r="L108"/>
      <c r="M108"/>
      <c r="N108"/>
      <c r="R108"/>
    </row>
  </sheetData>
  <mergeCells count="12">
    <mergeCell ref="A94:L94"/>
    <mergeCell ref="A3:L3"/>
    <mergeCell ref="L6:L8"/>
    <mergeCell ref="B7:B8"/>
    <mergeCell ref="C7:C8"/>
    <mergeCell ref="D7:D8"/>
    <mergeCell ref="B6:G6"/>
    <mergeCell ref="G7:G8"/>
    <mergeCell ref="H6:H8"/>
    <mergeCell ref="I6:I8"/>
    <mergeCell ref="J6:J8"/>
    <mergeCell ref="K6:K8"/>
  </mergeCells>
  <phoneticPr fontId="37" type="noConversion"/>
  <pageMargins left="0.7" right="0.7" top="0.75" bottom="0.75" header="0.3" footer="0.3"/>
  <pageSetup scale="42" fitToHeight="0" orientation="portrait" horizontalDpi="4294967292" verticalDpi="4294967292"/>
  <ignoredErrors>
    <ignoredError sqref="C59 C74" formula="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F18"/>
  <sheetViews>
    <sheetView topLeftCell="B1" workbookViewId="0">
      <selection activeCell="I18" sqref="I18"/>
    </sheetView>
  </sheetViews>
  <sheetFormatPr baseColWidth="10" defaultColWidth="8.83203125" defaultRowHeight="16" x14ac:dyDescent="0.2"/>
  <cols>
    <col min="1" max="1" width="0" hidden="1" customWidth="1"/>
    <col min="2" max="2" width="13.1640625" customWidth="1"/>
    <col min="3" max="6" width="21.1640625" customWidth="1"/>
  </cols>
  <sheetData>
    <row r="1" spans="2:6" ht="17" thickBot="1" x14ac:dyDescent="0.25"/>
    <row r="2" spans="2:6" ht="37" customHeight="1" thickTop="1" x14ac:dyDescent="0.2">
      <c r="B2" s="2264" t="s">
        <v>609</v>
      </c>
      <c r="C2" s="2265"/>
      <c r="D2" s="2265"/>
      <c r="E2" s="2265"/>
      <c r="F2" s="2266"/>
    </row>
    <row r="3" spans="2:6" ht="12" customHeight="1" x14ac:dyDescent="0.2">
      <c r="B3" s="683"/>
      <c r="C3" s="1027"/>
      <c r="D3" s="1027"/>
      <c r="E3" s="1027"/>
      <c r="F3" s="1073"/>
    </row>
    <row r="4" spans="2:6" ht="17" thickBot="1" x14ac:dyDescent="0.25">
      <c r="B4" s="683"/>
      <c r="C4" s="160" t="s">
        <v>1</v>
      </c>
      <c r="D4" s="160" t="s">
        <v>2</v>
      </c>
      <c r="E4" s="160" t="s">
        <v>3</v>
      </c>
      <c r="F4" s="377" t="s">
        <v>4</v>
      </c>
    </row>
    <row r="5" spans="2:6" ht="19" customHeight="1" x14ac:dyDescent="0.2">
      <c r="B5" s="1436"/>
      <c r="C5" s="2271" t="s">
        <v>610</v>
      </c>
      <c r="D5" s="2272"/>
      <c r="E5" s="2272"/>
      <c r="F5" s="1437" t="s">
        <v>611</v>
      </c>
    </row>
    <row r="6" spans="2:6" ht="25" customHeight="1" x14ac:dyDescent="0.2">
      <c r="B6" s="1864"/>
      <c r="C6" s="1438" t="s">
        <v>612</v>
      </c>
      <c r="D6" s="1439" t="s">
        <v>613</v>
      </c>
      <c r="E6" s="1439" t="s">
        <v>614</v>
      </c>
      <c r="F6" s="1440" t="s">
        <v>614</v>
      </c>
    </row>
    <row r="7" spans="2:6" ht="17.25" customHeight="1" x14ac:dyDescent="0.2">
      <c r="B7" s="1436" t="s">
        <v>615</v>
      </c>
      <c r="C7" s="1441">
        <f>+TableF4c!C10</f>
        <v>567016.80000000005</v>
      </c>
      <c r="D7" s="1442">
        <f>+C7-E7</f>
        <v>542422.70000000007</v>
      </c>
      <c r="E7" s="1443">
        <f>-TableF4c!D10</f>
        <v>24594.10000000002</v>
      </c>
      <c r="F7" s="1444">
        <f>E7/TableF4c!C10</f>
        <v>4.3374552570576423E-2</v>
      </c>
    </row>
    <row r="8" spans="2:6" ht="17.25" customHeight="1" x14ac:dyDescent="0.2">
      <c r="B8" s="1436" t="s">
        <v>616</v>
      </c>
      <c r="C8" s="1441">
        <f>SUM(C9:C14)</f>
        <v>222461.6</v>
      </c>
      <c r="D8" s="1442">
        <f>SUM(D9:D14)</f>
        <v>153404</v>
      </c>
      <c r="E8" s="1443">
        <f>SUM(E9:E14)</f>
        <v>69057.599999999991</v>
      </c>
      <c r="F8" s="1444">
        <f>E8/TableF4c!C8</f>
        <v>0.31506593072688494</v>
      </c>
    </row>
    <row r="9" spans="2:6" ht="17.25" customHeight="1" x14ac:dyDescent="0.2">
      <c r="B9" s="1436" t="s">
        <v>49</v>
      </c>
      <c r="C9" s="1441">
        <f>+TableF4!T100</f>
        <v>51719</v>
      </c>
      <c r="D9" s="1442">
        <f>+C9-E9</f>
        <v>23951.200000000001</v>
      </c>
      <c r="E9" s="1443">
        <f>-TableB12a!C18</f>
        <v>27767.8</v>
      </c>
      <c r="F9" s="1444">
        <f>-TableB12a!D18</f>
        <v>0.53689746514820469</v>
      </c>
    </row>
    <row r="10" spans="2:6" ht="17.25" customHeight="1" x14ac:dyDescent="0.2">
      <c r="B10" s="1436" t="s">
        <v>43</v>
      </c>
      <c r="C10" s="1441">
        <f>+TableF4!P100</f>
        <v>57685</v>
      </c>
      <c r="D10" s="1442">
        <f t="shared" ref="D10:D14" si="0">+C10-E10</f>
        <v>37727.1</v>
      </c>
      <c r="E10" s="1443">
        <f>-TableB12a!C19</f>
        <v>19957.900000000001</v>
      </c>
      <c r="F10" s="1444">
        <f>-TableB12a!D19</f>
        <v>0.34598075756262464</v>
      </c>
    </row>
    <row r="11" spans="2:6" ht="17.25" customHeight="1" x14ac:dyDescent="0.2">
      <c r="B11" s="1436" t="s">
        <v>31</v>
      </c>
      <c r="C11" s="1441">
        <f>+TableF4!D100</f>
        <v>47520</v>
      </c>
      <c r="D11" s="1442">
        <f t="shared" si="0"/>
        <v>33035.199999999997</v>
      </c>
      <c r="E11" s="1443">
        <f>-TableB12a!C20</f>
        <v>14484.8</v>
      </c>
      <c r="F11" s="1444">
        <f>-TableB12a!D20</f>
        <v>0.30481481481481482</v>
      </c>
    </row>
    <row r="12" spans="2:6" ht="17.25" customHeight="1" x14ac:dyDescent="0.2">
      <c r="B12" s="1436" t="s">
        <v>51</v>
      </c>
      <c r="C12" s="1441">
        <f>+TableF4!V100</f>
        <v>58026.6</v>
      </c>
      <c r="D12" s="1442">
        <f t="shared" si="0"/>
        <v>51253.4</v>
      </c>
      <c r="E12" s="1443">
        <f>-TableB12a!C21</f>
        <v>6773.2</v>
      </c>
      <c r="F12" s="1444">
        <f>-TableB12a!D21</f>
        <v>0.11672577748825538</v>
      </c>
    </row>
    <row r="13" spans="2:6" ht="17.25" customHeight="1" x14ac:dyDescent="0.2">
      <c r="B13" s="1436" t="s">
        <v>96</v>
      </c>
      <c r="C13" s="1441">
        <f>+TableF4!G100</f>
        <v>4234</v>
      </c>
      <c r="D13" s="1442">
        <f t="shared" si="0"/>
        <v>4087.6</v>
      </c>
      <c r="E13" s="1443">
        <f>-TableF4!U36</f>
        <v>146.39999999999998</v>
      </c>
      <c r="F13" s="1444">
        <f>-TableF4!U36/TableF4!U100</f>
        <v>4.4675007628928891E-2</v>
      </c>
    </row>
    <row r="14" spans="2:6" ht="17.25" customHeight="1" thickBot="1" x14ac:dyDescent="0.25">
      <c r="B14" s="1445" t="s">
        <v>86</v>
      </c>
      <c r="C14" s="1446">
        <f>+TableF4!U100</f>
        <v>3277</v>
      </c>
      <c r="D14" s="1447">
        <f t="shared" si="0"/>
        <v>3349.5</v>
      </c>
      <c r="E14" s="1448">
        <f>-TableF4!G36</f>
        <v>-72.5</v>
      </c>
      <c r="F14" s="1449">
        <f>-TableF4!G36/TableF4!G100</f>
        <v>-1.7123287671232876E-2</v>
      </c>
    </row>
    <row r="15" spans="2:6" ht="17" thickTop="1" x14ac:dyDescent="0.2">
      <c r="B15" s="573"/>
      <c r="C15" s="595"/>
      <c r="D15" s="595"/>
      <c r="E15" s="593"/>
      <c r="F15" s="682"/>
    </row>
    <row r="16" spans="2:6" ht="17" thickBot="1" x14ac:dyDescent="0.25"/>
    <row r="17" spans="2:6" x14ac:dyDescent="0.2">
      <c r="B17" s="2273" t="s">
        <v>617</v>
      </c>
      <c r="C17" s="2274"/>
      <c r="D17" s="2274"/>
      <c r="E17" s="2274"/>
      <c r="F17" s="2275"/>
    </row>
    <row r="18" spans="2:6" ht="17" thickBot="1" x14ac:dyDescent="0.25">
      <c r="B18" s="2276"/>
      <c r="C18" s="2277"/>
      <c r="D18" s="2277"/>
      <c r="E18" s="2277"/>
      <c r="F18" s="2278"/>
    </row>
  </sheetData>
  <mergeCells count="3">
    <mergeCell ref="B2:F2"/>
    <mergeCell ref="C5:E5"/>
    <mergeCell ref="B17:F18"/>
  </mergeCells>
  <pageMargins left="0.7" right="0.7" top="0.75" bottom="0.75" header="0.3" footer="0.3"/>
  <pageSetup paperSize="9" scale="90"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J101"/>
  <sheetViews>
    <sheetView zoomScale="69" workbookViewId="0">
      <pane xSplit="3" ySplit="7" topLeftCell="D8" activePane="bottomRight" state="frozen"/>
      <selection pane="topRight" activeCell="AR8" sqref="AR8"/>
      <selection pane="bottomLeft" activeCell="AR8" sqref="AR8"/>
      <selection pane="bottomRight" activeCell="G93" sqref="G93"/>
    </sheetView>
  </sheetViews>
  <sheetFormatPr baseColWidth="10" defaultColWidth="10.83203125" defaultRowHeight="16" x14ac:dyDescent="0.2"/>
  <cols>
    <col min="1" max="1" width="0" style="1" hidden="1" customWidth="1"/>
    <col min="2" max="2" width="10.83203125" style="1" hidden="1" customWidth="1"/>
    <col min="3" max="3" width="19" style="1" customWidth="1"/>
    <col min="4" max="4" width="10.83203125" style="1" customWidth="1"/>
    <col min="5" max="5" width="10.83203125" style="328" customWidth="1"/>
    <col min="6" max="25" width="10.83203125" style="1" customWidth="1"/>
    <col min="26" max="28" width="10.83203125" style="1"/>
    <col min="29" max="29" width="15" style="1" customWidth="1"/>
    <col min="30" max="34" width="10.83203125" style="1"/>
    <col min="35" max="35" width="12.83203125" style="1" bestFit="1" customWidth="1"/>
    <col min="36" max="16384" width="10.83203125" style="1"/>
  </cols>
  <sheetData>
    <row r="1" spans="3:36" ht="17" thickBot="1" x14ac:dyDescent="0.25">
      <c r="C1" s="954"/>
      <c r="D1" s="954"/>
      <c r="E1" s="1450"/>
      <c r="F1" s="954"/>
      <c r="G1" s="954"/>
      <c r="H1" s="954"/>
      <c r="I1" s="954"/>
      <c r="J1" s="954"/>
      <c r="K1" s="954"/>
      <c r="L1" s="954"/>
      <c r="M1" s="954"/>
      <c r="N1" s="1109"/>
      <c r="O1" s="1109"/>
      <c r="P1" s="954"/>
      <c r="Q1" s="954"/>
      <c r="R1" s="954"/>
      <c r="S1" s="954"/>
      <c r="T1" s="954"/>
      <c r="U1" s="954"/>
      <c r="V1" s="954"/>
      <c r="W1" s="954"/>
      <c r="X1" s="954"/>
      <c r="Y1" s="1109"/>
      <c r="Z1" s="954"/>
      <c r="AA1" s="954"/>
      <c r="AB1" s="954"/>
      <c r="AC1" s="954"/>
      <c r="AD1" s="954"/>
      <c r="AE1" s="954"/>
      <c r="AF1" s="954"/>
      <c r="AG1" s="954"/>
      <c r="AH1" s="954"/>
      <c r="AI1" s="954"/>
      <c r="AJ1" s="954"/>
    </row>
    <row r="2" spans="3:36" ht="17" hidden="1" thickBot="1" x14ac:dyDescent="0.25">
      <c r="C2" s="954"/>
      <c r="D2" s="954"/>
      <c r="E2" s="1450"/>
      <c r="F2" s="954">
        <v>2</v>
      </c>
      <c r="G2" s="954">
        <v>3</v>
      </c>
      <c r="H2" s="954">
        <v>4</v>
      </c>
      <c r="I2" s="954">
        <v>5</v>
      </c>
      <c r="J2" s="954">
        <v>6</v>
      </c>
      <c r="K2" s="954">
        <v>7</v>
      </c>
      <c r="L2" s="954"/>
      <c r="M2" s="954"/>
      <c r="N2" s="954"/>
      <c r="O2" s="954"/>
      <c r="P2" s="954"/>
      <c r="Q2" s="954">
        <v>2</v>
      </c>
      <c r="R2" s="954">
        <v>3</v>
      </c>
      <c r="S2" s="954">
        <v>4</v>
      </c>
      <c r="T2" s="954">
        <v>5</v>
      </c>
      <c r="U2" s="954">
        <v>6</v>
      </c>
      <c r="V2" s="954">
        <v>7</v>
      </c>
      <c r="W2" s="954"/>
      <c r="X2" s="954"/>
      <c r="Y2" s="954"/>
      <c r="Z2" s="954"/>
      <c r="AA2" s="954"/>
      <c r="AB2" s="954"/>
      <c r="AC2" s="954"/>
      <c r="AD2" s="954"/>
      <c r="AE2" s="954"/>
      <c r="AF2" s="954"/>
      <c r="AG2" s="954"/>
      <c r="AH2" s="954"/>
      <c r="AI2" s="954"/>
      <c r="AJ2" s="954"/>
    </row>
    <row r="3" spans="3:36" ht="32.25" customHeight="1" thickTop="1" x14ac:dyDescent="0.2">
      <c r="C3" s="1951" t="s">
        <v>618</v>
      </c>
      <c r="D3" s="1952"/>
      <c r="E3" s="1952"/>
      <c r="F3" s="1952"/>
      <c r="G3" s="1952"/>
      <c r="H3" s="1952"/>
      <c r="I3" s="1952"/>
      <c r="J3" s="1952"/>
      <c r="K3" s="1952"/>
      <c r="L3" s="1952"/>
      <c r="M3" s="1952"/>
      <c r="N3" s="1952"/>
      <c r="O3" s="1952"/>
      <c r="P3" s="1952"/>
      <c r="Q3" s="1952"/>
      <c r="R3" s="1952"/>
      <c r="S3" s="1952"/>
      <c r="T3" s="1952"/>
      <c r="U3" s="1952"/>
      <c r="V3" s="1952"/>
      <c r="W3" s="1952"/>
      <c r="X3" s="1952"/>
      <c r="Y3" s="1953"/>
      <c r="Z3" s="954"/>
      <c r="AA3" s="954"/>
      <c r="AB3" s="954"/>
      <c r="AC3" s="954"/>
      <c r="AD3" s="954"/>
      <c r="AE3" s="954"/>
      <c r="AF3" s="954"/>
      <c r="AG3" s="954"/>
      <c r="AH3" s="954"/>
      <c r="AI3" s="954"/>
      <c r="AJ3" s="954"/>
    </row>
    <row r="4" spans="3:36" ht="20" x14ac:dyDescent="0.2">
      <c r="C4" s="4"/>
      <c r="D4" s="160" t="s">
        <v>1</v>
      </c>
      <c r="E4" s="160" t="s">
        <v>2</v>
      </c>
      <c r="F4" s="160" t="s">
        <v>3</v>
      </c>
      <c r="G4" s="160" t="s">
        <v>4</v>
      </c>
      <c r="H4" s="160" t="s">
        <v>5</v>
      </c>
      <c r="I4" s="160" t="s">
        <v>6</v>
      </c>
      <c r="J4" s="160" t="s">
        <v>7</v>
      </c>
      <c r="K4" s="160" t="s">
        <v>8</v>
      </c>
      <c r="L4" s="160" t="s">
        <v>9</v>
      </c>
      <c r="M4" s="160" t="s">
        <v>10</v>
      </c>
      <c r="N4" s="160" t="s">
        <v>11</v>
      </c>
      <c r="O4" s="160" t="s">
        <v>12</v>
      </c>
      <c r="P4" s="160" t="s">
        <v>13</v>
      </c>
      <c r="Q4" s="160" t="s">
        <v>177</v>
      </c>
      <c r="R4" s="160" t="s">
        <v>178</v>
      </c>
      <c r="S4" s="160" t="s">
        <v>179</v>
      </c>
      <c r="T4" s="160" t="s">
        <v>619</v>
      </c>
      <c r="U4" s="160" t="s">
        <v>620</v>
      </c>
      <c r="V4" s="160" t="s">
        <v>621</v>
      </c>
      <c r="W4" s="160" t="s">
        <v>622</v>
      </c>
      <c r="X4" s="160" t="s">
        <v>623</v>
      </c>
      <c r="Y4" s="6" t="s">
        <v>624</v>
      </c>
      <c r="Z4" s="954"/>
      <c r="AA4" s="954"/>
      <c r="AB4" s="954"/>
      <c r="AC4" s="954"/>
      <c r="AD4" s="954"/>
      <c r="AE4" s="954"/>
      <c r="AF4" s="954"/>
      <c r="AG4" s="954"/>
      <c r="AH4" s="954"/>
      <c r="AI4" s="954"/>
      <c r="AJ4" s="954"/>
    </row>
    <row r="5" spans="3:36" ht="21" customHeight="1" x14ac:dyDescent="0.2">
      <c r="C5" s="1148"/>
      <c r="D5" s="2115" t="s">
        <v>625</v>
      </c>
      <c r="E5" s="2116"/>
      <c r="F5" s="2116"/>
      <c r="G5" s="2116"/>
      <c r="H5" s="2116"/>
      <c r="I5" s="2116"/>
      <c r="J5" s="2116"/>
      <c r="K5" s="2116"/>
      <c r="L5" s="2116"/>
      <c r="M5" s="2116"/>
      <c r="N5" s="2117"/>
      <c r="O5" s="2116" t="s">
        <v>626</v>
      </c>
      <c r="P5" s="2116"/>
      <c r="Q5" s="2116"/>
      <c r="R5" s="2116"/>
      <c r="S5" s="2116"/>
      <c r="T5" s="2116"/>
      <c r="U5" s="2116"/>
      <c r="V5" s="2116"/>
      <c r="W5" s="2116"/>
      <c r="X5" s="2116"/>
      <c r="Y5" s="2192"/>
      <c r="Z5" s="954"/>
      <c r="AA5" s="954"/>
      <c r="AB5" s="954"/>
      <c r="AC5" s="954"/>
      <c r="AD5" s="954"/>
      <c r="AE5" s="954"/>
      <c r="AF5" s="954"/>
      <c r="AG5" s="954"/>
      <c r="AH5" s="954"/>
      <c r="AI5" s="954"/>
      <c r="AJ5" s="954"/>
    </row>
    <row r="6" spans="3:36" ht="73.5" customHeight="1" x14ac:dyDescent="0.2">
      <c r="C6" s="1148"/>
      <c r="D6" s="2050" t="s">
        <v>627</v>
      </c>
      <c r="E6" s="2050" t="s">
        <v>628</v>
      </c>
      <c r="F6" s="1820" t="s">
        <v>31</v>
      </c>
      <c r="G6" s="1820" t="s">
        <v>86</v>
      </c>
      <c r="H6" s="1820" t="s">
        <v>43</v>
      </c>
      <c r="I6" s="1822" t="s">
        <v>49</v>
      </c>
      <c r="J6" s="1820" t="s">
        <v>96</v>
      </c>
      <c r="K6" s="1822" t="s">
        <v>51</v>
      </c>
      <c r="L6" s="2050" t="s">
        <v>629</v>
      </c>
      <c r="M6" s="1822" t="s">
        <v>60</v>
      </c>
      <c r="N6" s="1837" t="s">
        <v>630</v>
      </c>
      <c r="O6" s="2050" t="s">
        <v>627</v>
      </c>
      <c r="P6" s="2050" t="s">
        <v>628</v>
      </c>
      <c r="Q6" s="1820" t="s">
        <v>31</v>
      </c>
      <c r="R6" s="1820" t="s">
        <v>86</v>
      </c>
      <c r="S6" s="1820" t="s">
        <v>43</v>
      </c>
      <c r="T6" s="1822" t="s">
        <v>49</v>
      </c>
      <c r="U6" s="1820" t="s">
        <v>96</v>
      </c>
      <c r="V6" s="1822" t="s">
        <v>51</v>
      </c>
      <c r="W6" s="2049" t="s">
        <v>629</v>
      </c>
      <c r="X6" s="1822" t="s">
        <v>60</v>
      </c>
      <c r="Y6" s="1831" t="s">
        <v>630</v>
      </c>
      <c r="Z6" s="173"/>
      <c r="AA6" s="2280" t="s">
        <v>631</v>
      </c>
      <c r="AB6" s="2280"/>
      <c r="AC6" s="2280"/>
      <c r="AD6" s="2280"/>
      <c r="AE6" s="2280"/>
      <c r="AF6" s="2280"/>
      <c r="AG6" s="2280"/>
      <c r="AH6" s="2280"/>
      <c r="AI6" s="2280"/>
      <c r="AJ6" s="2280"/>
    </row>
    <row r="7" spans="3:36" ht="16.5" customHeight="1" x14ac:dyDescent="0.2">
      <c r="C7" s="1148"/>
      <c r="D7" s="2050"/>
      <c r="E7" s="2050"/>
      <c r="F7" s="1820"/>
      <c r="G7" s="1820"/>
      <c r="H7" s="1820"/>
      <c r="I7" s="1820"/>
      <c r="J7" s="1820"/>
      <c r="K7" s="1820"/>
      <c r="L7" s="2067"/>
      <c r="M7" s="1820"/>
      <c r="N7" s="1837"/>
      <c r="O7" s="2050"/>
      <c r="P7" s="2050"/>
      <c r="Q7" s="1820"/>
      <c r="R7" s="1820"/>
      <c r="S7" s="1820"/>
      <c r="T7" s="1820"/>
      <c r="U7" s="1820"/>
      <c r="V7" s="1820"/>
      <c r="W7" s="2067"/>
      <c r="X7" s="1820"/>
      <c r="Y7" s="1831"/>
      <c r="Z7" s="173"/>
      <c r="AA7" s="954"/>
      <c r="AB7" s="954"/>
      <c r="AC7" s="954"/>
      <c r="AD7" s="954"/>
      <c r="AE7" s="954"/>
      <c r="AF7" s="954"/>
      <c r="AG7" s="954"/>
      <c r="AH7" s="954"/>
      <c r="AI7" s="954"/>
      <c r="AJ7" s="954"/>
    </row>
    <row r="8" spans="3:36" ht="40" customHeight="1" x14ac:dyDescent="0.2">
      <c r="C8" s="8" t="s">
        <v>28</v>
      </c>
      <c r="D8" s="264">
        <f>+E8+L8</f>
        <v>83693.776530170406</v>
      </c>
      <c r="E8" s="264">
        <f>SUMIF(E9:E43,"&gt;-999999999")-(E11+E23+E29+E31+E40)</f>
        <v>65679.204649272186</v>
      </c>
      <c r="F8" s="258">
        <f t="shared" ref="F8:K8" si="0">SUMIF(F9:F43,"&gt;-999999999")-(F11+F23+F29+F31+F40)</f>
        <v>7015.510104471201</v>
      </c>
      <c r="G8" s="258">
        <f t="shared" si="0"/>
        <v>282.23899490426965</v>
      </c>
      <c r="H8" s="258">
        <f t="shared" si="0"/>
        <v>2568.8956883965775</v>
      </c>
      <c r="I8" s="258">
        <f t="shared" si="0"/>
        <v>25696.238636535363</v>
      </c>
      <c r="J8" s="258">
        <f t="shared" si="0"/>
        <v>217.0985790002191</v>
      </c>
      <c r="K8" s="258">
        <f t="shared" si="0"/>
        <v>29899.222645964561</v>
      </c>
      <c r="L8" s="264">
        <f>SUMIF(L9:L43,"&gt;-999999999")-(L11+L23+L29+L31)</f>
        <v>18014.571880898227</v>
      </c>
      <c r="M8" s="258">
        <f>SUMIF(M9:M43,"&gt;-999999999")-(M11+M23+M29+M31)</f>
        <v>4165.7323652371379</v>
      </c>
      <c r="N8" s="259">
        <f>SUMIF(N9:N43,"&gt;-999999999")-(N11+N23+N29+N31)</f>
        <v>13848.839515661095</v>
      </c>
      <c r="O8" s="264">
        <f>+P8+W8</f>
        <v>448814.081244973</v>
      </c>
      <c r="P8" s="264">
        <f>SUMIF(P9:P43,"&gt;-999999999")-(P11+P23+P29+P31)-P40</f>
        <v>225242.21225594476</v>
      </c>
      <c r="Q8" s="258">
        <f t="shared" ref="Q8:V8" si="1">SUMIF(Q9:Q43,"&gt;-999999999")-(Q11+Q23+Q29+Q31)-Q40</f>
        <v>39238.274089301536</v>
      </c>
      <c r="R8" s="258">
        <f t="shared" si="1"/>
        <v>1316.3210430899758</v>
      </c>
      <c r="S8" s="258">
        <f t="shared" si="1"/>
        <v>69281.817454401942</v>
      </c>
      <c r="T8" s="258">
        <f t="shared" si="1"/>
        <v>57187.256812274674</v>
      </c>
      <c r="U8" s="258">
        <f t="shared" si="1"/>
        <v>1093.2623119709401</v>
      </c>
      <c r="V8" s="258">
        <f t="shared" si="1"/>
        <v>57125.280544905785</v>
      </c>
      <c r="W8" s="264">
        <f>SUMIF(W9:W43,"&gt;-999999999")-(W11+W23+W29+W31)</f>
        <v>223571.86898902821</v>
      </c>
      <c r="X8" s="258">
        <f>SUMIF(X9:X43,"&gt;-999999999")-(X11+X23+X29+X31)</f>
        <v>51881.273516048612</v>
      </c>
      <c r="Y8" s="621">
        <f>SUMIF(Y9:Y43,"&gt;-999999999")-(Y11+Y23+Y29+Y31)</f>
        <v>171690.59547297953</v>
      </c>
      <c r="Z8" s="173"/>
      <c r="AA8" s="1075"/>
      <c r="AB8" s="2279" t="s">
        <v>632</v>
      </c>
      <c r="AC8" s="2279"/>
      <c r="AD8" s="2279" t="s">
        <v>633</v>
      </c>
      <c r="AE8" s="2279"/>
      <c r="AF8" s="1451"/>
      <c r="AG8" s="2279" t="s">
        <v>634</v>
      </c>
      <c r="AH8" s="2279"/>
      <c r="AI8" s="2279" t="s">
        <v>635</v>
      </c>
      <c r="AJ8" s="2279"/>
    </row>
    <row r="9" spans="3:36" x14ac:dyDescent="0.2">
      <c r="C9" s="1149" t="s">
        <v>29</v>
      </c>
      <c r="D9" s="1452">
        <f>+E9+L9</f>
        <v>1540.2224395651967</v>
      </c>
      <c r="E9" s="1452">
        <f>SUM(F9:K9)</f>
        <v>875.71909114199502</v>
      </c>
      <c r="F9" s="1453">
        <v>71.091177485058097</v>
      </c>
      <c r="G9" s="1453">
        <v>0</v>
      </c>
      <c r="H9" s="1453">
        <v>0</v>
      </c>
      <c r="I9" s="1453">
        <v>371.31554168482768</v>
      </c>
      <c r="J9" s="1453">
        <v>5.2126136377499703</v>
      </c>
      <c r="K9" s="1453">
        <v>428.09975833435925</v>
      </c>
      <c r="L9" s="1452">
        <f>SUM(M9:N9)</f>
        <v>664.50334842320171</v>
      </c>
      <c r="M9" s="1168">
        <v>113.43566356655384</v>
      </c>
      <c r="N9" s="1229">
        <v>551.06768485664793</v>
      </c>
      <c r="O9" s="1452">
        <f>+P9+W9</f>
        <v>15114.33158590892</v>
      </c>
      <c r="P9" s="1452">
        <f t="shared" ref="P9:P43" si="2">SUM(Q9:V9)</f>
        <v>4386.0262028105972</v>
      </c>
      <c r="Q9" s="1453">
        <v>433.97781201097092</v>
      </c>
      <c r="R9" s="1453">
        <v>2.2181334628723275</v>
      </c>
      <c r="S9" s="1453">
        <v>2141.6078584032325</v>
      </c>
      <c r="T9" s="1453">
        <v>317.19308519074286</v>
      </c>
      <c r="U9" s="1453">
        <v>6.2107736960425166</v>
      </c>
      <c r="V9" s="1453">
        <v>1484.818540046736</v>
      </c>
      <c r="W9" s="1452">
        <f>SUM(X9:Y9)</f>
        <v>10728.305383098323</v>
      </c>
      <c r="X9" s="1168">
        <v>1031.3882217121466</v>
      </c>
      <c r="Y9" s="1211">
        <v>9696.9171613861763</v>
      </c>
      <c r="Z9" s="173"/>
      <c r="AA9" s="1075">
        <f>+TableB2!L10/TableB2!$L$91</f>
        <v>1.2748824469055224E-2</v>
      </c>
      <c r="AB9" s="1139">
        <f>+AA9</f>
        <v>1.2748824469055224E-2</v>
      </c>
      <c r="AC9" s="1139">
        <f>+AB9/$AB$90</f>
        <v>3.0171292148778037E-2</v>
      </c>
      <c r="AD9" s="1139">
        <f>+AB9</f>
        <v>1.2748824469055224E-2</v>
      </c>
      <c r="AE9" s="1139">
        <f>+AD9/$AD$90</f>
        <v>4.9800062874892144E-2</v>
      </c>
      <c r="AF9" s="1139"/>
      <c r="AG9" s="1139"/>
      <c r="AH9" s="1139">
        <f t="shared" ref="AH9:AH72" si="3">+AG9/$AG$90</f>
        <v>0</v>
      </c>
      <c r="AI9" s="1139"/>
      <c r="AJ9" s="1139">
        <f t="shared" ref="AJ9:AJ21" si="4">+AI9/$AB$90</f>
        <v>0</v>
      </c>
    </row>
    <row r="10" spans="3:36" x14ac:dyDescent="0.2">
      <c r="C10" s="1149" t="s">
        <v>30</v>
      </c>
      <c r="D10" s="1452">
        <f t="shared" ref="D10:D51" si="5">+E10+L10</f>
        <v>438.19226559042829</v>
      </c>
      <c r="E10" s="1452">
        <f t="shared" ref="E10:E51" si="6">SUM(F10:K10)</f>
        <v>310.31687145583862</v>
      </c>
      <c r="F10" s="1453">
        <v>23.290401360159439</v>
      </c>
      <c r="G10" s="1453">
        <v>0</v>
      </c>
      <c r="H10" s="1453">
        <v>58.669630092973065</v>
      </c>
      <c r="I10" s="1453">
        <v>122.88459384312695</v>
      </c>
      <c r="J10" s="1453">
        <v>1.2199734045797803</v>
      </c>
      <c r="K10" s="1453">
        <v>104.2522727549994</v>
      </c>
      <c r="L10" s="1452">
        <f t="shared" ref="L10:L51" si="7">SUM(M10:N10)</f>
        <v>127.87539413458968</v>
      </c>
      <c r="M10" s="1168">
        <v>61.109576902132616</v>
      </c>
      <c r="N10" s="1229">
        <v>66.765817232457067</v>
      </c>
      <c r="O10" s="1452">
        <f t="shared" ref="O10:O51" si="8">+P10+W10</f>
        <v>3867.648412537334</v>
      </c>
      <c r="P10" s="1452">
        <f t="shared" si="2"/>
        <v>2266.1560523435137</v>
      </c>
      <c r="Q10" s="1453">
        <v>444.73575930590169</v>
      </c>
      <c r="R10" s="1453">
        <v>12.199734045797802</v>
      </c>
      <c r="S10" s="1453">
        <v>797.41897990260179</v>
      </c>
      <c r="T10" s="1453">
        <v>544.55176513515642</v>
      </c>
      <c r="U10" s="1453">
        <v>45.028109296308251</v>
      </c>
      <c r="V10" s="1453">
        <v>422.22170465774752</v>
      </c>
      <c r="W10" s="1452">
        <f t="shared" ref="W10:W51" si="9">SUM(X10:Y10)</f>
        <v>1601.4923601938203</v>
      </c>
      <c r="X10" s="1168">
        <v>1274.3176744201521</v>
      </c>
      <c r="Y10" s="1211">
        <v>327.17468577366833</v>
      </c>
      <c r="Z10" s="173"/>
      <c r="AA10" s="1075">
        <f>+TableB2!L11/TableB2!$L$91</f>
        <v>7.732296120374859E-3</v>
      </c>
      <c r="AB10" s="1139"/>
      <c r="AC10" s="1139">
        <f t="shared" ref="AC10:AC73" si="10">+AB10/$AB$90</f>
        <v>0</v>
      </c>
      <c r="AD10" s="1139">
        <f t="shared" ref="AD10:AD42" si="11">+AB10</f>
        <v>0</v>
      </c>
      <c r="AE10" s="1139">
        <f t="shared" ref="AE10:AE73" si="12">+AD10/$AD$90</f>
        <v>0</v>
      </c>
      <c r="AF10" s="1139"/>
      <c r="AG10" s="1139"/>
      <c r="AH10" s="1139">
        <f t="shared" si="3"/>
        <v>0</v>
      </c>
      <c r="AI10" s="1139"/>
      <c r="AJ10" s="1139">
        <f t="shared" si="4"/>
        <v>0</v>
      </c>
    </row>
    <row r="11" spans="3:36" x14ac:dyDescent="0.2">
      <c r="C11" s="1149" t="s">
        <v>31</v>
      </c>
      <c r="D11" s="1452">
        <f t="shared" si="5"/>
        <v>4416.6364445982344</v>
      </c>
      <c r="E11" s="1452">
        <f t="shared" si="6"/>
        <v>4324.3620925427458</v>
      </c>
      <c r="F11" s="1453">
        <v>0</v>
      </c>
      <c r="G11" s="1453">
        <v>0</v>
      </c>
      <c r="H11" s="1453">
        <v>170.68536996802561</v>
      </c>
      <c r="I11" s="1453">
        <v>2586.3436177091339</v>
      </c>
      <c r="J11" s="1453">
        <v>17.966881049265854</v>
      </c>
      <c r="K11" s="1453">
        <v>1549.3662238163208</v>
      </c>
      <c r="L11" s="1452">
        <f t="shared" si="7"/>
        <v>92.274352055488833</v>
      </c>
      <c r="M11" s="1168">
        <v>58.780536766116683</v>
      </c>
      <c r="N11" s="1229">
        <v>33.493815289372144</v>
      </c>
      <c r="O11" s="1452">
        <f t="shared" si="8"/>
        <v>14402.56238777631</v>
      </c>
      <c r="P11" s="1452">
        <f t="shared" si="2"/>
        <v>8827.2839288467148</v>
      </c>
      <c r="Q11" s="1453">
        <v>0</v>
      </c>
      <c r="R11" s="1453">
        <v>13.308800777233966</v>
      </c>
      <c r="S11" s="1453">
        <v>2127.8554309334236</v>
      </c>
      <c r="T11" s="1453">
        <v>4154.1203492672948</v>
      </c>
      <c r="U11" s="1453">
        <v>6.6544003886169829</v>
      </c>
      <c r="V11" s="1453">
        <v>2525.344947480145</v>
      </c>
      <c r="W11" s="1452">
        <f t="shared" si="9"/>
        <v>5575.2784589295952</v>
      </c>
      <c r="X11" s="1168">
        <v>4482.8477284649744</v>
      </c>
      <c r="Y11" s="1211">
        <v>1092.4307304646213</v>
      </c>
      <c r="Z11" s="173"/>
      <c r="AA11" s="1075">
        <f>+TableB2!L12/TableB2!$L$91</f>
        <v>2.307033494060028E-2</v>
      </c>
      <c r="AB11" s="1139"/>
      <c r="AC11" s="1139">
        <f t="shared" si="10"/>
        <v>0</v>
      </c>
      <c r="AD11" s="1139">
        <f t="shared" si="11"/>
        <v>0</v>
      </c>
      <c r="AE11" s="1139">
        <f t="shared" si="12"/>
        <v>0</v>
      </c>
      <c r="AF11" s="1139"/>
      <c r="AG11" s="1139"/>
      <c r="AH11" s="1139">
        <f t="shared" si="3"/>
        <v>0</v>
      </c>
      <c r="AI11" s="1139"/>
      <c r="AJ11" s="1139">
        <f t="shared" si="4"/>
        <v>0</v>
      </c>
    </row>
    <row r="12" spans="3:36" x14ac:dyDescent="0.2">
      <c r="C12" s="1149" t="s">
        <v>32</v>
      </c>
      <c r="D12" s="1452">
        <f t="shared" si="5"/>
        <v>2429.8624644859888</v>
      </c>
      <c r="E12" s="1452">
        <f t="shared" si="6"/>
        <v>1259.345273545764</v>
      </c>
      <c r="F12" s="1453">
        <v>157.48747586393526</v>
      </c>
      <c r="G12" s="1453">
        <v>0</v>
      </c>
      <c r="H12" s="1453">
        <v>57.116936668962438</v>
      </c>
      <c r="I12" s="1453">
        <v>564.84768632043824</v>
      </c>
      <c r="J12" s="1453">
        <v>5.2126136377499703</v>
      </c>
      <c r="K12" s="1453">
        <v>474.68056105467809</v>
      </c>
      <c r="L12" s="1452">
        <f t="shared" si="7"/>
        <v>1170.5171909402247</v>
      </c>
      <c r="M12" s="1168">
        <v>199.81598976955121</v>
      </c>
      <c r="N12" s="1229">
        <v>970.70120117067347</v>
      </c>
      <c r="O12" s="1452">
        <f t="shared" si="8"/>
        <v>21870.009758508928</v>
      </c>
      <c r="P12" s="1452">
        <f t="shared" si="2"/>
        <v>2972.1879335757753</v>
      </c>
      <c r="Q12" s="1453">
        <v>251.75814803600917</v>
      </c>
      <c r="R12" s="1453">
        <v>2.2181334628723275</v>
      </c>
      <c r="S12" s="1453">
        <v>641.92782415525153</v>
      </c>
      <c r="T12" s="1453">
        <v>613.31390248419859</v>
      </c>
      <c r="U12" s="1453">
        <v>7.9852804663403791</v>
      </c>
      <c r="V12" s="1453">
        <v>1454.9846449711033</v>
      </c>
      <c r="W12" s="1452">
        <f t="shared" si="9"/>
        <v>18897.821824933151</v>
      </c>
      <c r="X12" s="1168">
        <v>1816.7818821561007</v>
      </c>
      <c r="Y12" s="1211">
        <v>17081.03994277705</v>
      </c>
      <c r="Z12" s="173"/>
      <c r="AA12" s="1075">
        <f>+TableB2!L13/TableB2!$L$91</f>
        <v>2.2456949601109763E-2</v>
      </c>
      <c r="AB12" s="1139">
        <f>+AA12</f>
        <v>2.2456949601109763E-2</v>
      </c>
      <c r="AC12" s="1139">
        <f t="shared" si="10"/>
        <v>5.3146483334998697E-2</v>
      </c>
      <c r="AD12" s="1139">
        <f t="shared" si="11"/>
        <v>2.2456949601109763E-2</v>
      </c>
      <c r="AE12" s="1139">
        <f t="shared" si="12"/>
        <v>8.7722401765598104E-2</v>
      </c>
      <c r="AF12" s="1139"/>
      <c r="AG12" s="1139"/>
      <c r="AH12" s="1139">
        <f t="shared" si="3"/>
        <v>0</v>
      </c>
      <c r="AI12" s="1139"/>
      <c r="AJ12" s="1139">
        <f t="shared" si="4"/>
        <v>0</v>
      </c>
    </row>
    <row r="13" spans="3:36" x14ac:dyDescent="0.2">
      <c r="C13" s="1149" t="s">
        <v>33</v>
      </c>
      <c r="D13" s="1452">
        <f t="shared" si="5"/>
        <v>747.23762873329281</v>
      </c>
      <c r="E13" s="1452">
        <f t="shared" si="6"/>
        <v>433.64509199154008</v>
      </c>
      <c r="F13" s="1453">
        <v>18.965041107558402</v>
      </c>
      <c r="G13" s="1453">
        <v>0</v>
      </c>
      <c r="H13" s="1453">
        <v>0</v>
      </c>
      <c r="I13" s="1453">
        <v>124.32638059399397</v>
      </c>
      <c r="J13" s="1453">
        <v>1.9963201165850948</v>
      </c>
      <c r="K13" s="1453">
        <v>288.35735017340261</v>
      </c>
      <c r="L13" s="1452">
        <f t="shared" si="7"/>
        <v>313.59253674175272</v>
      </c>
      <c r="M13" s="1168">
        <v>53.532578246941441</v>
      </c>
      <c r="N13" s="1229">
        <v>260.05995849481127</v>
      </c>
      <c r="O13" s="1452">
        <f t="shared" si="8"/>
        <v>5828.9361495392905</v>
      </c>
      <c r="P13" s="1452">
        <f t="shared" si="2"/>
        <v>766.0323914029583</v>
      </c>
      <c r="Q13" s="1453">
        <v>57.338750015249673</v>
      </c>
      <c r="R13" s="1453">
        <v>0</v>
      </c>
      <c r="S13" s="1453">
        <v>286.13921671053026</v>
      </c>
      <c r="T13" s="1453">
        <v>164.14187625255224</v>
      </c>
      <c r="U13" s="1453">
        <v>38.26280223454765</v>
      </c>
      <c r="V13" s="1453">
        <v>220.1497461900785</v>
      </c>
      <c r="W13" s="1452">
        <f t="shared" si="9"/>
        <v>5062.9037581363318</v>
      </c>
      <c r="X13" s="1168">
        <v>486.73291049587181</v>
      </c>
      <c r="Y13" s="1211">
        <v>4576.1708476404601</v>
      </c>
      <c r="Z13" s="173"/>
      <c r="AA13" s="1075">
        <f>+TableB2!L14/TableB2!$L$91</f>
        <v>6.0164274795801243E-3</v>
      </c>
      <c r="AB13" s="1139">
        <f>+AA13</f>
        <v>6.0164274795801243E-3</v>
      </c>
      <c r="AC13" s="1139">
        <f t="shared" si="10"/>
        <v>1.4238441482895431E-2</v>
      </c>
      <c r="AD13" s="1139">
        <f t="shared" si="11"/>
        <v>6.0164274795801243E-3</v>
      </c>
      <c r="AE13" s="1139">
        <f t="shared" si="12"/>
        <v>2.3501654406849235E-2</v>
      </c>
      <c r="AF13" s="1139"/>
      <c r="AG13" s="1139"/>
      <c r="AH13" s="1139">
        <f t="shared" si="3"/>
        <v>0</v>
      </c>
      <c r="AI13" s="1139"/>
      <c r="AJ13" s="1139">
        <f t="shared" si="4"/>
        <v>0</v>
      </c>
    </row>
    <row r="14" spans="3:36" x14ac:dyDescent="0.2">
      <c r="C14" s="1149" t="s">
        <v>34</v>
      </c>
      <c r="D14" s="1452">
        <f t="shared" si="5"/>
        <v>177.78339704921706</v>
      </c>
      <c r="E14" s="1452">
        <f t="shared" si="6"/>
        <v>144.84411512556298</v>
      </c>
      <c r="F14" s="1453">
        <v>9.6488805634946235</v>
      </c>
      <c r="G14" s="1453">
        <v>2.4399468091595606</v>
      </c>
      <c r="H14" s="1453">
        <v>2.4399468091595606</v>
      </c>
      <c r="I14" s="1453">
        <v>71.534804177632566</v>
      </c>
      <c r="J14" s="1453">
        <v>1.1090667314361637</v>
      </c>
      <c r="K14" s="1453">
        <v>57.671470034680517</v>
      </c>
      <c r="L14" s="1452">
        <f t="shared" si="7"/>
        <v>32.939281923654065</v>
      </c>
      <c r="M14" s="1168">
        <v>32.162935211648751</v>
      </c>
      <c r="N14" s="1229">
        <v>0.77634671200531458</v>
      </c>
      <c r="O14" s="1452">
        <f t="shared" si="8"/>
        <v>2190.4067945864235</v>
      </c>
      <c r="P14" s="1452">
        <f t="shared" si="2"/>
        <v>1823.1947998079099</v>
      </c>
      <c r="Q14" s="1453">
        <v>393.71868965983816</v>
      </c>
      <c r="R14" s="1453">
        <v>21.40498791671796</v>
      </c>
      <c r="S14" s="1453">
        <v>299.44801748776422</v>
      </c>
      <c r="T14" s="1453">
        <v>297.89532406375361</v>
      </c>
      <c r="U14" s="1453">
        <v>5.434426984037203</v>
      </c>
      <c r="V14" s="1453">
        <v>805.2933536957986</v>
      </c>
      <c r="W14" s="1452">
        <f t="shared" si="9"/>
        <v>367.21199477851383</v>
      </c>
      <c r="X14" s="1168">
        <v>327.17468577366833</v>
      </c>
      <c r="Y14" s="1211">
        <v>40.037309004845511</v>
      </c>
      <c r="Z14" s="173"/>
      <c r="AA14" s="1075">
        <f>+TableB2!L15/TableB2!$L$91</f>
        <v>3.5917694478059007E-3</v>
      </c>
      <c r="AB14" s="1139"/>
      <c r="AC14" s="1139">
        <f t="shared" si="10"/>
        <v>0</v>
      </c>
      <c r="AD14" s="1139">
        <f t="shared" si="11"/>
        <v>0</v>
      </c>
      <c r="AE14" s="1139">
        <f t="shared" si="12"/>
        <v>0</v>
      </c>
      <c r="AF14" s="1139"/>
      <c r="AG14" s="1139"/>
      <c r="AH14" s="1139">
        <f t="shared" si="3"/>
        <v>0</v>
      </c>
      <c r="AI14" s="1139"/>
      <c r="AJ14" s="1139">
        <f t="shared" si="4"/>
        <v>0</v>
      </c>
    </row>
    <row r="15" spans="3:36" x14ac:dyDescent="0.2">
      <c r="C15" s="1149" t="s">
        <v>35</v>
      </c>
      <c r="D15" s="1452">
        <f t="shared" si="5"/>
        <v>307.4332979541046</v>
      </c>
      <c r="E15" s="1452">
        <f t="shared" si="6"/>
        <v>258.85617511720062</v>
      </c>
      <c r="F15" s="1453">
        <v>12.088827372654185</v>
      </c>
      <c r="G15" s="1453">
        <v>0</v>
      </c>
      <c r="H15" s="1453">
        <v>138.41152808323324</v>
      </c>
      <c r="I15" s="1453">
        <v>77.745577873675074</v>
      </c>
      <c r="J15" s="1453">
        <v>0.66544003886169822</v>
      </c>
      <c r="K15" s="1453">
        <v>29.944801748776424</v>
      </c>
      <c r="L15" s="1452">
        <f t="shared" si="7"/>
        <v>48.577122836903975</v>
      </c>
      <c r="M15" s="1168">
        <v>42.366349140861459</v>
      </c>
      <c r="N15" s="1229">
        <v>6.2107736960425166</v>
      </c>
      <c r="O15" s="1452">
        <f t="shared" si="8"/>
        <v>3383.8735042848789</v>
      </c>
      <c r="P15" s="1452">
        <f t="shared" si="2"/>
        <v>2705.4573846653775</v>
      </c>
      <c r="Q15" s="1453">
        <v>445.84482603733784</v>
      </c>
      <c r="R15" s="1453">
        <v>1.1090667314361637</v>
      </c>
      <c r="S15" s="1453">
        <v>1195.5739364881845</v>
      </c>
      <c r="T15" s="1453">
        <v>402.36941016504022</v>
      </c>
      <c r="U15" s="1453">
        <v>15.305120893819062</v>
      </c>
      <c r="V15" s="1453">
        <v>645.25502434956002</v>
      </c>
      <c r="W15" s="1452">
        <f t="shared" si="9"/>
        <v>678.41611961950139</v>
      </c>
      <c r="X15" s="1168">
        <v>373.42276847455634</v>
      </c>
      <c r="Y15" s="1211">
        <v>304.99335114494505</v>
      </c>
      <c r="Z15" s="173"/>
      <c r="AA15" s="1075">
        <f>+TableB2!L16/TableB2!$L$91</f>
        <v>3.2805903994461813E-3</v>
      </c>
      <c r="AB15" s="1139"/>
      <c r="AC15" s="1139">
        <f t="shared" si="10"/>
        <v>0</v>
      </c>
      <c r="AD15" s="1139">
        <f t="shared" si="11"/>
        <v>0</v>
      </c>
      <c r="AE15" s="1139">
        <f t="shared" si="12"/>
        <v>0</v>
      </c>
      <c r="AF15" s="1139"/>
      <c r="AG15" s="1139"/>
      <c r="AH15" s="1139">
        <f t="shared" si="3"/>
        <v>0</v>
      </c>
      <c r="AI15" s="1139"/>
      <c r="AJ15" s="1139">
        <f t="shared" si="4"/>
        <v>0</v>
      </c>
    </row>
    <row r="16" spans="3:36" x14ac:dyDescent="0.2">
      <c r="C16" s="1088" t="s">
        <v>36</v>
      </c>
      <c r="D16" s="1452">
        <f t="shared" si="5"/>
        <v>33.604721962515768</v>
      </c>
      <c r="E16" s="1452">
        <f t="shared" si="6"/>
        <v>26.173974861893466</v>
      </c>
      <c r="F16" s="1453">
        <v>0.99816005829254728</v>
      </c>
      <c r="G16" s="1453">
        <v>0</v>
      </c>
      <c r="H16" s="1453">
        <v>4.2144535794574232</v>
      </c>
      <c r="I16" s="1453">
        <v>7.5416537737659137</v>
      </c>
      <c r="J16" s="1453">
        <v>0.11090667314361638</v>
      </c>
      <c r="K16" s="1453">
        <v>13.308800777233966</v>
      </c>
      <c r="L16" s="1452">
        <f t="shared" si="7"/>
        <v>7.4307471006222983</v>
      </c>
      <c r="M16" s="1168">
        <v>3.7708268868829569</v>
      </c>
      <c r="N16" s="1229">
        <v>3.659920213739341</v>
      </c>
      <c r="O16" s="1452">
        <f t="shared" si="8"/>
        <v>253.08902811373258</v>
      </c>
      <c r="P16" s="1452">
        <f t="shared" si="2"/>
        <v>181.33241058981278</v>
      </c>
      <c r="Q16" s="1453">
        <v>43.25360252601039</v>
      </c>
      <c r="R16" s="1453">
        <v>1.5526934240106292</v>
      </c>
      <c r="S16" s="1453">
        <v>11.090667314361639</v>
      </c>
      <c r="T16" s="1453">
        <v>106.47040621787173</v>
      </c>
      <c r="U16" s="1453">
        <v>0.33272001943084911</v>
      </c>
      <c r="V16" s="1453">
        <v>18.632321088127554</v>
      </c>
      <c r="W16" s="1452">
        <f t="shared" si="9"/>
        <v>71.7566175239198</v>
      </c>
      <c r="X16" s="1168">
        <v>44.806295950021017</v>
      </c>
      <c r="Y16" s="1211">
        <v>26.95032157389878</v>
      </c>
      <c r="Z16" s="173"/>
      <c r="AA16" s="1075">
        <f>+TableB2!L17/TableB2!$L$91</f>
        <v>5.929502460818286E-4</v>
      </c>
      <c r="AB16" s="1139"/>
      <c r="AC16" s="1139">
        <f t="shared" si="10"/>
        <v>0</v>
      </c>
      <c r="AD16" s="1139">
        <f t="shared" si="11"/>
        <v>0</v>
      </c>
      <c r="AE16" s="1139">
        <f t="shared" si="12"/>
        <v>0</v>
      </c>
      <c r="AF16" s="1139"/>
      <c r="AG16" s="1139"/>
      <c r="AH16" s="1139">
        <f t="shared" si="3"/>
        <v>0</v>
      </c>
      <c r="AI16" s="1139"/>
      <c r="AJ16" s="1139">
        <f t="shared" si="4"/>
        <v>0</v>
      </c>
    </row>
    <row r="17" spans="1:36" x14ac:dyDescent="0.2">
      <c r="A17" s="954"/>
      <c r="B17" s="954"/>
      <c r="C17" s="1149" t="s">
        <v>37</v>
      </c>
      <c r="D17" s="1452">
        <f t="shared" si="5"/>
        <v>353.79228732813624</v>
      </c>
      <c r="E17" s="1452">
        <f t="shared" si="6"/>
        <v>251.97996138229644</v>
      </c>
      <c r="F17" s="1453">
        <v>10.757947294930789</v>
      </c>
      <c r="G17" s="1453">
        <v>0</v>
      </c>
      <c r="H17" s="1453">
        <v>41.700909101999756</v>
      </c>
      <c r="I17" s="1453">
        <v>87.394458437169718</v>
      </c>
      <c r="J17" s="1453">
        <v>1.2199734045797803</v>
      </c>
      <c r="K17" s="1453">
        <v>110.90667314361637</v>
      </c>
      <c r="L17" s="1452">
        <f t="shared" si="7"/>
        <v>101.81232594583983</v>
      </c>
      <c r="M17" s="1168">
        <v>75.083817718228289</v>
      </c>
      <c r="N17" s="1229">
        <v>26.728508227611545</v>
      </c>
      <c r="O17" s="1452">
        <f t="shared" si="8"/>
        <v>2875.2555012482544</v>
      </c>
      <c r="P17" s="1452">
        <f t="shared" si="2"/>
        <v>1852.4741615178245</v>
      </c>
      <c r="Q17" s="1453">
        <v>291.79545704085473</v>
      </c>
      <c r="R17" s="1453">
        <v>1.1090667314361637</v>
      </c>
      <c r="S17" s="1453">
        <v>854.09228987898973</v>
      </c>
      <c r="T17" s="1453">
        <v>443.95941259389639</v>
      </c>
      <c r="U17" s="1453">
        <v>2.7726668285904097</v>
      </c>
      <c r="V17" s="1453">
        <v>258.74526844405705</v>
      </c>
      <c r="W17" s="1452">
        <f t="shared" si="9"/>
        <v>1022.7813397304301</v>
      </c>
      <c r="X17" s="1168">
        <v>389.17151606094984</v>
      </c>
      <c r="Y17" s="1211">
        <v>633.60982366948031</v>
      </c>
      <c r="Z17" s="173"/>
      <c r="AA17" s="1075">
        <f>+TableB2!L18/TableB2!$L$91</f>
        <v>2.1673389492316785E-3</v>
      </c>
      <c r="AB17" s="1139"/>
      <c r="AC17" s="1139">
        <f t="shared" si="10"/>
        <v>0</v>
      </c>
      <c r="AD17" s="1139">
        <f t="shared" si="11"/>
        <v>0</v>
      </c>
      <c r="AE17" s="1139">
        <f t="shared" si="12"/>
        <v>0</v>
      </c>
      <c r="AF17" s="1139"/>
      <c r="AG17" s="1139"/>
      <c r="AH17" s="1139">
        <f t="shared" si="3"/>
        <v>0</v>
      </c>
      <c r="AI17" s="1139"/>
      <c r="AJ17" s="1139">
        <f t="shared" si="4"/>
        <v>0</v>
      </c>
    </row>
    <row r="18" spans="1:36" x14ac:dyDescent="0.2">
      <c r="A18" s="954"/>
      <c r="B18" s="954"/>
      <c r="C18" s="1088" t="s">
        <v>38</v>
      </c>
      <c r="D18" s="1452">
        <f t="shared" si="5"/>
        <v>6381.4590660105423</v>
      </c>
      <c r="E18" s="1452">
        <f t="shared" si="6"/>
        <v>6067.5931810141083</v>
      </c>
      <c r="F18" s="1453">
        <v>1151.211267230738</v>
      </c>
      <c r="G18" s="1453">
        <v>0</v>
      </c>
      <c r="H18" s="1453">
        <v>159.70560932680758</v>
      </c>
      <c r="I18" s="1453">
        <v>3051.5971115466045</v>
      </c>
      <c r="J18" s="1453">
        <v>17.079627664116924</v>
      </c>
      <c r="K18" s="1453">
        <v>1687.9995652458413</v>
      </c>
      <c r="L18" s="1452">
        <f t="shared" si="7"/>
        <v>313.86588499643437</v>
      </c>
      <c r="M18" s="1168">
        <v>225.14054648154126</v>
      </c>
      <c r="N18" s="1229">
        <v>88.72533851489311</v>
      </c>
      <c r="O18" s="1452">
        <f t="shared" si="8"/>
        <v>33129.59777476851</v>
      </c>
      <c r="P18" s="1452">
        <f t="shared" si="2"/>
        <v>23927.67110404266</v>
      </c>
      <c r="Q18" s="1453">
        <v>7693.5959159726681</v>
      </c>
      <c r="R18" s="1453">
        <v>24.066748072164753</v>
      </c>
      <c r="S18" s="1453">
        <v>5843.6726079371474</v>
      </c>
      <c r="T18" s="1453">
        <v>6344.5271438537193</v>
      </c>
      <c r="U18" s="1453">
        <v>61.442296921563475</v>
      </c>
      <c r="V18" s="1453">
        <v>3960.3663912853972</v>
      </c>
      <c r="W18" s="1452">
        <f t="shared" si="9"/>
        <v>9201.9266707258503</v>
      </c>
      <c r="X18" s="1168">
        <v>6096.5398227045926</v>
      </c>
      <c r="Y18" s="1211">
        <v>3105.3868480212586</v>
      </c>
      <c r="Z18" s="173"/>
      <c r="AA18" s="1075">
        <f>+TableB2!L19/TableB2!$L$91</f>
        <v>2.05890434097546E-2</v>
      </c>
      <c r="AB18" s="1139"/>
      <c r="AC18" s="1139">
        <f t="shared" si="10"/>
        <v>0</v>
      </c>
      <c r="AD18" s="1139">
        <f t="shared" si="11"/>
        <v>0</v>
      </c>
      <c r="AE18" s="1139">
        <f t="shared" si="12"/>
        <v>0</v>
      </c>
      <c r="AF18" s="1139"/>
      <c r="AG18" s="1139"/>
      <c r="AH18" s="1139">
        <f t="shared" si="3"/>
        <v>0</v>
      </c>
      <c r="AI18" s="1139"/>
      <c r="AJ18" s="1139">
        <f t="shared" si="4"/>
        <v>0</v>
      </c>
    </row>
    <row r="19" spans="1:36" x14ac:dyDescent="0.2">
      <c r="A19" s="954"/>
      <c r="B19" s="954" t="s">
        <v>636</v>
      </c>
      <c r="C19" s="1149" t="s">
        <v>39</v>
      </c>
      <c r="D19" s="1452">
        <f t="shared" si="5"/>
        <v>13655.605944154055</v>
      </c>
      <c r="E19" s="1452">
        <f t="shared" si="6"/>
        <v>12437.850673037146</v>
      </c>
      <c r="F19" s="1453">
        <v>919.08360034114901</v>
      </c>
      <c r="G19" s="1453">
        <v>31.719308519074286</v>
      </c>
      <c r="H19" s="1453">
        <v>140.85147489239282</v>
      </c>
      <c r="I19" s="1453">
        <v>1841.3834942034628</v>
      </c>
      <c r="J19" s="1453">
        <v>16.746907644686075</v>
      </c>
      <c r="K19" s="1453">
        <v>9488.0658874363817</v>
      </c>
      <c r="L19" s="1452">
        <f t="shared" si="7"/>
        <v>1217.7552711169078</v>
      </c>
      <c r="M19" s="1168">
        <v>548.98803206090111</v>
      </c>
      <c r="N19" s="1229">
        <v>668.76723905600682</v>
      </c>
      <c r="O19" s="1452">
        <f t="shared" si="8"/>
        <v>51452.378338152223</v>
      </c>
      <c r="P19" s="1452">
        <f t="shared" si="2"/>
        <v>37230.815640946297</v>
      </c>
      <c r="Q19" s="1453">
        <v>5290.2483089505013</v>
      </c>
      <c r="R19" s="1453">
        <v>89.834405246329268</v>
      </c>
      <c r="S19" s="1453">
        <v>10263.525346056547</v>
      </c>
      <c r="T19" s="1453">
        <v>13904.369612015185</v>
      </c>
      <c r="U19" s="1453">
        <v>198.96657161964779</v>
      </c>
      <c r="V19" s="1453">
        <v>7483.8713970580893</v>
      </c>
      <c r="W19" s="1452">
        <f t="shared" si="9"/>
        <v>14221.562697205927</v>
      </c>
      <c r="X19" s="1168">
        <v>8972.3498573185643</v>
      </c>
      <c r="Y19" s="1211">
        <v>5249.2128398873629</v>
      </c>
      <c r="Z19" s="173"/>
      <c r="AA19" s="1075">
        <f>+TableB2!L20/TableB2!$L$91</f>
        <v>1.9280661865832386E-2</v>
      </c>
      <c r="AB19" s="1139"/>
      <c r="AC19" s="1139">
        <f t="shared" si="10"/>
        <v>0</v>
      </c>
      <c r="AD19" s="1139">
        <f t="shared" si="11"/>
        <v>0</v>
      </c>
      <c r="AE19" s="1139">
        <f t="shared" si="12"/>
        <v>0</v>
      </c>
      <c r="AF19" s="1139"/>
      <c r="AG19" s="1139"/>
      <c r="AH19" s="1139">
        <f t="shared" si="3"/>
        <v>0</v>
      </c>
      <c r="AI19" s="1139"/>
      <c r="AJ19" s="1139">
        <f t="shared" si="4"/>
        <v>0</v>
      </c>
    </row>
    <row r="20" spans="1:36" x14ac:dyDescent="0.2">
      <c r="A20" s="954"/>
      <c r="B20" s="954"/>
      <c r="C20" s="1149" t="s">
        <v>40</v>
      </c>
      <c r="D20" s="1452">
        <f t="shared" si="5"/>
        <v>65.656750501020895</v>
      </c>
      <c r="E20" s="1452">
        <f t="shared" si="6"/>
        <v>56.340589956957125</v>
      </c>
      <c r="F20" s="1453">
        <v>4.6580802720318886</v>
      </c>
      <c r="G20" s="1453">
        <v>0</v>
      </c>
      <c r="H20" s="1453">
        <v>0</v>
      </c>
      <c r="I20" s="1453">
        <v>18.188694395553085</v>
      </c>
      <c r="J20" s="1453">
        <v>0.22181334628723276</v>
      </c>
      <c r="K20" s="1453">
        <v>33.272001943084916</v>
      </c>
      <c r="L20" s="1452">
        <f t="shared" si="7"/>
        <v>9.3161605440637771</v>
      </c>
      <c r="M20" s="1168">
        <v>8.5398138320584618</v>
      </c>
      <c r="N20" s="1229">
        <v>0.77634671200531458</v>
      </c>
      <c r="O20" s="1452">
        <f t="shared" si="8"/>
        <v>1304.1515694957852</v>
      </c>
      <c r="P20" s="1452">
        <f t="shared" si="2"/>
        <v>1161.8583078525253</v>
      </c>
      <c r="Q20" s="1453">
        <v>270.61228247042396</v>
      </c>
      <c r="R20" s="1453">
        <v>64.325870423297502</v>
      </c>
      <c r="S20" s="1453">
        <v>302.77521768207271</v>
      </c>
      <c r="T20" s="1453">
        <v>206.28641204712648</v>
      </c>
      <c r="U20" s="1453">
        <v>5.5453336571808194</v>
      </c>
      <c r="V20" s="1453">
        <v>312.31319157242376</v>
      </c>
      <c r="W20" s="1452">
        <f t="shared" si="9"/>
        <v>142.29326164325983</v>
      </c>
      <c r="X20" s="1168">
        <v>117.45016685908975</v>
      </c>
      <c r="Y20" s="1211">
        <v>24.843094784170066</v>
      </c>
      <c r="Z20" s="173"/>
      <c r="AA20" s="1075">
        <f>+TableB2!L21/TableB2!$L$91</f>
        <v>6.4152078461630685E-4</v>
      </c>
      <c r="AB20" s="1139"/>
      <c r="AC20" s="1139">
        <f t="shared" si="10"/>
        <v>0</v>
      </c>
      <c r="AD20" s="1139">
        <f t="shared" si="11"/>
        <v>0</v>
      </c>
      <c r="AE20" s="1139">
        <f t="shared" si="12"/>
        <v>0</v>
      </c>
      <c r="AF20" s="1139"/>
      <c r="AG20" s="1139"/>
      <c r="AH20" s="1139">
        <f t="shared" si="3"/>
        <v>0</v>
      </c>
      <c r="AI20" s="1139"/>
      <c r="AJ20" s="1139">
        <f t="shared" si="4"/>
        <v>0</v>
      </c>
    </row>
    <row r="21" spans="1:36" x14ac:dyDescent="0.2">
      <c r="A21" s="954"/>
      <c r="B21" s="954"/>
      <c r="C21" s="1149" t="s">
        <v>41</v>
      </c>
      <c r="D21" s="1452">
        <f t="shared" si="5"/>
        <v>576.2710736542308</v>
      </c>
      <c r="E21" s="1452">
        <f t="shared" si="6"/>
        <v>307.2114846078174</v>
      </c>
      <c r="F21" s="1453">
        <v>43.031789179723155</v>
      </c>
      <c r="G21" s="1453">
        <v>1.1090667314361637</v>
      </c>
      <c r="H21" s="1453">
        <v>9.6488805634946235</v>
      </c>
      <c r="I21" s="1453">
        <v>118.55923359052592</v>
      </c>
      <c r="J21" s="1453">
        <v>0.66544003886169834</v>
      </c>
      <c r="K21" s="1453">
        <v>134.19707450377581</v>
      </c>
      <c r="L21" s="1452">
        <f t="shared" si="7"/>
        <v>269.05958904641335</v>
      </c>
      <c r="M21" s="1168">
        <v>70.869364138770877</v>
      </c>
      <c r="N21" s="1229">
        <v>198.19022490764249</v>
      </c>
      <c r="O21" s="1452">
        <f t="shared" si="8"/>
        <v>2289.3355470305291</v>
      </c>
      <c r="P21" s="1452">
        <f t="shared" si="2"/>
        <v>1756.5398892485962</v>
      </c>
      <c r="Q21" s="1453">
        <v>261.73974861893464</v>
      </c>
      <c r="R21" s="1453">
        <v>0.44362669257446552</v>
      </c>
      <c r="S21" s="1453">
        <v>867.29018398308006</v>
      </c>
      <c r="T21" s="1453">
        <v>296.67535065917383</v>
      </c>
      <c r="U21" s="1453">
        <v>7.2089337543350647</v>
      </c>
      <c r="V21" s="1453">
        <v>323.18204554049811</v>
      </c>
      <c r="W21" s="1452">
        <f t="shared" si="9"/>
        <v>532.79565778193307</v>
      </c>
      <c r="X21" s="1168">
        <v>268.83777570012609</v>
      </c>
      <c r="Y21" s="1211">
        <v>263.95788208180699</v>
      </c>
      <c r="Z21" s="173"/>
      <c r="AA21" s="1075">
        <f>+TableB2!L22/TableB2!$L$91</f>
        <v>6.4782772588043071E-3</v>
      </c>
      <c r="AB21" s="1139"/>
      <c r="AC21" s="1139">
        <f t="shared" si="10"/>
        <v>0</v>
      </c>
      <c r="AD21" s="1139">
        <f t="shared" si="11"/>
        <v>0</v>
      </c>
      <c r="AE21" s="1139">
        <f t="shared" si="12"/>
        <v>0</v>
      </c>
      <c r="AF21" s="1139"/>
      <c r="AG21" s="1139"/>
      <c r="AH21" s="1139">
        <f t="shared" si="3"/>
        <v>0</v>
      </c>
      <c r="AI21" s="1139"/>
      <c r="AJ21" s="1139">
        <f t="shared" si="4"/>
        <v>0</v>
      </c>
    </row>
    <row r="22" spans="1:36" x14ac:dyDescent="0.2">
      <c r="A22" s="954"/>
      <c r="B22" s="954"/>
      <c r="C22" s="1149" t="s">
        <v>42</v>
      </c>
      <c r="D22" s="1452">
        <f t="shared" si="5"/>
        <v>146.18619425553672</v>
      </c>
      <c r="E22" s="1452">
        <f t="shared" si="6"/>
        <v>133.08800777233967</v>
      </c>
      <c r="F22" s="1453">
        <v>32.052028538505134</v>
      </c>
      <c r="G22" s="1453">
        <v>0</v>
      </c>
      <c r="H22" s="1453">
        <v>4.2144535794574223</v>
      </c>
      <c r="I22" s="1453">
        <v>91.830725362914364</v>
      </c>
      <c r="J22" s="1453">
        <v>0.55453336571808187</v>
      </c>
      <c r="K22" s="1453">
        <v>4.436266925744655</v>
      </c>
      <c r="L22" s="1452">
        <f t="shared" si="7"/>
        <v>13.098186483197058</v>
      </c>
      <c r="M22" s="1168">
        <v>2.235957845457933</v>
      </c>
      <c r="N22" s="1229">
        <v>10.862228637739124</v>
      </c>
      <c r="O22" s="1452">
        <f t="shared" si="8"/>
        <v>482.63504227917116</v>
      </c>
      <c r="P22" s="1452">
        <f t="shared" si="2"/>
        <v>271.16681583614206</v>
      </c>
      <c r="Q22" s="1453">
        <v>23.290401360159439</v>
      </c>
      <c r="R22" s="1453">
        <v>0</v>
      </c>
      <c r="S22" s="1453">
        <v>78.07829789310594</v>
      </c>
      <c r="T22" s="1453">
        <v>103.14320602356324</v>
      </c>
      <c r="U22" s="1453">
        <v>0</v>
      </c>
      <c r="V22" s="1453">
        <v>66.65491055931345</v>
      </c>
      <c r="W22" s="1452">
        <f t="shared" si="9"/>
        <v>211.4682264430291</v>
      </c>
      <c r="X22" s="1168">
        <v>20.329943102039906</v>
      </c>
      <c r="Y22" s="1211">
        <v>191.1382833409892</v>
      </c>
      <c r="Z22" s="173"/>
      <c r="AA22" s="1075">
        <f>+TableB2!L23/TableB2!$L$91</f>
        <v>2.5129516763681151E-4</v>
      </c>
      <c r="AB22" s="1139">
        <f>+AA22</f>
        <v>2.5129516763681151E-4</v>
      </c>
      <c r="AC22" s="1139">
        <f t="shared" si="10"/>
        <v>5.9471364883481386E-4</v>
      </c>
      <c r="AD22" s="1139">
        <f t="shared" si="11"/>
        <v>2.5129516763681151E-4</v>
      </c>
      <c r="AE22" s="1139">
        <f t="shared" si="12"/>
        <v>9.8162110387870036E-4</v>
      </c>
      <c r="AF22" s="1139"/>
      <c r="AG22" s="1139">
        <v>0</v>
      </c>
      <c r="AH22" s="1139">
        <f t="shared" si="3"/>
        <v>0</v>
      </c>
      <c r="AI22" s="1139">
        <v>0</v>
      </c>
      <c r="AJ22" s="1139">
        <f>+AI22/$AI$90</f>
        <v>0</v>
      </c>
    </row>
    <row r="23" spans="1:36" x14ac:dyDescent="0.2">
      <c r="A23" s="954"/>
      <c r="B23" s="954"/>
      <c r="C23" s="1149" t="s">
        <v>43</v>
      </c>
      <c r="D23" s="1452">
        <f t="shared" si="5"/>
        <v>6363.4921849612774</v>
      </c>
      <c r="E23" s="1452">
        <f t="shared" si="6"/>
        <v>5864.4121558150036</v>
      </c>
      <c r="F23" s="1453">
        <v>334.82724622057782</v>
      </c>
      <c r="G23" s="1453">
        <v>0</v>
      </c>
      <c r="H23" s="1453">
        <v>0</v>
      </c>
      <c r="I23" s="1453">
        <v>1098.9742241800948</v>
      </c>
      <c r="J23" s="1453">
        <v>15.416027566962677</v>
      </c>
      <c r="K23" s="1453">
        <v>4415.194657847368</v>
      </c>
      <c r="L23" s="1452">
        <f t="shared" si="7"/>
        <v>499.08002914627372</v>
      </c>
      <c r="M23" s="1168">
        <v>216.71163932262641</v>
      </c>
      <c r="N23" s="1229">
        <v>282.36838982364731</v>
      </c>
      <c r="O23" s="1452">
        <f t="shared" si="8"/>
        <v>64483.801525854018</v>
      </c>
      <c r="P23" s="1452">
        <f t="shared" si="2"/>
        <v>21142.582728060166</v>
      </c>
      <c r="Q23" s="1453">
        <v>2207.0427955579657</v>
      </c>
      <c r="R23" s="1453">
        <v>4.436266925744655</v>
      </c>
      <c r="S23" s="1453">
        <v>0</v>
      </c>
      <c r="T23" s="1453">
        <v>968.21525654377103</v>
      </c>
      <c r="U23" s="1453">
        <v>3.9926402331701896</v>
      </c>
      <c r="V23" s="1453">
        <v>17958.895768799513</v>
      </c>
      <c r="W23" s="1452">
        <f t="shared" si="9"/>
        <v>43341.218797793852</v>
      </c>
      <c r="X23" s="1168">
        <v>3424.798066674874</v>
      </c>
      <c r="Y23" s="1211">
        <v>39916.420731118975</v>
      </c>
      <c r="Z23" s="173"/>
      <c r="AA23" s="1075">
        <f>+TableB2!L24/TableB2!$L$91</f>
        <v>2.109084370193446E-2</v>
      </c>
      <c r="AB23" s="1139"/>
      <c r="AC23" s="1139">
        <f t="shared" si="10"/>
        <v>0</v>
      </c>
      <c r="AD23" s="1139">
        <f t="shared" si="11"/>
        <v>0</v>
      </c>
      <c r="AE23" s="1139">
        <f t="shared" si="12"/>
        <v>0</v>
      </c>
      <c r="AF23" s="1139"/>
      <c r="AG23" s="1139"/>
      <c r="AH23" s="1139">
        <f t="shared" si="3"/>
        <v>0</v>
      </c>
      <c r="AI23" s="1139"/>
      <c r="AJ23" s="1139">
        <f>+AI23/$AB$90</f>
        <v>0</v>
      </c>
    </row>
    <row r="24" spans="1:36" x14ac:dyDescent="0.2">
      <c r="A24" s="954"/>
      <c r="B24" s="954"/>
      <c r="C24" s="1149" t="s">
        <v>44</v>
      </c>
      <c r="D24" s="1452">
        <f t="shared" si="5"/>
        <v>64.145428906199342</v>
      </c>
      <c r="E24" s="1452">
        <f t="shared" si="6"/>
        <v>33.87753558509889</v>
      </c>
      <c r="F24" s="1453">
        <v>13.306388875839717</v>
      </c>
      <c r="G24" s="1453">
        <v>-0.24030159252125718</v>
      </c>
      <c r="H24" s="1453">
        <v>-1.2555550335885755</v>
      </c>
      <c r="I24" s="1453">
        <v>17.794790247568937</v>
      </c>
      <c r="J24" s="1453">
        <v>-1.1657537464180019</v>
      </c>
      <c r="K24" s="1453">
        <v>5.4379668342180683</v>
      </c>
      <c r="L24" s="1452">
        <f>SUM(M24:N24)</f>
        <v>30.267893321100455</v>
      </c>
      <c r="M24" s="1168">
        <v>5.1669544958470688</v>
      </c>
      <c r="N24" s="1229">
        <v>25.100938825253387</v>
      </c>
      <c r="O24" s="1452">
        <f t="shared" si="8"/>
        <v>798.84084899718937</v>
      </c>
      <c r="P24" s="1452">
        <f>SUM(Q24:V24)</f>
        <v>310.17031991356225</v>
      </c>
      <c r="Q24" s="1453">
        <v>21.119932353079346</v>
      </c>
      <c r="R24" s="1453">
        <v>7.6222999953022983</v>
      </c>
      <c r="S24" s="1453">
        <v>171.43315168882407</v>
      </c>
      <c r="T24" s="1453">
        <v>16.419500164419606</v>
      </c>
      <c r="U24" s="1453">
        <v>30.66547658195142</v>
      </c>
      <c r="V24" s="1453">
        <v>62.909959129985516</v>
      </c>
      <c r="W24" s="1452">
        <f t="shared" si="9"/>
        <v>488.67052908362712</v>
      </c>
      <c r="X24" s="1168">
        <v>46.979369993393931</v>
      </c>
      <c r="Y24" s="1211">
        <v>441.69115909023316</v>
      </c>
      <c r="Z24" s="173"/>
      <c r="AA24" s="1075">
        <f>+TableB2!L25/TableB2!$L$91</f>
        <v>5.8070446133108653E-4</v>
      </c>
      <c r="AB24" s="1139">
        <f>+AA24</f>
        <v>5.8070446133108653E-4</v>
      </c>
      <c r="AC24" s="1139">
        <f t="shared" si="10"/>
        <v>1.3742917237150876E-3</v>
      </c>
      <c r="AD24" s="1139">
        <f t="shared" si="11"/>
        <v>5.8070446133108653E-4</v>
      </c>
      <c r="AE24" s="1139">
        <f t="shared" si="12"/>
        <v>2.2683753122660719E-3</v>
      </c>
      <c r="AF24" s="1139"/>
      <c r="AG24" s="1139">
        <f>+AB24</f>
        <v>5.8070446133108653E-4</v>
      </c>
      <c r="AH24" s="1139">
        <f t="shared" si="3"/>
        <v>8.3149339972753335E-3</v>
      </c>
      <c r="AI24" s="1139">
        <f>+AD24</f>
        <v>5.8070446133108653E-4</v>
      </c>
      <c r="AJ24" s="1139">
        <f>+AI24/$AI$90</f>
        <v>8.3149339972753335E-3</v>
      </c>
    </row>
    <row r="25" spans="1:36" x14ac:dyDescent="0.2">
      <c r="A25" s="954"/>
      <c r="B25" s="954"/>
      <c r="C25" s="1149" t="s">
        <v>45</v>
      </c>
      <c r="D25" s="1452">
        <f t="shared" si="5"/>
        <v>5370.6556469796224</v>
      </c>
      <c r="E25" s="1452">
        <f t="shared" si="6"/>
        <v>5004.7745322788323</v>
      </c>
      <c r="F25" s="1453">
        <v>1072.3566226256266</v>
      </c>
      <c r="G25" s="1453">
        <v>5.5453336571808194</v>
      </c>
      <c r="H25" s="1453">
        <v>58.669630092973065</v>
      </c>
      <c r="I25" s="1453">
        <v>2729.302319391255</v>
      </c>
      <c r="J25" s="1453">
        <v>9.870693909781858</v>
      </c>
      <c r="K25" s="1453">
        <v>1129.0299326020147</v>
      </c>
      <c r="L25" s="1452">
        <f t="shared" si="7"/>
        <v>365.88111470079042</v>
      </c>
      <c r="M25" s="1168">
        <v>320.40937871190772</v>
      </c>
      <c r="N25" s="1229">
        <v>45.471735988882713</v>
      </c>
      <c r="O25" s="1452">
        <f t="shared" si="8"/>
        <v>20998.514959646607</v>
      </c>
      <c r="P25" s="1452">
        <f t="shared" si="2"/>
        <v>17636.379163297875</v>
      </c>
      <c r="Q25" s="1453">
        <v>1775.6158370292983</v>
      </c>
      <c r="R25" s="1453">
        <v>16.636000971542458</v>
      </c>
      <c r="S25" s="1453">
        <v>6398.2059736552292</v>
      </c>
      <c r="T25" s="1453">
        <v>6990.4476082421406</v>
      </c>
      <c r="U25" s="1453">
        <v>89.168965207467579</v>
      </c>
      <c r="V25" s="1453">
        <v>2366.3047781921991</v>
      </c>
      <c r="W25" s="1452">
        <f t="shared" si="9"/>
        <v>3362.1357963487308</v>
      </c>
      <c r="X25" s="1168">
        <v>2227.7823434358224</v>
      </c>
      <c r="Y25" s="1211">
        <v>1134.3534529129083</v>
      </c>
      <c r="Z25" s="173"/>
      <c r="AA25" s="1075">
        <f>+TableB2!L26/TableB2!$L$91</f>
        <v>1.0039610832351697E-2</v>
      </c>
      <c r="AB25" s="1139"/>
      <c r="AC25" s="1139">
        <f t="shared" si="10"/>
        <v>0</v>
      </c>
      <c r="AD25" s="1139">
        <f t="shared" si="11"/>
        <v>0</v>
      </c>
      <c r="AE25" s="1139">
        <f t="shared" si="12"/>
        <v>0</v>
      </c>
      <c r="AF25" s="1139"/>
      <c r="AG25" s="1139"/>
      <c r="AH25" s="1139">
        <f t="shared" si="3"/>
        <v>0</v>
      </c>
      <c r="AI25" s="1139"/>
      <c r="AJ25" s="1139">
        <f>+AI25/$AB$90</f>
        <v>0</v>
      </c>
    </row>
    <row r="26" spans="1:36" x14ac:dyDescent="0.2">
      <c r="A26" s="954"/>
      <c r="B26" s="954"/>
      <c r="C26" s="1149" t="s">
        <v>46</v>
      </c>
      <c r="D26" s="1452">
        <f t="shared" si="5"/>
        <v>626.61293732632748</v>
      </c>
      <c r="E26" s="1452">
        <f t="shared" si="6"/>
        <v>325.28927233022688</v>
      </c>
      <c r="F26" s="1453">
        <v>18.632321088127554</v>
      </c>
      <c r="G26" s="1453">
        <v>0</v>
      </c>
      <c r="H26" s="1453">
        <v>8.6507205052020772</v>
      </c>
      <c r="I26" s="1453">
        <v>72.089337543350652</v>
      </c>
      <c r="J26" s="1453">
        <v>0.77634671200531458</v>
      </c>
      <c r="K26" s="1453">
        <v>225.14054648154126</v>
      </c>
      <c r="L26" s="1452">
        <f t="shared" si="7"/>
        <v>301.32366499610055</v>
      </c>
      <c r="M26" s="1168">
        <v>51.438190594895104</v>
      </c>
      <c r="N26" s="1229">
        <v>249.88547440120544</v>
      </c>
      <c r="O26" s="1452">
        <f t="shared" si="8"/>
        <v>10430.454270225713</v>
      </c>
      <c r="P26" s="1452">
        <f t="shared" si="2"/>
        <v>5565.6295783661017</v>
      </c>
      <c r="Q26" s="1453">
        <v>687.62137349042155</v>
      </c>
      <c r="R26" s="1453">
        <v>94.381578845217533</v>
      </c>
      <c r="S26" s="1453">
        <v>2499.7255059839695</v>
      </c>
      <c r="T26" s="1453">
        <v>878.38085129744172</v>
      </c>
      <c r="U26" s="1453">
        <v>1.7745067702978621</v>
      </c>
      <c r="V26" s="1453">
        <v>1403.7457619787526</v>
      </c>
      <c r="W26" s="1452">
        <f t="shared" si="9"/>
        <v>4864.8246918596105</v>
      </c>
      <c r="X26" s="1168">
        <v>467.69016249138218</v>
      </c>
      <c r="Y26" s="1211">
        <v>4397.134529368228</v>
      </c>
      <c r="Z26" s="173"/>
      <c r="AA26" s="1075">
        <f>+TableB2!L27/TableB2!$L$91</f>
        <v>5.7810431241967775E-3</v>
      </c>
      <c r="AB26" s="1139">
        <f>+AA26</f>
        <v>5.7810431241967775E-3</v>
      </c>
      <c r="AC26" s="1139">
        <f t="shared" si="10"/>
        <v>1.3681382267690076E-2</v>
      </c>
      <c r="AD26" s="1139">
        <f t="shared" si="11"/>
        <v>5.7810431241967775E-3</v>
      </c>
      <c r="AE26" s="1139">
        <f t="shared" si="12"/>
        <v>2.2582184872516137E-2</v>
      </c>
      <c r="AF26" s="1139"/>
      <c r="AG26" s="1139"/>
      <c r="AH26" s="1139">
        <f t="shared" si="3"/>
        <v>0</v>
      </c>
      <c r="AI26" s="1139"/>
      <c r="AJ26" s="1139">
        <f t="shared" ref="AJ26:AJ88" si="13">+AI26/$AB$90</f>
        <v>0</v>
      </c>
    </row>
    <row r="27" spans="1:36" x14ac:dyDescent="0.2">
      <c r="A27" s="331" t="s">
        <v>308</v>
      </c>
      <c r="B27" s="954" t="s">
        <v>637</v>
      </c>
      <c r="C27" s="1149" t="s">
        <v>47</v>
      </c>
      <c r="D27" s="1452">
        <f t="shared" si="5"/>
        <v>312.44671985142224</v>
      </c>
      <c r="E27" s="1452">
        <f t="shared" si="6"/>
        <v>36.155575444818936</v>
      </c>
      <c r="F27" s="1453">
        <v>11.31248066064887</v>
      </c>
      <c r="G27" s="1453">
        <v>0</v>
      </c>
      <c r="H27" s="1453">
        <v>-5.1017069646063531</v>
      </c>
      <c r="I27" s="1453">
        <v>12.532454065228652</v>
      </c>
      <c r="J27" s="1453">
        <v>-0.33272001943084917</v>
      </c>
      <c r="K27" s="1453">
        <v>17.74506770297862</v>
      </c>
      <c r="L27" s="1452">
        <f t="shared" si="7"/>
        <v>276.29114440660334</v>
      </c>
      <c r="M27" s="1168">
        <v>47.164953160424574</v>
      </c>
      <c r="N27" s="1229">
        <v>229.12619124617876</v>
      </c>
      <c r="O27" s="1452">
        <f t="shared" si="8"/>
        <v>6072.8178592061467</v>
      </c>
      <c r="P27" s="1452">
        <f t="shared" si="2"/>
        <v>1612.1394008156078</v>
      </c>
      <c r="Q27" s="1453">
        <v>260.18705519492403</v>
      </c>
      <c r="R27" s="1453">
        <v>37.597362195685953</v>
      </c>
      <c r="S27" s="1453">
        <v>319.96575201933325</v>
      </c>
      <c r="T27" s="1453">
        <v>266.50873556411017</v>
      </c>
      <c r="U27" s="1453">
        <v>0.11090667314361638</v>
      </c>
      <c r="V27" s="1453">
        <v>727.76958916841079</v>
      </c>
      <c r="W27" s="1452">
        <f t="shared" si="9"/>
        <v>4460.6784583905392</v>
      </c>
      <c r="X27" s="1168">
        <v>428.83671358546133</v>
      </c>
      <c r="Y27" s="1211">
        <v>4031.8417448050782</v>
      </c>
      <c r="Z27" s="173"/>
      <c r="AA27" s="1075">
        <f>+TableB2!L28/TableB2!$L$91</f>
        <v>5.3007818707797921E-3</v>
      </c>
      <c r="AB27" s="1139">
        <f>+AA27</f>
        <v>5.3007818707797921E-3</v>
      </c>
      <c r="AC27" s="1139">
        <f t="shared" si="10"/>
        <v>1.2544798842312032E-2</v>
      </c>
      <c r="AD27" s="1139">
        <f t="shared" si="11"/>
        <v>5.3007818707797921E-3</v>
      </c>
      <c r="AE27" s="1139">
        <f t="shared" si="12"/>
        <v>2.0706165583475537E-2</v>
      </c>
      <c r="AF27" s="1139"/>
      <c r="AG27" s="1139"/>
      <c r="AH27" s="1139">
        <f t="shared" si="3"/>
        <v>0</v>
      </c>
      <c r="AI27" s="1139"/>
      <c r="AJ27" s="1139">
        <f t="shared" si="13"/>
        <v>0</v>
      </c>
    </row>
    <row r="28" spans="1:36" x14ac:dyDescent="0.2">
      <c r="A28" s="954"/>
      <c r="B28" s="954"/>
      <c r="C28" s="1148" t="s">
        <v>48</v>
      </c>
      <c r="D28" s="1452">
        <f t="shared" si="5"/>
        <v>18.521414414983937</v>
      </c>
      <c r="E28" s="1452">
        <f t="shared" si="6"/>
        <v>14.750587528100979</v>
      </c>
      <c r="F28" s="1453">
        <v>0.77634671200531458</v>
      </c>
      <c r="G28" s="1453">
        <v>0</v>
      </c>
      <c r="H28" s="1453">
        <v>2.883573501734026</v>
      </c>
      <c r="I28" s="1453">
        <v>4.3253602526010386</v>
      </c>
      <c r="J28" s="1453">
        <v>0.11090667314361638</v>
      </c>
      <c r="K28" s="1453">
        <v>6.6544003886169829</v>
      </c>
      <c r="L28" s="1452">
        <f t="shared" si="7"/>
        <v>3.7708268868829569</v>
      </c>
      <c r="M28" s="1168">
        <v>0.22181334628723276</v>
      </c>
      <c r="N28" s="1229">
        <v>3.5490135405957242</v>
      </c>
      <c r="O28" s="1452">
        <f t="shared" si="8"/>
        <v>216.71163932262641</v>
      </c>
      <c r="P28" s="1452">
        <f t="shared" si="2"/>
        <v>150.16763543645658</v>
      </c>
      <c r="Q28" s="1453">
        <v>14.196054162382897</v>
      </c>
      <c r="R28" s="1453">
        <v>1.3308800777233964</v>
      </c>
      <c r="S28" s="1453">
        <v>49.908002914627367</v>
      </c>
      <c r="T28" s="1453">
        <v>65.545843827877277</v>
      </c>
      <c r="U28" s="1453">
        <v>2.4399468091595606</v>
      </c>
      <c r="V28" s="1453">
        <v>16.746907644686072</v>
      </c>
      <c r="W28" s="1452">
        <f t="shared" si="9"/>
        <v>66.544003886169833</v>
      </c>
      <c r="X28" s="1168">
        <v>16.636000971542458</v>
      </c>
      <c r="Y28" s="1211">
        <v>49.908002914627367</v>
      </c>
      <c r="Z28" s="173"/>
      <c r="AA28" s="1075">
        <f>+TableB2!L29/TableB2!$L$91</f>
        <v>3.9009029227811333E-4</v>
      </c>
      <c r="AB28" s="1139"/>
      <c r="AC28" s="1139">
        <f t="shared" si="10"/>
        <v>0</v>
      </c>
      <c r="AD28" s="1139">
        <f t="shared" si="11"/>
        <v>0</v>
      </c>
      <c r="AE28" s="1139">
        <f t="shared" si="12"/>
        <v>0</v>
      </c>
      <c r="AF28" s="1139"/>
      <c r="AG28" s="1139"/>
      <c r="AH28" s="1139">
        <f t="shared" si="3"/>
        <v>0</v>
      </c>
      <c r="AI28" s="1139"/>
      <c r="AJ28" s="1139">
        <f t="shared" si="13"/>
        <v>0</v>
      </c>
    </row>
    <row r="29" spans="1:36" x14ac:dyDescent="0.2">
      <c r="A29" s="954"/>
      <c r="B29" s="954"/>
      <c r="C29" s="1148" t="s">
        <v>49</v>
      </c>
      <c r="D29" s="1452">
        <f t="shared" si="5"/>
        <v>17887.582777968168</v>
      </c>
      <c r="E29" s="1452">
        <f t="shared" si="6"/>
        <v>7105.2360149457836</v>
      </c>
      <c r="F29" s="1453">
        <v>1000.3781917554197</v>
      </c>
      <c r="G29" s="1453">
        <v>37.264642176255109</v>
      </c>
      <c r="H29" s="1453">
        <v>1067.033102314733</v>
      </c>
      <c r="I29" s="1453">
        <v>0</v>
      </c>
      <c r="J29" s="1453">
        <v>17.523254356691389</v>
      </c>
      <c r="K29" s="1453">
        <v>4983.0368243426838</v>
      </c>
      <c r="L29" s="1452">
        <f t="shared" si="7"/>
        <v>10782.346763022384</v>
      </c>
      <c r="M29" s="1168">
        <v>1360.8248794721731</v>
      </c>
      <c r="N29" s="1229">
        <v>9421.521883550211</v>
      </c>
      <c r="O29" s="1452">
        <f t="shared" si="8"/>
        <v>19118.868663208596</v>
      </c>
      <c r="P29" s="1452">
        <f t="shared" si="2"/>
        <v>5580.4910725673453</v>
      </c>
      <c r="Q29" s="1453">
        <v>2675.0689562240273</v>
      </c>
      <c r="R29" s="1453">
        <v>57.671470034680517</v>
      </c>
      <c r="S29" s="1453">
        <v>1638.0915623312139</v>
      </c>
      <c r="T29" s="1453">
        <v>0</v>
      </c>
      <c r="U29" s="1453">
        <v>37.70826886882957</v>
      </c>
      <c r="V29" s="1453">
        <v>1171.9508151085943</v>
      </c>
      <c r="W29" s="1452">
        <f t="shared" si="9"/>
        <v>13538.377590641252</v>
      </c>
      <c r="X29" s="1168">
        <v>6672.1454563199613</v>
      </c>
      <c r="Y29" s="1211">
        <v>6866.2321343212898</v>
      </c>
      <c r="Z29" s="173"/>
      <c r="AA29" s="1075">
        <f>+TableB2!L30/TableB2!$L$91</f>
        <v>0.10976103536720654</v>
      </c>
      <c r="AB29" s="1139"/>
      <c r="AC29" s="1139">
        <f t="shared" si="10"/>
        <v>0</v>
      </c>
      <c r="AD29" s="1139">
        <f t="shared" si="11"/>
        <v>0</v>
      </c>
      <c r="AE29" s="1139">
        <f t="shared" si="12"/>
        <v>0</v>
      </c>
      <c r="AF29" s="1139"/>
      <c r="AG29" s="1139"/>
      <c r="AH29" s="1139">
        <f t="shared" si="3"/>
        <v>0</v>
      </c>
      <c r="AI29" s="1139"/>
      <c r="AJ29" s="1139">
        <f t="shared" si="13"/>
        <v>0</v>
      </c>
    </row>
    <row r="30" spans="1:36" x14ac:dyDescent="0.2">
      <c r="A30" s="954"/>
      <c r="B30" s="954"/>
      <c r="C30" s="1148" t="s">
        <v>50</v>
      </c>
      <c r="D30" s="1452">
        <f t="shared" si="5"/>
        <v>3539.7741207496606</v>
      </c>
      <c r="E30" s="1452">
        <f t="shared" si="6"/>
        <v>2859.17403364243</v>
      </c>
      <c r="F30" s="1453">
        <v>154.04936899648317</v>
      </c>
      <c r="G30" s="1453">
        <v>0</v>
      </c>
      <c r="H30" s="1453">
        <v>0</v>
      </c>
      <c r="I30" s="1453">
        <v>681.0778797749482</v>
      </c>
      <c r="J30" s="1453">
        <v>9.9816005829254735</v>
      </c>
      <c r="K30" s="1453">
        <v>2014.0651842880734</v>
      </c>
      <c r="L30" s="1452">
        <f t="shared" si="7"/>
        <v>680.60008710723059</v>
      </c>
      <c r="M30" s="1168">
        <v>116.18349657328437</v>
      </c>
      <c r="N30" s="1229">
        <v>564.41659053394619</v>
      </c>
      <c r="O30" s="1452">
        <f t="shared" si="8"/>
        <v>13052.268872140454</v>
      </c>
      <c r="P30" s="1452">
        <f t="shared" si="2"/>
        <v>2064.0840938758442</v>
      </c>
      <c r="Q30" s="1453">
        <v>645.25502434956002</v>
      </c>
      <c r="R30" s="1453">
        <v>0</v>
      </c>
      <c r="S30" s="1453">
        <v>445.73391936419421</v>
      </c>
      <c r="T30" s="1453">
        <v>104.14136608185579</v>
      </c>
      <c r="U30" s="1453">
        <v>0</v>
      </c>
      <c r="V30" s="1453">
        <v>868.9537840802343</v>
      </c>
      <c r="W30" s="1452">
        <f t="shared" si="9"/>
        <v>10988.184778264609</v>
      </c>
      <c r="X30" s="1168">
        <v>1056.3722744277281</v>
      </c>
      <c r="Y30" s="1211">
        <v>9931.8125038368817</v>
      </c>
      <c r="Z30" s="173"/>
      <c r="AA30" s="1075">
        <f>+TableB2!L31/TableB2!$L$91</f>
        <v>1.3057648339535167E-2</v>
      </c>
      <c r="AB30" s="1139">
        <f>+AA30</f>
        <v>1.3057648339535167E-2</v>
      </c>
      <c r="AC30" s="1139">
        <f t="shared" si="10"/>
        <v>3.0902152883536999E-2</v>
      </c>
      <c r="AD30" s="1139">
        <f t="shared" si="11"/>
        <v>1.3057648339535167E-2</v>
      </c>
      <c r="AE30" s="1139">
        <f t="shared" si="12"/>
        <v>5.1006405326660835E-2</v>
      </c>
      <c r="AF30" s="1139"/>
      <c r="AG30" s="1139"/>
      <c r="AH30" s="1139">
        <f t="shared" si="3"/>
        <v>0</v>
      </c>
      <c r="AI30" s="1139"/>
      <c r="AJ30" s="1139">
        <f t="shared" si="13"/>
        <v>0</v>
      </c>
    </row>
    <row r="31" spans="1:36" x14ac:dyDescent="0.2">
      <c r="A31" s="954"/>
      <c r="B31" s="954"/>
      <c r="C31" s="1148" t="s">
        <v>51</v>
      </c>
      <c r="D31" s="1452">
        <f t="shared" si="5"/>
        <v>12888.13176600023</v>
      </c>
      <c r="E31" s="1452">
        <f t="shared" si="6"/>
        <v>5812.2860194375044</v>
      </c>
      <c r="F31" s="1453">
        <v>872.83551764026095</v>
      </c>
      <c r="G31" s="1453">
        <v>-20.51773453156903</v>
      </c>
      <c r="H31" s="1453">
        <v>3938.2959633298178</v>
      </c>
      <c r="I31" s="1453">
        <v>1026.3303532710261</v>
      </c>
      <c r="J31" s="1453">
        <v>-4.6580802720318868</v>
      </c>
      <c r="K31" s="1453">
        <v>0</v>
      </c>
      <c r="L31" s="1452">
        <f t="shared" si="7"/>
        <v>7075.8457465627253</v>
      </c>
      <c r="M31" s="1168">
        <v>4438.4850592075272</v>
      </c>
      <c r="N31" s="1229">
        <v>2637.3606873551976</v>
      </c>
      <c r="O31" s="1452">
        <f t="shared" si="8"/>
        <v>53778.423993993296</v>
      </c>
      <c r="P31" s="1452">
        <f t="shared" si="2"/>
        <v>14142.1535192351</v>
      </c>
      <c r="Q31" s="1453">
        <v>7609.30684438352</v>
      </c>
      <c r="R31" s="1453">
        <v>46.580802720318879</v>
      </c>
      <c r="S31" s="1453">
        <v>4358.6322545441235</v>
      </c>
      <c r="T31" s="1453">
        <v>2093.4743622589026</v>
      </c>
      <c r="U31" s="1453">
        <v>34.159255328233847</v>
      </c>
      <c r="V31" s="1453">
        <v>0</v>
      </c>
      <c r="W31" s="1452">
        <f t="shared" si="9"/>
        <v>39636.270474758196</v>
      </c>
      <c r="X31" s="1168">
        <v>15052.031865705327</v>
      </c>
      <c r="Y31" s="1211">
        <v>24584.238609052867</v>
      </c>
      <c r="Z31" s="173"/>
      <c r="AA31" s="1075">
        <f>+TableB2!L32/TableB2!$L$91</f>
        <v>9.9513180149138972E-2</v>
      </c>
      <c r="AB31" s="1139"/>
      <c r="AC31" s="1139"/>
      <c r="AD31" s="1139"/>
      <c r="AE31" s="1139"/>
      <c r="AF31" s="1139"/>
      <c r="AG31" s="1139"/>
      <c r="AH31" s="1139">
        <f t="shared" si="3"/>
        <v>0</v>
      </c>
      <c r="AI31" s="1139"/>
      <c r="AJ31" s="1139">
        <f t="shared" si="13"/>
        <v>0</v>
      </c>
    </row>
    <row r="32" spans="1:36" x14ac:dyDescent="0.2">
      <c r="A32" s="954"/>
      <c r="B32" s="954"/>
      <c r="C32" s="1148" t="s">
        <v>52</v>
      </c>
      <c r="D32" s="1452">
        <f t="shared" si="5"/>
        <v>133.40167037013202</v>
      </c>
      <c r="E32" s="1452">
        <f t="shared" si="6"/>
        <v>56.562403303244352</v>
      </c>
      <c r="F32" s="1453">
        <v>13.308800777233966</v>
      </c>
      <c r="G32" s="1453">
        <v>0</v>
      </c>
      <c r="H32" s="1453">
        <v>0</v>
      </c>
      <c r="I32" s="1453">
        <v>21.072267897287112</v>
      </c>
      <c r="J32" s="1453">
        <v>0</v>
      </c>
      <c r="K32" s="1453">
        <v>22.181334628723278</v>
      </c>
      <c r="L32" s="1452">
        <f t="shared" si="7"/>
        <v>76.839267066887686</v>
      </c>
      <c r="M32" s="1168">
        <v>13.117034351117972</v>
      </c>
      <c r="N32" s="1229">
        <v>63.722232715769714</v>
      </c>
      <c r="O32" s="1452">
        <f t="shared" si="8"/>
        <v>1827.2545681877227</v>
      </c>
      <c r="P32" s="1452">
        <f t="shared" si="2"/>
        <v>586.69630092973057</v>
      </c>
      <c r="Q32" s="1453">
        <v>68.762137349042149</v>
      </c>
      <c r="R32" s="1453">
        <v>0</v>
      </c>
      <c r="S32" s="1453">
        <v>247.32188111026451</v>
      </c>
      <c r="T32" s="1453">
        <v>105.36133948643555</v>
      </c>
      <c r="U32" s="1453">
        <v>9.3161605440637771</v>
      </c>
      <c r="V32" s="1453">
        <v>155.93478243992462</v>
      </c>
      <c r="W32" s="1452">
        <f t="shared" si="9"/>
        <v>1240.5582672579922</v>
      </c>
      <c r="X32" s="1168">
        <v>119.26368047028924</v>
      </c>
      <c r="Y32" s="1211">
        <v>1121.2945867877029</v>
      </c>
      <c r="Z32" s="173"/>
      <c r="AA32" s="1075">
        <f>+TableB2!L33/TableB2!$L$91</f>
        <v>1.4741992354005767E-3</v>
      </c>
      <c r="AB32" s="1139">
        <f>+AA32</f>
        <v>1.4741992354005767E-3</v>
      </c>
      <c r="AC32" s="1139">
        <f t="shared" si="10"/>
        <v>3.488831140842601E-3</v>
      </c>
      <c r="AD32" s="1139">
        <f t="shared" si="11"/>
        <v>1.4741992354005767E-3</v>
      </c>
      <c r="AE32" s="1139">
        <f t="shared" si="12"/>
        <v>5.7585869811969592E-3</v>
      </c>
      <c r="AF32" s="1139"/>
      <c r="AG32" s="1139"/>
      <c r="AH32" s="1139">
        <f t="shared" si="3"/>
        <v>0</v>
      </c>
      <c r="AI32" s="1139"/>
      <c r="AJ32" s="1139">
        <f t="shared" si="13"/>
        <v>0</v>
      </c>
    </row>
    <row r="33" spans="1:36" x14ac:dyDescent="0.2">
      <c r="A33" s="954"/>
      <c r="B33" s="954"/>
      <c r="C33" s="1148" t="s">
        <v>53</v>
      </c>
      <c r="D33" s="1452">
        <f t="shared" si="5"/>
        <v>968.34265083574746</v>
      </c>
      <c r="E33" s="1452">
        <f t="shared" si="6"/>
        <v>797.64079324888894</v>
      </c>
      <c r="F33" s="1453">
        <v>120.00102034139293</v>
      </c>
      <c r="G33" s="1453">
        <v>0</v>
      </c>
      <c r="H33" s="1453">
        <v>0</v>
      </c>
      <c r="I33" s="1453">
        <v>447.73023948077929</v>
      </c>
      <c r="J33" s="1453">
        <v>3.6599202137393405</v>
      </c>
      <c r="K33" s="1453">
        <v>226.24961321297741</v>
      </c>
      <c r="L33" s="1452">
        <f t="shared" si="7"/>
        <v>170.70185758685855</v>
      </c>
      <c r="M33" s="1168">
        <v>29.140076620165566</v>
      </c>
      <c r="N33" s="1229">
        <v>141.56178096669299</v>
      </c>
      <c r="O33" s="1452">
        <f t="shared" si="8"/>
        <v>5688.6606576336235</v>
      </c>
      <c r="P33" s="1452">
        <f t="shared" si="2"/>
        <v>2932.705157936648</v>
      </c>
      <c r="Q33" s="1453">
        <v>370.42828829967868</v>
      </c>
      <c r="R33" s="1453">
        <v>2.2181334628723275</v>
      </c>
      <c r="S33" s="1453">
        <v>1315.3531434832903</v>
      </c>
      <c r="T33" s="1453">
        <v>319.41121865361515</v>
      </c>
      <c r="U33" s="1453">
        <v>33.382908616228534</v>
      </c>
      <c r="V33" s="1453">
        <v>891.91146542096294</v>
      </c>
      <c r="W33" s="1452">
        <f t="shared" si="9"/>
        <v>2755.955499696975</v>
      </c>
      <c r="X33" s="1168">
        <v>264.94958341029013</v>
      </c>
      <c r="Y33" s="1211">
        <v>2491.0059162866851</v>
      </c>
      <c r="Z33" s="173"/>
      <c r="AA33" s="1075">
        <f>+TableB2!L34/TableB2!$L$91</f>
        <v>3.2749993270621371E-3</v>
      </c>
      <c r="AB33" s="1139">
        <f>+AA33</f>
        <v>3.2749993270621371E-3</v>
      </c>
      <c r="AC33" s="1139">
        <f t="shared" si="10"/>
        <v>7.7505939252425667E-3</v>
      </c>
      <c r="AD33" s="1139">
        <f t="shared" si="11"/>
        <v>3.2749993270621371E-3</v>
      </c>
      <c r="AE33" s="1139">
        <f t="shared" si="12"/>
        <v>1.2792957719262596E-2</v>
      </c>
      <c r="AF33" s="1139"/>
      <c r="AG33" s="1139"/>
      <c r="AH33" s="1139">
        <f t="shared" si="3"/>
        <v>0</v>
      </c>
      <c r="AI33" s="1139"/>
      <c r="AJ33" s="1139">
        <f t="shared" si="13"/>
        <v>0</v>
      </c>
    </row>
    <row r="34" spans="1:36" x14ac:dyDescent="0.2">
      <c r="A34" s="954"/>
      <c r="B34" s="954"/>
      <c r="C34" s="1148" t="s">
        <v>54</v>
      </c>
      <c r="D34" s="1452">
        <f t="shared" si="5"/>
        <v>462.70264035516755</v>
      </c>
      <c r="E34" s="1452">
        <f t="shared" si="6"/>
        <v>398.26586325872643</v>
      </c>
      <c r="F34" s="1453">
        <v>110.90667314361637</v>
      </c>
      <c r="G34" s="1453">
        <v>4.5471735988882713</v>
      </c>
      <c r="H34" s="1453">
        <v>45.471735988882713</v>
      </c>
      <c r="I34" s="1453">
        <v>180.77787722409471</v>
      </c>
      <c r="J34" s="1453">
        <v>2.2181334628723275</v>
      </c>
      <c r="K34" s="1453">
        <v>54.344269840372029</v>
      </c>
      <c r="L34" s="1452">
        <f t="shared" si="7"/>
        <v>64.436777096441119</v>
      </c>
      <c r="M34" s="1168">
        <v>53.567923128366715</v>
      </c>
      <c r="N34" s="1229">
        <v>10.868853968074406</v>
      </c>
      <c r="O34" s="1452">
        <f t="shared" si="8"/>
        <v>4227.2078468689378</v>
      </c>
      <c r="P34" s="1452">
        <f t="shared" si="2"/>
        <v>2998.5837217839562</v>
      </c>
      <c r="Q34" s="1453">
        <v>586.69630092973068</v>
      </c>
      <c r="R34" s="1453">
        <v>14.417867508670129</v>
      </c>
      <c r="S34" s="1453">
        <v>897.23498573185657</v>
      </c>
      <c r="T34" s="1453">
        <v>428.76519837322093</v>
      </c>
      <c r="U34" s="1453">
        <v>18.632321088127554</v>
      </c>
      <c r="V34" s="1453">
        <v>1052.8370481523502</v>
      </c>
      <c r="W34" s="1452">
        <f t="shared" si="9"/>
        <v>1228.6241250849821</v>
      </c>
      <c r="X34" s="1168">
        <v>1119.9355854042381</v>
      </c>
      <c r="Y34" s="1211">
        <v>108.68853968074406</v>
      </c>
      <c r="Z34" s="173"/>
      <c r="AA34" s="1075">
        <f>+TableB2!L35/TableB2!$L$91</f>
        <v>4.5646328096349172E-3</v>
      </c>
      <c r="AB34" s="1139"/>
      <c r="AC34" s="1139">
        <f t="shared" si="10"/>
        <v>0</v>
      </c>
      <c r="AD34" s="1139">
        <f t="shared" si="11"/>
        <v>0</v>
      </c>
      <c r="AE34" s="1139">
        <f t="shared" si="12"/>
        <v>0</v>
      </c>
      <c r="AF34" s="1139"/>
      <c r="AG34" s="1139"/>
      <c r="AH34" s="1139">
        <f t="shared" si="3"/>
        <v>0</v>
      </c>
      <c r="AI34" s="1139"/>
      <c r="AJ34" s="1139">
        <f t="shared" si="13"/>
        <v>0</v>
      </c>
    </row>
    <row r="35" spans="1:36" x14ac:dyDescent="0.2">
      <c r="A35" s="954"/>
      <c r="B35" s="954"/>
      <c r="C35" s="1148" t="s">
        <v>55</v>
      </c>
      <c r="D35" s="1452">
        <f t="shared" si="5"/>
        <v>921.07992045773403</v>
      </c>
      <c r="E35" s="1452">
        <f t="shared" si="6"/>
        <v>850.87599635782487</v>
      </c>
      <c r="F35" s="1453">
        <v>32.606561904223213</v>
      </c>
      <c r="G35" s="1453">
        <v>0</v>
      </c>
      <c r="H35" s="1453">
        <v>31.053868480212586</v>
      </c>
      <c r="I35" s="1453">
        <v>181.22150391666915</v>
      </c>
      <c r="J35" s="1453">
        <v>2.6617601554467929</v>
      </c>
      <c r="K35" s="1453">
        <v>603.33230190127313</v>
      </c>
      <c r="L35" s="1452">
        <f t="shared" si="7"/>
        <v>70.203924099909159</v>
      </c>
      <c r="M35" s="1168">
        <v>39.482775639127425</v>
      </c>
      <c r="N35" s="1229">
        <v>30.721148460781738</v>
      </c>
      <c r="O35" s="1452">
        <f t="shared" si="8"/>
        <v>2200.6102085156363</v>
      </c>
      <c r="P35" s="1452">
        <f t="shared" si="2"/>
        <v>1952.1792606739357</v>
      </c>
      <c r="Q35" s="1453">
        <v>510.17069646063533</v>
      </c>
      <c r="R35" s="1453">
        <v>1.6636000971542457</v>
      </c>
      <c r="S35" s="1453">
        <v>575.60563361536902</v>
      </c>
      <c r="T35" s="1453">
        <v>604.99590199842737</v>
      </c>
      <c r="U35" s="1453">
        <v>7.8743737931967628</v>
      </c>
      <c r="V35" s="1453">
        <v>251.86905470915281</v>
      </c>
      <c r="W35" s="1452">
        <f t="shared" si="9"/>
        <v>248.43094784170069</v>
      </c>
      <c r="X35" s="1168">
        <v>217.37707936148811</v>
      </c>
      <c r="Y35" s="1211">
        <v>31.053868480212586</v>
      </c>
      <c r="Z35" s="173"/>
      <c r="AA35" s="1075">
        <f>+TableB2!L36/TableB2!$L$91</f>
        <v>3.4282296476492446E-3</v>
      </c>
      <c r="AB35" s="1139"/>
      <c r="AC35" s="1139">
        <f t="shared" si="10"/>
        <v>0</v>
      </c>
      <c r="AD35" s="1139">
        <f t="shared" si="11"/>
        <v>0</v>
      </c>
      <c r="AE35" s="1139">
        <f t="shared" si="12"/>
        <v>0</v>
      </c>
      <c r="AF35" s="1139"/>
      <c r="AG35" s="1139"/>
      <c r="AH35" s="1139">
        <f t="shared" si="3"/>
        <v>0</v>
      </c>
      <c r="AI35" s="1139"/>
      <c r="AJ35" s="1139">
        <f t="shared" si="13"/>
        <v>0</v>
      </c>
    </row>
    <row r="36" spans="1:36" x14ac:dyDescent="0.2">
      <c r="A36" s="954"/>
      <c r="B36" s="954"/>
      <c r="C36" s="1148" t="s">
        <v>56</v>
      </c>
      <c r="D36" s="1452">
        <f t="shared" si="5"/>
        <v>132.42256773347796</v>
      </c>
      <c r="E36" s="1452">
        <f t="shared" si="6"/>
        <v>118.55923359052591</v>
      </c>
      <c r="F36" s="1453">
        <v>10.979760641218022</v>
      </c>
      <c r="G36" s="1453">
        <v>0</v>
      </c>
      <c r="H36" s="1453">
        <v>9.5379738903510081</v>
      </c>
      <c r="I36" s="1453">
        <v>39.926402331701894</v>
      </c>
      <c r="J36" s="1453">
        <v>0.44362669257446552</v>
      </c>
      <c r="K36" s="1453">
        <v>57.671470034680517</v>
      </c>
      <c r="L36" s="1452">
        <f t="shared" si="7"/>
        <v>13.863334142952047</v>
      </c>
      <c r="M36" s="1168">
        <v>2.2181334628723275</v>
      </c>
      <c r="N36" s="1229">
        <v>11.64520068007972</v>
      </c>
      <c r="O36" s="1452">
        <f t="shared" si="8"/>
        <v>656.67841168335258</v>
      </c>
      <c r="P36" s="1452">
        <f t="shared" si="2"/>
        <v>555.30971243008719</v>
      </c>
      <c r="Q36" s="1453">
        <v>163.03280952111606</v>
      </c>
      <c r="R36" s="1453">
        <v>0.88725338514893104</v>
      </c>
      <c r="S36" s="1453">
        <v>100.92507256069091</v>
      </c>
      <c r="T36" s="1453">
        <v>165.80547634970648</v>
      </c>
      <c r="U36" s="1453">
        <v>5.5453336571808194</v>
      </c>
      <c r="V36" s="1453">
        <v>119.11376695624399</v>
      </c>
      <c r="W36" s="1452">
        <f t="shared" si="9"/>
        <v>101.36869925326538</v>
      </c>
      <c r="X36" s="1168">
        <v>90.278031938903737</v>
      </c>
      <c r="Y36" s="1211">
        <v>11.090667314361639</v>
      </c>
      <c r="Z36" s="173"/>
      <c r="AA36" s="1075">
        <f>+TableB2!L37/TableB2!$L$91</f>
        <v>1.2829588931474523E-3</v>
      </c>
      <c r="AB36" s="1139"/>
      <c r="AC36" s="1139">
        <f t="shared" si="10"/>
        <v>0</v>
      </c>
      <c r="AD36" s="1139">
        <f t="shared" si="11"/>
        <v>0</v>
      </c>
      <c r="AE36" s="1139">
        <f t="shared" si="12"/>
        <v>0</v>
      </c>
      <c r="AF36" s="1139"/>
      <c r="AG36" s="1139"/>
      <c r="AH36" s="1139">
        <f t="shared" si="3"/>
        <v>0</v>
      </c>
      <c r="AI36" s="1139"/>
      <c r="AJ36" s="1139">
        <f t="shared" si="13"/>
        <v>0</v>
      </c>
    </row>
    <row r="37" spans="1:36" x14ac:dyDescent="0.2">
      <c r="A37" s="954"/>
      <c r="B37" s="954"/>
      <c r="C37" s="1148" t="s">
        <v>57</v>
      </c>
      <c r="D37" s="1452">
        <f t="shared" si="5"/>
        <v>16.968720990973306</v>
      </c>
      <c r="E37" s="1452">
        <f t="shared" si="6"/>
        <v>11.756107353223337</v>
      </c>
      <c r="F37" s="1453">
        <v>1.3308800777233964</v>
      </c>
      <c r="G37" s="1453">
        <v>0.33272001943084911</v>
      </c>
      <c r="H37" s="1453">
        <v>0</v>
      </c>
      <c r="I37" s="1453">
        <v>8.87253385148931</v>
      </c>
      <c r="J37" s="1453">
        <v>0.11090667314361638</v>
      </c>
      <c r="K37" s="1453">
        <v>1.1090667314361637</v>
      </c>
      <c r="L37" s="1452">
        <f t="shared" si="7"/>
        <v>5.2126136377499694</v>
      </c>
      <c r="M37" s="1168">
        <v>3.4381068674521078</v>
      </c>
      <c r="N37" s="1229">
        <v>1.7745067702978621</v>
      </c>
      <c r="O37" s="1452">
        <f t="shared" si="8"/>
        <v>257.74710838576448</v>
      </c>
      <c r="P37" s="1452">
        <f t="shared" si="2"/>
        <v>136.52611463979179</v>
      </c>
      <c r="Q37" s="1453">
        <v>40.702749043707215</v>
      </c>
      <c r="R37" s="1453">
        <v>0</v>
      </c>
      <c r="S37" s="1453">
        <v>45.693549335169955</v>
      </c>
      <c r="T37" s="1453">
        <v>22.181334628723278</v>
      </c>
      <c r="U37" s="1453">
        <v>0.11090667314361638</v>
      </c>
      <c r="V37" s="1453">
        <v>27.837574959047714</v>
      </c>
      <c r="W37" s="1452">
        <f t="shared" si="9"/>
        <v>121.22099374597269</v>
      </c>
      <c r="X37" s="1168">
        <v>87.616271783456938</v>
      </c>
      <c r="Y37" s="1211">
        <v>33.604721962515761</v>
      </c>
      <c r="Z37" s="173"/>
      <c r="AA37" s="1075">
        <f>+TableB2!L38/TableB2!$L$91</f>
        <v>3.5018124427046114E-4</v>
      </c>
      <c r="AB37" s="1139"/>
      <c r="AC37" s="1139">
        <f t="shared" si="10"/>
        <v>0</v>
      </c>
      <c r="AD37" s="1139">
        <f t="shared" si="11"/>
        <v>0</v>
      </c>
      <c r="AE37" s="1139">
        <f t="shared" si="12"/>
        <v>0</v>
      </c>
      <c r="AF37" s="1139"/>
      <c r="AG37" s="1139"/>
      <c r="AH37" s="1139">
        <f t="shared" si="3"/>
        <v>0</v>
      </c>
      <c r="AI37" s="1139"/>
      <c r="AJ37" s="1139">
        <f t="shared" si="13"/>
        <v>0</v>
      </c>
    </row>
    <row r="38" spans="1:36" x14ac:dyDescent="0.2">
      <c r="A38" s="954"/>
      <c r="B38" s="954"/>
      <c r="C38" s="1148" t="s">
        <v>58</v>
      </c>
      <c r="D38" s="1452">
        <f t="shared" si="5"/>
        <v>5890.8079440231841</v>
      </c>
      <c r="E38" s="1452">
        <f t="shared" si="6"/>
        <v>5591.2490198622763</v>
      </c>
      <c r="F38" s="1453">
        <v>147.50587528100979</v>
      </c>
      <c r="G38" s="1453">
        <v>0</v>
      </c>
      <c r="H38" s="1453">
        <v>189.650411075584</v>
      </c>
      <c r="I38" s="1453">
        <v>988.40027105590912</v>
      </c>
      <c r="J38" s="1453">
        <v>6.8762137349042156</v>
      </c>
      <c r="K38" s="1453">
        <v>4258.8162487148693</v>
      </c>
      <c r="L38" s="1452">
        <f t="shared" si="7"/>
        <v>299.55892416090785</v>
      </c>
      <c r="M38" s="1168">
        <v>213.71715914774876</v>
      </c>
      <c r="N38" s="1229">
        <v>85.84176501315909</v>
      </c>
      <c r="O38" s="1452">
        <f t="shared" si="8"/>
        <v>10955.250266453284</v>
      </c>
      <c r="P38" s="1452">
        <f t="shared" si="2"/>
        <v>7732.302344899791</v>
      </c>
      <c r="Q38" s="1453">
        <v>1136.793399722068</v>
      </c>
      <c r="R38" s="1453">
        <v>14.417867508670129</v>
      </c>
      <c r="S38" s="1453">
        <v>2392.2569397078055</v>
      </c>
      <c r="T38" s="1453">
        <v>2345.6761369874866</v>
      </c>
      <c r="U38" s="1453">
        <v>14.861494201244595</v>
      </c>
      <c r="V38" s="1453">
        <v>1828.2965067725161</v>
      </c>
      <c r="W38" s="1452">
        <f t="shared" si="9"/>
        <v>3222.9479215534921</v>
      </c>
      <c r="X38" s="1168">
        <v>1740.2366082964845</v>
      </c>
      <c r="Y38" s="1211">
        <v>1482.7113132570075</v>
      </c>
      <c r="Z38" s="173"/>
      <c r="AA38" s="1075">
        <f>+TableB2!L39/TableB2!$L$91</f>
        <v>1.4770745163787515E-2</v>
      </c>
      <c r="AB38" s="1139"/>
      <c r="AC38" s="1139">
        <f t="shared" si="10"/>
        <v>0</v>
      </c>
      <c r="AD38" s="1139">
        <f t="shared" si="11"/>
        <v>0</v>
      </c>
      <c r="AE38" s="1139">
        <f t="shared" si="12"/>
        <v>0</v>
      </c>
      <c r="AF38" s="1139"/>
      <c r="AG38" s="1139"/>
      <c r="AH38" s="1139">
        <f t="shared" si="3"/>
        <v>0</v>
      </c>
      <c r="AI38" s="1139"/>
      <c r="AJ38" s="1139">
        <f t="shared" si="13"/>
        <v>0</v>
      </c>
    </row>
    <row r="39" spans="1:36" s="25" customFormat="1" x14ac:dyDescent="0.2">
      <c r="A39" s="1109"/>
      <c r="B39" s="1109"/>
      <c r="C39" s="1074" t="s">
        <v>59</v>
      </c>
      <c r="D39" s="1452">
        <f t="shared" si="5"/>
        <v>1708.4063931042667</v>
      </c>
      <c r="E39" s="1452">
        <f t="shared" si="6"/>
        <v>1556.5751575706558</v>
      </c>
      <c r="F39" s="1453">
        <v>233.79126698674335</v>
      </c>
      <c r="G39" s="1453">
        <v>0</v>
      </c>
      <c r="H39" s="1453">
        <v>103.91955273556854</v>
      </c>
      <c r="I39" s="1453">
        <v>422.66533135032205</v>
      </c>
      <c r="J39" s="1453">
        <v>4.3253602526010386</v>
      </c>
      <c r="K39" s="1453">
        <v>791.8736462454209</v>
      </c>
      <c r="L39" s="1452">
        <f t="shared" si="7"/>
        <v>151.83123553361082</v>
      </c>
      <c r="M39" s="1168">
        <v>60.555043536414544</v>
      </c>
      <c r="N39" s="1229">
        <v>91.276191997196278</v>
      </c>
      <c r="O39" s="1452">
        <f t="shared" si="8"/>
        <v>8300.5881380876817</v>
      </c>
      <c r="P39" s="1452">
        <f t="shared" si="2"/>
        <v>6281.0885268155707</v>
      </c>
      <c r="Q39" s="1453">
        <v>1089.1035302703128</v>
      </c>
      <c r="R39" s="1453">
        <v>5.5453336571808194</v>
      </c>
      <c r="S39" s="1453">
        <v>2390.0388062449329</v>
      </c>
      <c r="T39" s="1453">
        <v>2109.4449231915837</v>
      </c>
      <c r="U39" s="1453">
        <v>133.19891444548327</v>
      </c>
      <c r="V39" s="1453">
        <v>553.75701900607658</v>
      </c>
      <c r="W39" s="1452">
        <f t="shared" si="9"/>
        <v>2019.499611272111</v>
      </c>
      <c r="X39" s="1168">
        <v>711.46630821629913</v>
      </c>
      <c r="Y39" s="1211">
        <v>1308.0333030558118</v>
      </c>
      <c r="Z39" s="173"/>
      <c r="AA39" s="1075">
        <f>+TableB2!L40/TableB2!$L$91</f>
        <v>8.0149738798014902E-3</v>
      </c>
      <c r="AB39" s="1454"/>
      <c r="AC39" s="1139">
        <f t="shared" si="10"/>
        <v>0</v>
      </c>
      <c r="AD39" s="1139">
        <f t="shared" si="11"/>
        <v>0</v>
      </c>
      <c r="AE39" s="1139">
        <f t="shared" si="12"/>
        <v>0</v>
      </c>
      <c r="AF39" s="1454"/>
      <c r="AG39" s="1454"/>
      <c r="AH39" s="1139">
        <f t="shared" si="3"/>
        <v>0</v>
      </c>
      <c r="AI39" s="1454"/>
      <c r="AJ39" s="1139">
        <f t="shared" si="13"/>
        <v>0</v>
      </c>
    </row>
    <row r="40" spans="1:36" x14ac:dyDescent="0.2">
      <c r="A40" s="1109"/>
      <c r="B40" s="1109"/>
      <c r="C40" s="1074" t="s">
        <v>60</v>
      </c>
      <c r="D40" s="1455"/>
      <c r="E40" s="1455">
        <f t="shared" si="6"/>
        <v>3885.5043869134561</v>
      </c>
      <c r="F40" s="1456">
        <v>110.90667314361637</v>
      </c>
      <c r="G40" s="1456">
        <v>4.5471735988882713</v>
      </c>
      <c r="H40" s="1456">
        <v>26.063068188749849</v>
      </c>
      <c r="I40" s="1456">
        <v>1274.3176744201521</v>
      </c>
      <c r="J40" s="1456">
        <v>5.3235203108935858</v>
      </c>
      <c r="K40" s="1456">
        <v>2464.3462772511562</v>
      </c>
      <c r="L40" s="1455"/>
      <c r="M40" s="1101">
        <v>0</v>
      </c>
      <c r="N40" s="1457"/>
      <c r="O40" s="1455"/>
      <c r="P40" s="1455">
        <f t="shared" si="2"/>
        <v>20825.944176235142</v>
      </c>
      <c r="Q40" s="1456">
        <v>3530.1594061613096</v>
      </c>
      <c r="R40" s="1456">
        <v>9.9816005829254735</v>
      </c>
      <c r="S40" s="1456">
        <v>3238.4748557935982</v>
      </c>
      <c r="T40" s="1456">
        <v>6084.3400886587942</v>
      </c>
      <c r="U40" s="1456">
        <v>34.381068674521075</v>
      </c>
      <c r="V40" s="1456">
        <v>7928.6071563639907</v>
      </c>
      <c r="W40" s="1455"/>
      <c r="X40" s="1101"/>
      <c r="Y40" s="1458"/>
      <c r="Z40" s="173"/>
      <c r="AA40" s="1075">
        <f>+TableB2!L41/TableB2!$L$91</f>
        <v>2.836941179799185E-2</v>
      </c>
      <c r="AB40" s="1139">
        <v>0</v>
      </c>
      <c r="AC40" s="1139">
        <f t="shared" si="10"/>
        <v>0</v>
      </c>
      <c r="AD40" s="1139">
        <f t="shared" si="11"/>
        <v>0</v>
      </c>
      <c r="AE40" s="1139">
        <f t="shared" si="12"/>
        <v>0</v>
      </c>
      <c r="AF40" s="1139"/>
      <c r="AG40" s="1139"/>
      <c r="AH40" s="1139">
        <f t="shared" si="3"/>
        <v>0</v>
      </c>
      <c r="AI40" s="1139"/>
      <c r="AJ40" s="1139">
        <f t="shared" si="13"/>
        <v>0</v>
      </c>
    </row>
    <row r="41" spans="1:36" x14ac:dyDescent="0.2">
      <c r="A41" s="954"/>
      <c r="B41" s="954"/>
      <c r="C41" s="1148" t="s">
        <v>61</v>
      </c>
      <c r="D41" s="1452">
        <f t="shared" si="5"/>
        <v>450.57170014861714</v>
      </c>
      <c r="E41" s="1452">
        <f t="shared" si="6"/>
        <v>198.19022490764246</v>
      </c>
      <c r="F41" s="1453">
        <v>16.746907644686075</v>
      </c>
      <c r="G41" s="1453">
        <v>0</v>
      </c>
      <c r="H41" s="1453">
        <v>0</v>
      </c>
      <c r="I41" s="1453">
        <v>53.457016455223098</v>
      </c>
      <c r="J41" s="1453">
        <v>0.44362669257446552</v>
      </c>
      <c r="K41" s="1453">
        <v>127.54267411515883</v>
      </c>
      <c r="L41" s="1452">
        <f t="shared" si="7"/>
        <v>252.38147524097468</v>
      </c>
      <c r="M41" s="1168">
        <v>43.083394814788463</v>
      </c>
      <c r="N41" s="1229">
        <v>209.2980804261862</v>
      </c>
      <c r="O41" s="1452">
        <f t="shared" si="8"/>
        <v>6095.7127948907346</v>
      </c>
      <c r="P41" s="1452">
        <f t="shared" si="2"/>
        <v>2021.0523046961212</v>
      </c>
      <c r="Q41" s="1453">
        <v>342.14708664805653</v>
      </c>
      <c r="R41" s="1453">
        <v>0</v>
      </c>
      <c r="S41" s="1453">
        <v>600.11600838010827</v>
      </c>
      <c r="T41" s="1453">
        <v>240.66748072164754</v>
      </c>
      <c r="U41" s="1453">
        <v>23.623121379590291</v>
      </c>
      <c r="V41" s="1453">
        <v>814.49860756671865</v>
      </c>
      <c r="W41" s="1452">
        <f t="shared" si="9"/>
        <v>4074.660490194613</v>
      </c>
      <c r="X41" s="1168">
        <v>391.72606362262889</v>
      </c>
      <c r="Y41" s="1211">
        <v>3682.9344265719842</v>
      </c>
      <c r="Z41" s="173"/>
      <c r="AA41" s="1075">
        <f>+TableB2!L42/TableB2!$L$91</f>
        <v>4.8420630757141404E-3</v>
      </c>
      <c r="AB41" s="1139">
        <f>+AA41</f>
        <v>4.8420630757141404E-3</v>
      </c>
      <c r="AC41" s="1139">
        <f t="shared" si="10"/>
        <v>1.1459197670717357E-2</v>
      </c>
      <c r="AD41" s="1139">
        <f t="shared" si="11"/>
        <v>4.8420630757141404E-3</v>
      </c>
      <c r="AE41" s="1139">
        <f t="shared" si="12"/>
        <v>1.8914296467102243E-2</v>
      </c>
      <c r="AF41" s="1139"/>
      <c r="AG41" s="1139"/>
      <c r="AH41" s="1139">
        <f t="shared" si="3"/>
        <v>0</v>
      </c>
      <c r="AI41" s="1139"/>
      <c r="AJ41" s="1139">
        <f t="shared" si="13"/>
        <v>0</v>
      </c>
    </row>
    <row r="42" spans="1:36" x14ac:dyDescent="0.2">
      <c r="A42" s="954"/>
      <c r="B42" s="954"/>
      <c r="C42" s="1148" t="s">
        <v>62</v>
      </c>
      <c r="D42" s="1452">
        <f t="shared" si="5"/>
        <v>10849.112580254841</v>
      </c>
      <c r="E42" s="1452">
        <f t="shared" si="6"/>
        <v>8568.9822870952321</v>
      </c>
      <c r="F42" s="1453">
        <v>746.40191025653826</v>
      </c>
      <c r="G42" s="1453">
        <v>55.453336571808187</v>
      </c>
      <c r="H42" s="1453">
        <v>457.37912004427392</v>
      </c>
      <c r="I42" s="1453">
        <v>3357.3668094035547</v>
      </c>
      <c r="J42" s="1453">
        <v>29.612081729345572</v>
      </c>
      <c r="K42" s="1453">
        <v>3922.7690290897112</v>
      </c>
      <c r="L42" s="1452">
        <f t="shared" si="7"/>
        <v>2280.1302931596092</v>
      </c>
      <c r="M42" s="1168">
        <v>247.87641447598261</v>
      </c>
      <c r="N42" s="1229">
        <v>2032.2538786836265</v>
      </c>
      <c r="O42" s="1452">
        <f t="shared" si="8"/>
        <v>63746.272149448952</v>
      </c>
      <c r="P42" s="1452">
        <f t="shared" si="2"/>
        <v>51054.556101586073</v>
      </c>
      <c r="Q42" s="1453">
        <v>6705.4174582630467</v>
      </c>
      <c r="R42" s="1453">
        <v>732.76038945987352</v>
      </c>
      <c r="S42" s="1453">
        <v>18778.717896677124</v>
      </c>
      <c r="T42" s="1453">
        <v>13558.229885133958</v>
      </c>
      <c r="U42" s="1453">
        <v>268.72686902698251</v>
      </c>
      <c r="V42" s="1453">
        <v>11010.703603025089</v>
      </c>
      <c r="W42" s="1452">
        <f t="shared" si="9"/>
        <v>12691.716047862883</v>
      </c>
      <c r="X42" s="1168">
        <v>4073.8239179113166</v>
      </c>
      <c r="Y42" s="1211">
        <v>8617.8921299515659</v>
      </c>
      <c r="Z42" s="173"/>
      <c r="AA42" s="1075">
        <f>+TableB2!L43/TableB2!$L$91</f>
        <v>4.6915671169686653E-2</v>
      </c>
      <c r="AB42" s="1139"/>
      <c r="AC42" s="1139">
        <f t="shared" si="10"/>
        <v>0</v>
      </c>
      <c r="AD42" s="1139">
        <f t="shared" si="11"/>
        <v>0</v>
      </c>
      <c r="AE42" s="1139">
        <f t="shared" si="12"/>
        <v>0</v>
      </c>
      <c r="AF42" s="1139"/>
      <c r="AG42" s="1139"/>
      <c r="AH42" s="1139">
        <f t="shared" si="3"/>
        <v>0</v>
      </c>
      <c r="AI42" s="1139"/>
      <c r="AJ42" s="1139">
        <f t="shared" si="13"/>
        <v>0</v>
      </c>
    </row>
    <row r="43" spans="1:36" x14ac:dyDescent="0.2">
      <c r="A43" s="954"/>
      <c r="B43" s="954"/>
      <c r="C43" s="1148" t="s">
        <v>63</v>
      </c>
      <c r="D43" s="1452">
        <f t="shared" si="5"/>
        <v>25374.495942423811</v>
      </c>
      <c r="E43" s="1452">
        <f t="shared" si="6"/>
        <v>16693.561534903994</v>
      </c>
      <c r="F43" s="1453">
        <v>1857.1322417898564</v>
      </c>
      <c r="G43" s="1453">
        <v>181.33241058981278</v>
      </c>
      <c r="H43" s="1453">
        <v>1051.0625413820526</v>
      </c>
      <c r="I43" s="1453">
        <v>9928.476286489682</v>
      </c>
      <c r="J43" s="1453">
        <v>95.490645576653719</v>
      </c>
      <c r="K43" s="1453">
        <v>3580.0674090759367</v>
      </c>
      <c r="L43" s="1452">
        <f t="shared" si="7"/>
        <v>8680.9344075198187</v>
      </c>
      <c r="M43" s="1168">
        <v>1481.9000645089254</v>
      </c>
      <c r="N43" s="1229">
        <v>7199.0343430108933</v>
      </c>
      <c r="O43" s="1452">
        <f t="shared" si="8"/>
        <v>149246.84163882458</v>
      </c>
      <c r="P43" s="1452">
        <f t="shared" si="2"/>
        <v>40351.729423207667</v>
      </c>
      <c r="Q43" s="1453">
        <v>8919.1146542096285</v>
      </c>
      <c r="R43" s="1453">
        <v>166.36000971542458</v>
      </c>
      <c r="S43" s="1453">
        <v>8470.9407880362742</v>
      </c>
      <c r="T43" s="1453">
        <v>5220.3771048700228</v>
      </c>
      <c r="U43" s="1453">
        <v>59.335070131834762</v>
      </c>
      <c r="V43" s="1453">
        <v>17515.601796244478</v>
      </c>
      <c r="W43" s="1452">
        <f t="shared" si="9"/>
        <v>108895.11221561691</v>
      </c>
      <c r="X43" s="1168">
        <v>17601</v>
      </c>
      <c r="Y43" s="1211">
        <v>91294.112215616915</v>
      </c>
      <c r="Z43" s="173"/>
      <c r="AA43" s="1075">
        <f>+TableB2!L44/TableB2!$L$91</f>
        <v>0.16654800799945507</v>
      </c>
      <c r="AB43" s="1139">
        <f>+AA43</f>
        <v>0.16654800799945507</v>
      </c>
      <c r="AC43" s="1139">
        <f t="shared" si="10"/>
        <v>0.39415152497749978</v>
      </c>
      <c r="AD43" s="1139"/>
      <c r="AE43" s="1139">
        <f t="shared" si="12"/>
        <v>0</v>
      </c>
      <c r="AF43" s="1139"/>
      <c r="AG43" s="1139"/>
      <c r="AH43" s="1139">
        <f t="shared" si="3"/>
        <v>0</v>
      </c>
      <c r="AI43" s="1139"/>
      <c r="AJ43" s="1139">
        <f t="shared" si="13"/>
        <v>0</v>
      </c>
    </row>
    <row r="44" spans="1:36" ht="34" x14ac:dyDescent="0.2">
      <c r="A44" s="954"/>
      <c r="B44" s="954"/>
      <c r="C44" s="7" t="s">
        <v>64</v>
      </c>
      <c r="D44" s="1201">
        <f t="shared" si="5"/>
        <v>14675.920163064318</v>
      </c>
      <c r="E44" s="1201">
        <f>+SUM(E45:E51)</f>
        <v>8783.0862430353827</v>
      </c>
      <c r="F44" s="245">
        <f t="shared" ref="F44:K44" si="14">+SUM(F45:F51)</f>
        <v>534.10653821553854</v>
      </c>
      <c r="G44" s="245">
        <f t="shared" si="14"/>
        <v>19.427034071080644</v>
      </c>
      <c r="H44" s="245">
        <f t="shared" si="14"/>
        <v>29.952115339208834</v>
      </c>
      <c r="I44" s="245">
        <f t="shared" si="14"/>
        <v>4366.8562223314439</v>
      </c>
      <c r="J44" s="245">
        <f t="shared" si="14"/>
        <v>21.182473360580122</v>
      </c>
      <c r="K44" s="245">
        <f t="shared" si="14"/>
        <v>3811.5618597175303</v>
      </c>
      <c r="L44" s="1201">
        <f>+SUM(L45:L51)</f>
        <v>5892.8339200289365</v>
      </c>
      <c r="M44" s="245">
        <f>+SUM(M45:M51)</f>
        <v>1005.9505758581356</v>
      </c>
      <c r="N44" s="623">
        <f>+SUM(N45:N51)</f>
        <v>4886.8833441708002</v>
      </c>
      <c r="O44" s="1201">
        <f t="shared" si="8"/>
        <v>115966.65660172787</v>
      </c>
      <c r="P44" s="1201">
        <f t="shared" ref="P44:Y44" si="15">+SUM(P45:P51)</f>
        <v>20827.750204994591</v>
      </c>
      <c r="Q44" s="1453">
        <f t="shared" si="15"/>
        <v>1851.9816941251784</v>
      </c>
      <c r="R44" s="1453">
        <f t="shared" si="15"/>
        <v>611.37358616807273</v>
      </c>
      <c r="S44" s="1453">
        <f t="shared" si="15"/>
        <v>9939.0263071812933</v>
      </c>
      <c r="T44" s="1453">
        <f t="shared" si="15"/>
        <v>2049.1465669669583</v>
      </c>
      <c r="U44" s="1453">
        <f t="shared" si="15"/>
        <v>121.74967324744678</v>
      </c>
      <c r="V44" s="1453">
        <f t="shared" si="15"/>
        <v>6254.4723773056385</v>
      </c>
      <c r="W44" s="1201">
        <f t="shared" si="15"/>
        <v>95138.906396733277</v>
      </c>
      <c r="X44" s="245">
        <f t="shared" si="15"/>
        <v>9146.3790393918371</v>
      </c>
      <c r="Y44" s="624">
        <f t="shared" si="15"/>
        <v>85992.52735734146</v>
      </c>
      <c r="Z44" s="173"/>
      <c r="AA44" s="1075"/>
      <c r="AB44" s="1139"/>
      <c r="AC44" s="1139">
        <f t="shared" si="10"/>
        <v>0</v>
      </c>
      <c r="AD44" s="1139"/>
      <c r="AE44" s="1139">
        <f t="shared" si="12"/>
        <v>0</v>
      </c>
      <c r="AF44" s="1139"/>
      <c r="AG44" s="1139"/>
      <c r="AH44" s="1139">
        <f t="shared" si="3"/>
        <v>0</v>
      </c>
      <c r="AI44" s="1139"/>
      <c r="AJ44" s="1139">
        <f t="shared" si="13"/>
        <v>0</v>
      </c>
    </row>
    <row r="45" spans="1:36" x14ac:dyDescent="0.2">
      <c r="A45" s="954"/>
      <c r="B45" s="954"/>
      <c r="C45" s="1149" t="s">
        <v>65</v>
      </c>
      <c r="D45" s="1452">
        <f t="shared" si="5"/>
        <v>3910.8574105696666</v>
      </c>
      <c r="E45" s="1452">
        <f t="shared" si="6"/>
        <v>3238.8075758130294</v>
      </c>
      <c r="F45" s="1453">
        <v>284.36470994023244</v>
      </c>
      <c r="G45" s="1453">
        <v>0</v>
      </c>
      <c r="H45" s="1453">
        <v>34.491975347664699</v>
      </c>
      <c r="I45" s="1453">
        <v>804.84972700322407</v>
      </c>
      <c r="J45" s="1453">
        <v>4.5471735988882713</v>
      </c>
      <c r="K45" s="1453">
        <v>2110.5539899230198</v>
      </c>
      <c r="L45" s="1452">
        <f t="shared" si="7"/>
        <v>672.04983475663721</v>
      </c>
      <c r="M45" s="1168">
        <v>114.72390490779084</v>
      </c>
      <c r="N45" s="1229">
        <v>557.32592984884639</v>
      </c>
      <c r="O45" s="1452">
        <f t="shared" si="8"/>
        <v>13941.998489822339</v>
      </c>
      <c r="P45" s="1452">
        <f t="shared" ref="P45:P51" si="16">SUM(Q45:V45)</f>
        <v>3091.8562338977372</v>
      </c>
      <c r="Q45" s="1453">
        <v>201.85014512138181</v>
      </c>
      <c r="R45" s="1453">
        <v>0.11090667314361638</v>
      </c>
      <c r="S45" s="1453">
        <v>987.84573769019119</v>
      </c>
      <c r="T45" s="1453">
        <v>209.61361224143496</v>
      </c>
      <c r="U45" s="1453">
        <v>0</v>
      </c>
      <c r="V45" s="1453">
        <v>1692.4358321715858</v>
      </c>
      <c r="W45" s="1452">
        <f t="shared" si="9"/>
        <v>10850.142255924602</v>
      </c>
      <c r="X45" s="1168">
        <v>1043.1012659550181</v>
      </c>
      <c r="Y45" s="1211">
        <v>9807.0409899695842</v>
      </c>
      <c r="Z45" s="173"/>
      <c r="AA45" s="1075">
        <f>+TableB2!L46/TableB2!$L$91</f>
        <v>1.2893607531249549E-2</v>
      </c>
      <c r="AB45" s="1139">
        <f>+AA45</f>
        <v>1.2893607531249549E-2</v>
      </c>
      <c r="AC45" s="1139">
        <f t="shared" si="10"/>
        <v>3.0513934882487537E-2</v>
      </c>
      <c r="AD45" s="1139">
        <f t="shared" ref="AD45:AD51" si="17">+AB45</f>
        <v>1.2893607531249549E-2</v>
      </c>
      <c r="AE45" s="1139">
        <f t="shared" si="12"/>
        <v>5.0365621340144995E-2</v>
      </c>
      <c r="AF45" s="1139"/>
      <c r="AG45" s="1139">
        <f>+AF45</f>
        <v>0</v>
      </c>
      <c r="AH45" s="1139">
        <f t="shared" si="3"/>
        <v>0</v>
      </c>
      <c r="AI45" s="1139">
        <f>+AH45</f>
        <v>0</v>
      </c>
      <c r="AJ45" s="1139">
        <f t="shared" si="13"/>
        <v>0</v>
      </c>
    </row>
    <row r="46" spans="1:36" x14ac:dyDescent="0.2">
      <c r="A46" t="s">
        <v>337</v>
      </c>
      <c r="B46" s="327" t="s">
        <v>638</v>
      </c>
      <c r="C46" s="1148" t="s">
        <v>66</v>
      </c>
      <c r="D46" s="1452">
        <f t="shared" si="5"/>
        <v>4505.8042213739163</v>
      </c>
      <c r="E46" s="1452">
        <f t="shared" si="6"/>
        <v>418.78359779029546</v>
      </c>
      <c r="F46" s="1453">
        <v>60.000510170696465</v>
      </c>
      <c r="G46" s="1453">
        <v>0</v>
      </c>
      <c r="H46" s="1453">
        <v>0</v>
      </c>
      <c r="I46" s="1453">
        <v>237.56209387362628</v>
      </c>
      <c r="J46" s="1453">
        <v>2.5508534823031765</v>
      </c>
      <c r="K46" s="1453">
        <v>118.67014026366952</v>
      </c>
      <c r="L46" s="1452">
        <f t="shared" si="7"/>
        <v>4087.0206235836213</v>
      </c>
      <c r="M46" s="1168">
        <v>697.68481610590368</v>
      </c>
      <c r="N46" s="1229">
        <v>3389.3358074777175</v>
      </c>
      <c r="O46" s="1452">
        <f t="shared" si="8"/>
        <v>73399.213124886432</v>
      </c>
      <c r="P46" s="1452">
        <f t="shared" si="16"/>
        <v>7414.8874463627608</v>
      </c>
      <c r="Q46" s="1453">
        <v>694.27577387903852</v>
      </c>
      <c r="R46" s="1453">
        <v>77.080137834813385</v>
      </c>
      <c r="S46" s="1453">
        <v>3542.359140207107</v>
      </c>
      <c r="T46" s="1453">
        <v>1212.2099374597271</v>
      </c>
      <c r="U46" s="1453">
        <v>0.88725338514893104</v>
      </c>
      <c r="V46" s="1453">
        <v>1888.0752035969253</v>
      </c>
      <c r="W46" s="1452">
        <f t="shared" si="9"/>
        <v>65984.325678523674</v>
      </c>
      <c r="X46" s="1168">
        <v>6343.5420499554539</v>
      </c>
      <c r="Y46" s="1211">
        <v>59640.783628568213</v>
      </c>
      <c r="Z46" s="173"/>
      <c r="AA46" s="1075">
        <f>+TableB2!L47/TableB2!$L$91</f>
        <v>7.8411506360525254E-2</v>
      </c>
      <c r="AB46" s="1139">
        <f t="shared" ref="AB46:AB51" si="18">+AA46</f>
        <v>7.8411506360525254E-2</v>
      </c>
      <c r="AC46" s="1139">
        <f t="shared" si="10"/>
        <v>0.1855682045016418</v>
      </c>
      <c r="AD46" s="1139">
        <f t="shared" si="17"/>
        <v>7.8411506360525254E-2</v>
      </c>
      <c r="AE46" s="1139">
        <f t="shared" si="12"/>
        <v>0.30629474555457137</v>
      </c>
      <c r="AF46" s="1139"/>
      <c r="AG46" s="1139">
        <f t="shared" ref="AG46:AG51" si="19">+AF46</f>
        <v>0</v>
      </c>
      <c r="AH46" s="1139">
        <f t="shared" si="3"/>
        <v>0</v>
      </c>
      <c r="AI46" s="1139">
        <f>+AH46</f>
        <v>0</v>
      </c>
      <c r="AJ46" s="1139">
        <f t="shared" si="13"/>
        <v>0</v>
      </c>
    </row>
    <row r="47" spans="1:36" x14ac:dyDescent="0.2">
      <c r="A47" s="954"/>
      <c r="B47" s="954"/>
      <c r="C47" s="1148" t="s">
        <v>67</v>
      </c>
      <c r="D47" s="1452">
        <f t="shared" si="5"/>
        <v>132.27729689696474</v>
      </c>
      <c r="E47" s="1452">
        <f>SUM(F47:K47)</f>
        <v>69.860454737633304</v>
      </c>
      <c r="F47" s="1453">
        <v>27.439728472776821</v>
      </c>
      <c r="G47" s="1453">
        <v>-0.49553718231784677</v>
      </c>
      <c r="H47" s="1453">
        <v>-2.5891389110724861</v>
      </c>
      <c r="I47" s="1453">
        <v>36.69547141447832</v>
      </c>
      <c r="J47" s="1453">
        <v>-2.4039554657772357</v>
      </c>
      <c r="K47" s="1453">
        <v>11.213886409545735</v>
      </c>
      <c r="L47" s="1452">
        <f>SUM(M47:N47)</f>
        <v>62.416842159331445</v>
      </c>
      <c r="M47" s="1168">
        <v>10.655019158102712</v>
      </c>
      <c r="N47" s="1229">
        <v>51.761823001228734</v>
      </c>
      <c r="O47" s="1452">
        <f t="shared" si="8"/>
        <v>1647.3271744857298</v>
      </c>
      <c r="P47" s="1452">
        <f t="shared" si="16"/>
        <v>639.61676140367365</v>
      </c>
      <c r="Q47" s="1453">
        <v>43.552402874994137</v>
      </c>
      <c r="R47" s="1453">
        <v>15.718302250199656</v>
      </c>
      <c r="S47" s="1453">
        <v>353.5203410532248</v>
      </c>
      <c r="T47" s="1453">
        <v>33.859421243012186</v>
      </c>
      <c r="U47" s="1453">
        <v>63.236717245267052</v>
      </c>
      <c r="V47" s="1453">
        <v>129.72957673697579</v>
      </c>
      <c r="W47" s="1452">
        <f t="shared" si="9"/>
        <v>1007.710413082056</v>
      </c>
      <c r="X47" s="1168">
        <v>96.878361850784117</v>
      </c>
      <c r="Y47" s="1211">
        <v>910.83205123127186</v>
      </c>
      <c r="Z47" s="173"/>
      <c r="AA47" s="1075">
        <f>+TableB2!L48/TableB2!$L$91</f>
        <v>1.1974979004850091E-3</v>
      </c>
      <c r="AB47" s="1139">
        <f t="shared" si="18"/>
        <v>1.1974979004850091E-3</v>
      </c>
      <c r="AC47" s="1139">
        <f t="shared" si="10"/>
        <v>2.8339914076610565E-3</v>
      </c>
      <c r="AD47" s="1139">
        <f t="shared" si="17"/>
        <v>1.1974979004850091E-3</v>
      </c>
      <c r="AE47" s="1139">
        <f t="shared" si="12"/>
        <v>4.6777231015656291E-3</v>
      </c>
      <c r="AF47" s="1139"/>
      <c r="AG47" s="1139">
        <f>+AB47</f>
        <v>1.1974979004850091E-3</v>
      </c>
      <c r="AH47" s="1139">
        <f t="shared" si="3"/>
        <v>1.7146615305115801E-2</v>
      </c>
      <c r="AI47" s="1139">
        <f>+AD47</f>
        <v>1.1974979004850091E-3</v>
      </c>
      <c r="AJ47" s="1139">
        <f>+AI47/$AI$90</f>
        <v>1.7146615305115801E-2</v>
      </c>
    </row>
    <row r="48" spans="1:36" x14ac:dyDescent="0.2">
      <c r="A48" s="954"/>
      <c r="B48" s="954"/>
      <c r="C48" s="1148" t="s">
        <v>68</v>
      </c>
      <c r="D48" s="1452">
        <f t="shared" si="5"/>
        <v>99.660977114151521</v>
      </c>
      <c r="E48" s="1452">
        <f>SUM(F48:K48)</f>
        <v>52.634589185888103</v>
      </c>
      <c r="F48" s="1168">
        <v>20.673768027434591</v>
      </c>
      <c r="G48" s="1168">
        <v>-0.37334993188330917</v>
      </c>
      <c r="H48" s="1168">
        <v>-1.9507210973833797</v>
      </c>
      <c r="I48" s="1168">
        <v>27.647272983511058</v>
      </c>
      <c r="J48" s="1168">
        <v>-1.8111993235307939</v>
      </c>
      <c r="K48" s="1168">
        <v>8.4488185277399364</v>
      </c>
      <c r="L48" s="1452">
        <f t="shared" si="7"/>
        <v>47.026387928263418</v>
      </c>
      <c r="M48" s="1168">
        <v>8.0277541602143714</v>
      </c>
      <c r="N48" s="1229">
        <v>38.998633768049046</v>
      </c>
      <c r="O48" s="1452">
        <f t="shared" si="8"/>
        <v>1241.1369122837689</v>
      </c>
      <c r="P48" s="1452">
        <f t="shared" si="16"/>
        <v>481.90303941372662</v>
      </c>
      <c r="Q48" s="1453">
        <v>32.813454220885994</v>
      </c>
      <c r="R48" s="1453">
        <v>11.842556489876452</v>
      </c>
      <c r="S48" s="1453">
        <v>266.35094188941594</v>
      </c>
      <c r="T48" s="1453">
        <v>25.510522854324247</v>
      </c>
      <c r="U48" s="1453">
        <v>47.644102034105309</v>
      </c>
      <c r="V48" s="1453">
        <v>97.741461925118742</v>
      </c>
      <c r="W48" s="1452">
        <f t="shared" si="9"/>
        <v>759.23387287004221</v>
      </c>
      <c r="X48" s="1168">
        <v>72.990546599905841</v>
      </c>
      <c r="Y48" s="1211">
        <v>686.24332627013632</v>
      </c>
      <c r="Z48" s="173"/>
      <c r="AA48" s="1075">
        <f>+TableB2!L49/TableB2!$L$91</f>
        <v>9.0222444557089721E-4</v>
      </c>
      <c r="AB48" s="1139">
        <f t="shared" si="18"/>
        <v>9.0222444557089721E-4</v>
      </c>
      <c r="AC48" s="1139">
        <f t="shared" si="10"/>
        <v>2.1351990057720286E-3</v>
      </c>
      <c r="AD48" s="1139">
        <f t="shared" si="17"/>
        <v>9.0222444557089721E-4</v>
      </c>
      <c r="AE48" s="1139">
        <f t="shared" si="12"/>
        <v>3.5243119258371179E-3</v>
      </c>
      <c r="AF48" s="1139"/>
      <c r="AG48" s="1139">
        <f>+AB48</f>
        <v>9.0222444557089721E-4</v>
      </c>
      <c r="AH48" s="1139">
        <f t="shared" si="3"/>
        <v>1.2918682764128343E-2</v>
      </c>
      <c r="AI48" s="1139">
        <f>+AD48</f>
        <v>9.0222444557089721E-4</v>
      </c>
      <c r="AJ48" s="1139">
        <f>+AI48/$AI$90</f>
        <v>1.2918682764128343E-2</v>
      </c>
    </row>
    <row r="49" spans="2:36" x14ac:dyDescent="0.2">
      <c r="B49" s="954"/>
      <c r="C49" s="1148" t="s">
        <v>69</v>
      </c>
      <c r="D49" s="1452">
        <f t="shared" si="5"/>
        <v>573.44883938033706</v>
      </c>
      <c r="E49" s="1452">
        <f t="shared" si="6"/>
        <v>68.983950695329398</v>
      </c>
      <c r="F49" s="1453">
        <v>15.305120893819062</v>
      </c>
      <c r="G49" s="1453">
        <v>0</v>
      </c>
      <c r="H49" s="1453">
        <v>0</v>
      </c>
      <c r="I49" s="1453">
        <v>28.835735017340259</v>
      </c>
      <c r="J49" s="1453">
        <v>0.44362669257446552</v>
      </c>
      <c r="K49" s="1453">
        <v>24.399468091595605</v>
      </c>
      <c r="L49" s="1452">
        <f t="shared" si="7"/>
        <v>504.46488868500762</v>
      </c>
      <c r="M49" s="1168">
        <v>86.11590826411782</v>
      </c>
      <c r="N49" s="1229">
        <v>418.3489804208898</v>
      </c>
      <c r="O49" s="1452">
        <f t="shared" si="8"/>
        <v>11523.835148746442</v>
      </c>
      <c r="P49" s="1452">
        <f t="shared" si="16"/>
        <v>3379.3263306859913</v>
      </c>
      <c r="Q49" s="1453">
        <v>167.46907644686073</v>
      </c>
      <c r="R49" s="1453">
        <v>9.9816005829254735</v>
      </c>
      <c r="S49" s="1453">
        <v>2363.4212046904649</v>
      </c>
      <c r="T49" s="1453">
        <v>121.11008707282909</v>
      </c>
      <c r="U49" s="1453">
        <v>2.1072267897287111</v>
      </c>
      <c r="V49" s="1453">
        <v>715.23713510318203</v>
      </c>
      <c r="W49" s="1452">
        <f t="shared" si="9"/>
        <v>8144.5088180604516</v>
      </c>
      <c r="X49" s="1168">
        <v>782.98949988989898</v>
      </c>
      <c r="Y49" s="1211">
        <v>7361.5193181705527</v>
      </c>
      <c r="Z49" s="173"/>
      <c r="AA49" s="1075">
        <f>+TableB2!L50/TableB2!$L$91</f>
        <v>9.6784076888514429E-3</v>
      </c>
      <c r="AB49" s="1139">
        <f t="shared" si="18"/>
        <v>9.6784076888514429E-3</v>
      </c>
      <c r="AC49" s="1139">
        <f t="shared" si="10"/>
        <v>2.2904862061918128E-2</v>
      </c>
      <c r="AD49" s="1139">
        <f t="shared" si="17"/>
        <v>9.6784076888514429E-3</v>
      </c>
      <c r="AE49" s="1139">
        <f t="shared" si="12"/>
        <v>3.7806255204434536E-2</v>
      </c>
      <c r="AF49" s="1139"/>
      <c r="AG49" s="1139">
        <f t="shared" si="19"/>
        <v>0</v>
      </c>
      <c r="AH49" s="1139">
        <f t="shared" si="3"/>
        <v>0</v>
      </c>
      <c r="AI49" s="1139">
        <f t="shared" ref="AI49:AI51" si="20">+AH49</f>
        <v>0</v>
      </c>
      <c r="AJ49" s="1139">
        <f t="shared" si="13"/>
        <v>0</v>
      </c>
    </row>
    <row r="50" spans="2:36" x14ac:dyDescent="0.2">
      <c r="B50" s="954" t="s">
        <v>338</v>
      </c>
      <c r="C50" s="1148" t="s">
        <v>70</v>
      </c>
      <c r="D50" s="1452">
        <f t="shared" si="5"/>
        <v>4951.7815069379703</v>
      </c>
      <c r="E50" s="1452">
        <f t="shared" si="6"/>
        <v>4608.0613624441175</v>
      </c>
      <c r="F50" s="1453">
        <v>106.9140329104462</v>
      </c>
      <c r="G50" s="1453">
        <v>20.295921185281799</v>
      </c>
      <c r="H50" s="1453">
        <v>0</v>
      </c>
      <c r="I50" s="1453">
        <v>3130.2299428054289</v>
      </c>
      <c r="J50" s="1453">
        <v>16.414187625255224</v>
      </c>
      <c r="K50" s="1453">
        <v>1334.2072779177051</v>
      </c>
      <c r="L50" s="1452">
        <f t="shared" si="7"/>
        <v>343.72014449385262</v>
      </c>
      <c r="M50" s="1168">
        <v>58.675584952839593</v>
      </c>
      <c r="N50" s="1229">
        <v>285.04455954101303</v>
      </c>
      <c r="O50" s="1452">
        <f t="shared" si="8"/>
        <v>9575.44344652787</v>
      </c>
      <c r="P50" s="1452">
        <f t="shared" si="16"/>
        <v>4026.1340484595621</v>
      </c>
      <c r="Q50" s="1453">
        <v>605.55043536414541</v>
      </c>
      <c r="R50" s="1453">
        <v>487.76754848562484</v>
      </c>
      <c r="S50" s="1453">
        <v>1429.5870168212152</v>
      </c>
      <c r="T50" s="1453">
        <v>165.14003631084481</v>
      </c>
      <c r="U50" s="1453">
        <v>6.987120408047832</v>
      </c>
      <c r="V50" s="1453">
        <v>1331.1018910696839</v>
      </c>
      <c r="W50" s="1452">
        <f t="shared" si="9"/>
        <v>5549.3093980683079</v>
      </c>
      <c r="X50" s="1168">
        <v>533.49454060294806</v>
      </c>
      <c r="Y50" s="1211">
        <v>5015.8148574653596</v>
      </c>
      <c r="Z50" s="173"/>
      <c r="AA50" s="1075">
        <f>+TableB2!L51/TableB2!$L$91</f>
        <v>6.5944404930818306E-3</v>
      </c>
      <c r="AB50" s="1139">
        <f t="shared" si="18"/>
        <v>6.5944404930818306E-3</v>
      </c>
      <c r="AC50" s="1139">
        <f t="shared" si="10"/>
        <v>1.5606363642188283E-2</v>
      </c>
      <c r="AD50" s="1139">
        <f t="shared" si="17"/>
        <v>6.5944404930818306E-3</v>
      </c>
      <c r="AE50" s="1139">
        <f t="shared" si="12"/>
        <v>2.5759516257936751E-2</v>
      </c>
      <c r="AF50" s="1139"/>
      <c r="AG50" s="1139">
        <f t="shared" si="19"/>
        <v>0</v>
      </c>
      <c r="AH50" s="1139">
        <f t="shared" si="3"/>
        <v>0</v>
      </c>
      <c r="AI50" s="1139">
        <f t="shared" si="20"/>
        <v>0</v>
      </c>
      <c r="AJ50" s="1139">
        <f t="shared" si="13"/>
        <v>0</v>
      </c>
    </row>
    <row r="51" spans="2:36" x14ac:dyDescent="0.2">
      <c r="B51" s="954"/>
      <c r="C51" s="1148" t="s">
        <v>71</v>
      </c>
      <c r="D51" s="1452">
        <f t="shared" si="5"/>
        <v>502.08991079131147</v>
      </c>
      <c r="E51" s="1452">
        <f t="shared" si="6"/>
        <v>325.9547123690885</v>
      </c>
      <c r="F51" s="1453">
        <v>19.408667800132868</v>
      </c>
      <c r="G51" s="1453">
        <v>0</v>
      </c>
      <c r="H51" s="1453">
        <v>0</v>
      </c>
      <c r="I51" s="1453">
        <v>101.03597923383451</v>
      </c>
      <c r="J51" s="1453">
        <v>1.441786750867013</v>
      </c>
      <c r="K51" s="1453">
        <v>204.06827858425413</v>
      </c>
      <c r="L51" s="1452">
        <f t="shared" si="7"/>
        <v>176.135198422223</v>
      </c>
      <c r="M51" s="1168">
        <v>30.067588309166563</v>
      </c>
      <c r="N51" s="1229">
        <v>146.06761011305645</v>
      </c>
      <c r="O51" s="1452">
        <f t="shared" si="8"/>
        <v>4637.702304975297</v>
      </c>
      <c r="P51" s="1452">
        <f t="shared" si="16"/>
        <v>1794.0263447711386</v>
      </c>
      <c r="Q51" s="1453">
        <v>106.47040621787173</v>
      </c>
      <c r="R51" s="1453">
        <v>8.87253385148931</v>
      </c>
      <c r="S51" s="1453">
        <v>995.94192482967514</v>
      </c>
      <c r="T51" s="1453">
        <v>281.70294978478563</v>
      </c>
      <c r="U51" s="1453">
        <v>0.88725338514893104</v>
      </c>
      <c r="V51" s="1453">
        <v>400.15127670216793</v>
      </c>
      <c r="W51" s="1452">
        <f t="shared" si="9"/>
        <v>2843.6759602041584</v>
      </c>
      <c r="X51" s="1168">
        <v>273.38277453782916</v>
      </c>
      <c r="Y51" s="1211">
        <v>2570.293185666329</v>
      </c>
      <c r="Z51" s="173"/>
      <c r="AA51" s="1075">
        <f>+TableB2!L52/TableB2!$L$91</f>
        <v>3.3792406506837243E-3</v>
      </c>
      <c r="AB51" s="1139">
        <f t="shared" si="18"/>
        <v>3.3792406506837243E-3</v>
      </c>
      <c r="AC51" s="1139">
        <f t="shared" si="10"/>
        <v>7.9972908216188725E-3</v>
      </c>
      <c r="AD51" s="1139">
        <f t="shared" si="17"/>
        <v>3.3792406506837243E-3</v>
      </c>
      <c r="AE51" s="1139">
        <f t="shared" si="12"/>
        <v>1.3200150122226298E-2</v>
      </c>
      <c r="AF51" s="1139"/>
      <c r="AG51" s="1139">
        <f t="shared" si="19"/>
        <v>0</v>
      </c>
      <c r="AH51" s="1139">
        <f t="shared" si="3"/>
        <v>0</v>
      </c>
      <c r="AI51" s="1139">
        <f t="shared" si="20"/>
        <v>0</v>
      </c>
      <c r="AJ51" s="1139">
        <f t="shared" si="13"/>
        <v>0</v>
      </c>
    </row>
    <row r="52" spans="2:36" ht="40" hidden="1" customHeight="1" x14ac:dyDescent="0.2">
      <c r="B52" s="954"/>
      <c r="C52" s="7" t="s">
        <v>72</v>
      </c>
      <c r="D52" s="299"/>
      <c r="E52" s="1200"/>
      <c r="F52" s="245"/>
      <c r="G52" s="245"/>
      <c r="H52" s="245"/>
      <c r="I52" s="13"/>
      <c r="J52" s="13"/>
      <c r="K52" s="13"/>
      <c r="L52" s="1201"/>
      <c r="M52" s="13"/>
      <c r="N52" s="632"/>
      <c r="O52" s="299"/>
      <c r="P52" s="1200"/>
      <c r="Q52" s="245"/>
      <c r="R52" s="245"/>
      <c r="S52" s="245"/>
      <c r="T52" s="13"/>
      <c r="U52" s="13"/>
      <c r="V52" s="13"/>
      <c r="W52" s="1201"/>
      <c r="X52" s="13"/>
      <c r="Y52" s="14"/>
      <c r="Z52" s="173"/>
      <c r="AA52" s="954"/>
      <c r="AB52" s="1139"/>
      <c r="AC52" s="1139">
        <f t="shared" si="10"/>
        <v>0</v>
      </c>
      <c r="AD52" s="1139"/>
      <c r="AE52" s="1139">
        <f t="shared" si="12"/>
        <v>0</v>
      </c>
      <c r="AF52" s="1139"/>
      <c r="AG52" s="1139"/>
      <c r="AH52" s="1139">
        <f t="shared" si="3"/>
        <v>0</v>
      </c>
      <c r="AI52" s="1139"/>
      <c r="AJ52" s="1139">
        <f t="shared" si="13"/>
        <v>0</v>
      </c>
    </row>
    <row r="53" spans="2:36" ht="14.25" hidden="1" customHeight="1" x14ac:dyDescent="0.2">
      <c r="B53" s="954"/>
      <c r="C53" s="1148" t="s">
        <v>73</v>
      </c>
      <c r="D53" s="1459"/>
      <c r="E53" s="1200"/>
      <c r="F53" s="1153"/>
      <c r="G53" s="1153"/>
      <c r="H53" s="1153"/>
      <c r="I53" s="1168"/>
      <c r="J53" s="1168"/>
      <c r="K53" s="1168"/>
      <c r="L53" s="1198"/>
      <c r="M53" s="1168"/>
      <c r="N53" s="1229"/>
      <c r="O53" s="1459"/>
      <c r="P53" s="1200"/>
      <c r="Q53" s="1153"/>
      <c r="R53" s="1153"/>
      <c r="S53" s="1153"/>
      <c r="T53" s="1168"/>
      <c r="U53" s="1168"/>
      <c r="V53" s="1168"/>
      <c r="W53" s="1460"/>
      <c r="X53" s="1168"/>
      <c r="Y53" s="1211"/>
      <c r="Z53" s="173"/>
      <c r="AA53" s="1075"/>
      <c r="AB53" s="1139"/>
      <c r="AC53" s="1139">
        <f t="shared" si="10"/>
        <v>0</v>
      </c>
      <c r="AD53" s="1139"/>
      <c r="AE53" s="1139">
        <f t="shared" si="12"/>
        <v>0</v>
      </c>
      <c r="AF53" s="1139"/>
      <c r="AG53" s="1139"/>
      <c r="AH53" s="1139">
        <f t="shared" si="3"/>
        <v>0</v>
      </c>
      <c r="AI53" s="1139"/>
      <c r="AJ53" s="1139">
        <f t="shared" si="13"/>
        <v>0</v>
      </c>
    </row>
    <row r="54" spans="2:36" ht="14.25" hidden="1" customHeight="1" x14ac:dyDescent="0.2">
      <c r="B54" s="954"/>
      <c r="C54" s="1148" t="s">
        <v>74</v>
      </c>
      <c r="D54" s="1459"/>
      <c r="E54" s="1200"/>
      <c r="F54" s="1153"/>
      <c r="G54" s="1153"/>
      <c r="H54" s="1153"/>
      <c r="I54" s="1168"/>
      <c r="J54" s="1168"/>
      <c r="K54" s="1168"/>
      <c r="L54" s="1198"/>
      <c r="M54" s="1168"/>
      <c r="N54" s="1229"/>
      <c r="O54" s="1459"/>
      <c r="P54" s="1200"/>
      <c r="Q54" s="1153"/>
      <c r="R54" s="1153"/>
      <c r="S54" s="1153"/>
      <c r="T54" s="1168"/>
      <c r="U54" s="1168"/>
      <c r="V54" s="1168"/>
      <c r="W54" s="1460"/>
      <c r="X54" s="1168"/>
      <c r="Y54" s="1211"/>
      <c r="Z54" s="173"/>
      <c r="AA54" s="954"/>
      <c r="AB54" s="1139"/>
      <c r="AC54" s="1139">
        <f t="shared" si="10"/>
        <v>0</v>
      </c>
      <c r="AD54" s="1139"/>
      <c r="AE54" s="1139">
        <f t="shared" si="12"/>
        <v>0</v>
      </c>
      <c r="AF54" s="1139"/>
      <c r="AG54" s="1139"/>
      <c r="AH54" s="1139">
        <f t="shared" si="3"/>
        <v>0</v>
      </c>
      <c r="AI54" s="1139"/>
      <c r="AJ54" s="1139">
        <f t="shared" si="13"/>
        <v>0</v>
      </c>
    </row>
    <row r="55" spans="2:36" ht="14.25" hidden="1" customHeight="1" x14ac:dyDescent="0.2">
      <c r="B55" s="954"/>
      <c r="C55" s="1148" t="str">
        <f>+TableA1!A56</f>
        <v>Antigua and Barbuda</v>
      </c>
      <c r="D55" s="1459"/>
      <c r="E55" s="1200"/>
      <c r="F55" s="1153"/>
      <c r="G55" s="1153"/>
      <c r="H55" s="1153"/>
      <c r="I55" s="1168"/>
      <c r="J55" s="1168"/>
      <c r="K55" s="1168"/>
      <c r="L55" s="1198"/>
      <c r="M55" s="1168"/>
      <c r="N55" s="1229"/>
      <c r="O55" s="1459"/>
      <c r="P55" s="1200"/>
      <c r="Q55" s="1153"/>
      <c r="R55" s="1153"/>
      <c r="S55" s="1153"/>
      <c r="T55" s="1168"/>
      <c r="U55" s="1168"/>
      <c r="V55" s="1168"/>
      <c r="W55" s="1460"/>
      <c r="X55" s="1168"/>
      <c r="Y55" s="1211"/>
      <c r="Z55" s="173"/>
      <c r="AA55" s="954"/>
      <c r="AB55" s="1139"/>
      <c r="AC55" s="1139">
        <f t="shared" si="10"/>
        <v>0</v>
      </c>
      <c r="AD55" s="1139"/>
      <c r="AE55" s="1139">
        <f t="shared" si="12"/>
        <v>0</v>
      </c>
      <c r="AF55" s="1139"/>
      <c r="AG55" s="1139"/>
      <c r="AH55" s="1139">
        <f t="shared" si="3"/>
        <v>0</v>
      </c>
      <c r="AI55" s="1139"/>
      <c r="AJ55" s="1139">
        <f t="shared" si="13"/>
        <v>0</v>
      </c>
    </row>
    <row r="56" spans="2:36" ht="14.25" hidden="1" customHeight="1" x14ac:dyDescent="0.2">
      <c r="B56" s="954"/>
      <c r="C56" s="1148" t="s">
        <v>76</v>
      </c>
      <c r="D56" s="1459"/>
      <c r="E56" s="1200"/>
      <c r="F56" s="1153"/>
      <c r="G56" s="1153"/>
      <c r="H56" s="1153"/>
      <c r="I56" s="1168"/>
      <c r="J56" s="1168"/>
      <c r="K56" s="1168"/>
      <c r="L56" s="1198"/>
      <c r="M56" s="1168"/>
      <c r="N56" s="1229"/>
      <c r="O56" s="1459"/>
      <c r="P56" s="1200"/>
      <c r="Q56" s="1153"/>
      <c r="R56" s="1153"/>
      <c r="S56" s="1153"/>
      <c r="T56" s="1168"/>
      <c r="U56" s="1168"/>
      <c r="V56" s="1168"/>
      <c r="W56" s="1460"/>
      <c r="X56" s="1168"/>
      <c r="Y56" s="1211"/>
      <c r="Z56" s="173"/>
      <c r="AA56" s="954"/>
      <c r="AB56" s="1139"/>
      <c r="AC56" s="1139">
        <f t="shared" si="10"/>
        <v>0</v>
      </c>
      <c r="AD56" s="1139"/>
      <c r="AE56" s="1139">
        <f t="shared" si="12"/>
        <v>0</v>
      </c>
      <c r="AF56" s="1139"/>
      <c r="AG56" s="1139"/>
      <c r="AH56" s="1139">
        <f t="shared" si="3"/>
        <v>0</v>
      </c>
      <c r="AI56" s="1139"/>
      <c r="AJ56" s="1139">
        <f t="shared" si="13"/>
        <v>0</v>
      </c>
    </row>
    <row r="57" spans="2:36" ht="14.25" hidden="1" customHeight="1" x14ac:dyDescent="0.2">
      <c r="B57" s="954"/>
      <c r="C57" s="1148" t="s">
        <v>152</v>
      </c>
      <c r="D57" s="1459"/>
      <c r="E57" s="1200"/>
      <c r="F57" s="1153"/>
      <c r="G57" s="1153"/>
      <c r="H57" s="1153"/>
      <c r="I57" s="1168"/>
      <c r="J57" s="1168"/>
      <c r="K57" s="1168"/>
      <c r="L57" s="1198"/>
      <c r="M57" s="1168"/>
      <c r="N57" s="1229"/>
      <c r="O57" s="1459"/>
      <c r="P57" s="1200"/>
      <c r="Q57" s="1153"/>
      <c r="R57" s="1153"/>
      <c r="S57" s="1153"/>
      <c r="T57" s="1168"/>
      <c r="U57" s="1168"/>
      <c r="V57" s="1168"/>
      <c r="W57" s="1460"/>
      <c r="X57" s="1168"/>
      <c r="Y57" s="1211"/>
      <c r="Z57" s="173"/>
      <c r="AA57" s="954"/>
      <c r="AB57" s="1139"/>
      <c r="AC57" s="1139">
        <f t="shared" si="10"/>
        <v>0</v>
      </c>
      <c r="AD57" s="1139"/>
      <c r="AE57" s="1139">
        <f t="shared" si="12"/>
        <v>0</v>
      </c>
      <c r="AF57" s="1139"/>
      <c r="AG57" s="1139"/>
      <c r="AH57" s="1139">
        <f t="shared" si="3"/>
        <v>0</v>
      </c>
      <c r="AI57" s="1139"/>
      <c r="AJ57" s="1139">
        <f t="shared" si="13"/>
        <v>0</v>
      </c>
    </row>
    <row r="58" spans="2:36" ht="14.25" hidden="1" customHeight="1" x14ac:dyDescent="0.2">
      <c r="B58" s="954"/>
      <c r="C58" s="1148" t="s">
        <v>78</v>
      </c>
      <c r="D58" s="1459"/>
      <c r="E58" s="1200"/>
      <c r="F58" s="1153"/>
      <c r="G58" s="1153"/>
      <c r="H58" s="1153"/>
      <c r="I58" s="1168"/>
      <c r="J58" s="1168"/>
      <c r="K58" s="1168"/>
      <c r="L58" s="1198"/>
      <c r="M58" s="1168"/>
      <c r="N58" s="1229"/>
      <c r="O58" s="1459"/>
      <c r="P58" s="1200"/>
      <c r="Q58" s="1153"/>
      <c r="R58" s="1153"/>
      <c r="S58" s="1153"/>
      <c r="T58" s="1168"/>
      <c r="U58" s="1168"/>
      <c r="V58" s="1168"/>
      <c r="W58" s="1460"/>
      <c r="X58" s="1168"/>
      <c r="Y58" s="1211"/>
      <c r="Z58" s="173"/>
      <c r="AA58" s="954"/>
      <c r="AB58" s="1139"/>
      <c r="AC58" s="1139">
        <f t="shared" si="10"/>
        <v>0</v>
      </c>
      <c r="AD58" s="1139"/>
      <c r="AE58" s="1139">
        <f t="shared" si="12"/>
        <v>0</v>
      </c>
      <c r="AF58" s="1139"/>
      <c r="AG58" s="1139"/>
      <c r="AH58" s="1139">
        <f t="shared" si="3"/>
        <v>0</v>
      </c>
      <c r="AI58" s="1139"/>
      <c r="AJ58" s="1139">
        <f t="shared" si="13"/>
        <v>0</v>
      </c>
    </row>
    <row r="59" spans="2:36" ht="14.25" hidden="1" customHeight="1" x14ac:dyDescent="0.2">
      <c r="B59" s="954"/>
      <c r="C59" s="1148" t="str">
        <f>+TableA1!A60</f>
        <v>Barbados</v>
      </c>
      <c r="D59" s="1459"/>
      <c r="E59" s="1200"/>
      <c r="F59" s="1153"/>
      <c r="G59" s="1153"/>
      <c r="H59" s="1153"/>
      <c r="I59" s="1168"/>
      <c r="J59" s="1168"/>
      <c r="K59" s="1168"/>
      <c r="L59" s="1198"/>
      <c r="M59" s="1168"/>
      <c r="N59" s="1229"/>
      <c r="O59" s="1459"/>
      <c r="P59" s="1200"/>
      <c r="Q59" s="1153"/>
      <c r="R59" s="1153"/>
      <c r="S59" s="1153"/>
      <c r="T59" s="1168"/>
      <c r="U59" s="1168"/>
      <c r="V59" s="1168"/>
      <c r="W59" s="1460"/>
      <c r="X59" s="1168"/>
      <c r="Y59" s="1211"/>
      <c r="Z59" s="173"/>
      <c r="AA59" s="954"/>
      <c r="AB59" s="1139"/>
      <c r="AC59" s="1139">
        <f t="shared" si="10"/>
        <v>0</v>
      </c>
      <c r="AD59" s="1139"/>
      <c r="AE59" s="1139">
        <f t="shared" si="12"/>
        <v>0</v>
      </c>
      <c r="AF59" s="1139"/>
      <c r="AG59" s="1139"/>
      <c r="AH59" s="1139">
        <f t="shared" si="3"/>
        <v>0</v>
      </c>
      <c r="AI59" s="1139"/>
      <c r="AJ59" s="1139">
        <f t="shared" si="13"/>
        <v>0</v>
      </c>
    </row>
    <row r="60" spans="2:36" ht="14.25" hidden="1" customHeight="1" x14ac:dyDescent="0.2">
      <c r="B60" s="954"/>
      <c r="C60" s="1148" t="s">
        <v>80</v>
      </c>
      <c r="D60" s="1459"/>
      <c r="E60" s="1200"/>
      <c r="F60" s="1153"/>
      <c r="G60" s="1153"/>
      <c r="H60" s="1153"/>
      <c r="I60" s="1168"/>
      <c r="J60" s="1168"/>
      <c r="K60" s="1168"/>
      <c r="L60" s="1198"/>
      <c r="M60" s="1168"/>
      <c r="N60" s="1229"/>
      <c r="O60" s="1459"/>
      <c r="P60" s="1200"/>
      <c r="Q60" s="1153"/>
      <c r="R60" s="1153"/>
      <c r="S60" s="1153"/>
      <c r="T60" s="1168"/>
      <c r="U60" s="1168"/>
      <c r="V60" s="1168"/>
      <c r="W60" s="1460"/>
      <c r="X60" s="1168"/>
      <c r="Y60" s="1211"/>
      <c r="Z60" s="173"/>
      <c r="AA60" s="954"/>
      <c r="AB60" s="1139"/>
      <c r="AC60" s="1139">
        <f t="shared" si="10"/>
        <v>0</v>
      </c>
      <c r="AD60" s="1139"/>
      <c r="AE60" s="1139">
        <f t="shared" si="12"/>
        <v>0</v>
      </c>
      <c r="AF60" s="1139"/>
      <c r="AG60" s="1139"/>
      <c r="AH60" s="1139">
        <f t="shared" si="3"/>
        <v>0</v>
      </c>
      <c r="AI60" s="1139"/>
      <c r="AJ60" s="1139">
        <f t="shared" si="13"/>
        <v>0</v>
      </c>
    </row>
    <row r="61" spans="2:36" ht="14.25" hidden="1" customHeight="1" x14ac:dyDescent="0.2">
      <c r="B61" s="954"/>
      <c r="C61" s="1148" t="s">
        <v>81</v>
      </c>
      <c r="D61" s="1459"/>
      <c r="E61" s="1200"/>
      <c r="F61" s="1153"/>
      <c r="G61" s="1153"/>
      <c r="H61" s="1153"/>
      <c r="I61" s="1168"/>
      <c r="J61" s="1168"/>
      <c r="K61" s="1168"/>
      <c r="L61" s="1198"/>
      <c r="M61" s="1168"/>
      <c r="N61" s="1229"/>
      <c r="O61" s="1459"/>
      <c r="P61" s="1200"/>
      <c r="Q61" s="1153"/>
      <c r="R61" s="1153"/>
      <c r="S61" s="1153"/>
      <c r="T61" s="1168"/>
      <c r="U61" s="1168"/>
      <c r="V61" s="1168"/>
      <c r="W61" s="1460"/>
      <c r="X61" s="1168"/>
      <c r="Y61" s="1211"/>
      <c r="Z61" s="173"/>
      <c r="AA61" s="954"/>
      <c r="AB61" s="1139"/>
      <c r="AC61" s="1139">
        <f t="shared" si="10"/>
        <v>0</v>
      </c>
      <c r="AD61" s="1139"/>
      <c r="AE61" s="1139">
        <f t="shared" si="12"/>
        <v>0</v>
      </c>
      <c r="AF61" s="1139"/>
      <c r="AG61" s="1139"/>
      <c r="AH61" s="1139">
        <f t="shared" si="3"/>
        <v>0</v>
      </c>
      <c r="AI61" s="1139"/>
      <c r="AJ61" s="1139">
        <f t="shared" si="13"/>
        <v>0</v>
      </c>
    </row>
    <row r="62" spans="2:36" ht="14.25" hidden="1" customHeight="1" x14ac:dyDescent="0.2">
      <c r="B62" s="954"/>
      <c r="C62" s="1148" t="s">
        <v>82</v>
      </c>
      <c r="D62" s="1459"/>
      <c r="E62" s="1200"/>
      <c r="F62" s="1153"/>
      <c r="G62" s="1153"/>
      <c r="H62" s="1153"/>
      <c r="I62" s="1168"/>
      <c r="J62" s="1168"/>
      <c r="K62" s="1168"/>
      <c r="L62" s="1198"/>
      <c r="M62" s="1168"/>
      <c r="N62" s="1229"/>
      <c r="O62" s="1459"/>
      <c r="P62" s="1200"/>
      <c r="Q62" s="1153"/>
      <c r="R62" s="1153"/>
      <c r="S62" s="1153"/>
      <c r="T62" s="1168"/>
      <c r="U62" s="1168"/>
      <c r="V62" s="1168"/>
      <c r="W62" s="1460"/>
      <c r="X62" s="1168"/>
      <c r="Y62" s="1211"/>
      <c r="Z62" s="173"/>
      <c r="AA62" s="954"/>
      <c r="AB62" s="1139"/>
      <c r="AC62" s="1139">
        <f t="shared" si="10"/>
        <v>0</v>
      </c>
      <c r="AD62" s="1139"/>
      <c r="AE62" s="1139">
        <f t="shared" si="12"/>
        <v>0</v>
      </c>
      <c r="AF62" s="1139"/>
      <c r="AG62" s="1139"/>
      <c r="AH62" s="1139">
        <f t="shared" si="3"/>
        <v>0</v>
      </c>
      <c r="AI62" s="1139"/>
      <c r="AJ62" s="1139">
        <f t="shared" si="13"/>
        <v>0</v>
      </c>
    </row>
    <row r="63" spans="2:36" ht="14.25" hidden="1" customHeight="1" x14ac:dyDescent="0.2">
      <c r="B63" s="954"/>
      <c r="C63" s="1148" t="s">
        <v>153</v>
      </c>
      <c r="D63" s="1459"/>
      <c r="E63" s="1200"/>
      <c r="F63" s="1153"/>
      <c r="G63" s="1153"/>
      <c r="H63" s="1153"/>
      <c r="I63" s="1168"/>
      <c r="J63" s="1168"/>
      <c r="K63" s="1168"/>
      <c r="L63" s="1198"/>
      <c r="M63" s="1168"/>
      <c r="N63" s="1229"/>
      <c r="O63" s="1459"/>
      <c r="P63" s="1200"/>
      <c r="Q63" s="1153"/>
      <c r="R63" s="1153"/>
      <c r="S63" s="1153"/>
      <c r="T63" s="1168"/>
      <c r="U63" s="1168"/>
      <c r="V63" s="1168"/>
      <c r="W63" s="1460"/>
      <c r="X63" s="1168"/>
      <c r="Y63" s="1211"/>
      <c r="Z63" s="173"/>
      <c r="AA63" s="954"/>
      <c r="AB63" s="1139"/>
      <c r="AC63" s="1139">
        <f t="shared" si="10"/>
        <v>0</v>
      </c>
      <c r="AD63" s="1139"/>
      <c r="AE63" s="1139">
        <f t="shared" si="12"/>
        <v>0</v>
      </c>
      <c r="AF63" s="1139"/>
      <c r="AG63" s="1139"/>
      <c r="AH63" s="1139">
        <f t="shared" si="3"/>
        <v>0</v>
      </c>
      <c r="AI63" s="1139"/>
      <c r="AJ63" s="1139">
        <f t="shared" si="13"/>
        <v>0</v>
      </c>
    </row>
    <row r="64" spans="2:36" ht="14.25" hidden="1" customHeight="1" x14ac:dyDescent="0.2">
      <c r="B64" s="954"/>
      <c r="C64" s="113" t="s">
        <v>84</v>
      </c>
      <c r="D64" s="633"/>
      <c r="E64" s="1200"/>
      <c r="F64" s="1153"/>
      <c r="G64" s="1153"/>
      <c r="H64" s="1153"/>
      <c r="I64" s="1168"/>
      <c r="J64" s="1168"/>
      <c r="K64" s="1168"/>
      <c r="L64" s="1198"/>
      <c r="M64" s="1168"/>
      <c r="N64" s="1229"/>
      <c r="O64" s="633"/>
      <c r="P64" s="1200"/>
      <c r="Q64" s="1153"/>
      <c r="R64" s="1153"/>
      <c r="S64" s="1153"/>
      <c r="T64" s="1168"/>
      <c r="U64" s="1168"/>
      <c r="V64" s="1168"/>
      <c r="W64" s="1460"/>
      <c r="X64" s="1168"/>
      <c r="Y64" s="1211"/>
      <c r="Z64" s="173"/>
      <c r="AA64" s="954"/>
      <c r="AB64" s="1139"/>
      <c r="AC64" s="1139">
        <f t="shared" si="10"/>
        <v>0</v>
      </c>
      <c r="AD64" s="1139"/>
      <c r="AE64" s="1139">
        <f t="shared" si="12"/>
        <v>0</v>
      </c>
      <c r="AF64" s="1139"/>
      <c r="AG64" s="1139"/>
      <c r="AH64" s="1139">
        <f t="shared" si="3"/>
        <v>0</v>
      </c>
      <c r="AI64" s="1139"/>
      <c r="AJ64" s="1139">
        <f t="shared" si="13"/>
        <v>0</v>
      </c>
    </row>
    <row r="65" spans="3:36" ht="14.25" hidden="1" customHeight="1" x14ac:dyDescent="0.2">
      <c r="C65" s="1148" t="s">
        <v>85</v>
      </c>
      <c r="D65" s="1459"/>
      <c r="E65" s="1200"/>
      <c r="F65" s="1153"/>
      <c r="G65" s="1153"/>
      <c r="H65" s="1153"/>
      <c r="I65" s="1168"/>
      <c r="J65" s="1168"/>
      <c r="K65" s="1168"/>
      <c r="L65" s="1198"/>
      <c r="M65" s="1168"/>
      <c r="N65" s="1229"/>
      <c r="O65" s="1459"/>
      <c r="P65" s="1200"/>
      <c r="Q65" s="1153"/>
      <c r="R65" s="1153"/>
      <c r="S65" s="1153"/>
      <c r="T65" s="1168"/>
      <c r="U65" s="1168"/>
      <c r="V65" s="1168"/>
      <c r="W65" s="1460"/>
      <c r="X65" s="1168"/>
      <c r="Y65" s="1211"/>
      <c r="Z65" s="173"/>
      <c r="AA65" s="954"/>
      <c r="AB65" s="1139"/>
      <c r="AC65" s="1139">
        <f t="shared" si="10"/>
        <v>0</v>
      </c>
      <c r="AD65" s="1139"/>
      <c r="AE65" s="1139">
        <f t="shared" si="12"/>
        <v>0</v>
      </c>
      <c r="AF65" s="1139"/>
      <c r="AG65" s="1139"/>
      <c r="AH65" s="1139">
        <f t="shared" si="3"/>
        <v>0</v>
      </c>
      <c r="AI65" s="1139"/>
      <c r="AJ65" s="1139">
        <f t="shared" si="13"/>
        <v>0</v>
      </c>
    </row>
    <row r="66" spans="3:36" ht="14.25" hidden="1" customHeight="1" x14ac:dyDescent="0.2">
      <c r="C66" s="1148" t="str">
        <f>+TableA1!A67</f>
        <v>Cyprus</v>
      </c>
      <c r="D66" s="1459"/>
      <c r="E66" s="1200"/>
      <c r="F66" s="1153"/>
      <c r="G66" s="1153"/>
      <c r="H66" s="1153"/>
      <c r="I66" s="1168"/>
      <c r="J66" s="1168"/>
      <c r="K66" s="1168"/>
      <c r="L66" s="1198"/>
      <c r="M66" s="1168"/>
      <c r="N66" s="1229"/>
      <c r="O66" s="1459"/>
      <c r="P66" s="1200"/>
      <c r="Q66" s="1153"/>
      <c r="R66" s="1153"/>
      <c r="S66" s="1153"/>
      <c r="T66" s="1168"/>
      <c r="U66" s="1168"/>
      <c r="V66" s="1168"/>
      <c r="W66" s="1460"/>
      <c r="X66" s="1168"/>
      <c r="Y66" s="1211"/>
      <c r="Z66" s="173"/>
      <c r="AA66" s="954"/>
      <c r="AB66" s="1139"/>
      <c r="AC66" s="1139">
        <f t="shared" si="10"/>
        <v>0</v>
      </c>
      <c r="AD66" s="1139"/>
      <c r="AE66" s="1139">
        <f t="shared" si="12"/>
        <v>0</v>
      </c>
      <c r="AF66" s="1139"/>
      <c r="AG66" s="1139"/>
      <c r="AH66" s="1139">
        <f t="shared" si="3"/>
        <v>0</v>
      </c>
      <c r="AI66" s="1139"/>
      <c r="AJ66" s="1139">
        <f t="shared" si="13"/>
        <v>0</v>
      </c>
    </row>
    <row r="67" spans="3:36" ht="14.25" hidden="1" customHeight="1" x14ac:dyDescent="0.2">
      <c r="C67" s="1148" t="s">
        <v>87</v>
      </c>
      <c r="D67" s="1459"/>
      <c r="E67" s="1200"/>
      <c r="F67" s="1153"/>
      <c r="G67" s="1153"/>
      <c r="H67" s="1153"/>
      <c r="I67" s="1168"/>
      <c r="J67" s="1168"/>
      <c r="K67" s="1168"/>
      <c r="L67" s="1198"/>
      <c r="M67" s="1168"/>
      <c r="N67" s="1229"/>
      <c r="O67" s="1459"/>
      <c r="P67" s="1200"/>
      <c r="Q67" s="1153"/>
      <c r="R67" s="1153"/>
      <c r="S67" s="1153"/>
      <c r="T67" s="1168"/>
      <c r="U67" s="1168"/>
      <c r="V67" s="1168"/>
      <c r="W67" s="1460"/>
      <c r="X67" s="1168"/>
      <c r="Y67" s="1211"/>
      <c r="Z67" s="173"/>
      <c r="AA67" s="954"/>
      <c r="AB67" s="1139"/>
      <c r="AC67" s="1139">
        <f t="shared" si="10"/>
        <v>0</v>
      </c>
      <c r="AD67" s="1139"/>
      <c r="AE67" s="1139">
        <f t="shared" si="12"/>
        <v>0</v>
      </c>
      <c r="AF67" s="1139"/>
      <c r="AG67" s="1139"/>
      <c r="AH67" s="1139">
        <f t="shared" si="3"/>
        <v>0</v>
      </c>
      <c r="AI67" s="1139"/>
      <c r="AJ67" s="1139">
        <f t="shared" si="13"/>
        <v>0</v>
      </c>
    </row>
    <row r="68" spans="3:36" ht="14.25" hidden="1" customHeight="1" x14ac:dyDescent="0.2">
      <c r="C68" s="1148" t="str">
        <f>+TableA1!A69</f>
        <v>Grenada</v>
      </c>
      <c r="D68" s="1459"/>
      <c r="E68" s="1200"/>
      <c r="F68" s="1153"/>
      <c r="G68" s="1153"/>
      <c r="H68" s="1153"/>
      <c r="I68" s="1168"/>
      <c r="J68" s="1168"/>
      <c r="K68" s="1168"/>
      <c r="L68" s="1198"/>
      <c r="M68" s="1168"/>
      <c r="N68" s="1229"/>
      <c r="O68" s="1459"/>
      <c r="P68" s="1200"/>
      <c r="Q68" s="1153"/>
      <c r="R68" s="1153"/>
      <c r="S68" s="1153"/>
      <c r="T68" s="1168"/>
      <c r="U68" s="1168"/>
      <c r="V68" s="1168"/>
      <c r="W68" s="1460"/>
      <c r="X68" s="1168"/>
      <c r="Y68" s="1211"/>
      <c r="Z68" s="173"/>
      <c r="AA68" s="954"/>
      <c r="AB68" s="1139"/>
      <c r="AC68" s="1139">
        <f t="shared" si="10"/>
        <v>0</v>
      </c>
      <c r="AD68" s="1139"/>
      <c r="AE68" s="1139">
        <f t="shared" si="12"/>
        <v>0</v>
      </c>
      <c r="AF68" s="1139"/>
      <c r="AG68" s="1139"/>
      <c r="AH68" s="1139">
        <f t="shared" si="3"/>
        <v>0</v>
      </c>
      <c r="AI68" s="1139"/>
      <c r="AJ68" s="1139">
        <f t="shared" si="13"/>
        <v>0</v>
      </c>
    </row>
    <row r="69" spans="3:36" ht="14.25" hidden="1" customHeight="1" x14ac:dyDescent="0.2">
      <c r="C69" s="1148" t="s">
        <v>89</v>
      </c>
      <c r="D69" s="1459"/>
      <c r="E69" s="1200"/>
      <c r="F69" s="1153"/>
      <c r="G69" s="1153"/>
      <c r="H69" s="1153"/>
      <c r="I69" s="1168"/>
      <c r="J69" s="1168"/>
      <c r="K69" s="1168"/>
      <c r="L69" s="1198"/>
      <c r="M69" s="1168"/>
      <c r="N69" s="1229"/>
      <c r="O69" s="1459"/>
      <c r="P69" s="1200"/>
      <c r="Q69" s="1153"/>
      <c r="R69" s="1153"/>
      <c r="S69" s="1153"/>
      <c r="T69" s="1168"/>
      <c r="U69" s="1168"/>
      <c r="V69" s="1168"/>
      <c r="W69" s="1460"/>
      <c r="X69" s="1168"/>
      <c r="Y69" s="1211"/>
      <c r="Z69" s="173"/>
      <c r="AA69" s="954"/>
      <c r="AB69" s="1139"/>
      <c r="AC69" s="1139">
        <f t="shared" si="10"/>
        <v>0</v>
      </c>
      <c r="AD69" s="1139"/>
      <c r="AE69" s="1139">
        <f t="shared" si="12"/>
        <v>0</v>
      </c>
      <c r="AF69" s="1139"/>
      <c r="AG69" s="1139"/>
      <c r="AH69" s="1139">
        <f t="shared" si="3"/>
        <v>0</v>
      </c>
      <c r="AI69" s="1139"/>
      <c r="AJ69" s="1139">
        <f t="shared" si="13"/>
        <v>0</v>
      </c>
    </row>
    <row r="70" spans="3:36" ht="14.25" hidden="1" customHeight="1" x14ac:dyDescent="0.2">
      <c r="C70" s="1148" t="s">
        <v>154</v>
      </c>
      <c r="D70" s="1459"/>
      <c r="E70" s="1200"/>
      <c r="F70" s="1153"/>
      <c r="G70" s="1153"/>
      <c r="H70" s="1153"/>
      <c r="I70" s="1168"/>
      <c r="J70" s="1168"/>
      <c r="K70" s="1168"/>
      <c r="L70" s="1198"/>
      <c r="M70" s="1168"/>
      <c r="N70" s="1229"/>
      <c r="O70" s="1459"/>
      <c r="P70" s="1200"/>
      <c r="Q70" s="1153"/>
      <c r="R70" s="1153"/>
      <c r="S70" s="1153"/>
      <c r="T70" s="1168"/>
      <c r="U70" s="1168"/>
      <c r="V70" s="1168"/>
      <c r="W70" s="1460"/>
      <c r="X70" s="1168"/>
      <c r="Y70" s="1211"/>
      <c r="Z70" s="173"/>
      <c r="AA70" s="954"/>
      <c r="AB70" s="1139"/>
      <c r="AC70" s="1139">
        <f t="shared" si="10"/>
        <v>0</v>
      </c>
      <c r="AD70" s="1139"/>
      <c r="AE70" s="1139">
        <f t="shared" si="12"/>
        <v>0</v>
      </c>
      <c r="AF70" s="1139"/>
      <c r="AG70" s="1139"/>
      <c r="AH70" s="1139">
        <f t="shared" si="3"/>
        <v>0</v>
      </c>
      <c r="AI70" s="1139"/>
      <c r="AJ70" s="1139">
        <f t="shared" si="13"/>
        <v>0</v>
      </c>
    </row>
    <row r="71" spans="3:36" ht="14.25" hidden="1" customHeight="1" x14ac:dyDescent="0.2">
      <c r="C71" s="1148" t="s">
        <v>91</v>
      </c>
      <c r="D71" s="1459"/>
      <c r="E71" s="1200"/>
      <c r="F71" s="1153"/>
      <c r="G71" s="1153"/>
      <c r="H71" s="1153"/>
      <c r="I71" s="1168"/>
      <c r="J71" s="1168"/>
      <c r="K71" s="1168"/>
      <c r="L71" s="1198"/>
      <c r="M71" s="1168"/>
      <c r="N71" s="1229"/>
      <c r="O71" s="1459"/>
      <c r="P71" s="1200"/>
      <c r="Q71" s="1153"/>
      <c r="R71" s="1153"/>
      <c r="S71" s="1153"/>
      <c r="T71" s="1168"/>
      <c r="U71" s="1168"/>
      <c r="V71" s="1168"/>
      <c r="W71" s="1460"/>
      <c r="X71" s="1168"/>
      <c r="Y71" s="1211"/>
      <c r="Z71" s="173"/>
      <c r="AA71" s="954"/>
      <c r="AB71" s="1139"/>
      <c r="AC71" s="1139">
        <f t="shared" si="10"/>
        <v>0</v>
      </c>
      <c r="AD71" s="1139"/>
      <c r="AE71" s="1139">
        <f t="shared" si="12"/>
        <v>0</v>
      </c>
      <c r="AF71" s="1139"/>
      <c r="AG71" s="1139"/>
      <c r="AH71" s="1139">
        <f t="shared" si="3"/>
        <v>0</v>
      </c>
      <c r="AI71" s="1139"/>
      <c r="AJ71" s="1139">
        <f t="shared" si="13"/>
        <v>0</v>
      </c>
    </row>
    <row r="72" spans="3:36" ht="14.25" hidden="1" customHeight="1" x14ac:dyDescent="0.2">
      <c r="C72" s="1148" t="s">
        <v>92</v>
      </c>
      <c r="D72" s="1459"/>
      <c r="E72" s="1200"/>
      <c r="F72" s="1153"/>
      <c r="G72" s="1153"/>
      <c r="H72" s="1153"/>
      <c r="I72" s="1168"/>
      <c r="J72" s="1168"/>
      <c r="K72" s="1168"/>
      <c r="L72" s="1198"/>
      <c r="M72" s="1168"/>
      <c r="N72" s="1229"/>
      <c r="O72" s="1459"/>
      <c r="P72" s="1200"/>
      <c r="Q72" s="1153"/>
      <c r="R72" s="1153"/>
      <c r="S72" s="1153"/>
      <c r="T72" s="1168"/>
      <c r="U72" s="1168"/>
      <c r="V72" s="1168"/>
      <c r="W72" s="1460"/>
      <c r="X72" s="1168"/>
      <c r="Y72" s="1211"/>
      <c r="Z72" s="173"/>
      <c r="AA72" s="954"/>
      <c r="AB72" s="1139"/>
      <c r="AC72" s="1139">
        <f t="shared" si="10"/>
        <v>0</v>
      </c>
      <c r="AD72" s="1139"/>
      <c r="AE72" s="1139">
        <f t="shared" si="12"/>
        <v>0</v>
      </c>
      <c r="AF72" s="1139"/>
      <c r="AG72" s="1139"/>
      <c r="AH72" s="1139">
        <f t="shared" si="3"/>
        <v>0</v>
      </c>
      <c r="AI72" s="1139"/>
      <c r="AJ72" s="1139">
        <f t="shared" si="13"/>
        <v>0</v>
      </c>
    </row>
    <row r="73" spans="3:36" ht="14.25" hidden="1" customHeight="1" x14ac:dyDescent="0.2">
      <c r="C73" s="1148" t="s">
        <v>93</v>
      </c>
      <c r="D73" s="1459"/>
      <c r="E73" s="1200"/>
      <c r="F73" s="1153"/>
      <c r="G73" s="1153"/>
      <c r="H73" s="1153"/>
      <c r="I73" s="1168"/>
      <c r="J73" s="1168"/>
      <c r="K73" s="1168"/>
      <c r="L73" s="1198"/>
      <c r="M73" s="1168"/>
      <c r="N73" s="1229"/>
      <c r="O73" s="1459"/>
      <c r="P73" s="1200"/>
      <c r="Q73" s="1153"/>
      <c r="R73" s="1153"/>
      <c r="S73" s="1153"/>
      <c r="T73" s="1168"/>
      <c r="U73" s="1168"/>
      <c r="V73" s="1168"/>
      <c r="W73" s="1460"/>
      <c r="X73" s="1168"/>
      <c r="Y73" s="1211"/>
      <c r="Z73" s="173"/>
      <c r="AA73" s="954"/>
      <c r="AB73" s="1139"/>
      <c r="AC73" s="1139">
        <f t="shared" si="10"/>
        <v>0</v>
      </c>
      <c r="AD73" s="1139"/>
      <c r="AE73" s="1139">
        <f t="shared" si="12"/>
        <v>0</v>
      </c>
      <c r="AF73" s="1139"/>
      <c r="AG73" s="1139"/>
      <c r="AH73" s="1139">
        <f t="shared" ref="AH73:AH88" si="21">+AG73/$AG$90</f>
        <v>0</v>
      </c>
      <c r="AI73" s="1139"/>
      <c r="AJ73" s="1139">
        <f t="shared" si="13"/>
        <v>0</v>
      </c>
    </row>
    <row r="74" spans="3:36" ht="14.25" hidden="1" customHeight="1" x14ac:dyDescent="0.2">
      <c r="C74" s="1148" t="s">
        <v>94</v>
      </c>
      <c r="D74" s="1459"/>
      <c r="E74" s="1200"/>
      <c r="F74" s="1153"/>
      <c r="G74" s="1153"/>
      <c r="H74" s="1153"/>
      <c r="I74" s="1168"/>
      <c r="J74" s="1168"/>
      <c r="K74" s="1168"/>
      <c r="L74" s="1198"/>
      <c r="M74" s="1168"/>
      <c r="N74" s="1229"/>
      <c r="O74" s="1459"/>
      <c r="P74" s="1200"/>
      <c r="Q74" s="1153"/>
      <c r="R74" s="1153"/>
      <c r="S74" s="1153"/>
      <c r="T74" s="1168"/>
      <c r="U74" s="1168"/>
      <c r="V74" s="1168"/>
      <c r="W74" s="1460"/>
      <c r="X74" s="1168"/>
      <c r="Y74" s="1211"/>
      <c r="Z74" s="173"/>
      <c r="AA74" s="954"/>
      <c r="AB74" s="1139"/>
      <c r="AC74" s="1139">
        <f t="shared" ref="AC74:AC90" si="22">+AB74/$AB$90</f>
        <v>0</v>
      </c>
      <c r="AD74" s="1139"/>
      <c r="AE74" s="1139">
        <f t="shared" ref="AE74:AE88" si="23">+AD74/$AD$90</f>
        <v>0</v>
      </c>
      <c r="AF74" s="1139"/>
      <c r="AG74" s="1139"/>
      <c r="AH74" s="1139">
        <f t="shared" si="21"/>
        <v>0</v>
      </c>
      <c r="AI74" s="1139"/>
      <c r="AJ74" s="1139">
        <f t="shared" si="13"/>
        <v>0</v>
      </c>
    </row>
    <row r="75" spans="3:36" ht="14.25" hidden="1" customHeight="1" x14ac:dyDescent="0.2">
      <c r="C75" s="1148" t="s">
        <v>95</v>
      </c>
      <c r="D75" s="1459"/>
      <c r="E75" s="1200"/>
      <c r="F75" s="1153"/>
      <c r="G75" s="1153"/>
      <c r="H75" s="1153"/>
      <c r="I75" s="1168"/>
      <c r="J75" s="1168"/>
      <c r="K75" s="1168"/>
      <c r="L75" s="1198"/>
      <c r="M75" s="1168"/>
      <c r="N75" s="1229"/>
      <c r="O75" s="1459"/>
      <c r="P75" s="1200"/>
      <c r="Q75" s="1153"/>
      <c r="R75" s="1153"/>
      <c r="S75" s="1153"/>
      <c r="T75" s="1168"/>
      <c r="U75" s="1168"/>
      <c r="V75" s="1168"/>
      <c r="W75" s="1460"/>
      <c r="X75" s="1168"/>
      <c r="Y75" s="1211"/>
      <c r="Z75" s="173"/>
      <c r="AA75" s="954"/>
      <c r="AB75" s="1139"/>
      <c r="AC75" s="1139">
        <f t="shared" si="22"/>
        <v>0</v>
      </c>
      <c r="AD75" s="1139"/>
      <c r="AE75" s="1139">
        <f t="shared" si="23"/>
        <v>0</v>
      </c>
      <c r="AF75" s="1139"/>
      <c r="AG75" s="1139"/>
      <c r="AH75" s="1139">
        <f t="shared" si="21"/>
        <v>0</v>
      </c>
      <c r="AI75" s="1139"/>
      <c r="AJ75" s="1139">
        <f t="shared" si="13"/>
        <v>0</v>
      </c>
    </row>
    <row r="76" spans="3:36" ht="14.25" hidden="1" customHeight="1" x14ac:dyDescent="0.2">
      <c r="C76" s="1148" t="s">
        <v>96</v>
      </c>
      <c r="D76" s="1459"/>
      <c r="E76" s="1200"/>
      <c r="F76" s="1153"/>
      <c r="G76" s="1153"/>
      <c r="H76" s="1153"/>
      <c r="I76" s="1168"/>
      <c r="J76" s="1168"/>
      <c r="K76" s="1168"/>
      <c r="L76" s="1198"/>
      <c r="M76" s="1168"/>
      <c r="N76" s="634"/>
      <c r="O76" s="1459"/>
      <c r="P76" s="1200"/>
      <c r="Q76" s="1153"/>
      <c r="R76" s="1153"/>
      <c r="S76" s="1153"/>
      <c r="T76" s="1168"/>
      <c r="U76" s="1168"/>
      <c r="V76" s="1168"/>
      <c r="W76" s="1460"/>
      <c r="X76" s="1168"/>
      <c r="Y76" s="635"/>
      <c r="Z76" s="173"/>
      <c r="AA76" s="954"/>
      <c r="AB76" s="1139"/>
      <c r="AC76" s="1139">
        <f t="shared" si="22"/>
        <v>0</v>
      </c>
      <c r="AD76" s="1139"/>
      <c r="AE76" s="1139">
        <f t="shared" si="23"/>
        <v>0</v>
      </c>
      <c r="AF76" s="1139"/>
      <c r="AG76" s="1139"/>
      <c r="AH76" s="1139">
        <f t="shared" si="21"/>
        <v>0</v>
      </c>
      <c r="AI76" s="1139"/>
      <c r="AJ76" s="1139">
        <f t="shared" si="13"/>
        <v>0</v>
      </c>
    </row>
    <row r="77" spans="3:36" ht="14.25" hidden="1" customHeight="1" x14ac:dyDescent="0.2">
      <c r="C77" s="1148" t="s">
        <v>97</v>
      </c>
      <c r="D77" s="1459"/>
      <c r="E77" s="1200"/>
      <c r="F77" s="1153"/>
      <c r="G77" s="1153"/>
      <c r="H77" s="1153"/>
      <c r="I77" s="1168"/>
      <c r="J77" s="1168"/>
      <c r="K77" s="1168"/>
      <c r="L77" s="1198"/>
      <c r="M77" s="1168"/>
      <c r="N77" s="1229"/>
      <c r="O77" s="1459"/>
      <c r="P77" s="1200"/>
      <c r="Q77" s="1153"/>
      <c r="R77" s="1153"/>
      <c r="S77" s="1153"/>
      <c r="T77" s="1168"/>
      <c r="U77" s="1168"/>
      <c r="V77" s="1168"/>
      <c r="W77" s="1460"/>
      <c r="X77" s="1168"/>
      <c r="Y77" s="1211"/>
      <c r="Z77" s="173"/>
      <c r="AA77" s="954"/>
      <c r="AB77" s="1139"/>
      <c r="AC77" s="1139">
        <f t="shared" si="22"/>
        <v>0</v>
      </c>
      <c r="AD77" s="1139"/>
      <c r="AE77" s="1139">
        <f t="shared" si="23"/>
        <v>0</v>
      </c>
      <c r="AF77" s="1139"/>
      <c r="AG77" s="1139"/>
      <c r="AH77" s="1139">
        <f t="shared" si="21"/>
        <v>0</v>
      </c>
      <c r="AI77" s="1139"/>
      <c r="AJ77" s="1139">
        <f t="shared" si="13"/>
        <v>0</v>
      </c>
    </row>
    <row r="78" spans="3:36" ht="14.25" hidden="1" customHeight="1" x14ac:dyDescent="0.2">
      <c r="C78" s="1148" t="str">
        <f>+TableA1!A79</f>
        <v>Monaco</v>
      </c>
      <c r="D78" s="1459"/>
      <c r="E78" s="1200"/>
      <c r="F78" s="1153"/>
      <c r="G78" s="1153"/>
      <c r="H78" s="1153"/>
      <c r="I78" s="1168"/>
      <c r="J78" s="1168"/>
      <c r="K78" s="1168"/>
      <c r="L78" s="1198"/>
      <c r="M78" s="1168"/>
      <c r="N78" s="1229"/>
      <c r="O78" s="1459"/>
      <c r="P78" s="1200"/>
      <c r="Q78" s="1153"/>
      <c r="R78" s="1153"/>
      <c r="S78" s="1153"/>
      <c r="T78" s="1168"/>
      <c r="U78" s="1168"/>
      <c r="V78" s="1168"/>
      <c r="W78" s="1460"/>
      <c r="X78" s="1168"/>
      <c r="Y78" s="1211"/>
      <c r="Z78" s="173"/>
      <c r="AA78" s="954"/>
      <c r="AB78" s="1139"/>
      <c r="AC78" s="1139">
        <f t="shared" si="22"/>
        <v>0</v>
      </c>
      <c r="AD78" s="1139"/>
      <c r="AE78" s="1139">
        <f t="shared" si="23"/>
        <v>0</v>
      </c>
      <c r="AF78" s="1139"/>
      <c r="AG78" s="1139"/>
      <c r="AH78" s="1139">
        <f t="shared" si="21"/>
        <v>0</v>
      </c>
      <c r="AI78" s="1139"/>
      <c r="AJ78" s="1139">
        <f t="shared" si="13"/>
        <v>0</v>
      </c>
    </row>
    <row r="79" spans="3:36" ht="14.25" hidden="1" customHeight="1" x14ac:dyDescent="0.2">
      <c r="C79" s="1148" t="s">
        <v>99</v>
      </c>
      <c r="D79" s="1459"/>
      <c r="E79" s="1200"/>
      <c r="F79" s="1153"/>
      <c r="G79" s="1153"/>
      <c r="H79" s="1153"/>
      <c r="I79" s="1168"/>
      <c r="J79" s="1168"/>
      <c r="K79" s="1168"/>
      <c r="L79" s="1198"/>
      <c r="M79" s="1168"/>
      <c r="N79" s="1229"/>
      <c r="O79" s="1459"/>
      <c r="P79" s="1200"/>
      <c r="Q79" s="1153"/>
      <c r="R79" s="1153"/>
      <c r="S79" s="1153"/>
      <c r="T79" s="1168"/>
      <c r="U79" s="1168"/>
      <c r="V79" s="1168"/>
      <c r="W79" s="1460"/>
      <c r="X79" s="1168"/>
      <c r="Y79" s="1211"/>
      <c r="Z79" s="173"/>
      <c r="AA79" s="954"/>
      <c r="AB79" s="1139"/>
      <c r="AC79" s="1139">
        <f t="shared" si="22"/>
        <v>0</v>
      </c>
      <c r="AD79" s="1139"/>
      <c r="AE79" s="1139">
        <f t="shared" si="23"/>
        <v>0</v>
      </c>
      <c r="AF79" s="1139"/>
      <c r="AG79" s="1139"/>
      <c r="AH79" s="1139">
        <f t="shared" si="21"/>
        <v>0</v>
      </c>
      <c r="AI79" s="1139"/>
      <c r="AJ79" s="1139">
        <f t="shared" si="13"/>
        <v>0</v>
      </c>
    </row>
    <row r="80" spans="3:36" ht="14.25" hidden="1" customHeight="1" x14ac:dyDescent="0.2">
      <c r="C80" s="1148" t="s">
        <v>100</v>
      </c>
      <c r="D80" s="1459"/>
      <c r="E80" s="1200"/>
      <c r="F80" s="1153"/>
      <c r="G80" s="1153"/>
      <c r="H80" s="1153"/>
      <c r="I80" s="1168"/>
      <c r="J80" s="1168"/>
      <c r="K80" s="1168"/>
      <c r="L80" s="1198"/>
      <c r="M80" s="1168"/>
      <c r="N80" s="1229"/>
      <c r="O80" s="1459"/>
      <c r="P80" s="1200"/>
      <c r="Q80" s="1153"/>
      <c r="R80" s="1153"/>
      <c r="S80" s="1153"/>
      <c r="T80" s="1168"/>
      <c r="U80" s="1168"/>
      <c r="V80" s="1168"/>
      <c r="W80" s="1460"/>
      <c r="X80" s="1168"/>
      <c r="Y80" s="1211"/>
      <c r="Z80" s="173"/>
      <c r="AA80" s="954"/>
      <c r="AB80" s="1139"/>
      <c r="AC80" s="1139">
        <f t="shared" si="22"/>
        <v>0</v>
      </c>
      <c r="AD80" s="1139"/>
      <c r="AE80" s="1139">
        <f t="shared" si="23"/>
        <v>0</v>
      </c>
      <c r="AF80" s="1139"/>
      <c r="AG80" s="1139"/>
      <c r="AH80" s="1139">
        <f t="shared" si="21"/>
        <v>0</v>
      </c>
      <c r="AI80" s="1139"/>
      <c r="AJ80" s="1139">
        <f t="shared" si="13"/>
        <v>0</v>
      </c>
    </row>
    <row r="81" spans="3:36" ht="14.25" hidden="1" customHeight="1" x14ac:dyDescent="0.2">
      <c r="C81" s="1148" t="str">
        <f>+TableA1!A82</f>
        <v>Seychelles</v>
      </c>
      <c r="D81" s="1459"/>
      <c r="E81" s="1200"/>
      <c r="F81" s="1153"/>
      <c r="G81" s="1153"/>
      <c r="H81" s="1153"/>
      <c r="I81" s="1168"/>
      <c r="J81" s="1168"/>
      <c r="K81" s="1168"/>
      <c r="L81" s="1198"/>
      <c r="M81" s="1168"/>
      <c r="N81" s="1229"/>
      <c r="O81" s="1459"/>
      <c r="P81" s="1200"/>
      <c r="Q81" s="1153"/>
      <c r="R81" s="1153"/>
      <c r="S81" s="1153"/>
      <c r="T81" s="1168"/>
      <c r="U81" s="1168"/>
      <c r="V81" s="1168"/>
      <c r="W81" s="1460"/>
      <c r="X81" s="1168"/>
      <c r="Y81" s="1211"/>
      <c r="Z81" s="173"/>
      <c r="AA81" s="954"/>
      <c r="AB81" s="1139"/>
      <c r="AC81" s="1139">
        <f t="shared" si="22"/>
        <v>0</v>
      </c>
      <c r="AD81" s="1139"/>
      <c r="AE81" s="1139">
        <f t="shared" si="23"/>
        <v>0</v>
      </c>
      <c r="AF81" s="1139"/>
      <c r="AG81" s="1139"/>
      <c r="AH81" s="1139">
        <f t="shared" si="21"/>
        <v>0</v>
      </c>
      <c r="AI81" s="1139"/>
      <c r="AJ81" s="1139">
        <f t="shared" si="13"/>
        <v>0</v>
      </c>
    </row>
    <row r="82" spans="3:36" hidden="1" x14ac:dyDescent="0.2">
      <c r="C82" s="1148" t="s">
        <v>102</v>
      </c>
      <c r="D82" s="1459"/>
      <c r="E82" s="1200"/>
      <c r="F82" s="1153"/>
      <c r="G82" s="1153"/>
      <c r="H82" s="1153"/>
      <c r="I82" s="1168"/>
      <c r="J82" s="1168"/>
      <c r="K82" s="1168"/>
      <c r="L82" s="1198"/>
      <c r="M82" s="1168"/>
      <c r="N82" s="1229"/>
      <c r="O82" s="1459"/>
      <c r="P82" s="1200"/>
      <c r="Q82" s="1153"/>
      <c r="R82" s="1153"/>
      <c r="S82" s="1153"/>
      <c r="T82" s="1168"/>
      <c r="U82" s="1168"/>
      <c r="V82" s="1168"/>
      <c r="W82" s="1460"/>
      <c r="X82" s="1168"/>
      <c r="Y82" s="1211"/>
      <c r="Z82" s="173"/>
      <c r="AA82" s="954"/>
      <c r="AB82" s="1139"/>
      <c r="AC82" s="1139">
        <f t="shared" si="22"/>
        <v>0</v>
      </c>
      <c r="AD82" s="1139"/>
      <c r="AE82" s="1139">
        <f t="shared" si="23"/>
        <v>0</v>
      </c>
      <c r="AF82" s="1139"/>
      <c r="AG82" s="1139"/>
      <c r="AH82" s="1139">
        <f t="shared" si="21"/>
        <v>0</v>
      </c>
      <c r="AI82" s="1139"/>
      <c r="AJ82" s="1139">
        <f t="shared" si="13"/>
        <v>0</v>
      </c>
    </row>
    <row r="83" spans="3:36" hidden="1" x14ac:dyDescent="0.2">
      <c r="C83" s="1148" t="str">
        <f>+TableA1!A84</f>
        <v>St. Kitts and Nevis</v>
      </c>
      <c r="D83" s="1459"/>
      <c r="E83" s="1200"/>
      <c r="F83" s="1153"/>
      <c r="G83" s="1153"/>
      <c r="H83" s="1153"/>
      <c r="I83" s="1168"/>
      <c r="J83" s="1168"/>
      <c r="K83" s="1168"/>
      <c r="L83" s="1198"/>
      <c r="M83" s="1168"/>
      <c r="N83" s="1229"/>
      <c r="O83" s="1459"/>
      <c r="P83" s="1200"/>
      <c r="Q83" s="1153"/>
      <c r="R83" s="1153"/>
      <c r="S83" s="1153"/>
      <c r="T83" s="1168"/>
      <c r="U83" s="1168"/>
      <c r="V83" s="1168"/>
      <c r="W83" s="1460"/>
      <c r="X83" s="1168"/>
      <c r="Y83" s="1211"/>
      <c r="Z83" s="173"/>
      <c r="AA83" s="954"/>
      <c r="AB83" s="1139"/>
      <c r="AC83" s="1139">
        <f t="shared" si="22"/>
        <v>0</v>
      </c>
      <c r="AD83" s="1139"/>
      <c r="AE83" s="1139">
        <f t="shared" si="23"/>
        <v>0</v>
      </c>
      <c r="AF83" s="1139"/>
      <c r="AG83" s="1139"/>
      <c r="AH83" s="1139">
        <f t="shared" si="21"/>
        <v>0</v>
      </c>
      <c r="AI83" s="1139"/>
      <c r="AJ83" s="1139">
        <f t="shared" si="13"/>
        <v>0</v>
      </c>
    </row>
    <row r="84" spans="3:36" hidden="1" x14ac:dyDescent="0.2">
      <c r="C84" s="1148" t="str">
        <f>+TableA1!A85</f>
        <v>St. Lucia</v>
      </c>
      <c r="D84" s="1459"/>
      <c r="E84" s="1200"/>
      <c r="F84" s="1153"/>
      <c r="G84" s="1153"/>
      <c r="H84" s="1153"/>
      <c r="I84" s="1168"/>
      <c r="J84" s="1168"/>
      <c r="K84" s="1168"/>
      <c r="L84" s="1198"/>
      <c r="M84" s="1168"/>
      <c r="N84" s="1229"/>
      <c r="O84" s="1459"/>
      <c r="P84" s="1200"/>
      <c r="Q84" s="1153"/>
      <c r="R84" s="1153"/>
      <c r="S84" s="1153"/>
      <c r="T84" s="1168"/>
      <c r="U84" s="1168"/>
      <c r="V84" s="1168"/>
      <c r="W84" s="1460"/>
      <c r="X84" s="1168"/>
      <c r="Y84" s="1211"/>
      <c r="Z84" s="173"/>
      <c r="AA84" s="954"/>
      <c r="AB84" s="1139"/>
      <c r="AC84" s="1139">
        <f t="shared" si="22"/>
        <v>0</v>
      </c>
      <c r="AD84" s="1139"/>
      <c r="AE84" s="1139">
        <f t="shared" si="23"/>
        <v>0</v>
      </c>
      <c r="AF84" s="1139"/>
      <c r="AG84" s="1139"/>
      <c r="AH84" s="1139">
        <f t="shared" si="21"/>
        <v>0</v>
      </c>
      <c r="AI84" s="1139"/>
      <c r="AJ84" s="1139">
        <f t="shared" si="13"/>
        <v>0</v>
      </c>
    </row>
    <row r="85" spans="3:36" hidden="1" x14ac:dyDescent="0.2">
      <c r="C85" s="1148" t="str">
        <f>+TableA1!A86</f>
        <v>St. Vincent and the Grenadines</v>
      </c>
      <c r="D85" s="1459"/>
      <c r="E85" s="1200"/>
      <c r="F85" s="1153"/>
      <c r="G85" s="1153"/>
      <c r="H85" s="1153"/>
      <c r="I85" s="1168"/>
      <c r="J85" s="1168"/>
      <c r="K85" s="1168"/>
      <c r="L85" s="1198"/>
      <c r="M85" s="1168"/>
      <c r="N85" s="1229"/>
      <c r="O85" s="1459"/>
      <c r="P85" s="1200"/>
      <c r="Q85" s="1153"/>
      <c r="R85" s="1153"/>
      <c r="S85" s="1153"/>
      <c r="T85" s="1168"/>
      <c r="U85" s="1168"/>
      <c r="V85" s="1168"/>
      <c r="W85" s="1460"/>
      <c r="X85" s="1168"/>
      <c r="Y85" s="1211"/>
      <c r="Z85" s="173"/>
      <c r="AA85" s="954"/>
      <c r="AB85" s="1139"/>
      <c r="AC85" s="1139">
        <f t="shared" si="22"/>
        <v>0</v>
      </c>
      <c r="AD85" s="1139"/>
      <c r="AE85" s="1139">
        <f t="shared" si="23"/>
        <v>0</v>
      </c>
      <c r="AF85" s="1139"/>
      <c r="AG85" s="1139"/>
      <c r="AH85" s="1139">
        <f t="shared" si="21"/>
        <v>0</v>
      </c>
      <c r="AI85" s="1139"/>
      <c r="AJ85" s="1139">
        <f t="shared" si="13"/>
        <v>0</v>
      </c>
    </row>
    <row r="86" spans="3:36" hidden="1" x14ac:dyDescent="0.2">
      <c r="C86" s="1148" t="str">
        <f>+TableA1!A87</f>
        <v>Turks and Caicos</v>
      </c>
      <c r="D86" s="1459"/>
      <c r="E86" s="1200"/>
      <c r="F86" s="1153"/>
      <c r="G86" s="1153"/>
      <c r="H86" s="1153"/>
      <c r="I86" s="1168"/>
      <c r="J86" s="1168"/>
      <c r="K86" s="1168"/>
      <c r="L86" s="1198"/>
      <c r="M86" s="1168"/>
      <c r="N86" s="1229"/>
      <c r="O86" s="1459"/>
      <c r="P86" s="1200"/>
      <c r="Q86" s="1153"/>
      <c r="R86" s="1153"/>
      <c r="S86" s="1153"/>
      <c r="T86" s="1168"/>
      <c r="U86" s="1168"/>
      <c r="V86" s="1168"/>
      <c r="W86" s="1460"/>
      <c r="X86" s="1168"/>
      <c r="Y86" s="1211"/>
      <c r="Z86" s="173"/>
      <c r="AA86" s="954"/>
      <c r="AB86" s="1139"/>
      <c r="AC86" s="1139">
        <f t="shared" si="22"/>
        <v>0</v>
      </c>
      <c r="AD86" s="1139"/>
      <c r="AE86" s="1139">
        <f t="shared" si="23"/>
        <v>0</v>
      </c>
      <c r="AF86" s="1139"/>
      <c r="AG86" s="1139"/>
      <c r="AH86" s="1139">
        <f t="shared" si="21"/>
        <v>0</v>
      </c>
      <c r="AI86" s="1139"/>
      <c r="AJ86" s="1139">
        <f t="shared" si="13"/>
        <v>0</v>
      </c>
    </row>
    <row r="87" spans="3:36" hidden="1" x14ac:dyDescent="0.2">
      <c r="C87" s="1148" t="str">
        <f>+TableA1!A88</f>
        <v>Panama</v>
      </c>
      <c r="D87" s="1459"/>
      <c r="E87" s="1200"/>
      <c r="F87" s="1153"/>
      <c r="G87" s="1153"/>
      <c r="H87" s="1153"/>
      <c r="I87" s="1168"/>
      <c r="J87" s="1168"/>
      <c r="K87" s="1168"/>
      <c r="L87" s="1198"/>
      <c r="M87" s="1168"/>
      <c r="N87" s="1229"/>
      <c r="O87" s="1459"/>
      <c r="P87" s="1200"/>
      <c r="Q87" s="1153"/>
      <c r="R87" s="1153"/>
      <c r="S87" s="1153"/>
      <c r="T87" s="1168"/>
      <c r="U87" s="1168"/>
      <c r="V87" s="1168"/>
      <c r="W87" s="1460"/>
      <c r="X87" s="1168"/>
      <c r="Y87" s="1211"/>
      <c r="Z87" s="173"/>
      <c r="AA87" s="954"/>
      <c r="AB87" s="1139"/>
      <c r="AC87" s="1139">
        <f t="shared" si="22"/>
        <v>0</v>
      </c>
      <c r="AD87" s="1139"/>
      <c r="AE87" s="1139">
        <f t="shared" si="23"/>
        <v>0</v>
      </c>
      <c r="AF87" s="1139"/>
      <c r="AG87" s="1139"/>
      <c r="AH87" s="1139">
        <f t="shared" si="21"/>
        <v>0</v>
      </c>
      <c r="AI87" s="1139"/>
      <c r="AJ87" s="1139">
        <f t="shared" si="13"/>
        <v>0</v>
      </c>
    </row>
    <row r="88" spans="3:36" hidden="1" x14ac:dyDescent="0.2">
      <c r="C88" s="1148" t="s">
        <v>108</v>
      </c>
      <c r="D88" s="1459"/>
      <c r="E88" s="1200"/>
      <c r="F88" s="1153"/>
      <c r="G88" s="1153"/>
      <c r="H88" s="1153"/>
      <c r="I88" s="1168"/>
      <c r="J88" s="1168"/>
      <c r="K88" s="1168"/>
      <c r="L88" s="1198"/>
      <c r="M88" s="1168"/>
      <c r="N88" s="1229"/>
      <c r="O88" s="1459"/>
      <c r="P88" s="1200"/>
      <c r="Q88" s="1153"/>
      <c r="R88" s="1153"/>
      <c r="S88" s="1153"/>
      <c r="T88" s="1168"/>
      <c r="U88" s="1168"/>
      <c r="V88" s="1168"/>
      <c r="W88" s="1460"/>
      <c r="X88" s="1168"/>
      <c r="Y88" s="1211"/>
      <c r="Z88" s="173"/>
      <c r="AA88" s="954"/>
      <c r="AB88" s="1139"/>
      <c r="AC88" s="1139">
        <f t="shared" si="22"/>
        <v>0</v>
      </c>
      <c r="AD88" s="1139"/>
      <c r="AE88" s="1139">
        <f t="shared" si="23"/>
        <v>0</v>
      </c>
      <c r="AF88" s="1139"/>
      <c r="AG88" s="1139"/>
      <c r="AH88" s="1139">
        <f t="shared" si="21"/>
        <v>0</v>
      </c>
      <c r="AI88" s="1139"/>
      <c r="AJ88" s="1139">
        <f t="shared" si="13"/>
        <v>0</v>
      </c>
    </row>
    <row r="89" spans="3:36" ht="40" customHeight="1" x14ac:dyDescent="0.2">
      <c r="C89" s="1461" t="s">
        <v>155</v>
      </c>
      <c r="D89" s="1462">
        <f>+E89+L89</f>
        <v>7418.4007328242969</v>
      </c>
      <c r="E89" s="1341">
        <f>SUM(F89:K89)</f>
        <v>3917.9274204913795</v>
      </c>
      <c r="F89" s="1342">
        <v>1538.8801146239491</v>
      </c>
      <c r="G89" s="1342">
        <v>-27.790811293277596</v>
      </c>
      <c r="H89" s="1342">
        <v>-145.20458495795557</v>
      </c>
      <c r="I89" s="1463">
        <v>2057.9624653544411</v>
      </c>
      <c r="J89" s="1463">
        <v>-134.81909146427398</v>
      </c>
      <c r="K89" s="1463">
        <v>628.8993282284963</v>
      </c>
      <c r="L89" s="1464">
        <f>SUM(M89:N89)</f>
        <v>3500.473312332917</v>
      </c>
      <c r="M89" s="1465">
        <v>597.55682785304793</v>
      </c>
      <c r="N89" s="1466">
        <v>2902.9164844798688</v>
      </c>
      <c r="O89" s="1467">
        <f>+P89+W89</f>
        <v>92385.718525268167</v>
      </c>
      <c r="P89" s="1341">
        <f>SUM(Q89:V89)</f>
        <v>35871.109879269032</v>
      </c>
      <c r="Q89" s="1453">
        <v>2442.5142105510408</v>
      </c>
      <c r="R89" s="1453">
        <v>881.51684126462169</v>
      </c>
      <c r="S89" s="1453">
        <v>19826.195565368522</v>
      </c>
      <c r="T89" s="1453">
        <v>1898.9105557382447</v>
      </c>
      <c r="U89" s="1453">
        <v>3546.4537041386752</v>
      </c>
      <c r="V89" s="1453">
        <v>7275.5190022079296</v>
      </c>
      <c r="W89" s="1464">
        <f>SUM(X89:Y89)</f>
        <v>56514.608645999135</v>
      </c>
      <c r="X89" s="1465">
        <v>5433.1508687275364</v>
      </c>
      <c r="Y89" s="1468">
        <v>51081.4577772716</v>
      </c>
      <c r="Z89" s="173"/>
      <c r="AA89" s="1469">
        <f>+TableB2!L90/TableB2!$L$91</f>
        <v>6.7158306912131871E-2</v>
      </c>
      <c r="AB89" s="1139">
        <f>+AA89</f>
        <v>6.7158306912131871E-2</v>
      </c>
      <c r="AC89" s="1139">
        <f t="shared" si="22"/>
        <v>0.15893644962964881</v>
      </c>
      <c r="AD89" s="1139">
        <f>+AB89</f>
        <v>6.7158306912131871E-2</v>
      </c>
      <c r="AE89" s="1139">
        <f>+AD89/$AD$90</f>
        <v>0.26233696407958473</v>
      </c>
      <c r="AF89" s="1139"/>
      <c r="AG89" s="1139">
        <f>+AB89</f>
        <v>6.7158306912131871E-2</v>
      </c>
      <c r="AH89" s="1139">
        <f>+AG89/$AG$90</f>
        <v>0.96161976793348058</v>
      </c>
      <c r="AI89" s="1139">
        <f>+AD89</f>
        <v>6.7158306912131871E-2</v>
      </c>
      <c r="AJ89" s="1139">
        <f>+AI89/$AI$90</f>
        <v>0.96161976793348058</v>
      </c>
    </row>
    <row r="90" spans="3:36" ht="40" customHeight="1" x14ac:dyDescent="0.2">
      <c r="C90" s="622" t="s">
        <v>110</v>
      </c>
      <c r="D90" s="1470">
        <f t="shared" ref="D90:O90" si="24">SUMIF(D9:D89,"&gt;-999999")-D44</f>
        <v>147343.94059958696</v>
      </c>
      <c r="E90" s="304">
        <f t="shared" si="24"/>
        <v>105372.01898245345</v>
      </c>
      <c r="F90" s="244">
        <f t="shared" si="24"/>
        <v>11407.444386070565</v>
      </c>
      <c r="G90" s="245">
        <f t="shared" si="24"/>
        <v>295.16929892564701</v>
      </c>
      <c r="H90" s="245">
        <f t="shared" si="24"/>
        <v>7655.7207225791572</v>
      </c>
      <c r="I90" s="245">
        <f t="shared" si="24"/>
        <v>38107.023193801651</v>
      </c>
      <c r="J90" s="245">
        <f t="shared" si="24"/>
        <v>155.03356390830689</v>
      </c>
      <c r="K90" s="245">
        <f t="shared" si="24"/>
        <v>47751.627817168104</v>
      </c>
      <c r="L90" s="304">
        <f t="shared" si="24"/>
        <v>45857.426004046953</v>
      </c>
      <c r="M90" s="244">
        <f t="shared" si="24"/>
        <v>11844.041883716764</v>
      </c>
      <c r="N90" s="623">
        <f t="shared" si="24"/>
        <v>34013.3841203302</v>
      </c>
      <c r="O90" s="1470">
        <f t="shared" si="24"/>
        <v>808950.11294280121</v>
      </c>
      <c r="P90" s="304">
        <f t="shared" ref="P90:Y90" si="25">SUMIF(P9:P89,"&gt;-999999")-P44</f>
        <v>352459.52776515292</v>
      </c>
      <c r="Q90" s="332">
        <f t="shared" si="25"/>
        <v>59554.347996304576</v>
      </c>
      <c r="R90" s="298">
        <f t="shared" si="25"/>
        <v>2941.1904115635734</v>
      </c>
      <c r="S90" s="298">
        <f t="shared" si="25"/>
        <v>110410.0934305541</v>
      </c>
      <c r="T90" s="298">
        <f t="shared" si="25"/>
        <v>74435.463991708632</v>
      </c>
      <c r="U90" s="298">
        <f t="shared" si="25"/>
        <v>4878.3613228504337</v>
      </c>
      <c r="V90" s="631">
        <f t="shared" si="25"/>
        <v>100240.07061217159</v>
      </c>
      <c r="W90" s="245">
        <f t="shared" si="25"/>
        <v>477316.52935388347</v>
      </c>
      <c r="X90" s="332">
        <f t="shared" si="25"/>
        <v>96092.626541333113</v>
      </c>
      <c r="Y90" s="624">
        <f t="shared" si="25"/>
        <v>381223.90281255031</v>
      </c>
      <c r="Z90" s="173"/>
      <c r="AA90" s="1019">
        <f>+SUM(AA9:AA89)</f>
        <v>0.85846452450486399</v>
      </c>
      <c r="AB90" s="1139">
        <f>+SUM(AB9:AB89)</f>
        <v>0.42254817613343626</v>
      </c>
      <c r="AC90" s="1139">
        <f t="shared" si="22"/>
        <v>1</v>
      </c>
      <c r="AD90" s="1139">
        <f>+SUM(AD9:AD89)</f>
        <v>0.25600016813398119</v>
      </c>
      <c r="AE90" s="1139">
        <f>SUM(AE9:AE89)</f>
        <v>1</v>
      </c>
      <c r="AF90" s="1139"/>
      <c r="AG90" s="1139">
        <f>+SUM(AG9:AG89)</f>
        <v>6.9838733719518861E-2</v>
      </c>
      <c r="AH90" s="1139">
        <f t="shared" ref="AH90" si="26">+AG90/$AB$90</f>
        <v>0.16527993176679698</v>
      </c>
      <c r="AI90" s="1139">
        <f>+SUM(AI9:AI89)</f>
        <v>6.9838733719518861E-2</v>
      </c>
      <c r="AJ90" s="1139">
        <f>+SUM(AJ9:AJ89)</f>
        <v>1</v>
      </c>
    </row>
    <row r="91" spans="3:36" ht="40" customHeight="1" thickBot="1" x14ac:dyDescent="0.25">
      <c r="C91" s="263" t="s">
        <v>639</v>
      </c>
      <c r="D91" s="626">
        <f>+E91+L91</f>
        <v>105788.09742605902</v>
      </c>
      <c r="E91" s="326">
        <f>+E89+E44+E8</f>
        <v>78380.218312798941</v>
      </c>
      <c r="F91" s="627">
        <f t="shared" ref="F91:Y91" si="27">+F89+F44+F8</f>
        <v>9088.4967573106878</v>
      </c>
      <c r="G91" s="628">
        <f t="shared" si="27"/>
        <v>273.87521768207267</v>
      </c>
      <c r="H91" s="628">
        <f t="shared" si="27"/>
        <v>2453.643218777831</v>
      </c>
      <c r="I91" s="628">
        <f t="shared" si="27"/>
        <v>32121.057324221249</v>
      </c>
      <c r="J91" s="628">
        <f t="shared" si="27"/>
        <v>103.46196089652524</v>
      </c>
      <c r="K91" s="628">
        <f t="shared" si="27"/>
        <v>34339.683833910589</v>
      </c>
      <c r="L91" s="326">
        <f t="shared" si="27"/>
        <v>27407.879113260082</v>
      </c>
      <c r="M91" s="627">
        <f t="shared" si="27"/>
        <v>5769.2397689483214</v>
      </c>
      <c r="N91" s="629">
        <f t="shared" si="27"/>
        <v>21638.639344311763</v>
      </c>
      <c r="O91" s="626">
        <f>+P91+W91</f>
        <v>657166.45637196908</v>
      </c>
      <c r="P91" s="326">
        <f t="shared" si="27"/>
        <v>281941.0723402084</v>
      </c>
      <c r="Q91" s="627">
        <f t="shared" si="27"/>
        <v>43532.769993977752</v>
      </c>
      <c r="R91" s="628">
        <f t="shared" si="27"/>
        <v>2809.2114705226704</v>
      </c>
      <c r="S91" s="628">
        <f t="shared" si="27"/>
        <v>99047.039326951752</v>
      </c>
      <c r="T91" s="628">
        <f t="shared" si="27"/>
        <v>61135.31393497988</v>
      </c>
      <c r="U91" s="628">
        <f t="shared" si="27"/>
        <v>4761.4656893570627</v>
      </c>
      <c r="V91" s="629">
        <f t="shared" si="27"/>
        <v>70655.271924419358</v>
      </c>
      <c r="W91" s="628">
        <f t="shared" si="27"/>
        <v>375225.38403176062</v>
      </c>
      <c r="X91" s="627">
        <f t="shared" si="27"/>
        <v>66460.803424167985</v>
      </c>
      <c r="Y91" s="630">
        <f t="shared" si="27"/>
        <v>308764.58060759259</v>
      </c>
      <c r="Z91" s="954"/>
      <c r="AA91" s="954"/>
      <c r="AB91" s="954"/>
      <c r="AC91" s="954"/>
      <c r="AD91" s="954"/>
      <c r="AE91" s="954"/>
      <c r="AF91" s="954"/>
      <c r="AG91" s="954"/>
      <c r="AH91" s="954"/>
      <c r="AI91" s="954"/>
      <c r="AJ91" s="954"/>
    </row>
    <row r="92" spans="3:36" s="2" customFormat="1" ht="17" thickTop="1" x14ac:dyDescent="0.2">
      <c r="E92" s="1450"/>
      <c r="F92" s="954"/>
      <c r="G92" s="954"/>
      <c r="H92" s="954"/>
      <c r="I92" s="954"/>
      <c r="J92" s="954"/>
      <c r="K92" s="954"/>
      <c r="L92" s="954"/>
      <c r="N92" s="954"/>
      <c r="O92" s="954"/>
      <c r="P92" s="954"/>
      <c r="Q92" s="954"/>
      <c r="R92" s="954"/>
      <c r="S92" s="954"/>
      <c r="T92" s="954"/>
      <c r="U92" s="954"/>
      <c r="V92" s="954"/>
      <c r="W92" s="954"/>
      <c r="X92" s="954"/>
      <c r="Y92" s="954"/>
    </row>
    <row r="94" spans="3:36" s="2" customFormat="1" x14ac:dyDescent="0.2">
      <c r="C94" s="954"/>
      <c r="D94" s="954"/>
      <c r="E94" s="1450"/>
      <c r="F94" s="954"/>
      <c r="G94" s="954"/>
      <c r="H94" s="954"/>
      <c r="I94" s="954"/>
      <c r="J94" s="954"/>
      <c r="K94" s="954"/>
      <c r="L94" s="954"/>
      <c r="N94" s="954"/>
      <c r="O94" s="954"/>
      <c r="P94" s="954"/>
      <c r="Q94" s="954"/>
      <c r="R94" s="954"/>
      <c r="S94" s="954"/>
      <c r="T94" s="954"/>
      <c r="U94" s="954"/>
      <c r="V94" s="954"/>
      <c r="W94" s="954"/>
      <c r="X94" s="954"/>
      <c r="Y94" s="954"/>
    </row>
    <row r="100" spans="13:13" x14ac:dyDescent="0.2">
      <c r="M100" s="1018">
        <f>+M9+M13+M22++M12+M24+M26+M27+M30+M32+M33+M41+M43+M44+M89</f>
        <v>3759.7217582591365</v>
      </c>
    </row>
    <row r="101" spans="13:13" x14ac:dyDescent="0.2">
      <c r="M101" s="1471">
        <f>+M90-M100</f>
        <v>8084.320125457627</v>
      </c>
    </row>
  </sheetData>
  <mergeCells count="14">
    <mergeCell ref="AI8:AJ8"/>
    <mergeCell ref="AB8:AC8"/>
    <mergeCell ref="AG8:AH8"/>
    <mergeCell ref="AD8:AE8"/>
    <mergeCell ref="W6:W7"/>
    <mergeCell ref="AA6:AJ6"/>
    <mergeCell ref="C3:Y3"/>
    <mergeCell ref="P6:P7"/>
    <mergeCell ref="E6:E7"/>
    <mergeCell ref="L6:L7"/>
    <mergeCell ref="D5:N5"/>
    <mergeCell ref="D6:D7"/>
    <mergeCell ref="O6:O7"/>
    <mergeCell ref="O5:Y5"/>
  </mergeCells>
  <phoneticPr fontId="37" type="noConversion"/>
  <pageMargins left="0.7" right="0.7" top="0.75" bottom="0.75" header="0.3" footer="0.3"/>
  <pageSetup scale="31" fitToHeight="0" orientation="landscape" horizontalDpi="4294967292" verticalDpi="4294967292"/>
  <extLst>
    <ext xmlns:mx="http://schemas.microsoft.com/office/mac/excel/2008/main" uri="{64002731-A6B0-56B0-2670-7721B7C09600}">
      <mx:PLV Mode="0" OnePage="0" WScale="10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J100"/>
  <sheetViews>
    <sheetView topLeftCell="C1" zoomScale="70" zoomScaleNormal="70" zoomScalePageLayoutView="70" workbookViewId="0">
      <pane xSplit="1" ySplit="7" topLeftCell="S48" activePane="bottomRight" state="frozen"/>
      <selection pane="topRight" activeCell="D1" sqref="D1"/>
      <selection pane="bottomLeft" activeCell="C8" sqref="C8"/>
      <selection pane="bottomRight" activeCell="V49" sqref="V49"/>
    </sheetView>
  </sheetViews>
  <sheetFormatPr baseColWidth="10" defaultColWidth="10.83203125" defaultRowHeight="16" x14ac:dyDescent="0.2"/>
  <cols>
    <col min="1" max="2" width="10.83203125" style="1" hidden="1" customWidth="1"/>
    <col min="3" max="3" width="19" style="1" customWidth="1"/>
    <col min="4" max="25" width="11" style="1" customWidth="1"/>
    <col min="26" max="34" width="10.83203125" style="1"/>
    <col min="35" max="35" width="16" style="1" customWidth="1"/>
    <col min="36" max="16384" width="10.83203125" style="1"/>
  </cols>
  <sheetData>
    <row r="1" spans="3:36" ht="17" thickBot="1" x14ac:dyDescent="0.25">
      <c r="C1" s="954"/>
      <c r="D1" s="954"/>
      <c r="E1" s="954"/>
      <c r="F1" s="954"/>
      <c r="G1" s="954"/>
      <c r="H1" s="954"/>
      <c r="I1" s="954"/>
      <c r="J1" s="954"/>
      <c r="K1" s="954"/>
      <c r="L1" s="954"/>
      <c r="M1" s="954"/>
      <c r="N1" s="1109"/>
      <c r="O1" s="1109"/>
      <c r="P1" s="954"/>
      <c r="Q1" s="954"/>
      <c r="R1" s="954"/>
      <c r="S1" s="954"/>
      <c r="T1" s="954"/>
      <c r="U1" s="954"/>
      <c r="V1" s="954"/>
      <c r="W1" s="954"/>
      <c r="X1" s="954"/>
      <c r="Y1" s="1109"/>
      <c r="Z1" s="954"/>
      <c r="AA1" s="954"/>
      <c r="AB1" s="954"/>
      <c r="AC1" s="954"/>
      <c r="AD1" s="954"/>
      <c r="AE1" s="954"/>
      <c r="AF1" s="954"/>
      <c r="AG1" s="954"/>
      <c r="AH1" s="954"/>
      <c r="AI1" s="954"/>
      <c r="AJ1" s="954"/>
    </row>
    <row r="2" spans="3:36" ht="17" hidden="1" thickBot="1" x14ac:dyDescent="0.25">
      <c r="C2" s="954"/>
      <c r="D2" s="954"/>
      <c r="E2" s="954"/>
      <c r="F2" s="954">
        <v>2</v>
      </c>
      <c r="G2" s="954">
        <v>3</v>
      </c>
      <c r="H2" s="954">
        <v>4</v>
      </c>
      <c r="I2" s="954">
        <v>5</v>
      </c>
      <c r="J2" s="954">
        <v>6</v>
      </c>
      <c r="K2" s="954">
        <v>7</v>
      </c>
      <c r="L2" s="954"/>
      <c r="M2" s="954"/>
      <c r="N2" s="954"/>
      <c r="O2" s="954"/>
      <c r="P2" s="954"/>
      <c r="Q2" s="954">
        <v>2</v>
      </c>
      <c r="R2" s="954">
        <v>3</v>
      </c>
      <c r="S2" s="954">
        <v>4</v>
      </c>
      <c r="T2" s="954">
        <v>5</v>
      </c>
      <c r="U2" s="954">
        <v>6</v>
      </c>
      <c r="V2" s="954">
        <v>7</v>
      </c>
      <c r="W2" s="954"/>
      <c r="X2" s="954"/>
      <c r="Y2" s="954"/>
      <c r="Z2" s="954"/>
      <c r="AA2" s="954"/>
      <c r="AB2" s="954"/>
      <c r="AC2" s="954"/>
      <c r="AD2" s="954"/>
      <c r="AE2" s="954"/>
      <c r="AF2" s="954"/>
      <c r="AG2" s="954"/>
      <c r="AH2" s="954"/>
      <c r="AI2" s="954"/>
      <c r="AJ2" s="954"/>
    </row>
    <row r="3" spans="3:36" ht="32.25" customHeight="1" thickTop="1" x14ac:dyDescent="0.2">
      <c r="C3" s="1951" t="s">
        <v>640</v>
      </c>
      <c r="D3" s="1952"/>
      <c r="E3" s="1952"/>
      <c r="F3" s="1952"/>
      <c r="G3" s="1952"/>
      <c r="H3" s="1952"/>
      <c r="I3" s="1952"/>
      <c r="J3" s="1952"/>
      <c r="K3" s="1952"/>
      <c r="L3" s="1952"/>
      <c r="M3" s="1952"/>
      <c r="N3" s="1952"/>
      <c r="O3" s="1952"/>
      <c r="P3" s="1952"/>
      <c r="Q3" s="1952"/>
      <c r="R3" s="1952"/>
      <c r="S3" s="1952"/>
      <c r="T3" s="1952"/>
      <c r="U3" s="1952"/>
      <c r="V3" s="1952"/>
      <c r="W3" s="1952"/>
      <c r="X3" s="1952"/>
      <c r="Y3" s="1953"/>
      <c r="Z3" s="954"/>
      <c r="AA3" s="954"/>
      <c r="AB3" s="954"/>
      <c r="AC3" s="954"/>
      <c r="AD3" s="954"/>
      <c r="AE3" s="954"/>
      <c r="AF3" s="954"/>
      <c r="AG3" s="954"/>
      <c r="AH3" s="954"/>
      <c r="AI3" s="954"/>
      <c r="AJ3" s="954"/>
    </row>
    <row r="4" spans="3:36" ht="32.25" customHeight="1" x14ac:dyDescent="0.2">
      <c r="C4" s="4"/>
      <c r="D4" s="160" t="s">
        <v>1</v>
      </c>
      <c r="E4" s="160" t="s">
        <v>2</v>
      </c>
      <c r="F4" s="160" t="s">
        <v>3</v>
      </c>
      <c r="G4" s="160" t="s">
        <v>4</v>
      </c>
      <c r="H4" s="160" t="s">
        <v>5</v>
      </c>
      <c r="I4" s="160" t="s">
        <v>6</v>
      </c>
      <c r="J4" s="160" t="s">
        <v>7</v>
      </c>
      <c r="K4" s="160" t="s">
        <v>8</v>
      </c>
      <c r="L4" s="160" t="s">
        <v>9</v>
      </c>
      <c r="M4" s="160" t="s">
        <v>10</v>
      </c>
      <c r="N4" s="160" t="s">
        <v>11</v>
      </c>
      <c r="O4" s="160" t="s">
        <v>12</v>
      </c>
      <c r="P4" s="160" t="s">
        <v>13</v>
      </c>
      <c r="Q4" s="160" t="s">
        <v>177</v>
      </c>
      <c r="R4" s="160" t="s">
        <v>178</v>
      </c>
      <c r="S4" s="160" t="s">
        <v>179</v>
      </c>
      <c r="T4" s="160" t="s">
        <v>619</v>
      </c>
      <c r="U4" s="160" t="s">
        <v>620</v>
      </c>
      <c r="V4" s="160" t="s">
        <v>621</v>
      </c>
      <c r="W4" s="160" t="s">
        <v>622</v>
      </c>
      <c r="X4" s="160" t="s">
        <v>623</v>
      </c>
      <c r="Y4" s="6" t="s">
        <v>624</v>
      </c>
      <c r="Z4" s="954"/>
      <c r="AA4" s="954"/>
      <c r="AB4" s="954"/>
      <c r="AC4" s="954"/>
      <c r="AD4" s="954"/>
      <c r="AE4" s="954"/>
      <c r="AF4" s="954"/>
      <c r="AG4" s="954"/>
      <c r="AH4" s="954"/>
      <c r="AI4" s="954"/>
      <c r="AJ4" s="954"/>
    </row>
    <row r="5" spans="3:36" ht="21" customHeight="1" x14ac:dyDescent="0.2">
      <c r="C5" s="1148"/>
      <c r="D5" s="2115" t="s">
        <v>625</v>
      </c>
      <c r="E5" s="2116"/>
      <c r="F5" s="2116"/>
      <c r="G5" s="2116"/>
      <c r="H5" s="2116"/>
      <c r="I5" s="2116"/>
      <c r="J5" s="2116"/>
      <c r="K5" s="2116"/>
      <c r="L5" s="2116"/>
      <c r="M5" s="2116"/>
      <c r="N5" s="2117"/>
      <c r="O5" s="2115" t="s">
        <v>641</v>
      </c>
      <c r="P5" s="2116"/>
      <c r="Q5" s="2116"/>
      <c r="R5" s="2116"/>
      <c r="S5" s="2116"/>
      <c r="T5" s="2116"/>
      <c r="U5" s="2116"/>
      <c r="V5" s="2116"/>
      <c r="W5" s="2116"/>
      <c r="X5" s="2116"/>
      <c r="Y5" s="2192"/>
      <c r="Z5" s="954"/>
      <c r="AA5" s="954"/>
      <c r="AB5" s="954"/>
      <c r="AC5" s="954"/>
      <c r="AD5" s="954"/>
      <c r="AE5" s="954"/>
      <c r="AF5" s="954"/>
      <c r="AG5" s="954"/>
      <c r="AH5" s="954"/>
      <c r="AI5" s="954"/>
      <c r="AJ5" s="954"/>
    </row>
    <row r="6" spans="3:36" ht="85" customHeight="1" x14ac:dyDescent="0.2">
      <c r="C6" s="1148"/>
      <c r="D6" s="2050" t="s">
        <v>627</v>
      </c>
      <c r="E6" s="2050" t="s">
        <v>628</v>
      </c>
      <c r="F6" s="1820" t="s">
        <v>31</v>
      </c>
      <c r="G6" s="1820" t="s">
        <v>86</v>
      </c>
      <c r="H6" s="1820" t="s">
        <v>43</v>
      </c>
      <c r="I6" s="1822" t="s">
        <v>49</v>
      </c>
      <c r="J6" s="1820" t="s">
        <v>96</v>
      </c>
      <c r="K6" s="1822" t="s">
        <v>51</v>
      </c>
      <c r="L6" s="2050" t="s">
        <v>629</v>
      </c>
      <c r="M6" s="1822" t="s">
        <v>60</v>
      </c>
      <c r="N6" s="1837" t="s">
        <v>630</v>
      </c>
      <c r="O6" s="2050" t="s">
        <v>627</v>
      </c>
      <c r="P6" s="2050" t="s">
        <v>628</v>
      </c>
      <c r="Q6" s="1820" t="s">
        <v>31</v>
      </c>
      <c r="R6" s="1820" t="s">
        <v>86</v>
      </c>
      <c r="S6" s="1820" t="s">
        <v>43</v>
      </c>
      <c r="T6" s="1822" t="s">
        <v>49</v>
      </c>
      <c r="U6" s="1820" t="s">
        <v>96</v>
      </c>
      <c r="V6" s="1820" t="s">
        <v>51</v>
      </c>
      <c r="W6" s="2049" t="s">
        <v>629</v>
      </c>
      <c r="X6" s="1822" t="s">
        <v>60</v>
      </c>
      <c r="Y6" s="1831" t="s">
        <v>630</v>
      </c>
      <c r="Z6" s="173"/>
      <c r="AA6" s="954"/>
      <c r="AB6" s="954"/>
      <c r="AC6" s="954"/>
      <c r="AD6" s="954"/>
      <c r="AE6" s="954"/>
      <c r="AF6" s="954"/>
      <c r="AG6" s="954"/>
      <c r="AH6" s="954"/>
      <c r="AI6" s="954"/>
      <c r="AJ6" s="954"/>
    </row>
    <row r="7" spans="3:36" ht="13.5" customHeight="1" x14ac:dyDescent="0.2">
      <c r="C7" s="1148"/>
      <c r="D7" s="2050"/>
      <c r="E7" s="2050"/>
      <c r="F7" s="1820"/>
      <c r="G7" s="1820"/>
      <c r="H7" s="1820"/>
      <c r="I7" s="1820"/>
      <c r="J7" s="1820"/>
      <c r="K7" s="1820"/>
      <c r="L7" s="2067"/>
      <c r="M7" s="1820"/>
      <c r="N7" s="1837"/>
      <c r="O7" s="2050"/>
      <c r="P7" s="2050"/>
      <c r="Q7" s="1820"/>
      <c r="R7" s="1820"/>
      <c r="S7" s="1820"/>
      <c r="T7" s="1820"/>
      <c r="U7" s="1820"/>
      <c r="V7" s="1820"/>
      <c r="W7" s="2067"/>
      <c r="X7" s="1820"/>
      <c r="Y7" s="1831"/>
      <c r="Z7" s="173"/>
      <c r="AA7" s="954"/>
      <c r="AB7" s="954"/>
      <c r="AC7" s="954"/>
      <c r="AD7" s="954"/>
      <c r="AE7" s="954"/>
      <c r="AF7" s="954"/>
      <c r="AG7" s="954"/>
      <c r="AH7" s="954"/>
      <c r="AI7" s="954"/>
      <c r="AJ7" s="954"/>
    </row>
    <row r="8" spans="3:36" ht="40" customHeight="1" x14ac:dyDescent="0.2">
      <c r="C8" s="8" t="s">
        <v>28</v>
      </c>
      <c r="D8" s="264">
        <f>+E8+L8</f>
        <v>80504.674146517849</v>
      </c>
      <c r="E8" s="264">
        <f>SUMIF(E9:E43,"&gt;-999999999")-(E11+E23+E29+E31+E40)</f>
        <v>64268.796992313684</v>
      </c>
      <c r="F8" s="258">
        <f t="shared" ref="F8:K8" si="0">SUMIF(F9:F43,"&gt;-999999999")-(F11+F23+F29+F31+F40)</f>
        <v>6427.3659625994533</v>
      </c>
      <c r="G8" s="258">
        <f t="shared" si="0"/>
        <v>267.14124917339745</v>
      </c>
      <c r="H8" s="258">
        <f t="shared" si="0"/>
        <v>2390.5398538206928</v>
      </c>
      <c r="I8" s="258">
        <f t="shared" si="0"/>
        <v>25667.077679209913</v>
      </c>
      <c r="J8" s="258">
        <f t="shared" si="0"/>
        <v>209.56453811970039</v>
      </c>
      <c r="K8" s="258">
        <f t="shared" si="0"/>
        <v>29307.107709390548</v>
      </c>
      <c r="L8" s="264">
        <f>SUMIF(L9:L43,"&gt;-999999999")-(L11+L23+L29+L31)</f>
        <v>16235.877154204158</v>
      </c>
      <c r="M8" s="258">
        <f>SUMIF(M9:M43,"&gt;-999999999")-(M11+M23+M29+M31)</f>
        <v>3659.9212943551083</v>
      </c>
      <c r="N8" s="259">
        <f>SUMIF(N9:N43,"&gt;-999999999")-(N11+N23+N29+N31)</f>
        <v>12575.955859849048</v>
      </c>
      <c r="O8" s="264">
        <f>+P8+W8</f>
        <v>375674.88726064516</v>
      </c>
      <c r="P8" s="264">
        <f>SUMIF(P9:P43,"&gt;-999999999")-(P11+P23+P29+P31)-P40</f>
        <v>181874.36086934345</v>
      </c>
      <c r="Q8" s="258">
        <f t="shared" ref="Q8:V8" si="1">SUMIF(Q9:Q43,"&gt;-999999999")-(Q11+Q23+Q29+Q31)-Q40</f>
        <v>25016.5835469679</v>
      </c>
      <c r="R8" s="258">
        <f t="shared" si="1"/>
        <v>910.87393789792588</v>
      </c>
      <c r="S8" s="258">
        <f t="shared" si="1"/>
        <v>63742.947043034037</v>
      </c>
      <c r="T8" s="258">
        <f t="shared" si="1"/>
        <v>56087.792108036978</v>
      </c>
      <c r="U8" s="258">
        <f t="shared" si="1"/>
        <v>913.14680707665866</v>
      </c>
      <c r="V8" s="258">
        <f t="shared" si="1"/>
        <v>35203.01742632997</v>
      </c>
      <c r="W8" s="264">
        <f>SUMIF(W9:W43,"&gt;-999999999")-(W11+W23+W29+W31)</f>
        <v>193800.52639130171</v>
      </c>
      <c r="X8" s="258">
        <f>SUMIF(X9:X43,"&gt;-999999999")-(X11+X23+X29+X31)</f>
        <v>38104.840718718573</v>
      </c>
      <c r="Y8" s="621">
        <f>SUMIF(Y9:Y43,"&gt;-999999999")-(Y11+Y23+Y29+Y31)</f>
        <v>155695.68567258315</v>
      </c>
      <c r="Z8" s="173"/>
      <c r="AA8" s="1075"/>
      <c r="AB8" s="2281" t="s">
        <v>632</v>
      </c>
      <c r="AC8" s="2281"/>
      <c r="AD8" s="2281" t="s">
        <v>633</v>
      </c>
      <c r="AE8" s="2281"/>
      <c r="AF8" s="954"/>
      <c r="AG8" s="2281" t="s">
        <v>634</v>
      </c>
      <c r="AH8" s="2281"/>
      <c r="AI8" s="2281" t="s">
        <v>635</v>
      </c>
      <c r="AJ8" s="2281"/>
    </row>
    <row r="9" spans="3:36" ht="14.25" customHeight="1" x14ac:dyDescent="0.2">
      <c r="C9" s="1149" t="s">
        <v>29</v>
      </c>
      <c r="D9" s="1452">
        <f>+E9+L9</f>
        <v>1459.0515691491571</v>
      </c>
      <c r="E9" s="1452">
        <f>SUM(F9:K9)</f>
        <v>869.19616120130422</v>
      </c>
      <c r="F9" s="1453">
        <v>64.56824754436731</v>
      </c>
      <c r="G9" s="1453">
        <v>0</v>
      </c>
      <c r="H9" s="1453">
        <v>0</v>
      </c>
      <c r="I9" s="1453">
        <v>371.31554168482768</v>
      </c>
      <c r="J9" s="1453">
        <v>5.2126136377499703</v>
      </c>
      <c r="K9" s="1453">
        <v>428.09975833435925</v>
      </c>
      <c r="L9" s="1452">
        <f>SUM(M9:N9)</f>
        <v>589.85540794785288</v>
      </c>
      <c r="M9" s="1168">
        <v>92.467201553970966</v>
      </c>
      <c r="N9" s="1229">
        <v>497.38820639388194</v>
      </c>
      <c r="O9" s="1452">
        <f>+P9+W9</f>
        <v>12126.498755961245</v>
      </c>
      <c r="P9" s="1452">
        <f>SUM(Q9:V9)</f>
        <v>3444.6200337756745</v>
      </c>
      <c r="Q9" s="1453">
        <v>209.28599850100952</v>
      </c>
      <c r="R9" s="1453">
        <v>1.7670350798107419</v>
      </c>
      <c r="S9" s="1453">
        <v>1950.0565934065048</v>
      </c>
      <c r="T9" s="1453">
        <v>300.21103293341281</v>
      </c>
      <c r="U9" s="1453">
        <v>5.9289140095961335</v>
      </c>
      <c r="V9" s="1453">
        <v>977.37045984534063</v>
      </c>
      <c r="W9" s="1452">
        <f>SUM(X9:Y9)</f>
        <v>8681.878722185571</v>
      </c>
      <c r="X9" s="1168">
        <v>668.73786585925529</v>
      </c>
      <c r="Y9" s="1211">
        <v>8013.1408563263158</v>
      </c>
      <c r="Z9" s="173"/>
      <c r="AA9" s="1139">
        <f>+TableB2!L10/TableB2!$L$91</f>
        <v>1.2748824469055224E-2</v>
      </c>
      <c r="AB9" s="1139">
        <f>+AA9</f>
        <v>1.2748824469055224E-2</v>
      </c>
      <c r="AC9" s="1139">
        <f>+AB9/$AB$90</f>
        <v>3.0171292148778037E-2</v>
      </c>
      <c r="AD9" s="1139">
        <f>+AB9</f>
        <v>1.2748824469055224E-2</v>
      </c>
      <c r="AE9" s="1139">
        <f>+AD9/$AD$90</f>
        <v>4.9800062874892144E-2</v>
      </c>
      <c r="AF9" s="1139"/>
      <c r="AG9" s="1139"/>
      <c r="AH9" s="1139">
        <f t="shared" ref="AH9:AH72" si="2">+AG9/$AG$90</f>
        <v>0</v>
      </c>
      <c r="AI9" s="1139"/>
      <c r="AJ9" s="1139">
        <f t="shared" ref="AJ9:AJ21" si="3">+AI9/$AB$90</f>
        <v>0</v>
      </c>
    </row>
    <row r="10" spans="3:36" ht="14.25" customHeight="1" x14ac:dyDescent="0.2">
      <c r="C10" s="1149" t="s">
        <v>30</v>
      </c>
      <c r="D10" s="1452">
        <f t="shared" ref="D10:D51" si="4">+E10+L10</f>
        <v>420.24534010867956</v>
      </c>
      <c r="E10" s="1452">
        <f t="shared" ref="E10:E51" si="5">SUM(F10:K10)</f>
        <v>298.15867990353695</v>
      </c>
      <c r="F10" s="1453">
        <v>21.438968345726671</v>
      </c>
      <c r="G10" s="1453">
        <v>0</v>
      </c>
      <c r="H10" s="1453">
        <v>51.473913460068566</v>
      </c>
      <c r="I10" s="1453">
        <v>122.61535895281465</v>
      </c>
      <c r="J10" s="1453">
        <v>1.1234955818956067</v>
      </c>
      <c r="K10" s="1453">
        <v>101.50694356303143</v>
      </c>
      <c r="L10" s="1452">
        <f t="shared" ref="L10:L51" si="6">SUM(M10:N10)</f>
        <v>122.08666020514262</v>
      </c>
      <c r="M10" s="1168">
        <v>57.853472223653952</v>
      </c>
      <c r="N10" s="1229">
        <v>64.233187981488669</v>
      </c>
      <c r="O10" s="1452">
        <f t="shared" ref="O10:O51" si="7">+P10+W10</f>
        <v>3342.7105495280571</v>
      </c>
      <c r="P10" s="1452">
        <f t="shared" ref="P10:P51" si="8">SUM(Q10:V10)</f>
        <v>1877.8107582937084</v>
      </c>
      <c r="Q10" s="1453">
        <v>314.26971054328214</v>
      </c>
      <c r="R10" s="1453">
        <v>8.0443966277535228</v>
      </c>
      <c r="S10" s="1453">
        <v>736.17199666970953</v>
      </c>
      <c r="T10" s="1453">
        <v>537.27666517469504</v>
      </c>
      <c r="U10" s="1453">
        <v>36.326764288223615</v>
      </c>
      <c r="V10" s="1453">
        <v>245.72122499004436</v>
      </c>
      <c r="W10" s="1452">
        <f t="shared" ref="W10:W51" si="9">SUM(X10:Y10)</f>
        <v>1464.8997912343486</v>
      </c>
      <c r="X10" s="1168">
        <v>1175.0125594652318</v>
      </c>
      <c r="Y10" s="1211">
        <v>289.88723176911691</v>
      </c>
      <c r="Z10" s="173"/>
      <c r="AA10" s="1139">
        <f>+TableB2!L11/TableB2!$L$91</f>
        <v>7.732296120374859E-3</v>
      </c>
      <c r="AB10" s="1139"/>
      <c r="AC10" s="1139">
        <f t="shared" ref="AC10:AC73" si="10">+AB10/$AB$90</f>
        <v>0</v>
      </c>
      <c r="AD10" s="1139">
        <f t="shared" ref="AD10:AD42" si="11">+AB10</f>
        <v>0</v>
      </c>
      <c r="AE10" s="1139">
        <f t="shared" ref="AE10:AE73" si="12">+AD10/$AD$90</f>
        <v>0</v>
      </c>
      <c r="AF10" s="1139"/>
      <c r="AG10" s="1139"/>
      <c r="AH10" s="1139">
        <f t="shared" si="2"/>
        <v>0</v>
      </c>
      <c r="AI10" s="1139"/>
      <c r="AJ10" s="1139">
        <f t="shared" si="3"/>
        <v>0</v>
      </c>
    </row>
    <row r="11" spans="3:36" ht="14.25" customHeight="1" x14ac:dyDescent="0.2">
      <c r="C11" s="1149" t="s">
        <v>31</v>
      </c>
      <c r="D11" s="1452">
        <f t="shared" si="4"/>
        <v>4343.4119980320602</v>
      </c>
      <c r="E11" s="1452">
        <f t="shared" si="5"/>
        <v>4255.5401739424415</v>
      </c>
      <c r="F11" s="1453">
        <v>0</v>
      </c>
      <c r="G11" s="1453">
        <v>0</v>
      </c>
      <c r="H11" s="1453">
        <v>149.75113953694805</v>
      </c>
      <c r="I11" s="1453">
        <v>2580.6770494401062</v>
      </c>
      <c r="J11" s="1453">
        <v>16.546025842462569</v>
      </c>
      <c r="K11" s="1453">
        <v>1508.5659591229244</v>
      </c>
      <c r="L11" s="1452">
        <f t="shared" si="6"/>
        <v>87.871824089618727</v>
      </c>
      <c r="M11" s="1168">
        <v>55.648530451064609</v>
      </c>
      <c r="N11" s="1229">
        <v>32.223293638554118</v>
      </c>
      <c r="O11" s="1452">
        <f t="shared" si="7"/>
        <v>12648.305346175452</v>
      </c>
      <c r="P11" s="1452">
        <f t="shared" si="8"/>
        <v>7546.8687287957928</v>
      </c>
      <c r="Q11" s="1453">
        <v>0</v>
      </c>
      <c r="R11" s="1453">
        <v>8.7757054120947515</v>
      </c>
      <c r="S11" s="1453">
        <v>1964.4222431300482</v>
      </c>
      <c r="T11" s="1453">
        <v>4098.622152909038</v>
      </c>
      <c r="U11" s="1453">
        <v>5.3684873332350165</v>
      </c>
      <c r="V11" s="1453">
        <v>1469.6801400113766</v>
      </c>
      <c r="W11" s="1452">
        <f t="shared" si="9"/>
        <v>5101.4366173796589</v>
      </c>
      <c r="X11" s="1168">
        <v>4133.5080638454892</v>
      </c>
      <c r="Y11" s="1211">
        <v>967.92855353417008</v>
      </c>
      <c r="Z11" s="173"/>
      <c r="AA11" s="1139">
        <f>+TableB2!L12/TableB2!$L$91</f>
        <v>2.307033494060028E-2</v>
      </c>
      <c r="AB11" s="1139"/>
      <c r="AC11" s="1139">
        <f t="shared" si="10"/>
        <v>0</v>
      </c>
      <c r="AD11" s="1139">
        <f t="shared" si="11"/>
        <v>0</v>
      </c>
      <c r="AE11" s="1139">
        <f t="shared" si="12"/>
        <v>0</v>
      </c>
      <c r="AF11" s="1139"/>
      <c r="AG11" s="1139"/>
      <c r="AH11" s="1139">
        <f t="shared" si="2"/>
        <v>0</v>
      </c>
      <c r="AI11" s="1139"/>
      <c r="AJ11" s="1139">
        <f t="shared" si="3"/>
        <v>0</v>
      </c>
    </row>
    <row r="12" spans="3:36" ht="14.25" customHeight="1" x14ac:dyDescent="0.2">
      <c r="C12" s="1149" t="s">
        <v>32</v>
      </c>
      <c r="D12" s="1452">
        <f t="shared" si="4"/>
        <v>2283.9205579816144</v>
      </c>
      <c r="E12" s="1452">
        <f t="shared" si="5"/>
        <v>1244.8951011342494</v>
      </c>
      <c r="F12" s="1453">
        <v>143.03730345242059</v>
      </c>
      <c r="G12" s="1453">
        <v>0</v>
      </c>
      <c r="H12" s="1453">
        <v>57.116936668962438</v>
      </c>
      <c r="I12" s="1453">
        <v>564.84768632043824</v>
      </c>
      <c r="J12" s="1453">
        <v>5.2126136377499703</v>
      </c>
      <c r="K12" s="1453">
        <v>474.68056105467809</v>
      </c>
      <c r="L12" s="1452">
        <f t="shared" si="6"/>
        <v>1039.0254568473651</v>
      </c>
      <c r="M12" s="1168">
        <v>162.88021614019991</v>
      </c>
      <c r="N12" s="1229">
        <v>876.14524070716527</v>
      </c>
      <c r="O12" s="1452">
        <f t="shared" si="7"/>
        <v>17546.581021146125</v>
      </c>
      <c r="P12" s="1452">
        <f t="shared" si="8"/>
        <v>2253.5229529054918</v>
      </c>
      <c r="Q12" s="1453">
        <v>121.41048213577601</v>
      </c>
      <c r="R12" s="1453">
        <v>1.7670350798107419</v>
      </c>
      <c r="S12" s="1453">
        <v>584.51204363733041</v>
      </c>
      <c r="T12" s="1453">
        <v>580.47797626635418</v>
      </c>
      <c r="U12" s="1453">
        <v>7.622889440909316</v>
      </c>
      <c r="V12" s="1453">
        <v>957.73252634531104</v>
      </c>
      <c r="W12" s="1452">
        <f t="shared" si="9"/>
        <v>15293.058068240633</v>
      </c>
      <c r="X12" s="1168">
        <v>1177.9762586273903</v>
      </c>
      <c r="Y12" s="1211">
        <v>14115.081809613243</v>
      </c>
      <c r="Z12" s="173"/>
      <c r="AA12" s="1139">
        <f>+TableB2!L13/TableB2!$L$91</f>
        <v>2.2456949601109763E-2</v>
      </c>
      <c r="AB12" s="1139">
        <f>+AA12</f>
        <v>2.2456949601109763E-2</v>
      </c>
      <c r="AC12" s="1139">
        <f t="shared" si="10"/>
        <v>5.3146483334998697E-2</v>
      </c>
      <c r="AD12" s="1139">
        <f t="shared" si="11"/>
        <v>2.2456949601109763E-2</v>
      </c>
      <c r="AE12" s="1139">
        <f t="shared" si="12"/>
        <v>8.7722401765598104E-2</v>
      </c>
      <c r="AF12" s="1139"/>
      <c r="AG12" s="1139"/>
      <c r="AH12" s="1139">
        <f t="shared" si="2"/>
        <v>0</v>
      </c>
      <c r="AI12" s="1139"/>
      <c r="AJ12" s="1139">
        <f t="shared" si="3"/>
        <v>0</v>
      </c>
    </row>
    <row r="13" spans="3:36" ht="14.25" customHeight="1" x14ac:dyDescent="0.2">
      <c r="C13" s="1149" t="s">
        <v>33</v>
      </c>
      <c r="D13" s="1452">
        <f t="shared" si="4"/>
        <v>710.26963317488435</v>
      </c>
      <c r="E13" s="1452">
        <f t="shared" si="5"/>
        <v>431.90496559550559</v>
      </c>
      <c r="F13" s="1453">
        <v>17.224914711523891</v>
      </c>
      <c r="G13" s="1453">
        <v>0</v>
      </c>
      <c r="H13" s="1453">
        <v>0</v>
      </c>
      <c r="I13" s="1453">
        <v>124.32638059399397</v>
      </c>
      <c r="J13" s="1453">
        <v>1.9963201165850948</v>
      </c>
      <c r="K13" s="1453">
        <v>288.35735017340261</v>
      </c>
      <c r="L13" s="1452">
        <f t="shared" si="6"/>
        <v>278.3646675793787</v>
      </c>
      <c r="M13" s="1168">
        <v>43.637137976095467</v>
      </c>
      <c r="N13" s="1229">
        <v>234.72752960328322</v>
      </c>
      <c r="O13" s="1452">
        <f t="shared" si="7"/>
        <v>4722.143705084889</v>
      </c>
      <c r="P13" s="1452">
        <f t="shared" si="8"/>
        <v>624.98997570970164</v>
      </c>
      <c r="Q13" s="1453">
        <v>27.65163844237718</v>
      </c>
      <c r="R13" s="1453">
        <v>0</v>
      </c>
      <c r="S13" s="1453">
        <v>260.54614246446312</v>
      </c>
      <c r="T13" s="1453">
        <v>155.35396109840946</v>
      </c>
      <c r="U13" s="1453">
        <v>36.526345237690464</v>
      </c>
      <c r="V13" s="1453">
        <v>144.91188846676135</v>
      </c>
      <c r="W13" s="1452">
        <f t="shared" si="9"/>
        <v>4097.1537293751871</v>
      </c>
      <c r="X13" s="1168">
        <v>315.59089095290943</v>
      </c>
      <c r="Y13" s="1211">
        <v>3781.5628384222773</v>
      </c>
      <c r="Z13" s="173"/>
      <c r="AA13" s="1139">
        <f>+TableB2!L14/TableB2!$L$91</f>
        <v>6.0164274795801243E-3</v>
      </c>
      <c r="AB13" s="1139">
        <f>+AA13</f>
        <v>6.0164274795801243E-3</v>
      </c>
      <c r="AC13" s="1139">
        <f t="shared" si="10"/>
        <v>1.4238441482895431E-2</v>
      </c>
      <c r="AD13" s="1139">
        <f t="shared" si="11"/>
        <v>6.0164274795801243E-3</v>
      </c>
      <c r="AE13" s="1139">
        <f t="shared" si="12"/>
        <v>2.3501654406849235E-2</v>
      </c>
      <c r="AF13" s="1139"/>
      <c r="AG13" s="1139"/>
      <c r="AH13" s="1139">
        <f t="shared" si="2"/>
        <v>0</v>
      </c>
      <c r="AI13" s="1139"/>
      <c r="AJ13" s="1139">
        <f t="shared" si="3"/>
        <v>0</v>
      </c>
    </row>
    <row r="14" spans="3:36" ht="14.25" customHeight="1" x14ac:dyDescent="0.2">
      <c r="C14" s="1149" t="s">
        <v>34</v>
      </c>
      <c r="D14" s="1452">
        <f t="shared" si="4"/>
        <v>172.84660200291393</v>
      </c>
      <c r="E14" s="1452">
        <f t="shared" si="5"/>
        <v>141.65050856105915</v>
      </c>
      <c r="F14" s="1453">
        <v>8.8818583146581904</v>
      </c>
      <c r="G14" s="1453">
        <v>2.0757468024937831</v>
      </c>
      <c r="H14" s="1453">
        <v>2.1406920531597518</v>
      </c>
      <c r="I14" s="1453">
        <v>71.378074480654732</v>
      </c>
      <c r="J14" s="1453">
        <v>1.0213596199050967</v>
      </c>
      <c r="K14" s="1453">
        <v>56.152777290187601</v>
      </c>
      <c r="L14" s="1452">
        <f t="shared" si="6"/>
        <v>31.196093441854771</v>
      </c>
      <c r="M14" s="1168">
        <v>30.449195907186297</v>
      </c>
      <c r="N14" s="1229">
        <v>0.74689753466847286</v>
      </c>
      <c r="O14" s="1452">
        <f t="shared" si="7"/>
        <v>1672.8924464815741</v>
      </c>
      <c r="P14" s="1452">
        <f t="shared" si="8"/>
        <v>1335.739516194988</v>
      </c>
      <c r="Q14" s="1453">
        <v>278.21882105452659</v>
      </c>
      <c r="R14" s="1453">
        <v>14.114259537785728</v>
      </c>
      <c r="S14" s="1453">
        <v>276.44845493855576</v>
      </c>
      <c r="T14" s="1453">
        <v>293.9155035965847</v>
      </c>
      <c r="U14" s="1453">
        <v>4.3842646554752633</v>
      </c>
      <c r="V14" s="1453">
        <v>468.65821241205992</v>
      </c>
      <c r="W14" s="1452">
        <f t="shared" si="9"/>
        <v>337.15293028658618</v>
      </c>
      <c r="X14" s="1168">
        <v>301.6785944667044</v>
      </c>
      <c r="Y14" s="1211">
        <v>35.474335819881766</v>
      </c>
      <c r="Z14" s="173"/>
      <c r="AA14" s="1139">
        <f>+TableB2!L15/TableB2!$L$91</f>
        <v>3.5917694478059007E-3</v>
      </c>
      <c r="AB14" s="1139"/>
      <c r="AC14" s="1139">
        <f t="shared" si="10"/>
        <v>0</v>
      </c>
      <c r="AD14" s="1139">
        <f t="shared" si="11"/>
        <v>0</v>
      </c>
      <c r="AE14" s="1139">
        <f t="shared" si="12"/>
        <v>0</v>
      </c>
      <c r="AF14" s="1139"/>
      <c r="AG14" s="1139"/>
      <c r="AH14" s="1139">
        <f t="shared" si="2"/>
        <v>0</v>
      </c>
      <c r="AI14" s="1139"/>
      <c r="AJ14" s="1139">
        <f t="shared" si="3"/>
        <v>0</v>
      </c>
    </row>
    <row r="15" spans="3:36" ht="14.25" customHeight="1" x14ac:dyDescent="0.2">
      <c r="C15" s="1149" t="s">
        <v>35</v>
      </c>
      <c r="D15" s="1452">
        <f t="shared" si="4"/>
        <v>285.99189464829203</v>
      </c>
      <c r="E15" s="1452">
        <f t="shared" si="5"/>
        <v>239.90777355527123</v>
      </c>
      <c r="F15" s="1453">
        <v>11.127845474686701</v>
      </c>
      <c r="G15" s="1453">
        <v>0</v>
      </c>
      <c r="H15" s="1453">
        <v>121.43562192469862</v>
      </c>
      <c r="I15" s="1453">
        <v>77.575240637114675</v>
      </c>
      <c r="J15" s="1453">
        <v>0.61281577194305803</v>
      </c>
      <c r="K15" s="1453">
        <v>29.156249746828173</v>
      </c>
      <c r="L15" s="1452">
        <f t="shared" si="6"/>
        <v>46.084121093020769</v>
      </c>
      <c r="M15" s="1168">
        <v>40.108940815672987</v>
      </c>
      <c r="N15" s="1229">
        <v>5.9751802773477829</v>
      </c>
      <c r="O15" s="1452">
        <f t="shared" si="7"/>
        <v>2818.9490395511948</v>
      </c>
      <c r="P15" s="1452">
        <f t="shared" si="8"/>
        <v>2204.3925260140882</v>
      </c>
      <c r="Q15" s="1453">
        <v>315.05342553216809</v>
      </c>
      <c r="R15" s="1453">
        <v>0.73130878434122937</v>
      </c>
      <c r="S15" s="1453">
        <v>1103.7460534213446</v>
      </c>
      <c r="T15" s="1453">
        <v>396.9938373225649</v>
      </c>
      <c r="U15" s="1453">
        <v>12.34752086644054</v>
      </c>
      <c r="V15" s="1453">
        <v>375.52038008722826</v>
      </c>
      <c r="W15" s="1452">
        <f t="shared" si="9"/>
        <v>614.55651353710687</v>
      </c>
      <c r="X15" s="1168">
        <v>344.32265341335381</v>
      </c>
      <c r="Y15" s="1211">
        <v>270.23386012375306</v>
      </c>
      <c r="Z15" s="173"/>
      <c r="AA15" s="1139">
        <f>+TableB2!L16/TableB2!$L$91</f>
        <v>3.2805903994461813E-3</v>
      </c>
      <c r="AB15" s="1139"/>
      <c r="AC15" s="1139">
        <f t="shared" si="10"/>
        <v>0</v>
      </c>
      <c r="AD15" s="1139">
        <f t="shared" si="11"/>
        <v>0</v>
      </c>
      <c r="AE15" s="1139">
        <f t="shared" si="12"/>
        <v>0</v>
      </c>
      <c r="AF15" s="1139"/>
      <c r="AG15" s="1139"/>
      <c r="AH15" s="1139">
        <f t="shared" si="2"/>
        <v>0</v>
      </c>
      <c r="AI15" s="1139"/>
      <c r="AJ15" s="1139">
        <f t="shared" si="3"/>
        <v>0</v>
      </c>
    </row>
    <row r="16" spans="3:36" ht="14.25" customHeight="1" x14ac:dyDescent="0.2">
      <c r="C16" s="1088" t="s">
        <v>36</v>
      </c>
      <c r="D16" s="1452">
        <f t="shared" si="4"/>
        <v>32.292965550434353</v>
      </c>
      <c r="E16" s="1452">
        <f t="shared" si="5"/>
        <v>25.201971445662124</v>
      </c>
      <c r="F16" s="1453">
        <v>0.91881292910257151</v>
      </c>
      <c r="G16" s="1453">
        <v>0</v>
      </c>
      <c r="H16" s="1453">
        <v>3.6975590009122983</v>
      </c>
      <c r="I16" s="1453">
        <v>7.5251303328442205</v>
      </c>
      <c r="J16" s="1453">
        <v>0.10213596199050969</v>
      </c>
      <c r="K16" s="1453">
        <v>12.958333220812523</v>
      </c>
      <c r="L16" s="1452">
        <f t="shared" si="6"/>
        <v>7.0909941047722294</v>
      </c>
      <c r="M16" s="1168">
        <v>3.5699057270494281</v>
      </c>
      <c r="N16" s="1229">
        <v>3.5210883777228013</v>
      </c>
      <c r="O16" s="1452">
        <f t="shared" si="7"/>
        <v>223.18092054627817</v>
      </c>
      <c r="P16" s="1452">
        <f t="shared" si="8"/>
        <v>157.98744614477172</v>
      </c>
      <c r="Q16" s="1453">
        <v>30.564884566553623</v>
      </c>
      <c r="R16" s="1453">
        <v>1.023832298077721</v>
      </c>
      <c r="S16" s="1453">
        <v>10.238831664390952</v>
      </c>
      <c r="T16" s="1453">
        <v>105.04798341501166</v>
      </c>
      <c r="U16" s="1453">
        <v>0.26842436666175085</v>
      </c>
      <c r="V16" s="1453">
        <v>10.843489834076033</v>
      </c>
      <c r="W16" s="1452">
        <f t="shared" si="9"/>
        <v>65.19347440150645</v>
      </c>
      <c r="X16" s="1168">
        <v>41.314627852389357</v>
      </c>
      <c r="Y16" s="1211">
        <v>23.878846549117089</v>
      </c>
      <c r="Z16" s="173"/>
      <c r="AA16" s="1139">
        <f>+TableB2!L17/TableB2!$L$91</f>
        <v>5.929502460818286E-4</v>
      </c>
      <c r="AB16" s="1139"/>
      <c r="AC16" s="1139">
        <f t="shared" si="10"/>
        <v>0</v>
      </c>
      <c r="AD16" s="1139">
        <f t="shared" si="11"/>
        <v>0</v>
      </c>
      <c r="AE16" s="1139">
        <f t="shared" si="12"/>
        <v>0</v>
      </c>
      <c r="AF16" s="1139"/>
      <c r="AG16" s="1139"/>
      <c r="AH16" s="1139">
        <f t="shared" si="2"/>
        <v>0</v>
      </c>
      <c r="AI16" s="1139"/>
      <c r="AJ16" s="1139">
        <f t="shared" si="3"/>
        <v>0</v>
      </c>
    </row>
    <row r="17" spans="1:36" ht="14.25" customHeight="1" x14ac:dyDescent="0.2">
      <c r="A17" s="954"/>
      <c r="B17" s="954"/>
      <c r="C17" s="1149" t="s">
        <v>37</v>
      </c>
      <c r="D17" s="1452">
        <f t="shared" si="4"/>
        <v>339.59945949398292</v>
      </c>
      <c r="E17" s="1452">
        <f t="shared" si="5"/>
        <v>242.80172151263542</v>
      </c>
      <c r="F17" s="1453">
        <v>9.9027615692166044</v>
      </c>
      <c r="G17" s="1453">
        <v>0</v>
      </c>
      <c r="H17" s="1453">
        <v>36.586373272184836</v>
      </c>
      <c r="I17" s="1453">
        <v>87.202980915900696</v>
      </c>
      <c r="J17" s="1453">
        <v>1.1234955818956067</v>
      </c>
      <c r="K17" s="1453">
        <v>107.98611017343769</v>
      </c>
      <c r="L17" s="1452">
        <f t="shared" si="6"/>
        <v>96.797737981347495</v>
      </c>
      <c r="M17" s="1168">
        <v>71.08312285919007</v>
      </c>
      <c r="N17" s="1229">
        <v>25.714615122157426</v>
      </c>
      <c r="O17" s="1452">
        <f t="shared" si="7"/>
        <v>2506.509427583429</v>
      </c>
      <c r="P17" s="1452">
        <f t="shared" si="8"/>
        <v>1586.266735013724</v>
      </c>
      <c r="Q17" s="1453">
        <v>206.19541357590407</v>
      </c>
      <c r="R17" s="1453">
        <v>0.73130878434122937</v>
      </c>
      <c r="S17" s="1453">
        <v>788.49242647474728</v>
      </c>
      <c r="T17" s="1453">
        <v>438.02820584405379</v>
      </c>
      <c r="U17" s="1453">
        <v>2.236869722181257</v>
      </c>
      <c r="V17" s="1453">
        <v>150.58251061249632</v>
      </c>
      <c r="W17" s="1452">
        <f t="shared" si="9"/>
        <v>920.24269256970524</v>
      </c>
      <c r="X17" s="1168">
        <v>358.84413151988673</v>
      </c>
      <c r="Y17" s="1211">
        <v>561.39856104981857</v>
      </c>
      <c r="Z17" s="173"/>
      <c r="AA17" s="1139">
        <f>+TableB2!L18/TableB2!$L$91</f>
        <v>2.1673389492316785E-3</v>
      </c>
      <c r="AB17" s="1139"/>
      <c r="AC17" s="1139">
        <f t="shared" si="10"/>
        <v>0</v>
      </c>
      <c r="AD17" s="1139">
        <f t="shared" si="11"/>
        <v>0</v>
      </c>
      <c r="AE17" s="1139">
        <f t="shared" si="12"/>
        <v>0</v>
      </c>
      <c r="AF17" s="1139"/>
      <c r="AG17" s="1139"/>
      <c r="AH17" s="1139">
        <f t="shared" si="2"/>
        <v>0</v>
      </c>
      <c r="AI17" s="1139"/>
      <c r="AJ17" s="1139">
        <f t="shared" si="3"/>
        <v>0</v>
      </c>
    </row>
    <row r="18" spans="1:36" ht="14.25" customHeight="1" x14ac:dyDescent="0.2">
      <c r="A18" s="954"/>
      <c r="B18" s="954"/>
      <c r="C18" s="1088" t="s">
        <v>38</v>
      </c>
      <c r="D18" s="1452">
        <f t="shared" si="4"/>
        <v>6202.508420881526</v>
      </c>
      <c r="E18" s="1452">
        <f t="shared" si="5"/>
        <v>5904.0043312833968</v>
      </c>
      <c r="F18" s="1453">
        <v>1059.6975782316326</v>
      </c>
      <c r="G18" s="1453">
        <v>0</v>
      </c>
      <c r="H18" s="1453">
        <v>140.11802529772916</v>
      </c>
      <c r="I18" s="1453">
        <v>3044.911192767775</v>
      </c>
      <c r="J18" s="1453">
        <v>15.728938146538491</v>
      </c>
      <c r="K18" s="1453">
        <v>1643.5485968397218</v>
      </c>
      <c r="L18" s="1452">
        <f t="shared" si="6"/>
        <v>298.50408959812955</v>
      </c>
      <c r="M18" s="1168">
        <v>213.14437135030408</v>
      </c>
      <c r="N18" s="1229">
        <v>85.359718247825484</v>
      </c>
      <c r="O18" s="1452">
        <f t="shared" si="7"/>
        <v>27432.600642793856</v>
      </c>
      <c r="P18" s="1452">
        <f t="shared" si="8"/>
        <v>19461.497768223173</v>
      </c>
      <c r="Q18" s="1453">
        <v>5436.6308779021147</v>
      </c>
      <c r="R18" s="1453">
        <v>15.869400620204678</v>
      </c>
      <c r="S18" s="1453">
        <v>5394.8404039675934</v>
      </c>
      <c r="T18" s="1453">
        <v>6259.7655617074552</v>
      </c>
      <c r="U18" s="1453">
        <v>49.569033043536649</v>
      </c>
      <c r="V18" s="1453">
        <v>2304.8224909822679</v>
      </c>
      <c r="W18" s="1452">
        <f t="shared" si="9"/>
        <v>7971.1028745706808</v>
      </c>
      <c r="X18" s="1168">
        <v>613.98903341776418</v>
      </c>
      <c r="Y18" s="1211">
        <v>7357.1138411529164</v>
      </c>
      <c r="Z18" s="173"/>
      <c r="AA18" s="1139">
        <f>+TableB2!L19/TableB2!$L$91</f>
        <v>2.05890434097546E-2</v>
      </c>
      <c r="AB18" s="1139"/>
      <c r="AC18" s="1139">
        <f t="shared" si="10"/>
        <v>0</v>
      </c>
      <c r="AD18" s="1139">
        <f t="shared" si="11"/>
        <v>0</v>
      </c>
      <c r="AE18" s="1139">
        <f t="shared" si="12"/>
        <v>0</v>
      </c>
      <c r="AF18" s="1139"/>
      <c r="AG18" s="1139"/>
      <c r="AH18" s="1139">
        <f t="shared" si="2"/>
        <v>0</v>
      </c>
      <c r="AI18" s="1139"/>
      <c r="AJ18" s="1139">
        <f t="shared" si="3"/>
        <v>0</v>
      </c>
    </row>
    <row r="19" spans="1:36" ht="14.25" customHeight="1" x14ac:dyDescent="0.2">
      <c r="A19" s="954"/>
      <c r="B19" s="954" t="str">
        <f>+TableC1!B19</f>
        <v>Germany (until 1990 former territory of the FRG)</v>
      </c>
      <c r="C19" s="1149" t="s">
        <v>39</v>
      </c>
      <c r="D19" s="1452">
        <f t="shared" si="4"/>
        <v>13127.039456704984</v>
      </c>
      <c r="E19" s="1452">
        <f t="shared" si="5"/>
        <v>12087.566906770004</v>
      </c>
      <c r="F19" s="1453">
        <v>846.02252705255682</v>
      </c>
      <c r="G19" s="1453">
        <v>26.984708432419179</v>
      </c>
      <c r="H19" s="1453">
        <v>123.57631397785838</v>
      </c>
      <c r="I19" s="1453">
        <v>1837.3491017090087</v>
      </c>
      <c r="J19" s="1453">
        <v>15.422530260566964</v>
      </c>
      <c r="K19" s="1453">
        <v>9238.2117253375945</v>
      </c>
      <c r="L19" s="1452">
        <f t="shared" si="6"/>
        <v>1039.4725499349804</v>
      </c>
      <c r="M19" s="1168">
        <v>519.7362749674902</v>
      </c>
      <c r="N19" s="1229">
        <v>519.7362749674902</v>
      </c>
      <c r="O19" s="1452">
        <f t="shared" si="7"/>
        <v>44431.430198237256</v>
      </c>
      <c r="P19" s="1452">
        <f t="shared" si="8"/>
        <v>31507.307834851257</v>
      </c>
      <c r="Q19" s="1453">
        <v>3738.320496986174</v>
      </c>
      <c r="R19" s="1453">
        <v>59.236011531639576</v>
      </c>
      <c r="S19" s="1453">
        <v>9475.2195988606763</v>
      </c>
      <c r="T19" s="1453">
        <v>13718.610084104179</v>
      </c>
      <c r="U19" s="1453">
        <v>160.51777126372698</v>
      </c>
      <c r="V19" s="1453">
        <v>4355.4038721048601</v>
      </c>
      <c r="W19" s="1452">
        <f>SUM(X19:Y19)</f>
        <v>12924.122363385997</v>
      </c>
      <c r="X19" s="1168">
        <v>8273.1519635106397</v>
      </c>
      <c r="Y19" s="1211">
        <v>4650.9703998753575</v>
      </c>
      <c r="Z19" s="173"/>
      <c r="AA19" s="1139">
        <f>+TableB2!L20/TableB2!$L$91</f>
        <v>1.9280661865832386E-2</v>
      </c>
      <c r="AB19" s="1139"/>
      <c r="AC19" s="1139">
        <f t="shared" si="10"/>
        <v>0</v>
      </c>
      <c r="AD19" s="1139">
        <f t="shared" si="11"/>
        <v>0</v>
      </c>
      <c r="AE19" s="1139">
        <f t="shared" si="12"/>
        <v>0</v>
      </c>
      <c r="AF19" s="1139"/>
      <c r="AG19" s="1139"/>
      <c r="AH19" s="1139">
        <f t="shared" si="2"/>
        <v>0</v>
      </c>
      <c r="AI19" s="1139"/>
      <c r="AJ19" s="1139">
        <f t="shared" si="3"/>
        <v>0</v>
      </c>
    </row>
    <row r="20" spans="1:36" ht="14.25" customHeight="1" x14ac:dyDescent="0.2">
      <c r="A20" s="954"/>
      <c r="B20" s="954"/>
      <c r="C20" s="1149" t="s">
        <v>40</v>
      </c>
      <c r="D20" s="1452">
        <f t="shared" si="4"/>
        <v>63.86842642323883</v>
      </c>
      <c r="E20" s="1452">
        <f t="shared" si="5"/>
        <v>55.036742389076068</v>
      </c>
      <c r="F20" s="1453">
        <v>4.2877936691453344</v>
      </c>
      <c r="G20" s="1453">
        <v>0</v>
      </c>
      <c r="H20" s="1453">
        <v>0</v>
      </c>
      <c r="I20" s="1453">
        <v>18.148843743918412</v>
      </c>
      <c r="J20" s="1453">
        <v>0.20427192398101937</v>
      </c>
      <c r="K20" s="1453">
        <v>32.395833052031307</v>
      </c>
      <c r="L20" s="1452">
        <f t="shared" si="6"/>
        <v>8.831684034162766</v>
      </c>
      <c r="M20" s="1168">
        <v>8.0847864994942924</v>
      </c>
      <c r="N20" s="1229">
        <v>0.74689753466847286</v>
      </c>
      <c r="O20" s="1452">
        <f t="shared" si="7"/>
        <v>1033.2335008740968</v>
      </c>
      <c r="P20" s="1452">
        <f t="shared" si="8"/>
        <v>902.92422241425868</v>
      </c>
      <c r="Q20" s="1453">
        <v>191.22645728818165</v>
      </c>
      <c r="R20" s="1453">
        <v>42.415909491791304</v>
      </c>
      <c r="S20" s="1453">
        <v>279.52010443787304</v>
      </c>
      <c r="T20" s="1453">
        <v>203.53046786658507</v>
      </c>
      <c r="U20" s="1453">
        <v>4.473739444362514</v>
      </c>
      <c r="V20" s="1453">
        <v>181.75754388546497</v>
      </c>
      <c r="W20" s="1452">
        <f t="shared" si="9"/>
        <v>130.30927845983803</v>
      </c>
      <c r="X20" s="1168">
        <v>108.29750221703051</v>
      </c>
      <c r="Y20" s="1211">
        <v>22.011776242807521</v>
      </c>
      <c r="Z20" s="173"/>
      <c r="AA20" s="1139">
        <f>+TableB2!L21/TableB2!$L$91</f>
        <v>6.4152078461630685E-4</v>
      </c>
      <c r="AB20" s="1139"/>
      <c r="AC20" s="1139">
        <f t="shared" si="10"/>
        <v>0</v>
      </c>
      <c r="AD20" s="1139">
        <f t="shared" si="11"/>
        <v>0</v>
      </c>
      <c r="AE20" s="1139">
        <f t="shared" si="12"/>
        <v>0</v>
      </c>
      <c r="AF20" s="1139"/>
      <c r="AG20" s="1139"/>
      <c r="AH20" s="1139">
        <f t="shared" si="2"/>
        <v>0</v>
      </c>
      <c r="AI20" s="1139"/>
      <c r="AJ20" s="1139">
        <f t="shared" si="3"/>
        <v>0</v>
      </c>
    </row>
    <row r="21" spans="1:36" ht="14.25" customHeight="1" x14ac:dyDescent="0.2">
      <c r="A21" s="954"/>
      <c r="B21" s="954"/>
      <c r="C21" s="1149" t="s">
        <v>41</v>
      </c>
      <c r="D21" s="1452">
        <f t="shared" si="4"/>
        <v>556.36101489965631</v>
      </c>
      <c r="E21" s="1452">
        <f t="shared" si="5"/>
        <v>298.59551604050012</v>
      </c>
      <c r="F21" s="1453">
        <v>39.611046276866418</v>
      </c>
      <c r="G21" s="1453">
        <v>0.94352127386081042</v>
      </c>
      <c r="H21" s="1453">
        <v>8.4654640284044707</v>
      </c>
      <c r="I21" s="1453">
        <v>118.29947537956576</v>
      </c>
      <c r="J21" s="1453">
        <v>0.61281577194305825</v>
      </c>
      <c r="K21" s="1453">
        <v>130.66319330985959</v>
      </c>
      <c r="L21" s="1452">
        <f t="shared" si="6"/>
        <v>257.7654988591562</v>
      </c>
      <c r="M21" s="1168">
        <v>67.093228223076011</v>
      </c>
      <c r="N21" s="1229">
        <v>190.67227063608019</v>
      </c>
      <c r="O21" s="1452">
        <f t="shared" si="7"/>
        <v>1954.2993897600038</v>
      </c>
      <c r="P21" s="1452">
        <f t="shared" si="8"/>
        <v>1472.5365000658378</v>
      </c>
      <c r="Q21" s="1453">
        <v>184.95673737709373</v>
      </c>
      <c r="R21" s="1453">
        <v>0.29252351373649171</v>
      </c>
      <c r="S21" s="1453">
        <v>800.67663615537253</v>
      </c>
      <c r="T21" s="1453">
        <v>292.71182878662103</v>
      </c>
      <c r="U21" s="1453">
        <v>5.8158612776712681</v>
      </c>
      <c r="V21" s="1453">
        <v>188.08291295534261</v>
      </c>
      <c r="W21" s="1452">
        <f t="shared" si="9"/>
        <v>481.76288969416601</v>
      </c>
      <c r="X21" s="1168">
        <v>247.88776711433613</v>
      </c>
      <c r="Y21" s="1211">
        <v>233.87512257982991</v>
      </c>
      <c r="Z21" s="173"/>
      <c r="AA21" s="1139">
        <f>+TableB2!L22/TableB2!$L$91</f>
        <v>6.4782772588043071E-3</v>
      </c>
      <c r="AB21" s="1139"/>
      <c r="AC21" s="1139">
        <f t="shared" si="10"/>
        <v>0</v>
      </c>
      <c r="AD21" s="1139">
        <f t="shared" si="11"/>
        <v>0</v>
      </c>
      <c r="AE21" s="1139">
        <f t="shared" si="12"/>
        <v>0</v>
      </c>
      <c r="AF21" s="1139"/>
      <c r="AG21" s="1139"/>
      <c r="AH21" s="1139">
        <f t="shared" si="2"/>
        <v>0</v>
      </c>
      <c r="AI21" s="1139"/>
      <c r="AJ21" s="1139">
        <f t="shared" si="3"/>
        <v>0</v>
      </c>
    </row>
    <row r="22" spans="1:36" ht="14.25" customHeight="1" x14ac:dyDescent="0.2">
      <c r="A22" s="954"/>
      <c r="B22" s="954"/>
      <c r="C22" s="1149" t="s">
        <v>42</v>
      </c>
      <c r="D22" s="1452">
        <f t="shared" si="4"/>
        <v>140.72843291877749</v>
      </c>
      <c r="E22" s="1452">
        <f t="shared" si="5"/>
        <v>130.14709240126379</v>
      </c>
      <c r="F22" s="1453">
        <v>29.111113167429259</v>
      </c>
      <c r="G22" s="1453">
        <v>0</v>
      </c>
      <c r="H22" s="1453">
        <v>4.2144535794574223</v>
      </c>
      <c r="I22" s="1453">
        <v>91.830725362914364</v>
      </c>
      <c r="J22" s="1453">
        <v>0.55453336571808187</v>
      </c>
      <c r="K22" s="1453">
        <v>4.436266925744655</v>
      </c>
      <c r="L22" s="1452">
        <f t="shared" si="6"/>
        <v>10.581340517513683</v>
      </c>
      <c r="M22" s="1168">
        <v>1.6587572702743387</v>
      </c>
      <c r="N22" s="1229">
        <v>8.9225832472393432</v>
      </c>
      <c r="O22" s="1452">
        <f t="shared" si="7"/>
        <v>318.17944892795748</v>
      </c>
      <c r="P22" s="1452">
        <f t="shared" si="8"/>
        <v>223.82272384818725</v>
      </c>
      <c r="Q22" s="1453">
        <v>11.23180671740659</v>
      </c>
      <c r="R22" s="1453">
        <v>0</v>
      </c>
      <c r="S22" s="1453">
        <v>71.094761354644206</v>
      </c>
      <c r="T22" s="1453">
        <v>97.6210701496762</v>
      </c>
      <c r="U22" s="1453">
        <v>0</v>
      </c>
      <c r="V22" s="1453">
        <v>43.87508562646024</v>
      </c>
      <c r="W22" s="1452">
        <f t="shared" si="9"/>
        <v>94.356725079770243</v>
      </c>
      <c r="X22" s="1168">
        <v>7.2680023504669835</v>
      </c>
      <c r="Y22" s="1211">
        <v>87.088722729303257</v>
      </c>
      <c r="Z22" s="173"/>
      <c r="AA22" s="1139">
        <f>+TableB2!L23/TableB2!$L$91</f>
        <v>2.5129516763681151E-4</v>
      </c>
      <c r="AB22" s="1139">
        <f>+AA22</f>
        <v>2.5129516763681151E-4</v>
      </c>
      <c r="AC22" s="1139">
        <f t="shared" si="10"/>
        <v>5.9471364883481386E-4</v>
      </c>
      <c r="AD22" s="1139">
        <f t="shared" si="11"/>
        <v>2.5129516763681151E-4</v>
      </c>
      <c r="AE22" s="1139">
        <f t="shared" si="12"/>
        <v>9.8162110387870036E-4</v>
      </c>
      <c r="AF22" s="1139"/>
      <c r="AG22" s="1139">
        <v>0</v>
      </c>
      <c r="AH22" s="1139">
        <f t="shared" si="2"/>
        <v>0</v>
      </c>
      <c r="AI22" s="1139">
        <v>0</v>
      </c>
      <c r="AJ22" s="1139">
        <f>+AI22/$AI$90</f>
        <v>0</v>
      </c>
    </row>
    <row r="23" spans="1:36" ht="14.25" customHeight="1" x14ac:dyDescent="0.2">
      <c r="A23" s="954"/>
      <c r="B23" s="954"/>
      <c r="C23" s="1149" t="s">
        <v>43</v>
      </c>
      <c r="D23" s="1452">
        <f t="shared" si="4"/>
        <v>6194.7229413235154</v>
      </c>
      <c r="E23" s="1452">
        <f t="shared" si="5"/>
        <v>5717.901055921735</v>
      </c>
      <c r="F23" s="1453">
        <v>308.21069255118482</v>
      </c>
      <c r="G23" s="1453">
        <v>0</v>
      </c>
      <c r="H23" s="1453">
        <v>0</v>
      </c>
      <c r="I23" s="1453">
        <v>1096.5664186493143</v>
      </c>
      <c r="J23" s="1453">
        <v>14.196898716680845</v>
      </c>
      <c r="K23" s="1453">
        <v>4298.9270460045545</v>
      </c>
      <c r="L23" s="1452">
        <f t="shared" si="6"/>
        <v>476.82188540178049</v>
      </c>
      <c r="M23" s="1168">
        <v>205.16458207807594</v>
      </c>
      <c r="N23" s="1229">
        <v>271.65730332370458</v>
      </c>
      <c r="O23" s="1452">
        <f t="shared" si="7"/>
        <v>51497.729497607492</v>
      </c>
      <c r="P23" s="1452">
        <f t="shared" si="8"/>
        <v>12972.594384673688</v>
      </c>
      <c r="Q23" s="1453">
        <v>1559.5928278831207</v>
      </c>
      <c r="R23" s="1453">
        <v>2.9252351373649175</v>
      </c>
      <c r="S23" s="1453">
        <v>0</v>
      </c>
      <c r="T23" s="1453">
        <v>955.28009918026225</v>
      </c>
      <c r="U23" s="1453">
        <v>3.2210923999410097</v>
      </c>
      <c r="V23" s="1453">
        <v>10451.575130072999</v>
      </c>
      <c r="W23" s="1452">
        <f t="shared" si="9"/>
        <v>38525.1351129338</v>
      </c>
      <c r="X23" s="1168">
        <v>3157.9101685192654</v>
      </c>
      <c r="Y23" s="1211">
        <v>35367.224944414535</v>
      </c>
      <c r="Z23" s="173"/>
      <c r="AA23" s="1139">
        <f>+TableB2!L24/TableB2!$L$91</f>
        <v>2.109084370193446E-2</v>
      </c>
      <c r="AB23" s="1139"/>
      <c r="AC23" s="1139">
        <f t="shared" si="10"/>
        <v>0</v>
      </c>
      <c r="AD23" s="1139">
        <f t="shared" si="11"/>
        <v>0</v>
      </c>
      <c r="AE23" s="1139">
        <f t="shared" si="12"/>
        <v>0</v>
      </c>
      <c r="AF23" s="1139"/>
      <c r="AG23" s="1139"/>
      <c r="AH23" s="1139">
        <f t="shared" si="2"/>
        <v>0</v>
      </c>
      <c r="AI23" s="1139"/>
      <c r="AJ23" s="1139">
        <f>+AI23/$AB$90</f>
        <v>0</v>
      </c>
    </row>
    <row r="24" spans="1:36" ht="14.25" customHeight="1" x14ac:dyDescent="0.2">
      <c r="A24" s="954"/>
      <c r="B24" s="954"/>
      <c r="C24" s="1149" t="s">
        <v>44</v>
      </c>
      <c r="D24" s="1452">
        <f t="shared" si="4"/>
        <v>59.524321498763051</v>
      </c>
      <c r="E24" s="1452">
        <f t="shared" si="5"/>
        <v>32.656615557168095</v>
      </c>
      <c r="F24" s="1453">
        <v>12.085468847908924</v>
      </c>
      <c r="G24" s="1453">
        <v>-0.24030159252125718</v>
      </c>
      <c r="H24" s="1453">
        <v>-1.2555550335885755</v>
      </c>
      <c r="I24" s="1453">
        <v>17.794790247568937</v>
      </c>
      <c r="J24" s="1453">
        <v>-1.1657537464180019</v>
      </c>
      <c r="K24" s="1453">
        <v>5.4379668342180683</v>
      </c>
      <c r="L24" s="1452">
        <f t="shared" si="6"/>
        <v>26.867705941594956</v>
      </c>
      <c r="M24" s="1168">
        <v>4.2118484413622932</v>
      </c>
      <c r="N24" s="1229">
        <v>22.655857500232663</v>
      </c>
      <c r="O24" s="1452">
        <f t="shared" si="7"/>
        <v>654.0377077141643</v>
      </c>
      <c r="P24" s="1452">
        <f t="shared" si="8"/>
        <v>258.58119178629136</v>
      </c>
      <c r="Q24" s="1453">
        <v>10.185097045183149</v>
      </c>
      <c r="R24" s="1453">
        <v>6.0721645951362957</v>
      </c>
      <c r="S24" s="1453">
        <v>156.0997016645729</v>
      </c>
      <c r="T24" s="1453">
        <v>15.540424223455346</v>
      </c>
      <c r="U24" s="1453">
        <v>29.273804298090038</v>
      </c>
      <c r="V24" s="1453">
        <v>41.4099999598536</v>
      </c>
      <c r="W24" s="1452">
        <f t="shared" si="9"/>
        <v>395.456515927873</v>
      </c>
      <c r="X24" s="1168">
        <v>30.460774097886521</v>
      </c>
      <c r="Y24" s="1211">
        <v>364.99574182998646</v>
      </c>
      <c r="Z24" s="173"/>
      <c r="AA24" s="1139">
        <f>+TableB2!L25/TableB2!$L$91</f>
        <v>5.8070446133108653E-4</v>
      </c>
      <c r="AB24" s="1139">
        <f>+AA24</f>
        <v>5.8070446133108653E-4</v>
      </c>
      <c r="AC24" s="1139">
        <f t="shared" si="10"/>
        <v>1.3742917237150876E-3</v>
      </c>
      <c r="AD24" s="1139">
        <f t="shared" si="11"/>
        <v>5.8070446133108653E-4</v>
      </c>
      <c r="AE24" s="1139">
        <f t="shared" si="12"/>
        <v>2.2683753122660719E-3</v>
      </c>
      <c r="AF24" s="1139"/>
      <c r="AG24" s="1139">
        <f>+AB24</f>
        <v>5.8070446133108653E-4</v>
      </c>
      <c r="AH24" s="1139">
        <f t="shared" si="2"/>
        <v>8.3149339972753335E-3</v>
      </c>
      <c r="AI24" s="1139">
        <f>+AD24</f>
        <v>5.8070446133108653E-4</v>
      </c>
      <c r="AJ24" s="1139">
        <f>+AI24/$AI$90</f>
        <v>8.3149339972753335E-3</v>
      </c>
    </row>
    <row r="25" spans="1:36" ht="14.25" customHeight="1" x14ac:dyDescent="0.2">
      <c r="A25" s="954"/>
      <c r="B25" s="954"/>
      <c r="C25" s="1149" t="s">
        <v>45</v>
      </c>
      <c r="D25" s="1452">
        <f t="shared" si="4"/>
        <v>5222.0979587386482</v>
      </c>
      <c r="E25" s="1452">
        <f t="shared" si="5"/>
        <v>4875.0141135647027</v>
      </c>
      <c r="F25" s="1453">
        <v>987.1113568325294</v>
      </c>
      <c r="G25" s="1453">
        <v>4.7176063693040513</v>
      </c>
      <c r="H25" s="1453">
        <v>51.473913460068566</v>
      </c>
      <c r="I25" s="1453">
        <v>2723.32253472005</v>
      </c>
      <c r="J25" s="1453">
        <v>9.0901006171553629</v>
      </c>
      <c r="K25" s="1453">
        <v>1099.2986015655956</v>
      </c>
      <c r="L25" s="1452">
        <f t="shared" si="6"/>
        <v>347.08384517394569</v>
      </c>
      <c r="M25" s="1168">
        <v>303.33698957193513</v>
      </c>
      <c r="N25" s="1229">
        <v>43.746855602010555</v>
      </c>
      <c r="O25" s="1452">
        <f t="shared" si="7"/>
        <v>18577.84591087994</v>
      </c>
      <c r="P25" s="1452">
        <f t="shared" si="8"/>
        <v>15518.596916443594</v>
      </c>
      <c r="Q25" s="1453">
        <v>1254.7276972064706</v>
      </c>
      <c r="R25" s="1453">
        <v>10.969631765118441</v>
      </c>
      <c r="S25" s="1453">
        <v>5906.7819871871416</v>
      </c>
      <c r="T25" s="1453">
        <v>6897.0566610918586</v>
      </c>
      <c r="U25" s="1453">
        <v>71.937730265349231</v>
      </c>
      <c r="V25" s="1453">
        <v>1377.1232089276559</v>
      </c>
      <c r="W25" s="1452">
        <f t="shared" si="9"/>
        <v>3059.2489944363456</v>
      </c>
      <c r="X25" s="1168">
        <v>2054.1755684924378</v>
      </c>
      <c r="Y25" s="1211">
        <v>1005.0734259439078</v>
      </c>
      <c r="Z25" s="173"/>
      <c r="AA25" s="1139">
        <f>+TableB2!L26/TableB2!$L$91</f>
        <v>1.0039610832351697E-2</v>
      </c>
      <c r="AB25" s="1139"/>
      <c r="AC25" s="1139">
        <f t="shared" si="10"/>
        <v>0</v>
      </c>
      <c r="AD25" s="1139">
        <f t="shared" si="11"/>
        <v>0</v>
      </c>
      <c r="AE25" s="1139">
        <f t="shared" si="12"/>
        <v>0</v>
      </c>
      <c r="AF25" s="1139"/>
      <c r="AG25" s="1139"/>
      <c r="AH25" s="1139">
        <f t="shared" si="2"/>
        <v>0</v>
      </c>
      <c r="AI25" s="1139"/>
      <c r="AJ25" s="1139">
        <f>+AI25/$AB$90</f>
        <v>0</v>
      </c>
    </row>
    <row r="26" spans="1:36" ht="14.25" customHeight="1" x14ac:dyDescent="0.2">
      <c r="A26" s="954"/>
      <c r="B26" s="954"/>
      <c r="C26" s="1149" t="s">
        <v>46</v>
      </c>
      <c r="D26" s="1452">
        <f t="shared" si="4"/>
        <v>591.05371167489784</v>
      </c>
      <c r="E26" s="1452">
        <f t="shared" si="5"/>
        <v>323.57967446745613</v>
      </c>
      <c r="F26" s="1453">
        <v>16.922723225356801</v>
      </c>
      <c r="G26" s="1453">
        <v>0</v>
      </c>
      <c r="H26" s="1453">
        <v>8.6507205052020772</v>
      </c>
      <c r="I26" s="1453">
        <v>72.089337543350652</v>
      </c>
      <c r="J26" s="1453">
        <v>0.77634671200531458</v>
      </c>
      <c r="K26" s="1453">
        <v>225.14054648154126</v>
      </c>
      <c r="L26" s="1452">
        <f t="shared" si="6"/>
        <v>267.47403720744171</v>
      </c>
      <c r="M26" s="1168">
        <v>41.929895658600728</v>
      </c>
      <c r="N26" s="1229">
        <v>225.54414154884097</v>
      </c>
      <c r="O26" s="1452">
        <f t="shared" si="7"/>
        <v>8376.8471014220413</v>
      </c>
      <c r="P26" s="1452">
        <f t="shared" si="8"/>
        <v>4439.9888119517927</v>
      </c>
      <c r="Q26" s="1453">
        <v>331.60572213295649</v>
      </c>
      <c r="R26" s="1453">
        <v>75.187342645947069</v>
      </c>
      <c r="S26" s="1453">
        <v>2276.1432189947805</v>
      </c>
      <c r="T26" s="1453">
        <v>831.35362966175853</v>
      </c>
      <c r="U26" s="1453">
        <v>1.6939754313131812</v>
      </c>
      <c r="V26" s="1453">
        <v>924.00492308503703</v>
      </c>
      <c r="W26" s="1452">
        <f t="shared" si="9"/>
        <v>3936.858289470249</v>
      </c>
      <c r="X26" s="1168">
        <v>303.2438363787569</v>
      </c>
      <c r="Y26" s="1211">
        <v>3633.6144530914921</v>
      </c>
      <c r="Z26" s="173"/>
      <c r="AA26" s="1139">
        <f>+TableB2!L27/TableB2!$L$91</f>
        <v>5.7810431241967775E-3</v>
      </c>
      <c r="AB26" s="1139">
        <f>+AA26</f>
        <v>5.7810431241967775E-3</v>
      </c>
      <c r="AC26" s="1139">
        <f t="shared" si="10"/>
        <v>1.3681382267690076E-2</v>
      </c>
      <c r="AD26" s="1139">
        <f t="shared" si="11"/>
        <v>5.7810431241967775E-3</v>
      </c>
      <c r="AE26" s="1139">
        <f t="shared" si="12"/>
        <v>2.2582184872516137E-2</v>
      </c>
      <c r="AF26" s="1139"/>
      <c r="AG26" s="1139"/>
      <c r="AH26" s="1139">
        <f t="shared" si="2"/>
        <v>0</v>
      </c>
      <c r="AI26" s="1139"/>
      <c r="AJ26" s="1139">
        <f t="shared" ref="AJ26:AJ88" si="13">+AI26/$AB$90</f>
        <v>0</v>
      </c>
    </row>
    <row r="27" spans="1:36" ht="14.25" customHeight="1" x14ac:dyDescent="0.2">
      <c r="A27" s="954" t="str">
        <f>+TableC1!A27</f>
        <v>Korea, Republic of</v>
      </c>
      <c r="B27" s="954" t="str">
        <f>+TableC1!B27</f>
        <v>South Korea</v>
      </c>
      <c r="C27" s="1149" t="s">
        <v>47</v>
      </c>
      <c r="D27" s="1452">
        <f t="shared" si="4"/>
        <v>280.37118617698968</v>
      </c>
      <c r="E27" s="1452">
        <f t="shared" si="5"/>
        <v>35.117605313850987</v>
      </c>
      <c r="F27" s="1453">
        <v>10.274510529680915</v>
      </c>
      <c r="G27" s="1453">
        <v>0</v>
      </c>
      <c r="H27" s="1453">
        <v>-5.1017069646063531</v>
      </c>
      <c r="I27" s="1453">
        <v>12.532454065228652</v>
      </c>
      <c r="J27" s="1453">
        <v>-0.33272001943084917</v>
      </c>
      <c r="K27" s="1453">
        <v>17.74506770297862</v>
      </c>
      <c r="L27" s="1452">
        <f t="shared" si="6"/>
        <v>245.25358086313872</v>
      </c>
      <c r="M27" s="1168">
        <v>38.446561628387819</v>
      </c>
      <c r="N27" s="1229">
        <v>206.8070192347509</v>
      </c>
      <c r="O27" s="1452">
        <f t="shared" si="7"/>
        <v>4787.971646101314</v>
      </c>
      <c r="P27" s="1452">
        <f t="shared" si="8"/>
        <v>1178.1686053131493</v>
      </c>
      <c r="Q27" s="1453">
        <v>125.47532647159935</v>
      </c>
      <c r="R27" s="1453">
        <v>29.951244602792077</v>
      </c>
      <c r="S27" s="1453">
        <v>291.34713992634727</v>
      </c>
      <c r="T27" s="1453">
        <v>252.24024899964724</v>
      </c>
      <c r="U27" s="1453">
        <v>0.10587346445707382</v>
      </c>
      <c r="V27" s="1453">
        <v>479.04877184830633</v>
      </c>
      <c r="W27" s="1452">
        <f t="shared" si="9"/>
        <v>3609.8030407881643</v>
      </c>
      <c r="X27" s="1168">
        <v>278.05179718765129</v>
      </c>
      <c r="Y27" s="1211">
        <v>3331.7512436005131</v>
      </c>
      <c r="Z27" s="173"/>
      <c r="AA27" s="1139">
        <f>+TableB2!L28/TableB2!$L$91</f>
        <v>5.3007818707797921E-3</v>
      </c>
      <c r="AB27" s="1139">
        <f>+AA27</f>
        <v>5.3007818707797921E-3</v>
      </c>
      <c r="AC27" s="1139">
        <f t="shared" si="10"/>
        <v>1.2544798842312032E-2</v>
      </c>
      <c r="AD27" s="1139">
        <f t="shared" si="11"/>
        <v>5.3007818707797921E-3</v>
      </c>
      <c r="AE27" s="1139">
        <f t="shared" si="12"/>
        <v>2.0706165583475537E-2</v>
      </c>
      <c r="AF27" s="1139"/>
      <c r="AG27" s="1139"/>
      <c r="AH27" s="1139">
        <f t="shared" si="2"/>
        <v>0</v>
      </c>
      <c r="AI27" s="1139"/>
      <c r="AJ27" s="1139">
        <f t="shared" si="13"/>
        <v>0</v>
      </c>
    </row>
    <row r="28" spans="1:36" ht="14.25" customHeight="1" x14ac:dyDescent="0.2">
      <c r="A28" s="954"/>
      <c r="B28" s="954"/>
      <c r="C28" s="1148" t="s">
        <v>48</v>
      </c>
      <c r="D28" s="1452">
        <f t="shared" si="4"/>
        <v>17.76611039837978</v>
      </c>
      <c r="E28" s="1452">
        <f t="shared" si="5"/>
        <v>14.141727213934441</v>
      </c>
      <c r="F28" s="1453">
        <v>0.71463227819088904</v>
      </c>
      <c r="G28" s="1453">
        <v>0</v>
      </c>
      <c r="H28" s="1453">
        <v>2.5299087900978883</v>
      </c>
      <c r="I28" s="1453">
        <v>4.3158835732488914</v>
      </c>
      <c r="J28" s="1453">
        <v>0.10213596199050969</v>
      </c>
      <c r="K28" s="1453">
        <v>6.4791666104062617</v>
      </c>
      <c r="L28" s="1452">
        <f t="shared" si="6"/>
        <v>3.6243831844453385</v>
      </c>
      <c r="M28" s="1168">
        <v>0.2099944545323193</v>
      </c>
      <c r="N28" s="1229">
        <v>3.4143887299130191</v>
      </c>
      <c r="O28" s="1452">
        <f t="shared" si="7"/>
        <v>192.92838271951794</v>
      </c>
      <c r="P28" s="1452">
        <f t="shared" si="8"/>
        <v>133.36870696829479</v>
      </c>
      <c r="Q28" s="1453">
        <v>10.031551857740677</v>
      </c>
      <c r="R28" s="1453">
        <v>0.8775705412094752</v>
      </c>
      <c r="S28" s="1453">
        <v>46.074742489759288</v>
      </c>
      <c r="T28" s="1453">
        <v>64.670164789866547</v>
      </c>
      <c r="U28" s="1453">
        <v>1.9684453555195063</v>
      </c>
      <c r="V28" s="1453">
        <v>9.7462319341992902</v>
      </c>
      <c r="W28" s="1452">
        <f t="shared" si="9"/>
        <v>59.559675751223146</v>
      </c>
      <c r="X28" s="1168">
        <v>15.339589549154462</v>
      </c>
      <c r="Y28" s="1211">
        <v>44.220086202068686</v>
      </c>
      <c r="Z28" s="173"/>
      <c r="AA28" s="1139">
        <f>+TableB2!L29/TableB2!$L$91</f>
        <v>3.9009029227811333E-4</v>
      </c>
      <c r="AB28" s="1139"/>
      <c r="AC28" s="1139">
        <f t="shared" si="10"/>
        <v>0</v>
      </c>
      <c r="AD28" s="1139">
        <f t="shared" si="11"/>
        <v>0</v>
      </c>
      <c r="AE28" s="1139">
        <f t="shared" si="12"/>
        <v>0</v>
      </c>
      <c r="AF28" s="1139"/>
      <c r="AG28" s="1139"/>
      <c r="AH28" s="1139">
        <f t="shared" si="2"/>
        <v>0</v>
      </c>
      <c r="AI28" s="1139"/>
      <c r="AJ28" s="1139">
        <f t="shared" si="13"/>
        <v>0</v>
      </c>
    </row>
    <row r="29" spans="1:36" ht="14.25" customHeight="1" x14ac:dyDescent="0.2">
      <c r="A29" s="954"/>
      <c r="B29" s="954"/>
      <c r="C29" s="1148" t="s">
        <v>49</v>
      </c>
      <c r="D29" s="1452">
        <f t="shared" si="4"/>
        <v>17109.125079017667</v>
      </c>
      <c r="E29" s="1452">
        <f t="shared" si="5"/>
        <v>6756.6740190209202</v>
      </c>
      <c r="F29" s="1453">
        <v>920.8547356116884</v>
      </c>
      <c r="G29" s="1453">
        <v>31.702314801723229</v>
      </c>
      <c r="H29" s="1453">
        <v>936.16355652045297</v>
      </c>
      <c r="I29" s="1453">
        <v>0</v>
      </c>
      <c r="J29" s="1453">
        <v>16.137481994500529</v>
      </c>
      <c r="K29" s="1453">
        <v>4851.8159300925554</v>
      </c>
      <c r="L29" s="1452">
        <f t="shared" si="6"/>
        <v>10352.451059996747</v>
      </c>
      <c r="M29" s="1168">
        <v>1288.3159785557789</v>
      </c>
      <c r="N29" s="1229">
        <v>9064.1350814409689</v>
      </c>
      <c r="O29" s="1452">
        <f t="shared" si="7"/>
        <v>16388.987318014475</v>
      </c>
      <c r="P29" s="1452">
        <f t="shared" si="8"/>
        <v>4153.0880766778746</v>
      </c>
      <c r="Q29" s="1453">
        <v>1890.3205531930087</v>
      </c>
      <c r="R29" s="1453">
        <v>38.028056785743921</v>
      </c>
      <c r="S29" s="1453">
        <v>1512.2754368305439</v>
      </c>
      <c r="T29" s="1453">
        <v>0</v>
      </c>
      <c r="U29" s="1453">
        <v>30.421428221665092</v>
      </c>
      <c r="V29" s="1453">
        <v>682.04260164691323</v>
      </c>
      <c r="W29" s="1452">
        <f t="shared" si="9"/>
        <v>12235.8992413366</v>
      </c>
      <c r="X29" s="1168">
        <v>6152.1980485142167</v>
      </c>
      <c r="Y29" s="1211">
        <v>6083.7011928223819</v>
      </c>
      <c r="Z29" s="173"/>
      <c r="AA29" s="1139">
        <f>+TableB2!L30/TableB2!$L$91</f>
        <v>0.10976103536720654</v>
      </c>
      <c r="AB29" s="1139"/>
      <c r="AC29" s="1139">
        <f t="shared" si="10"/>
        <v>0</v>
      </c>
      <c r="AD29" s="1139">
        <f t="shared" si="11"/>
        <v>0</v>
      </c>
      <c r="AE29" s="1139">
        <f t="shared" si="12"/>
        <v>0</v>
      </c>
      <c r="AF29" s="1139"/>
      <c r="AG29" s="1139"/>
      <c r="AH29" s="1139">
        <f t="shared" si="2"/>
        <v>0</v>
      </c>
      <c r="AI29" s="1139"/>
      <c r="AJ29" s="1139">
        <f t="shared" si="13"/>
        <v>0</v>
      </c>
    </row>
    <row r="30" spans="1:36" ht="14.25" customHeight="1" x14ac:dyDescent="0.2">
      <c r="A30" s="954"/>
      <c r="B30" s="954"/>
      <c r="C30" s="1148" t="s">
        <v>50</v>
      </c>
      <c r="D30" s="1452">
        <f t="shared" si="4"/>
        <v>3449.1832190551381</v>
      </c>
      <c r="E30" s="1452">
        <f t="shared" si="5"/>
        <v>2845.0393227413078</v>
      </c>
      <c r="F30" s="1453">
        <v>139.91465809536072</v>
      </c>
      <c r="G30" s="1453">
        <v>0</v>
      </c>
      <c r="H30" s="1453">
        <v>0</v>
      </c>
      <c r="I30" s="1453">
        <v>681.0778797749482</v>
      </c>
      <c r="J30" s="1453">
        <v>9.9816005829254735</v>
      </c>
      <c r="K30" s="1453">
        <v>2014.0651842880734</v>
      </c>
      <c r="L30" s="1452">
        <f t="shared" si="6"/>
        <v>604.14389631383017</v>
      </c>
      <c r="M30" s="1168">
        <v>94.707100545886604</v>
      </c>
      <c r="N30" s="1229">
        <v>509.43679576794352</v>
      </c>
      <c r="O30" s="1452">
        <f t="shared" si="7"/>
        <v>10279.774833264411</v>
      </c>
      <c r="P30" s="1452">
        <f t="shared" si="8"/>
        <v>1387.5887688975499</v>
      </c>
      <c r="Q30" s="1453">
        <v>311.17453086605497</v>
      </c>
      <c r="R30" s="1453">
        <v>0</v>
      </c>
      <c r="S30" s="1453">
        <v>405.86625835840192</v>
      </c>
      <c r="T30" s="1453">
        <v>98.565790183382745</v>
      </c>
      <c r="U30" s="1453">
        <v>0</v>
      </c>
      <c r="V30" s="1453">
        <v>571.98218948971044</v>
      </c>
      <c r="W30" s="1452">
        <f t="shared" si="9"/>
        <v>8892.1860643668624</v>
      </c>
      <c r="X30" s="1168">
        <v>684.93718028016031</v>
      </c>
      <c r="Y30" s="1211">
        <v>8207.2488840867027</v>
      </c>
      <c r="Z30" s="173"/>
      <c r="AA30" s="1139">
        <f>+TableB2!L31/TableB2!$L$91</f>
        <v>1.3057648339535167E-2</v>
      </c>
      <c r="AB30" s="1139">
        <f>+AA30</f>
        <v>1.3057648339535167E-2</v>
      </c>
      <c r="AC30" s="1139">
        <f t="shared" si="10"/>
        <v>3.0902152883536999E-2</v>
      </c>
      <c r="AD30" s="1139">
        <f t="shared" si="11"/>
        <v>1.3057648339535167E-2</v>
      </c>
      <c r="AE30" s="1139">
        <f t="shared" si="12"/>
        <v>5.1006405326660835E-2</v>
      </c>
      <c r="AF30" s="1139"/>
      <c r="AG30" s="1139"/>
      <c r="AH30" s="1139">
        <f t="shared" si="2"/>
        <v>0</v>
      </c>
      <c r="AI30" s="1139"/>
      <c r="AJ30" s="1139">
        <f t="shared" si="13"/>
        <v>0</v>
      </c>
    </row>
    <row r="31" spans="1:36" ht="14.25" customHeight="1" x14ac:dyDescent="0.2">
      <c r="A31" s="954"/>
      <c r="B31" s="954"/>
      <c r="C31" s="1148" t="s">
        <v>51</v>
      </c>
      <c r="D31" s="1452">
        <f t="shared" si="4"/>
        <v>12000.36595699908</v>
      </c>
      <c r="E31" s="1452">
        <f t="shared" si="5"/>
        <v>5261.0592968907586</v>
      </c>
      <c r="F31" s="1453">
        <v>803.450861337471</v>
      </c>
      <c r="G31" s="1453">
        <v>-17.455143566424994</v>
      </c>
      <c r="H31" s="1453">
        <v>3455.2715821683078</v>
      </c>
      <c r="I31" s="1453">
        <v>1024.0817073550061</v>
      </c>
      <c r="J31" s="1453">
        <v>-4.289710403601406</v>
      </c>
      <c r="K31" s="1453">
        <v>0</v>
      </c>
      <c r="L31" s="1452">
        <f t="shared" si="6"/>
        <v>6739.306660108321</v>
      </c>
      <c r="M31" s="1168">
        <v>4201.9890351917084</v>
      </c>
      <c r="N31" s="1229">
        <v>2537.3176249166122</v>
      </c>
      <c r="O31" s="1452">
        <f t="shared" si="7"/>
        <v>47186.186052590128</v>
      </c>
      <c r="P31" s="1452">
        <f t="shared" si="8"/>
        <v>11524.708560669696</v>
      </c>
      <c r="Q31" s="1453">
        <v>5377.0685387467802</v>
      </c>
      <c r="R31" s="1453">
        <v>30.714968942331634</v>
      </c>
      <c r="S31" s="1453">
        <v>4023.8608441056449</v>
      </c>
      <c r="T31" s="1453">
        <v>2065.5059738976665</v>
      </c>
      <c r="U31" s="1453">
        <v>27.558234977273084</v>
      </c>
      <c r="V31" s="1453">
        <v>0</v>
      </c>
      <c r="W31" s="1452">
        <f t="shared" si="9"/>
        <v>35661.477491920428</v>
      </c>
      <c r="X31" s="1168">
        <v>13879.056096214303</v>
      </c>
      <c r="Y31" s="1211">
        <v>21782.421395706126</v>
      </c>
      <c r="Z31" s="173"/>
      <c r="AA31" s="1139">
        <f>+TableB2!L32/TableB2!$L$91</f>
        <v>9.9513180149138972E-2</v>
      </c>
      <c r="AB31" s="1139"/>
      <c r="AC31" s="1139"/>
      <c r="AD31" s="1139"/>
      <c r="AE31" s="1139"/>
      <c r="AF31" s="1139"/>
      <c r="AG31" s="1139"/>
      <c r="AH31" s="1139">
        <f t="shared" si="2"/>
        <v>0</v>
      </c>
      <c r="AI31" s="1139"/>
      <c r="AJ31" s="1139">
        <f t="shared" si="13"/>
        <v>0</v>
      </c>
    </row>
    <row r="32" spans="1:36" ht="14.25" customHeight="1" x14ac:dyDescent="0.2">
      <c r="A32" s="954"/>
      <c r="B32" s="954"/>
      <c r="C32" s="1148" t="s">
        <v>52</v>
      </c>
      <c r="D32" s="1452">
        <f t="shared" si="4"/>
        <v>123.54867933139094</v>
      </c>
      <c r="E32" s="1452">
        <f t="shared" si="5"/>
        <v>55.341261972693815</v>
      </c>
      <c r="F32" s="1453">
        <v>12.087659446683428</v>
      </c>
      <c r="G32" s="1453">
        <v>0</v>
      </c>
      <c r="H32" s="1453">
        <v>0</v>
      </c>
      <c r="I32" s="1453">
        <v>21.072267897287112</v>
      </c>
      <c r="J32" s="1453">
        <v>0</v>
      </c>
      <c r="K32" s="1453">
        <v>22.181334628723278</v>
      </c>
      <c r="L32" s="1452">
        <f t="shared" si="6"/>
        <v>68.207417358697128</v>
      </c>
      <c r="M32" s="1168">
        <v>10.692364473396573</v>
      </c>
      <c r="N32" s="1229">
        <v>57.515052885300555</v>
      </c>
      <c r="O32" s="1452">
        <f t="shared" si="7"/>
        <v>1473.5395051629434</v>
      </c>
      <c r="P32" s="1452">
        <f t="shared" si="8"/>
        <v>469.61800595706507</v>
      </c>
      <c r="Q32" s="1453">
        <v>33.160572213295652</v>
      </c>
      <c r="R32" s="1453">
        <v>0</v>
      </c>
      <c r="S32" s="1453">
        <v>225.20073554098943</v>
      </c>
      <c r="T32" s="1453">
        <v>99.720448002357415</v>
      </c>
      <c r="U32" s="1453">
        <v>8.8933710143942015</v>
      </c>
      <c r="V32" s="1453">
        <v>102.64287918602845</v>
      </c>
      <c r="W32" s="1452">
        <f t="shared" si="9"/>
        <v>1003.9214992058783</v>
      </c>
      <c r="X32" s="1168">
        <v>77.328921809697334</v>
      </c>
      <c r="Y32" s="1211">
        <v>926.5925773961809</v>
      </c>
      <c r="Z32" s="173"/>
      <c r="AA32" s="1139">
        <f>+TableB2!L33/TableB2!$L$91</f>
        <v>1.4741992354005767E-3</v>
      </c>
      <c r="AB32" s="1139">
        <f>+AA32</f>
        <v>1.4741992354005767E-3</v>
      </c>
      <c r="AC32" s="1139">
        <f t="shared" si="10"/>
        <v>3.488831140842601E-3</v>
      </c>
      <c r="AD32" s="1139">
        <f t="shared" si="11"/>
        <v>1.4741992354005767E-3</v>
      </c>
      <c r="AE32" s="1139">
        <f t="shared" si="12"/>
        <v>5.7585869811969592E-3</v>
      </c>
      <c r="AF32" s="1139"/>
      <c r="AG32" s="1139"/>
      <c r="AH32" s="1139">
        <f t="shared" si="2"/>
        <v>0</v>
      </c>
      <c r="AI32" s="1139"/>
      <c r="AJ32" s="1139">
        <f t="shared" si="13"/>
        <v>0</v>
      </c>
    </row>
    <row r="33" spans="2:36" ht="14.25" customHeight="1" x14ac:dyDescent="0.2">
      <c r="B33" s="954"/>
      <c r="C33" s="1148" t="s">
        <v>53</v>
      </c>
      <c r="D33" s="1452">
        <f t="shared" si="4"/>
        <v>938.15598753661311</v>
      </c>
      <c r="E33" s="1452">
        <f t="shared" si="5"/>
        <v>786.63016891842494</v>
      </c>
      <c r="F33" s="1453">
        <v>108.99039601092892</v>
      </c>
      <c r="G33" s="1453">
        <v>0</v>
      </c>
      <c r="H33" s="1453">
        <v>0</v>
      </c>
      <c r="I33" s="1453">
        <v>447.73023948077929</v>
      </c>
      <c r="J33" s="1453">
        <v>3.6599202137393405</v>
      </c>
      <c r="K33" s="1453">
        <v>226.24961321297741</v>
      </c>
      <c r="L33" s="1452">
        <f t="shared" si="6"/>
        <v>151.52581861818814</v>
      </c>
      <c r="M33" s="1168">
        <v>23.753564385455508</v>
      </c>
      <c r="N33" s="1229">
        <v>127.77225423273264</v>
      </c>
      <c r="O33" s="1452">
        <f t="shared" si="7"/>
        <v>4529.6392076910888</v>
      </c>
      <c r="P33" s="1452">
        <f t="shared" si="8"/>
        <v>2299.3828384228773</v>
      </c>
      <c r="Q33" s="1453">
        <v>178.63921160065723</v>
      </c>
      <c r="R33" s="1453">
        <v>1.7670350798107419</v>
      </c>
      <c r="S33" s="1453">
        <v>1197.7043603211366</v>
      </c>
      <c r="T33" s="1453">
        <v>302.31041078609405</v>
      </c>
      <c r="U33" s="1453">
        <v>31.867912801579223</v>
      </c>
      <c r="V33" s="1453">
        <v>587.09390783359947</v>
      </c>
      <c r="W33" s="1452">
        <f t="shared" si="9"/>
        <v>2230.2563692682111</v>
      </c>
      <c r="X33" s="1168">
        <v>171.78964742875101</v>
      </c>
      <c r="Y33" s="1211">
        <v>2058.4667218394602</v>
      </c>
      <c r="Z33" s="173"/>
      <c r="AA33" s="1139">
        <f>+TableB2!L34/TableB2!$L$91</f>
        <v>3.2749993270621371E-3</v>
      </c>
      <c r="AB33" s="1139">
        <f>+AA33</f>
        <v>3.2749993270621371E-3</v>
      </c>
      <c r="AC33" s="1139">
        <f t="shared" si="10"/>
        <v>7.7505939252425667E-3</v>
      </c>
      <c r="AD33" s="1139">
        <f t="shared" si="11"/>
        <v>3.2749993270621371E-3</v>
      </c>
      <c r="AE33" s="1139">
        <f t="shared" si="12"/>
        <v>1.2792957719262596E-2</v>
      </c>
      <c r="AF33" s="1139"/>
      <c r="AG33" s="1139"/>
      <c r="AH33" s="1139">
        <f t="shared" si="2"/>
        <v>0</v>
      </c>
      <c r="AI33" s="1139"/>
      <c r="AJ33" s="1139">
        <f t="shared" si="13"/>
        <v>0</v>
      </c>
    </row>
    <row r="34" spans="2:36" ht="14.25" customHeight="1" x14ac:dyDescent="0.2">
      <c r="B34" s="954"/>
      <c r="C34" s="1148" t="s">
        <v>54</v>
      </c>
      <c r="D34" s="1452">
        <f t="shared" si="4"/>
        <v>442.36141832006865</v>
      </c>
      <c r="E34" s="1452">
        <f t="shared" si="5"/>
        <v>381.19119206515495</v>
      </c>
      <c r="F34" s="1453">
        <v>102.0903254558413</v>
      </c>
      <c r="G34" s="1453">
        <v>3.8684372228293222</v>
      </c>
      <c r="H34" s="1453">
        <v>39.894715536159005</v>
      </c>
      <c r="I34" s="1453">
        <v>180.38180062553059</v>
      </c>
      <c r="J34" s="1453">
        <v>2.0427192398101934</v>
      </c>
      <c r="K34" s="1453">
        <v>52.913193984984474</v>
      </c>
      <c r="L34" s="1452">
        <f t="shared" si="6"/>
        <v>61.170226254913729</v>
      </c>
      <c r="M34" s="1168">
        <v>50.713660769555112</v>
      </c>
      <c r="N34" s="1229">
        <v>10.45656548535862</v>
      </c>
      <c r="O34" s="1452">
        <f t="shared" si="7"/>
        <v>3432.1668824292838</v>
      </c>
      <c r="P34" s="1452">
        <f t="shared" si="8"/>
        <v>2303.2041929179222</v>
      </c>
      <c r="Q34" s="1453">
        <v>414.58522912068889</v>
      </c>
      <c r="R34" s="1453">
        <v>9.5070141964359802</v>
      </c>
      <c r="S34" s="1453">
        <v>828.32148164922808</v>
      </c>
      <c r="T34" s="1453">
        <v>423.03698321086983</v>
      </c>
      <c r="U34" s="1453">
        <v>15.031764533058048</v>
      </c>
      <c r="V34" s="1453">
        <v>612.7217202076414</v>
      </c>
      <c r="W34" s="1452">
        <f t="shared" si="9"/>
        <v>1128.9626895113613</v>
      </c>
      <c r="X34" s="1168">
        <v>1032.6611684490783</v>
      </c>
      <c r="Y34" s="1211">
        <v>96.301521062282916</v>
      </c>
      <c r="Z34" s="173"/>
      <c r="AA34" s="1139">
        <f>+TableB2!L35/TableB2!$L$91</f>
        <v>4.5646328096349172E-3</v>
      </c>
      <c r="AB34" s="1139"/>
      <c r="AC34" s="1139">
        <f t="shared" si="10"/>
        <v>0</v>
      </c>
      <c r="AD34" s="1139">
        <f t="shared" si="11"/>
        <v>0</v>
      </c>
      <c r="AE34" s="1139">
        <f t="shared" si="12"/>
        <v>0</v>
      </c>
      <c r="AF34" s="1139"/>
      <c r="AG34" s="1139"/>
      <c r="AH34" s="1139">
        <f t="shared" si="2"/>
        <v>0</v>
      </c>
      <c r="AI34" s="1139"/>
      <c r="AJ34" s="1139">
        <f t="shared" si="13"/>
        <v>0</v>
      </c>
    </row>
    <row r="35" spans="2:36" ht="14.25" customHeight="1" x14ac:dyDescent="0.2">
      <c r="B35" s="954"/>
      <c r="C35" s="1148" t="s">
        <v>55</v>
      </c>
      <c r="D35" s="1452">
        <f t="shared" si="4"/>
        <v>894.91470040201455</v>
      </c>
      <c r="E35" s="1452">
        <f t="shared" si="5"/>
        <v>827.97988505195212</v>
      </c>
      <c r="F35" s="1453">
        <v>30.014555684017335</v>
      </c>
      <c r="G35" s="1453">
        <v>0</v>
      </c>
      <c r="H35" s="1453">
        <v>27.24517158566956</v>
      </c>
      <c r="I35" s="1453">
        <v>180.824455350992</v>
      </c>
      <c r="J35" s="1453">
        <v>2.4512630877722321</v>
      </c>
      <c r="K35" s="1453">
        <v>587.44443934350102</v>
      </c>
      <c r="L35" s="1452">
        <f t="shared" si="6"/>
        <v>66.934815350062394</v>
      </c>
      <c r="M35" s="1168">
        <v>37.37901290675282</v>
      </c>
      <c r="N35" s="1229">
        <v>29.55580244330957</v>
      </c>
      <c r="O35" s="1452">
        <f t="shared" si="7"/>
        <v>1870.7999824690694</v>
      </c>
      <c r="P35" s="1452">
        <f t="shared" si="8"/>
        <v>1642.847958723275</v>
      </c>
      <c r="Q35" s="1453">
        <v>360.50889488755553</v>
      </c>
      <c r="R35" s="1453">
        <v>1.0969631765118439</v>
      </c>
      <c r="S35" s="1453">
        <v>531.39536338189043</v>
      </c>
      <c r="T35" s="1453">
        <v>596.9132807592589</v>
      </c>
      <c r="U35" s="1453">
        <v>6.3527100109947687</v>
      </c>
      <c r="V35" s="1453">
        <v>146.58074650706351</v>
      </c>
      <c r="W35" s="1452">
        <f t="shared" si="9"/>
        <v>227.95202374579438</v>
      </c>
      <c r="X35" s="1168">
        <v>200.43730344228499</v>
      </c>
      <c r="Y35" s="1211">
        <v>27.514720303509403</v>
      </c>
      <c r="Z35" s="173"/>
      <c r="AA35" s="1139">
        <f>+TableB2!L36/TableB2!$L$91</f>
        <v>3.4282296476492446E-3</v>
      </c>
      <c r="AB35" s="1139"/>
      <c r="AC35" s="1139">
        <f t="shared" si="10"/>
        <v>0</v>
      </c>
      <c r="AD35" s="1139">
        <f t="shared" si="11"/>
        <v>0</v>
      </c>
      <c r="AE35" s="1139">
        <f t="shared" si="12"/>
        <v>0</v>
      </c>
      <c r="AF35" s="1139"/>
      <c r="AG35" s="1139"/>
      <c r="AH35" s="1139">
        <f t="shared" si="2"/>
        <v>0</v>
      </c>
      <c r="AI35" s="1139"/>
      <c r="AJ35" s="1139">
        <f t="shared" si="13"/>
        <v>0</v>
      </c>
    </row>
    <row r="36" spans="2:36" ht="14.25" customHeight="1" x14ac:dyDescent="0.2">
      <c r="B36" s="954"/>
      <c r="C36" s="1148" t="s">
        <v>56</v>
      </c>
      <c r="D36" s="1452">
        <f t="shared" si="4"/>
        <v>128.17875605932639</v>
      </c>
      <c r="E36" s="1452">
        <f t="shared" si="5"/>
        <v>114.87534849397609</v>
      </c>
      <c r="F36" s="1453">
        <v>10.106942220128287</v>
      </c>
      <c r="G36" s="1453">
        <v>0</v>
      </c>
      <c r="H36" s="1453">
        <v>8.3681598441699379</v>
      </c>
      <c r="I36" s="1453">
        <v>39.838925291528227</v>
      </c>
      <c r="J36" s="1453">
        <v>0.40854384796203874</v>
      </c>
      <c r="K36" s="1453">
        <v>56.152777290187601</v>
      </c>
      <c r="L36" s="1452">
        <f t="shared" si="6"/>
        <v>13.303407565350287</v>
      </c>
      <c r="M36" s="1168">
        <v>2.0999445453231926</v>
      </c>
      <c r="N36" s="1229">
        <v>11.203463020027094</v>
      </c>
      <c r="O36" s="1452">
        <f t="shared" si="7"/>
        <v>539.41901370506821</v>
      </c>
      <c r="P36" s="1452">
        <f t="shared" si="8"/>
        <v>446.34948859564139</v>
      </c>
      <c r="Q36" s="1453">
        <v>115.20610336624058</v>
      </c>
      <c r="R36" s="1453">
        <v>0.58504702747298343</v>
      </c>
      <c r="S36" s="1453">
        <v>93.173368145957667</v>
      </c>
      <c r="T36" s="1453">
        <v>163.59034917233583</v>
      </c>
      <c r="U36" s="1453">
        <v>4.473739444362514</v>
      </c>
      <c r="V36" s="1453">
        <v>69.320881439271787</v>
      </c>
      <c r="W36" s="1452">
        <f t="shared" si="9"/>
        <v>93.06952510942682</v>
      </c>
      <c r="X36" s="1168">
        <v>83.242839286744896</v>
      </c>
      <c r="Y36" s="1211">
        <v>9.8266858226819291</v>
      </c>
      <c r="Z36" s="173"/>
      <c r="AA36" s="1139">
        <f>+TableB2!L37/TableB2!$L$91</f>
        <v>1.2829588931474523E-3</v>
      </c>
      <c r="AB36" s="1139"/>
      <c r="AC36" s="1139">
        <f t="shared" si="10"/>
        <v>0</v>
      </c>
      <c r="AD36" s="1139">
        <f t="shared" si="11"/>
        <v>0</v>
      </c>
      <c r="AE36" s="1139">
        <f t="shared" si="12"/>
        <v>0</v>
      </c>
      <c r="AF36" s="1139"/>
      <c r="AG36" s="1139"/>
      <c r="AH36" s="1139">
        <f t="shared" si="2"/>
        <v>0</v>
      </c>
      <c r="AI36" s="1139"/>
      <c r="AJ36" s="1139">
        <f t="shared" si="13"/>
        <v>0</v>
      </c>
    </row>
    <row r="37" spans="2:36" ht="14.25" customHeight="1" x14ac:dyDescent="0.2">
      <c r="B37" s="954"/>
      <c r="C37" s="1148" t="s">
        <v>57</v>
      </c>
      <c r="D37" s="1452">
        <f t="shared" si="4"/>
        <v>16.505340270789176</v>
      </c>
      <c r="E37" s="1452">
        <f t="shared" si="5"/>
        <v>11.543231860581718</v>
      </c>
      <c r="F37" s="1453">
        <v>1.2250839054700955</v>
      </c>
      <c r="G37" s="1453">
        <v>0.28305638215824308</v>
      </c>
      <c r="H37" s="1453">
        <v>0</v>
      </c>
      <c r="I37" s="1453">
        <v>8.8530945092284945</v>
      </c>
      <c r="J37" s="1453">
        <v>0.10213596199050969</v>
      </c>
      <c r="K37" s="1453">
        <v>1.0798611017343769</v>
      </c>
      <c r="L37" s="1452">
        <f t="shared" si="6"/>
        <v>4.9621084102074589</v>
      </c>
      <c r="M37" s="1168">
        <v>3.2549140452509491</v>
      </c>
      <c r="N37" s="1229">
        <v>1.7071943649565096</v>
      </c>
      <c r="O37" s="1452">
        <f t="shared" si="7"/>
        <v>219.68485105346269</v>
      </c>
      <c r="P37" s="1452">
        <f t="shared" si="8"/>
        <v>109.12148805185628</v>
      </c>
      <c r="Q37" s="1453">
        <v>28.762340092115846</v>
      </c>
      <c r="R37" s="1453">
        <v>0</v>
      </c>
      <c r="S37" s="1453">
        <v>42.183986457290729</v>
      </c>
      <c r="T37" s="1453">
        <v>21.884996544794095</v>
      </c>
      <c r="U37" s="1453">
        <v>8.9474788887250273E-2</v>
      </c>
      <c r="V37" s="1453">
        <v>16.200690168768357</v>
      </c>
      <c r="W37" s="1452">
        <f t="shared" si="9"/>
        <v>110.56336300160642</v>
      </c>
      <c r="X37" s="1168">
        <v>80.788504958880168</v>
      </c>
      <c r="Y37" s="1211">
        <v>29.774858042726247</v>
      </c>
      <c r="Z37" s="173"/>
      <c r="AA37" s="1139">
        <f>+TableB2!L38/TableB2!$L$91</f>
        <v>3.5018124427046114E-4</v>
      </c>
      <c r="AB37" s="1139"/>
      <c r="AC37" s="1139">
        <f t="shared" si="10"/>
        <v>0</v>
      </c>
      <c r="AD37" s="1139">
        <f t="shared" si="11"/>
        <v>0</v>
      </c>
      <c r="AE37" s="1139">
        <f t="shared" si="12"/>
        <v>0</v>
      </c>
      <c r="AF37" s="1139"/>
      <c r="AG37" s="1139"/>
      <c r="AH37" s="1139">
        <f t="shared" si="2"/>
        <v>0</v>
      </c>
      <c r="AI37" s="1139"/>
      <c r="AJ37" s="1139">
        <f t="shared" si="13"/>
        <v>0</v>
      </c>
    </row>
    <row r="38" spans="2:36" ht="14.25" customHeight="1" x14ac:dyDescent="0.2">
      <c r="B38" s="954"/>
      <c r="C38" s="1148" t="s">
        <v>58</v>
      </c>
      <c r="D38" s="1452">
        <f t="shared" si="4"/>
        <v>5726.3192608754562</v>
      </c>
      <c r="E38" s="1452">
        <f t="shared" si="5"/>
        <v>5441.4040765287955</v>
      </c>
      <c r="F38" s="1453">
        <v>135.78013285626892</v>
      </c>
      <c r="G38" s="1453">
        <v>0</v>
      </c>
      <c r="H38" s="1453">
        <v>166.39015504105339</v>
      </c>
      <c r="I38" s="1453">
        <v>986.23472832805419</v>
      </c>
      <c r="J38" s="1453">
        <v>6.3324296434115999</v>
      </c>
      <c r="K38" s="1453">
        <v>4146.6666306600073</v>
      </c>
      <c r="L38" s="1452">
        <f t="shared" si="6"/>
        <v>284.91518434666074</v>
      </c>
      <c r="M38" s="1168">
        <v>202.3296569418896</v>
      </c>
      <c r="N38" s="1229">
        <v>82.585527404771156</v>
      </c>
      <c r="O38" s="1452">
        <f t="shared" si="7"/>
        <v>9330.0292725115141</v>
      </c>
      <c r="P38" s="1452">
        <f t="shared" si="8"/>
        <v>6411.6763141052816</v>
      </c>
      <c r="Q38" s="1453">
        <v>803.30786360814011</v>
      </c>
      <c r="R38" s="1453">
        <v>9.5070141964359802</v>
      </c>
      <c r="S38" s="1453">
        <v>2208.5159900091285</v>
      </c>
      <c r="T38" s="1453">
        <v>2314.3383846119755</v>
      </c>
      <c r="U38" s="1453">
        <v>11.989621710891537</v>
      </c>
      <c r="V38" s="1453">
        <v>1064.0174399687107</v>
      </c>
      <c r="W38" s="1452">
        <f t="shared" si="9"/>
        <v>2918.3529584062317</v>
      </c>
      <c r="X38" s="1168">
        <v>1604.6233307718844</v>
      </c>
      <c r="Y38" s="1211">
        <v>1313.7296276343473</v>
      </c>
      <c r="Z38" s="173"/>
      <c r="AA38" s="1139">
        <f>+TableB2!L39/TableB2!$L$91</f>
        <v>1.4770745163787515E-2</v>
      </c>
      <c r="AB38" s="1139"/>
      <c r="AC38" s="1139">
        <f t="shared" si="10"/>
        <v>0</v>
      </c>
      <c r="AD38" s="1139">
        <f t="shared" si="11"/>
        <v>0</v>
      </c>
      <c r="AE38" s="1139">
        <f t="shared" si="12"/>
        <v>0</v>
      </c>
      <c r="AF38" s="1139"/>
      <c r="AG38" s="1139"/>
      <c r="AH38" s="1139">
        <f t="shared" si="2"/>
        <v>0</v>
      </c>
      <c r="AI38" s="1139"/>
      <c r="AJ38" s="1139">
        <f t="shared" si="13"/>
        <v>0</v>
      </c>
    </row>
    <row r="39" spans="2:36" s="25" customFormat="1" ht="14.25" customHeight="1" x14ac:dyDescent="0.2">
      <c r="B39" s="1109"/>
      <c r="C39" s="1074" t="s">
        <v>59</v>
      </c>
      <c r="D39" s="1452">
        <f t="shared" si="4"/>
        <v>1648.266141762793</v>
      </c>
      <c r="E39" s="1452">
        <f t="shared" si="5"/>
        <v>1503.1238455280195</v>
      </c>
      <c r="F39" s="1453">
        <v>215.20640606091345</v>
      </c>
      <c r="G39" s="1453">
        <v>0</v>
      </c>
      <c r="H39" s="1453">
        <v>91.174020627758509</v>
      </c>
      <c r="I39" s="1453">
        <v>421.73928968337242</v>
      </c>
      <c r="J39" s="1453">
        <v>3.9833025176298773</v>
      </c>
      <c r="K39" s="1453">
        <v>771.02082663834506</v>
      </c>
      <c r="L39" s="1452">
        <f t="shared" si="6"/>
        <v>145.14229623477362</v>
      </c>
      <c r="M39" s="1168">
        <v>57.328486087323164</v>
      </c>
      <c r="N39" s="1229">
        <v>87.813810147450454</v>
      </c>
      <c r="O39" s="1452">
        <f t="shared" si="7"/>
        <v>7305.7088181788185</v>
      </c>
      <c r="P39" s="1452">
        <f t="shared" si="8"/>
        <v>5490.7263791995392</v>
      </c>
      <c r="Q39" s="1453">
        <v>769.60811908604251</v>
      </c>
      <c r="R39" s="1453">
        <v>3.6565439217061466</v>
      </c>
      <c r="S39" s="1453">
        <v>2206.4682236762505</v>
      </c>
      <c r="T39" s="1453">
        <v>2081.2631714099184</v>
      </c>
      <c r="U39" s="1453">
        <v>107.45922145358757</v>
      </c>
      <c r="V39" s="1453">
        <v>322.27109965203351</v>
      </c>
      <c r="W39" s="1452">
        <f t="shared" si="9"/>
        <v>1814.9824389792793</v>
      </c>
      <c r="X39" s="1168">
        <v>656.02311305217256</v>
      </c>
      <c r="Y39" s="1211">
        <v>1158.9593259271069</v>
      </c>
      <c r="Z39" s="271"/>
      <c r="AA39" s="1139">
        <f>+TableB2!L40/TableB2!$L$91</f>
        <v>8.0149738798014902E-3</v>
      </c>
      <c r="AB39" s="1454"/>
      <c r="AC39" s="1139">
        <f t="shared" si="10"/>
        <v>0</v>
      </c>
      <c r="AD39" s="1139">
        <f t="shared" si="11"/>
        <v>0</v>
      </c>
      <c r="AE39" s="1139">
        <f t="shared" si="12"/>
        <v>0</v>
      </c>
      <c r="AF39" s="1454"/>
      <c r="AG39" s="1454"/>
      <c r="AH39" s="1139">
        <f t="shared" si="2"/>
        <v>0</v>
      </c>
      <c r="AI39" s="1454"/>
      <c r="AJ39" s="1139">
        <f t="shared" si="13"/>
        <v>0</v>
      </c>
    </row>
    <row r="40" spans="2:36" ht="14.25" customHeight="1" x14ac:dyDescent="0.2">
      <c r="B40" s="954"/>
      <c r="C40" s="1074" t="s">
        <v>60</v>
      </c>
      <c r="D40" s="1455"/>
      <c r="E40" s="1455">
        <f t="shared" si="5"/>
        <v>3875.3282091588685</v>
      </c>
      <c r="F40" s="1456">
        <v>100.73049538902858</v>
      </c>
      <c r="G40" s="1456">
        <v>4.5471735988882713</v>
      </c>
      <c r="H40" s="1456">
        <v>26.063068188749849</v>
      </c>
      <c r="I40" s="1456">
        <v>1274.3176744201521</v>
      </c>
      <c r="J40" s="1456">
        <v>5.3235203108935858</v>
      </c>
      <c r="K40" s="1456">
        <v>2464.3462772511562</v>
      </c>
      <c r="L40" s="1455"/>
      <c r="M40" s="1101"/>
      <c r="N40" s="1457"/>
      <c r="O40" s="1455"/>
      <c r="P40" s="1455">
        <f t="shared" si="8"/>
        <v>15669.548762968787</v>
      </c>
      <c r="Q40" s="1456">
        <v>1702.4209895954848</v>
      </c>
      <c r="R40" s="1456">
        <v>7.9516578591483382</v>
      </c>
      <c r="S40" s="1456">
        <v>2948.8168061869465</v>
      </c>
      <c r="T40" s="1456">
        <v>5758.5934499045552</v>
      </c>
      <c r="U40" s="1456">
        <v>32.820773981692888</v>
      </c>
      <c r="V40" s="1456">
        <v>5218.9450854409588</v>
      </c>
      <c r="W40" s="1455"/>
      <c r="X40" s="1101"/>
      <c r="Y40" s="1458"/>
      <c r="Z40" s="173"/>
      <c r="AA40" s="1139">
        <f>+TableB2!L41/TableB2!$L$91</f>
        <v>2.836941179799185E-2</v>
      </c>
      <c r="AB40" s="1139">
        <v>0</v>
      </c>
      <c r="AC40" s="1139">
        <f t="shared" si="10"/>
        <v>0</v>
      </c>
      <c r="AD40" s="1139">
        <f t="shared" si="11"/>
        <v>0</v>
      </c>
      <c r="AE40" s="1139">
        <f t="shared" si="12"/>
        <v>0</v>
      </c>
      <c r="AF40" s="1139"/>
      <c r="AG40" s="1139"/>
      <c r="AH40" s="1139">
        <f t="shared" si="2"/>
        <v>0</v>
      </c>
      <c r="AI40" s="1139"/>
      <c r="AJ40" s="1139">
        <f t="shared" si="13"/>
        <v>0</v>
      </c>
    </row>
    <row r="41" spans="2:36" ht="14.25" customHeight="1" x14ac:dyDescent="0.2">
      <c r="B41" s="954"/>
      <c r="C41" s="1148" t="s">
        <v>61</v>
      </c>
      <c r="D41" s="1452">
        <f t="shared" si="4"/>
        <v>420.68346087788996</v>
      </c>
      <c r="E41" s="1452">
        <f t="shared" si="5"/>
        <v>196.65362206669971</v>
      </c>
      <c r="F41" s="1453">
        <v>15.210304803743316</v>
      </c>
      <c r="G41" s="1453">
        <v>0</v>
      </c>
      <c r="H41" s="1453">
        <v>0</v>
      </c>
      <c r="I41" s="1453">
        <v>53.457016455223098</v>
      </c>
      <c r="J41" s="1453">
        <v>0.44362669257446552</v>
      </c>
      <c r="K41" s="1453">
        <v>127.54267411515883</v>
      </c>
      <c r="L41" s="1452">
        <f t="shared" si="6"/>
        <v>224.02983881119022</v>
      </c>
      <c r="M41" s="1168">
        <v>35.119475010881537</v>
      </c>
      <c r="N41" s="1229">
        <v>188.91036380030869</v>
      </c>
      <c r="O41" s="1452">
        <f t="shared" si="7"/>
        <v>4795.3296974397426</v>
      </c>
      <c r="P41" s="1452">
        <f t="shared" si="8"/>
        <v>1497.9116107321497</v>
      </c>
      <c r="Q41" s="1453">
        <v>165.00058915809205</v>
      </c>
      <c r="R41" s="1453">
        <v>0</v>
      </c>
      <c r="S41" s="1453">
        <v>546.43999103690305</v>
      </c>
      <c r="T41" s="1453">
        <v>227.78249701591113</v>
      </c>
      <c r="U41" s="1453">
        <v>22.551047929356724</v>
      </c>
      <c r="V41" s="1453">
        <v>536.13748559188684</v>
      </c>
      <c r="W41" s="1452">
        <f t="shared" si="9"/>
        <v>3297.4180867075929</v>
      </c>
      <c r="X41" s="1168">
        <v>253.98976474016348</v>
      </c>
      <c r="Y41" s="1211">
        <v>3043.4283219674294</v>
      </c>
      <c r="Z41" s="173"/>
      <c r="AA41" s="1139">
        <f>+TableB2!L42/TableB2!$L$91</f>
        <v>4.8420630757141404E-3</v>
      </c>
      <c r="AB41" s="1139">
        <f>+AA41</f>
        <v>4.8420630757141404E-3</v>
      </c>
      <c r="AC41" s="1139">
        <f t="shared" si="10"/>
        <v>1.1459197670717357E-2</v>
      </c>
      <c r="AD41" s="1139">
        <f t="shared" si="11"/>
        <v>4.8420630757141404E-3</v>
      </c>
      <c r="AE41" s="1139">
        <f t="shared" si="12"/>
        <v>1.8914296467102243E-2</v>
      </c>
      <c r="AF41" s="1139"/>
      <c r="AG41" s="1139"/>
      <c r="AH41" s="1139">
        <f t="shared" si="2"/>
        <v>0</v>
      </c>
      <c r="AI41" s="1139"/>
      <c r="AJ41" s="1139">
        <f t="shared" si="13"/>
        <v>0</v>
      </c>
    </row>
    <row r="42" spans="2:36" ht="14.25" customHeight="1" x14ac:dyDescent="0.2">
      <c r="B42" s="954"/>
      <c r="C42" s="1148" t="s">
        <v>62</v>
      </c>
      <c r="D42" s="1452">
        <f t="shared" si="4"/>
        <v>10522.1095401784</v>
      </c>
      <c r="E42" s="1452">
        <f t="shared" si="5"/>
        <v>8332.276390772091</v>
      </c>
      <c r="F42" s="1453">
        <v>687.06789031781193</v>
      </c>
      <c r="G42" s="1453">
        <v>47.176063693040518</v>
      </c>
      <c r="H42" s="1453">
        <v>401.28245578321884</v>
      </c>
      <c r="I42" s="1453">
        <v>3350.0109622920618</v>
      </c>
      <c r="J42" s="1453">
        <v>27.270301851466083</v>
      </c>
      <c r="K42" s="1453">
        <v>3819.4687168344908</v>
      </c>
      <c r="L42" s="1452">
        <f t="shared" si="6"/>
        <v>2189.8331494063091</v>
      </c>
      <c r="M42" s="1168">
        <v>234.66880293986679</v>
      </c>
      <c r="N42" s="1229">
        <v>1955.1643464664423</v>
      </c>
      <c r="O42" s="1452">
        <f t="shared" si="7"/>
        <v>53951.806668413716</v>
      </c>
      <c r="P42" s="1452">
        <f t="shared" si="8"/>
        <v>42559.720027960007</v>
      </c>
      <c r="Q42" s="1453">
        <v>4738.3408228046974</v>
      </c>
      <c r="R42" s="1453">
        <v>483.17571381425029</v>
      </c>
      <c r="S42" s="1453">
        <v>17336.389774146763</v>
      </c>
      <c r="T42" s="1453">
        <v>13377.094713022665</v>
      </c>
      <c r="U42" s="1453">
        <v>216.79741347380741</v>
      </c>
      <c r="V42" s="1453">
        <v>6407.9215906978234</v>
      </c>
      <c r="W42" s="1452">
        <f t="shared" si="9"/>
        <v>11392.086640453712</v>
      </c>
      <c r="X42" s="1168">
        <v>3756.3586887969445</v>
      </c>
      <c r="Y42" s="1211">
        <v>7635.7279516567669</v>
      </c>
      <c r="Z42" s="173"/>
      <c r="AA42" s="1139">
        <f>+TableB2!L43/TableB2!$L$91</f>
        <v>4.6915671169686653E-2</v>
      </c>
      <c r="AB42" s="1139"/>
      <c r="AC42" s="1139">
        <f t="shared" si="10"/>
        <v>0</v>
      </c>
      <c r="AD42" s="1139">
        <f t="shared" si="11"/>
        <v>0</v>
      </c>
      <c r="AE42" s="1139">
        <f t="shared" si="12"/>
        <v>0</v>
      </c>
      <c r="AF42" s="1139"/>
      <c r="AG42" s="1139"/>
      <c r="AH42" s="1139">
        <f t="shared" si="2"/>
        <v>0</v>
      </c>
      <c r="AI42" s="1139"/>
      <c r="AJ42" s="1139">
        <f t="shared" si="13"/>
        <v>0</v>
      </c>
    </row>
    <row r="43" spans="2:36" ht="14.25" customHeight="1" x14ac:dyDescent="0.2">
      <c r="B43" s="954"/>
      <c r="C43" s="1148" t="s">
        <v>63</v>
      </c>
      <c r="D43" s="1452">
        <f t="shared" si="4"/>
        <v>24228.91057942215</v>
      </c>
      <c r="E43" s="1452">
        <f t="shared" si="5"/>
        <v>16523.161438403422</v>
      </c>
      <c r="F43" s="1453">
        <v>1686.7321452892836</v>
      </c>
      <c r="G43" s="1453">
        <v>181.33241058981278</v>
      </c>
      <c r="H43" s="1453">
        <v>1051.0625413820526</v>
      </c>
      <c r="I43" s="1453">
        <v>9928.476286489682</v>
      </c>
      <c r="J43" s="1453">
        <v>95.490645576653719</v>
      </c>
      <c r="K43" s="1453">
        <v>3580.0674090759367</v>
      </c>
      <c r="L43" s="1452">
        <f t="shared" si="6"/>
        <v>7705.7491410187286</v>
      </c>
      <c r="M43" s="1168">
        <v>1207.9724104350496</v>
      </c>
      <c r="N43" s="1229">
        <v>6497.7767305836787</v>
      </c>
      <c r="O43" s="1452">
        <f t="shared" si="7"/>
        <v>125228.14873301311</v>
      </c>
      <c r="P43" s="1452">
        <f t="shared" si="8"/>
        <v>28674.090569862317</v>
      </c>
      <c r="Q43" s="1453">
        <v>4301.2471248278007</v>
      </c>
      <c r="R43" s="1453">
        <v>132.52763098580564</v>
      </c>
      <c r="S43" s="1453">
        <v>7713.2766725942729</v>
      </c>
      <c r="T43" s="1453">
        <v>4940.8857762852249</v>
      </c>
      <c r="U43" s="1453">
        <v>56.642303484534494</v>
      </c>
      <c r="V43" s="1453">
        <v>11529.51106168468</v>
      </c>
      <c r="W43" s="1452">
        <f t="shared" si="9"/>
        <v>96554.058163150796</v>
      </c>
      <c r="X43" s="1168">
        <v>13187.316839228566</v>
      </c>
      <c r="Y43" s="1211">
        <v>83366.741323922237</v>
      </c>
      <c r="Z43" s="173"/>
      <c r="AA43" s="1139">
        <f>+TableB2!L44/TableB2!$L$91</f>
        <v>0.16654800799945507</v>
      </c>
      <c r="AB43" s="1139">
        <f>+AA43</f>
        <v>0.16654800799945507</v>
      </c>
      <c r="AC43" s="1139">
        <f t="shared" si="10"/>
        <v>0.39415152497749978</v>
      </c>
      <c r="AD43" s="1139"/>
      <c r="AE43" s="1139">
        <f t="shared" si="12"/>
        <v>0</v>
      </c>
      <c r="AF43" s="1139"/>
      <c r="AG43" s="1139"/>
      <c r="AH43" s="1139">
        <f t="shared" si="2"/>
        <v>0</v>
      </c>
      <c r="AI43" s="1139"/>
      <c r="AJ43" s="1139">
        <f t="shared" si="13"/>
        <v>0</v>
      </c>
    </row>
    <row r="44" spans="2:36" ht="40" customHeight="1" x14ac:dyDescent="0.2">
      <c r="B44" s="954"/>
      <c r="C44" s="7" t="s">
        <v>64</v>
      </c>
      <c r="D44" s="1201">
        <f t="shared" si="4"/>
        <v>13964.933542450859</v>
      </c>
      <c r="E44" s="1201">
        <f>+SUM(E45:E51)</f>
        <v>8734.0796060250832</v>
      </c>
      <c r="F44" s="245">
        <f t="shared" ref="F44:Y44" si="14">+SUM(F45:F51)</f>
        <v>485.09990120524139</v>
      </c>
      <c r="G44" s="245">
        <f t="shared" si="14"/>
        <v>19.427034071080644</v>
      </c>
      <c r="H44" s="245">
        <f t="shared" si="14"/>
        <v>29.952115339208834</v>
      </c>
      <c r="I44" s="245">
        <f t="shared" si="14"/>
        <v>4366.8562223314439</v>
      </c>
      <c r="J44" s="245">
        <f t="shared" si="14"/>
        <v>21.182473360580122</v>
      </c>
      <c r="K44" s="245">
        <f t="shared" si="14"/>
        <v>3811.5618597175303</v>
      </c>
      <c r="L44" s="1201">
        <f t="shared" si="14"/>
        <v>5230.8539364257758</v>
      </c>
      <c r="M44" s="245">
        <f t="shared" si="14"/>
        <v>820.00167960081728</v>
      </c>
      <c r="N44" s="623">
        <f t="shared" si="14"/>
        <v>4410.8522568249591</v>
      </c>
      <c r="O44" s="1201">
        <f t="shared" si="7"/>
        <v>93593.971055222384</v>
      </c>
      <c r="P44" s="1201">
        <f t="shared" si="14"/>
        <v>16602.832417513313</v>
      </c>
      <c r="Q44" s="1453">
        <f t="shared" si="14"/>
        <v>893.11901975942669</v>
      </c>
      <c r="R44" s="1453">
        <f t="shared" si="14"/>
        <v>487.03948238973089</v>
      </c>
      <c r="S44" s="1453">
        <f t="shared" si="14"/>
        <v>9050.0526071147415</v>
      </c>
      <c r="T44" s="1453">
        <f t="shared" si="14"/>
        <v>1939.4382671714714</v>
      </c>
      <c r="U44" s="1453">
        <f t="shared" si="14"/>
        <v>116.22438341949167</v>
      </c>
      <c r="V44" s="1453">
        <f t="shared" si="14"/>
        <v>4116.9586576584525</v>
      </c>
      <c r="W44" s="1201">
        <f t="shared" si="14"/>
        <v>76991.138637709068</v>
      </c>
      <c r="X44" s="245">
        <f t="shared" si="14"/>
        <v>5930.3857367975688</v>
      </c>
      <c r="Y44" s="624">
        <f t="shared" si="14"/>
        <v>71060.752900911481</v>
      </c>
      <c r="Z44" s="173"/>
      <c r="AA44" s="1139"/>
      <c r="AB44" s="1139"/>
      <c r="AC44" s="1139">
        <f t="shared" si="10"/>
        <v>0</v>
      </c>
      <c r="AD44" s="1139"/>
      <c r="AE44" s="1139">
        <f t="shared" si="12"/>
        <v>0</v>
      </c>
      <c r="AF44" s="1139"/>
      <c r="AG44" s="1139"/>
      <c r="AH44" s="1139">
        <f t="shared" si="2"/>
        <v>0</v>
      </c>
      <c r="AI44" s="1139"/>
      <c r="AJ44" s="1139">
        <f t="shared" si="13"/>
        <v>0</v>
      </c>
    </row>
    <row r="45" spans="2:36" x14ac:dyDescent="0.2">
      <c r="B45" s="954"/>
      <c r="C45" s="1149" t="s">
        <v>65</v>
      </c>
      <c r="D45" s="1452">
        <f t="shared" si="4"/>
        <v>3809.2700049229679</v>
      </c>
      <c r="E45" s="1452">
        <f t="shared" si="5"/>
        <v>3212.7158560502662</v>
      </c>
      <c r="F45" s="1453">
        <v>258.2729901774693</v>
      </c>
      <c r="G45" s="1453">
        <v>0</v>
      </c>
      <c r="H45" s="1453">
        <v>34.491975347664699</v>
      </c>
      <c r="I45" s="1453">
        <v>804.84972700322407</v>
      </c>
      <c r="J45" s="1453">
        <v>4.5471735988882713</v>
      </c>
      <c r="K45" s="1453">
        <v>2110.5539899230198</v>
      </c>
      <c r="L45" s="1452">
        <f t="shared" si="6"/>
        <v>596.5541488727016</v>
      </c>
      <c r="M45" s="1168">
        <v>93.517312850586521</v>
      </c>
      <c r="N45" s="1229">
        <v>503.0368360221151</v>
      </c>
      <c r="O45" s="1452">
        <f t="shared" si="7"/>
        <v>11089.820136814431</v>
      </c>
      <c r="P45" s="1452">
        <f t="shared" si="8"/>
        <v>2309.3449526531826</v>
      </c>
      <c r="Q45" s="1453">
        <v>97.342324884190447</v>
      </c>
      <c r="R45" s="1453">
        <v>8.8351753990537102E-2</v>
      </c>
      <c r="S45" s="1453">
        <v>899.49011276394299</v>
      </c>
      <c r="T45" s="1453">
        <v>198.39120707837421</v>
      </c>
      <c r="U45" s="1453">
        <v>0</v>
      </c>
      <c r="V45" s="1453">
        <v>1114.0329561726844</v>
      </c>
      <c r="W45" s="1452">
        <f t="shared" si="9"/>
        <v>8780.4751841612488</v>
      </c>
      <c r="X45" s="1168">
        <v>676.33244183442957</v>
      </c>
      <c r="Y45" s="1211">
        <v>8104.1427423268187</v>
      </c>
      <c r="Z45" s="173"/>
      <c r="AA45" s="1139">
        <f>+TableB2!L46/TableB2!$L$91</f>
        <v>1.2893607531249549E-2</v>
      </c>
      <c r="AB45" s="1139">
        <f>+AA45</f>
        <v>1.2893607531249549E-2</v>
      </c>
      <c r="AC45" s="1139">
        <f t="shared" si="10"/>
        <v>3.0513934882487537E-2</v>
      </c>
      <c r="AD45" s="1139">
        <f t="shared" ref="AD45:AD51" si="15">+AB45</f>
        <v>1.2893607531249549E-2</v>
      </c>
      <c r="AE45" s="1139">
        <f t="shared" si="12"/>
        <v>5.0365621340144995E-2</v>
      </c>
      <c r="AF45" s="1139"/>
      <c r="AG45" s="1139">
        <f>+AF45</f>
        <v>0</v>
      </c>
      <c r="AH45" s="1139">
        <f t="shared" si="2"/>
        <v>0</v>
      </c>
      <c r="AI45" s="1139">
        <f>+AH45</f>
        <v>0</v>
      </c>
      <c r="AJ45" s="1139">
        <f t="shared" si="13"/>
        <v>0</v>
      </c>
    </row>
    <row r="46" spans="2:36" x14ac:dyDescent="0.2">
      <c r="B46" s="954" t="str">
        <f>+TableC1!B46</f>
        <v>China (except Hong Kong)</v>
      </c>
      <c r="C46" s="1148" t="s">
        <v>66</v>
      </c>
      <c r="D46" s="1452">
        <f t="shared" si="4"/>
        <v>4041.1775624844959</v>
      </c>
      <c r="E46" s="1452">
        <f t="shared" si="5"/>
        <v>413.2782856250634</v>
      </c>
      <c r="F46" s="1453">
        <v>54.495198005464459</v>
      </c>
      <c r="G46" s="1453">
        <v>0</v>
      </c>
      <c r="H46" s="1453">
        <v>0</v>
      </c>
      <c r="I46" s="1453">
        <v>237.56209387362628</v>
      </c>
      <c r="J46" s="1453">
        <v>2.5508534823031765</v>
      </c>
      <c r="K46" s="1453">
        <v>118.67014026366952</v>
      </c>
      <c r="L46" s="1452">
        <f t="shared" si="6"/>
        <v>3627.8992768594326</v>
      </c>
      <c r="M46" s="1168">
        <v>568.71851835343978</v>
      </c>
      <c r="N46" s="1229">
        <v>3059.1807585059928</v>
      </c>
      <c r="O46" s="1452">
        <f t="shared" si="7"/>
        <v>59410.508927950483</v>
      </c>
      <c r="P46" s="1452">
        <f t="shared" si="8"/>
        <v>6012.7081896670561</v>
      </c>
      <c r="Q46" s="1453">
        <v>334.81480976650124</v>
      </c>
      <c r="R46" s="1453">
        <v>61.404469023423282</v>
      </c>
      <c r="S46" s="1453">
        <v>3225.5208489592833</v>
      </c>
      <c r="T46" s="1453">
        <v>1147.3099964902804</v>
      </c>
      <c r="U46" s="1453">
        <v>0.84698771565659059</v>
      </c>
      <c r="V46" s="1453">
        <v>1242.811077711912</v>
      </c>
      <c r="W46" s="1452">
        <f t="shared" si="9"/>
        <v>53397.800738283426</v>
      </c>
      <c r="X46" s="1168">
        <v>4113.0649770592545</v>
      </c>
      <c r="Y46" s="1211">
        <v>49284.735761224169</v>
      </c>
      <c r="Z46" s="173"/>
      <c r="AA46" s="1139">
        <f>+TableB2!L47/TableB2!$L$91</f>
        <v>7.8411506360525254E-2</v>
      </c>
      <c r="AB46" s="1139">
        <f t="shared" ref="AB46:AB51" si="16">+AA46</f>
        <v>7.8411506360525254E-2</v>
      </c>
      <c r="AC46" s="1139">
        <f t="shared" si="10"/>
        <v>0.1855682045016418</v>
      </c>
      <c r="AD46" s="1139">
        <f t="shared" si="15"/>
        <v>7.8411506360525254E-2</v>
      </c>
      <c r="AE46" s="1139">
        <f t="shared" si="12"/>
        <v>0.30629474555457137</v>
      </c>
      <c r="AF46" s="1139"/>
      <c r="AG46" s="1139">
        <f t="shared" ref="AG46:AG51" si="17">+AF46</f>
        <v>0</v>
      </c>
      <c r="AH46" s="1139">
        <f t="shared" si="2"/>
        <v>0</v>
      </c>
      <c r="AI46" s="1139">
        <f>+AH46</f>
        <v>0</v>
      </c>
      <c r="AJ46" s="1139">
        <f t="shared" si="13"/>
        <v>0</v>
      </c>
    </row>
    <row r="47" spans="2:36" x14ac:dyDescent="0.2">
      <c r="B47" s="954"/>
      <c r="C47" s="1148" t="s">
        <v>67</v>
      </c>
      <c r="D47" s="1452">
        <f>+E47+L47</f>
        <v>122.7478946160933</v>
      </c>
      <c r="E47" s="1452">
        <f>SUM(F47:K47)</f>
        <v>67.342738295855114</v>
      </c>
      <c r="F47" s="1453">
        <v>24.92201203099863</v>
      </c>
      <c r="G47" s="1453">
        <v>-0.49553718231784677</v>
      </c>
      <c r="H47" s="1453">
        <v>-2.5891389110724861</v>
      </c>
      <c r="I47" s="1453">
        <v>36.69547141447832</v>
      </c>
      <c r="J47" s="1453">
        <v>-2.4039554657772357</v>
      </c>
      <c r="K47" s="1453">
        <v>11.213886409545735</v>
      </c>
      <c r="L47" s="1452">
        <f>SUM(M47:N47)</f>
        <v>55.405156320238191</v>
      </c>
      <c r="M47" s="1168">
        <v>8.6854501756906064</v>
      </c>
      <c r="N47" s="1229">
        <v>46.719706144547587</v>
      </c>
      <c r="O47" s="1452">
        <f>+P47+W47</f>
        <v>1348.7218266422033</v>
      </c>
      <c r="P47" s="1452">
        <f>SUM(Q47:V47)</f>
        <v>533.23240114122223</v>
      </c>
      <c r="Q47" s="1453">
        <v>21.003166223117791</v>
      </c>
      <c r="R47" s="1453">
        <v>12.521695351552248</v>
      </c>
      <c r="S47" s="1453">
        <v>321.90051473202885</v>
      </c>
      <c r="T47" s="1453">
        <v>32.046637522944643</v>
      </c>
      <c r="U47" s="1453">
        <v>60.366884569507704</v>
      </c>
      <c r="V47" s="1453">
        <v>85.393502742070993</v>
      </c>
      <c r="W47" s="1452">
        <f>SUM(X47:Y47)</f>
        <v>815.48942550098104</v>
      </c>
      <c r="X47" s="1168">
        <v>62.81459065383379</v>
      </c>
      <c r="Y47" s="1211">
        <v>752.67483484714728</v>
      </c>
      <c r="Z47" s="173"/>
      <c r="AA47" s="1139">
        <f>+TableB2!L48/TableB2!$L$91</f>
        <v>1.1974979004850091E-3</v>
      </c>
      <c r="AB47" s="1139">
        <f t="shared" si="16"/>
        <v>1.1974979004850091E-3</v>
      </c>
      <c r="AC47" s="1139">
        <f t="shared" si="10"/>
        <v>2.8339914076610565E-3</v>
      </c>
      <c r="AD47" s="1139">
        <f t="shared" si="15"/>
        <v>1.1974979004850091E-3</v>
      </c>
      <c r="AE47" s="1139">
        <f t="shared" si="12"/>
        <v>4.6777231015656291E-3</v>
      </c>
      <c r="AF47" s="1139"/>
      <c r="AG47" s="1139">
        <f>+AB47</f>
        <v>1.1974979004850091E-3</v>
      </c>
      <c r="AH47" s="1139">
        <f t="shared" si="2"/>
        <v>1.7146615305115801E-2</v>
      </c>
      <c r="AI47" s="1139">
        <f>+AD47</f>
        <v>1.1974979004850091E-3</v>
      </c>
      <c r="AJ47" s="1139">
        <f>+AI47/$AI$90</f>
        <v>1.7146615305115801E-2</v>
      </c>
    </row>
    <row r="48" spans="2:36" x14ac:dyDescent="0.2">
      <c r="B48" s="954"/>
      <c r="C48" s="1148" t="s">
        <v>68</v>
      </c>
      <c r="D48" s="1452">
        <f>+E48+L48</f>
        <v>92.481290464179892</v>
      </c>
      <c r="E48" s="1452">
        <f>SUM(F48:K48)</f>
        <v>50.737679537973037</v>
      </c>
      <c r="F48" s="1168">
        <v>18.776858379519517</v>
      </c>
      <c r="G48" s="1168">
        <v>-0.37334993188330917</v>
      </c>
      <c r="H48" s="1168">
        <v>-1.9507210973833797</v>
      </c>
      <c r="I48" s="1168">
        <v>27.647272983511058</v>
      </c>
      <c r="J48" s="1168">
        <v>-1.8111993235307939</v>
      </c>
      <c r="K48" s="1168">
        <v>8.4488185277399364</v>
      </c>
      <c r="L48" s="1452">
        <f>SUM(M48:N48)</f>
        <v>41.743610926206856</v>
      </c>
      <c r="M48" s="1168">
        <v>6.5438323241504559</v>
      </c>
      <c r="N48" s="1229">
        <v>35.199778602056398</v>
      </c>
      <c r="O48" s="1452">
        <f>+P48+W48</f>
        <v>1016.1602803468655</v>
      </c>
      <c r="P48" s="1452">
        <f>SUM(Q48:V48)</f>
        <v>401.75043921598933</v>
      </c>
      <c r="Q48" s="1168">
        <v>15.824303318787377</v>
      </c>
      <c r="R48" s="1168">
        <v>9.4341540319914206</v>
      </c>
      <c r="S48" s="1168">
        <v>242.52778507207654</v>
      </c>
      <c r="T48" s="1168">
        <v>24.144726900848703</v>
      </c>
      <c r="U48" s="1168">
        <v>45.481899333190732</v>
      </c>
      <c r="V48" s="1168">
        <v>64.337570559094573</v>
      </c>
      <c r="W48" s="1452">
        <f>SUM(X48:Y48)</f>
        <v>614.4098411308762</v>
      </c>
      <c r="X48" s="1168">
        <v>47.326061451518612</v>
      </c>
      <c r="Y48" s="1211">
        <v>567.08377967935758</v>
      </c>
      <c r="Z48" s="173"/>
      <c r="AA48" s="1139">
        <f>+TableB2!L49/TableB2!$L$91</f>
        <v>9.0222444557089721E-4</v>
      </c>
      <c r="AB48" s="1139">
        <f t="shared" si="16"/>
        <v>9.0222444557089721E-4</v>
      </c>
      <c r="AC48" s="1139">
        <f t="shared" si="10"/>
        <v>2.1351990057720286E-3</v>
      </c>
      <c r="AD48" s="1139">
        <f t="shared" si="15"/>
        <v>9.0222444557089721E-4</v>
      </c>
      <c r="AE48" s="1139">
        <f t="shared" si="12"/>
        <v>3.5243119258371179E-3</v>
      </c>
      <c r="AF48" s="1139"/>
      <c r="AG48" s="1139">
        <f>+AB48</f>
        <v>9.0222444557089721E-4</v>
      </c>
      <c r="AH48" s="1139">
        <f t="shared" si="2"/>
        <v>1.2918682764128343E-2</v>
      </c>
      <c r="AI48" s="1139">
        <f>+AD48</f>
        <v>9.0222444557089721E-4</v>
      </c>
      <c r="AJ48" s="1139">
        <f>+AI48/$AI$90</f>
        <v>1.2918682764128343E-2</v>
      </c>
    </row>
    <row r="49" spans="2:36" ht="14.25" customHeight="1" x14ac:dyDescent="0.2">
      <c r="B49" s="954"/>
      <c r="C49" s="1148" t="s">
        <v>69</v>
      </c>
      <c r="D49" s="1452">
        <f t="shared" si="4"/>
        <v>515.37473719177899</v>
      </c>
      <c r="E49" s="1452">
        <f t="shared" si="5"/>
        <v>67.579638165196272</v>
      </c>
      <c r="F49" s="1453">
        <v>13.900808363685945</v>
      </c>
      <c r="G49" s="1453">
        <v>0</v>
      </c>
      <c r="H49" s="1453">
        <v>0</v>
      </c>
      <c r="I49" s="1453">
        <v>28.835735017340259</v>
      </c>
      <c r="J49" s="1453">
        <v>0.44362669257446552</v>
      </c>
      <c r="K49" s="1453">
        <v>24.399468091595605</v>
      </c>
      <c r="L49" s="1452">
        <f t="shared" si="6"/>
        <v>447.7950990265827</v>
      </c>
      <c r="M49" s="1168">
        <v>70.197474022704895</v>
      </c>
      <c r="N49" s="1229">
        <v>377.59762500387779</v>
      </c>
      <c r="O49" s="1452">
        <f t="shared" si="7"/>
        <v>9419.1229823127996</v>
      </c>
      <c r="P49" s="1452">
        <f t="shared" si="8"/>
        <v>2828.1810501815835</v>
      </c>
      <c r="Q49" s="1453">
        <v>80.762038777542628</v>
      </c>
      <c r="R49" s="1453">
        <v>7.9516578591483382</v>
      </c>
      <c r="S49" s="1453">
        <v>2152.0303472549258</v>
      </c>
      <c r="T49" s="1453">
        <v>114.62603075639399</v>
      </c>
      <c r="U49" s="1453">
        <v>2.0115958246844023</v>
      </c>
      <c r="V49" s="1453">
        <v>470.79937970888864</v>
      </c>
      <c r="W49" s="1452">
        <f t="shared" si="9"/>
        <v>6590.9419321312162</v>
      </c>
      <c r="X49" s="1168">
        <v>507.67956829810873</v>
      </c>
      <c r="Y49" s="1211">
        <v>6083.2623638331079</v>
      </c>
      <c r="Z49" s="173"/>
      <c r="AA49" s="1139">
        <f>+TableB2!L50/TableB2!$L$91</f>
        <v>9.6784076888514429E-3</v>
      </c>
      <c r="AB49" s="1139">
        <f t="shared" si="16"/>
        <v>9.6784076888514429E-3</v>
      </c>
      <c r="AC49" s="1139">
        <f t="shared" si="10"/>
        <v>2.2904862061918128E-2</v>
      </c>
      <c r="AD49" s="1139">
        <f t="shared" si="15"/>
        <v>9.6784076888514429E-3</v>
      </c>
      <c r="AE49" s="1139">
        <f t="shared" si="12"/>
        <v>3.7806255204434536E-2</v>
      </c>
      <c r="AF49" s="1139"/>
      <c r="AG49" s="1139">
        <f t="shared" si="17"/>
        <v>0</v>
      </c>
      <c r="AH49" s="1139">
        <f t="shared" si="2"/>
        <v>0</v>
      </c>
      <c r="AI49" s="1139">
        <f t="shared" ref="AI49:AI51" si="18">+AH49</f>
        <v>0</v>
      </c>
      <c r="AJ49" s="1139">
        <f t="shared" si="13"/>
        <v>0</v>
      </c>
    </row>
    <row r="50" spans="2:36" ht="14.25" customHeight="1" x14ac:dyDescent="0.2">
      <c r="B50" s="954" t="str">
        <f>+TableC1!B50</f>
        <v>Russian Federation</v>
      </c>
      <c r="C50" s="1148" t="s">
        <v>70</v>
      </c>
      <c r="D50" s="1452">
        <f t="shared" si="4"/>
        <v>4903.359374222061</v>
      </c>
      <c r="E50" s="1452">
        <f t="shared" si="5"/>
        <v>4598.2515270886943</v>
      </c>
      <c r="F50" s="1453">
        <v>97.104197555023561</v>
      </c>
      <c r="G50" s="1453">
        <v>20.295921185281799</v>
      </c>
      <c r="H50" s="1453">
        <v>0</v>
      </c>
      <c r="I50" s="1453">
        <v>3130.2299428054289</v>
      </c>
      <c r="J50" s="1453">
        <v>16.414187625255224</v>
      </c>
      <c r="K50" s="1453">
        <v>1334.2072779177051</v>
      </c>
      <c r="L50" s="1452">
        <f t="shared" si="6"/>
        <v>305.10784713336648</v>
      </c>
      <c r="M50" s="1168">
        <v>47.829465351063334</v>
      </c>
      <c r="N50" s="1229">
        <v>257.27838178230314</v>
      </c>
      <c r="O50" s="1452">
        <f t="shared" si="7"/>
        <v>7512.2525759791333</v>
      </c>
      <c r="P50" s="1452">
        <f t="shared" si="8"/>
        <v>3021.4751917134577</v>
      </c>
      <c r="Q50" s="1453">
        <v>292.02697465257137</v>
      </c>
      <c r="R50" s="1453">
        <v>388.57101405038213</v>
      </c>
      <c r="S50" s="1453">
        <v>1301.7208435530733</v>
      </c>
      <c r="T50" s="1453">
        <v>156.29868113211597</v>
      </c>
      <c r="U50" s="1453">
        <v>6.6700282607956511</v>
      </c>
      <c r="V50" s="1453">
        <v>876.18765006451895</v>
      </c>
      <c r="W50" s="1452">
        <f t="shared" si="9"/>
        <v>4490.7773842656761</v>
      </c>
      <c r="X50" s="1168">
        <v>345.91048551837235</v>
      </c>
      <c r="Y50" s="1211">
        <v>4144.8668987473038</v>
      </c>
      <c r="Z50" s="173"/>
      <c r="AA50" s="1139">
        <f>+TableB2!L51/TableB2!$L$91</f>
        <v>6.5944404930818306E-3</v>
      </c>
      <c r="AB50" s="1139">
        <f t="shared" si="16"/>
        <v>6.5944404930818306E-3</v>
      </c>
      <c r="AC50" s="1139">
        <f t="shared" si="10"/>
        <v>1.5606363642188283E-2</v>
      </c>
      <c r="AD50" s="1139">
        <f t="shared" si="15"/>
        <v>6.5944404930818306E-3</v>
      </c>
      <c r="AE50" s="1139">
        <f t="shared" si="12"/>
        <v>2.5759516257936751E-2</v>
      </c>
      <c r="AF50" s="1139"/>
      <c r="AG50" s="1139">
        <f t="shared" si="17"/>
        <v>0</v>
      </c>
      <c r="AH50" s="1139">
        <f t="shared" si="2"/>
        <v>0</v>
      </c>
      <c r="AI50" s="1139">
        <f t="shared" si="18"/>
        <v>0</v>
      </c>
      <c r="AJ50" s="1139">
        <f t="shared" si="13"/>
        <v>0</v>
      </c>
    </row>
    <row r="51" spans="2:36" ht="14.25" customHeight="1" x14ac:dyDescent="0.2">
      <c r="B51" s="954"/>
      <c r="C51" s="1148" t="s">
        <v>71</v>
      </c>
      <c r="D51" s="1452">
        <f t="shared" si="4"/>
        <v>480.52267854928317</v>
      </c>
      <c r="E51" s="1452">
        <f t="shared" si="5"/>
        <v>324.17388126203565</v>
      </c>
      <c r="F51" s="1453">
        <v>17.627836693080003</v>
      </c>
      <c r="G51" s="1453">
        <v>0</v>
      </c>
      <c r="H51" s="1453">
        <v>0</v>
      </c>
      <c r="I51" s="1453">
        <v>101.03597923383451</v>
      </c>
      <c r="J51" s="1453">
        <v>1.441786750867013</v>
      </c>
      <c r="K51" s="1453">
        <v>204.06827858425413</v>
      </c>
      <c r="L51" s="1452">
        <f t="shared" si="6"/>
        <v>156.34879728724752</v>
      </c>
      <c r="M51" s="1168">
        <v>24.509626523181712</v>
      </c>
      <c r="N51" s="1229">
        <v>131.83917076406581</v>
      </c>
      <c r="O51" s="1452">
        <f t="shared" si="7"/>
        <v>3797.3843251764665</v>
      </c>
      <c r="P51" s="1452">
        <f t="shared" si="8"/>
        <v>1496.1401929408212</v>
      </c>
      <c r="Q51" s="1453">
        <v>51.34540213671584</v>
      </c>
      <c r="R51" s="1453">
        <v>7.0681403192429677</v>
      </c>
      <c r="S51" s="1453">
        <v>906.86215477941028</v>
      </c>
      <c r="T51" s="1453">
        <v>266.62098729051348</v>
      </c>
      <c r="U51" s="1453">
        <v>0.84698771565659059</v>
      </c>
      <c r="V51" s="1453">
        <v>263.39652069928212</v>
      </c>
      <c r="W51" s="1452">
        <f t="shared" si="9"/>
        <v>2301.2441322356453</v>
      </c>
      <c r="X51" s="1168">
        <v>177.25761198205154</v>
      </c>
      <c r="Y51" s="1211">
        <v>2123.9865202535939</v>
      </c>
      <c r="Z51" s="173"/>
      <c r="AA51" s="1139">
        <f>+TableB2!L52/TableB2!$L$91</f>
        <v>3.3792406506837243E-3</v>
      </c>
      <c r="AB51" s="1139">
        <f t="shared" si="16"/>
        <v>3.3792406506837243E-3</v>
      </c>
      <c r="AC51" s="1139">
        <f t="shared" si="10"/>
        <v>7.9972908216188725E-3</v>
      </c>
      <c r="AD51" s="1139">
        <f t="shared" si="15"/>
        <v>3.3792406506837243E-3</v>
      </c>
      <c r="AE51" s="1139">
        <f t="shared" si="12"/>
        <v>1.3200150122226298E-2</v>
      </c>
      <c r="AF51" s="1139"/>
      <c r="AG51" s="1139">
        <f t="shared" si="17"/>
        <v>0</v>
      </c>
      <c r="AH51" s="1139">
        <f t="shared" si="2"/>
        <v>0</v>
      </c>
      <c r="AI51" s="1139">
        <f t="shared" si="18"/>
        <v>0</v>
      </c>
      <c r="AJ51" s="1139">
        <f t="shared" si="13"/>
        <v>0</v>
      </c>
    </row>
    <row r="52" spans="2:36" ht="40" hidden="1" customHeight="1" x14ac:dyDescent="0.2">
      <c r="B52" s="954"/>
      <c r="C52" s="7" t="s">
        <v>72</v>
      </c>
      <c r="D52" s="299"/>
      <c r="E52" s="1200"/>
      <c r="F52" s="245"/>
      <c r="G52" s="245"/>
      <c r="H52" s="245"/>
      <c r="I52" s="13"/>
      <c r="J52" s="13"/>
      <c r="K52" s="13"/>
      <c r="L52" s="1201"/>
      <c r="M52" s="13"/>
      <c r="N52" s="632"/>
      <c r="O52" s="299"/>
      <c r="P52" s="1200"/>
      <c r="Q52" s="245"/>
      <c r="R52" s="245"/>
      <c r="S52" s="245"/>
      <c r="T52" s="13"/>
      <c r="U52" s="13"/>
      <c r="V52" s="13"/>
      <c r="W52" s="1201"/>
      <c r="X52" s="13"/>
      <c r="Y52" s="14"/>
      <c r="Z52" s="173"/>
      <c r="AA52" s="1139"/>
      <c r="AB52" s="1139"/>
      <c r="AC52" s="1139">
        <f t="shared" si="10"/>
        <v>0</v>
      </c>
      <c r="AD52" s="1139"/>
      <c r="AE52" s="1139">
        <f t="shared" si="12"/>
        <v>0</v>
      </c>
      <c r="AF52" s="1139"/>
      <c r="AG52" s="1139"/>
      <c r="AH52" s="1139">
        <f t="shared" si="2"/>
        <v>0</v>
      </c>
      <c r="AI52" s="1139"/>
      <c r="AJ52" s="1139">
        <f t="shared" si="13"/>
        <v>0</v>
      </c>
    </row>
    <row r="53" spans="2:36" ht="14.25" hidden="1" customHeight="1" x14ac:dyDescent="0.2">
      <c r="B53" s="954"/>
      <c r="C53" s="1148" t="s">
        <v>73</v>
      </c>
      <c r="D53" s="1459"/>
      <c r="E53" s="1200"/>
      <c r="F53" s="1153"/>
      <c r="G53" s="1153"/>
      <c r="H53" s="1153"/>
      <c r="I53" s="1168"/>
      <c r="J53" s="1168"/>
      <c r="K53" s="1168"/>
      <c r="L53" s="1198"/>
      <c r="M53" s="1168"/>
      <c r="N53" s="1229"/>
      <c r="O53" s="1459"/>
      <c r="P53" s="1200"/>
      <c r="Q53" s="1153"/>
      <c r="R53" s="1153"/>
      <c r="S53" s="1153"/>
      <c r="T53" s="1168"/>
      <c r="U53" s="1168"/>
      <c r="V53" s="1168"/>
      <c r="W53" s="1198"/>
      <c r="X53" s="1168"/>
      <c r="Y53" s="1211"/>
      <c r="Z53" s="173"/>
      <c r="AA53" s="1139"/>
      <c r="AB53" s="1139"/>
      <c r="AC53" s="1139">
        <f t="shared" si="10"/>
        <v>0</v>
      </c>
      <c r="AD53" s="1139"/>
      <c r="AE53" s="1139">
        <f t="shared" si="12"/>
        <v>0</v>
      </c>
      <c r="AF53" s="1139"/>
      <c r="AG53" s="1139"/>
      <c r="AH53" s="1139">
        <f t="shared" si="2"/>
        <v>0</v>
      </c>
      <c r="AI53" s="1139"/>
      <c r="AJ53" s="1139">
        <f t="shared" si="13"/>
        <v>0</v>
      </c>
    </row>
    <row r="54" spans="2:36" ht="14.25" hidden="1" customHeight="1" x14ac:dyDescent="0.2">
      <c r="B54" s="954"/>
      <c r="C54" s="1148" t="s">
        <v>74</v>
      </c>
      <c r="D54" s="1459"/>
      <c r="E54" s="1200"/>
      <c r="F54" s="1153"/>
      <c r="G54" s="1153"/>
      <c r="H54" s="1153"/>
      <c r="I54" s="1168"/>
      <c r="J54" s="1168"/>
      <c r="K54" s="1168"/>
      <c r="L54" s="1198"/>
      <c r="M54" s="1168"/>
      <c r="N54" s="1229"/>
      <c r="O54" s="1459"/>
      <c r="P54" s="1200"/>
      <c r="Q54" s="1153"/>
      <c r="R54" s="1153"/>
      <c r="S54" s="1153"/>
      <c r="T54" s="1168"/>
      <c r="U54" s="1168"/>
      <c r="V54" s="1168"/>
      <c r="W54" s="1198"/>
      <c r="X54" s="1168"/>
      <c r="Y54" s="1211"/>
      <c r="Z54" s="173"/>
      <c r="AA54" s="1139"/>
      <c r="AB54" s="1139"/>
      <c r="AC54" s="1139">
        <f t="shared" si="10"/>
        <v>0</v>
      </c>
      <c r="AD54" s="1139"/>
      <c r="AE54" s="1139">
        <f t="shared" si="12"/>
        <v>0</v>
      </c>
      <c r="AF54" s="1139"/>
      <c r="AG54" s="1139"/>
      <c r="AH54" s="1139">
        <f t="shared" si="2"/>
        <v>0</v>
      </c>
      <c r="AI54" s="1139"/>
      <c r="AJ54" s="1139">
        <f t="shared" si="13"/>
        <v>0</v>
      </c>
    </row>
    <row r="55" spans="2:36" ht="14.25" hidden="1" customHeight="1" x14ac:dyDescent="0.2">
      <c r="B55" s="954"/>
      <c r="C55" s="1148" t="str">
        <f>+TableA1!A56</f>
        <v>Antigua and Barbuda</v>
      </c>
      <c r="D55" s="1459"/>
      <c r="E55" s="1200"/>
      <c r="F55" s="1153"/>
      <c r="G55" s="1153"/>
      <c r="H55" s="1153"/>
      <c r="I55" s="1168"/>
      <c r="J55" s="1168"/>
      <c r="K55" s="1168"/>
      <c r="L55" s="1198"/>
      <c r="M55" s="1168"/>
      <c r="N55" s="1229"/>
      <c r="O55" s="1459"/>
      <c r="P55" s="1200"/>
      <c r="Q55" s="1153"/>
      <c r="R55" s="1153"/>
      <c r="S55" s="1153"/>
      <c r="T55" s="1168"/>
      <c r="U55" s="1168"/>
      <c r="V55" s="1168"/>
      <c r="W55" s="1198"/>
      <c r="X55" s="1168"/>
      <c r="Y55" s="1211"/>
      <c r="Z55" s="173"/>
      <c r="AA55" s="1139"/>
      <c r="AB55" s="1139"/>
      <c r="AC55" s="1139">
        <f t="shared" si="10"/>
        <v>0</v>
      </c>
      <c r="AD55" s="1139"/>
      <c r="AE55" s="1139">
        <f t="shared" si="12"/>
        <v>0</v>
      </c>
      <c r="AF55" s="1139"/>
      <c r="AG55" s="1139"/>
      <c r="AH55" s="1139">
        <f t="shared" si="2"/>
        <v>0</v>
      </c>
      <c r="AI55" s="1139"/>
      <c r="AJ55" s="1139">
        <f t="shared" si="13"/>
        <v>0</v>
      </c>
    </row>
    <row r="56" spans="2:36" ht="14.25" hidden="1" customHeight="1" x14ac:dyDescent="0.2">
      <c r="B56" s="954"/>
      <c r="C56" s="1148" t="s">
        <v>76</v>
      </c>
      <c r="D56" s="1459"/>
      <c r="E56" s="1200"/>
      <c r="F56" s="1153"/>
      <c r="G56" s="1153"/>
      <c r="H56" s="1153"/>
      <c r="I56" s="1168"/>
      <c r="J56" s="1168"/>
      <c r="K56" s="1168"/>
      <c r="L56" s="1198"/>
      <c r="M56" s="1168"/>
      <c r="N56" s="1229"/>
      <c r="O56" s="1459"/>
      <c r="P56" s="1200"/>
      <c r="Q56" s="1153"/>
      <c r="R56" s="1153"/>
      <c r="S56" s="1153"/>
      <c r="T56" s="1168"/>
      <c r="U56" s="1168"/>
      <c r="V56" s="1168"/>
      <c r="W56" s="1198"/>
      <c r="X56" s="1168"/>
      <c r="Y56" s="1211"/>
      <c r="Z56" s="173"/>
      <c r="AA56" s="1139"/>
      <c r="AB56" s="1139"/>
      <c r="AC56" s="1139">
        <f t="shared" si="10"/>
        <v>0</v>
      </c>
      <c r="AD56" s="1139"/>
      <c r="AE56" s="1139">
        <f t="shared" si="12"/>
        <v>0</v>
      </c>
      <c r="AF56" s="1139"/>
      <c r="AG56" s="1139"/>
      <c r="AH56" s="1139">
        <f t="shared" si="2"/>
        <v>0</v>
      </c>
      <c r="AI56" s="1139"/>
      <c r="AJ56" s="1139">
        <f t="shared" si="13"/>
        <v>0</v>
      </c>
    </row>
    <row r="57" spans="2:36" ht="14.25" hidden="1" customHeight="1" x14ac:dyDescent="0.2">
      <c r="B57" s="954"/>
      <c r="C57" s="1148" t="s">
        <v>152</v>
      </c>
      <c r="D57" s="1459"/>
      <c r="E57" s="1200"/>
      <c r="F57" s="1153"/>
      <c r="G57" s="1153"/>
      <c r="H57" s="1153"/>
      <c r="I57" s="1168"/>
      <c r="J57" s="1168"/>
      <c r="K57" s="1168"/>
      <c r="L57" s="1198"/>
      <c r="M57" s="1168"/>
      <c r="N57" s="1229"/>
      <c r="O57" s="1459"/>
      <c r="P57" s="1200"/>
      <c r="Q57" s="1153"/>
      <c r="R57" s="1153"/>
      <c r="S57" s="1153"/>
      <c r="T57" s="1168"/>
      <c r="U57" s="1168"/>
      <c r="V57" s="1168"/>
      <c r="W57" s="1198"/>
      <c r="X57" s="1168"/>
      <c r="Y57" s="1211"/>
      <c r="Z57" s="173"/>
      <c r="AA57" s="1139"/>
      <c r="AB57" s="1139"/>
      <c r="AC57" s="1139">
        <f t="shared" si="10"/>
        <v>0</v>
      </c>
      <c r="AD57" s="1139"/>
      <c r="AE57" s="1139">
        <f t="shared" si="12"/>
        <v>0</v>
      </c>
      <c r="AF57" s="1139"/>
      <c r="AG57" s="1139"/>
      <c r="AH57" s="1139">
        <f t="shared" si="2"/>
        <v>0</v>
      </c>
      <c r="AI57" s="1139"/>
      <c r="AJ57" s="1139">
        <f t="shared" si="13"/>
        <v>0</v>
      </c>
    </row>
    <row r="58" spans="2:36" ht="14.25" hidden="1" customHeight="1" x14ac:dyDescent="0.2">
      <c r="B58" s="954"/>
      <c r="C58" s="1148" t="s">
        <v>78</v>
      </c>
      <c r="D58" s="1459"/>
      <c r="E58" s="1200"/>
      <c r="F58" s="1153"/>
      <c r="G58" s="1153"/>
      <c r="H58" s="1153"/>
      <c r="I58" s="1168"/>
      <c r="J58" s="1168"/>
      <c r="K58" s="1168"/>
      <c r="L58" s="1198"/>
      <c r="M58" s="1168"/>
      <c r="N58" s="1229"/>
      <c r="O58" s="1459"/>
      <c r="P58" s="1200"/>
      <c r="Q58" s="1153"/>
      <c r="R58" s="1153"/>
      <c r="S58" s="1153"/>
      <c r="T58" s="1168"/>
      <c r="U58" s="1168"/>
      <c r="V58" s="1168"/>
      <c r="W58" s="1198"/>
      <c r="X58" s="1168"/>
      <c r="Y58" s="1211"/>
      <c r="Z58" s="173"/>
      <c r="AA58" s="1139"/>
      <c r="AB58" s="1139"/>
      <c r="AC58" s="1139">
        <f t="shared" si="10"/>
        <v>0</v>
      </c>
      <c r="AD58" s="1139"/>
      <c r="AE58" s="1139">
        <f t="shared" si="12"/>
        <v>0</v>
      </c>
      <c r="AF58" s="1139"/>
      <c r="AG58" s="1139"/>
      <c r="AH58" s="1139">
        <f t="shared" si="2"/>
        <v>0</v>
      </c>
      <c r="AI58" s="1139"/>
      <c r="AJ58" s="1139">
        <f t="shared" si="13"/>
        <v>0</v>
      </c>
    </row>
    <row r="59" spans="2:36" ht="14.25" hidden="1" customHeight="1" x14ac:dyDescent="0.2">
      <c r="B59" s="954"/>
      <c r="C59" s="1148" t="str">
        <f>+TableA1!A60</f>
        <v>Barbados</v>
      </c>
      <c r="D59" s="1459"/>
      <c r="E59" s="1200"/>
      <c r="F59" s="1153"/>
      <c r="G59" s="1153"/>
      <c r="H59" s="1153"/>
      <c r="I59" s="1168"/>
      <c r="J59" s="1168"/>
      <c r="K59" s="1168"/>
      <c r="L59" s="1198"/>
      <c r="M59" s="1168"/>
      <c r="N59" s="1229"/>
      <c r="O59" s="1459"/>
      <c r="P59" s="1200"/>
      <c r="Q59" s="1153"/>
      <c r="R59" s="1153"/>
      <c r="S59" s="1153"/>
      <c r="T59" s="1168"/>
      <c r="U59" s="1168"/>
      <c r="V59" s="1168"/>
      <c r="W59" s="1198"/>
      <c r="X59" s="1168"/>
      <c r="Y59" s="1211"/>
      <c r="Z59" s="173"/>
      <c r="AA59" s="1139"/>
      <c r="AB59" s="1139"/>
      <c r="AC59" s="1139">
        <f t="shared" si="10"/>
        <v>0</v>
      </c>
      <c r="AD59" s="1139"/>
      <c r="AE59" s="1139">
        <f t="shared" si="12"/>
        <v>0</v>
      </c>
      <c r="AF59" s="1139"/>
      <c r="AG59" s="1139"/>
      <c r="AH59" s="1139">
        <f t="shared" si="2"/>
        <v>0</v>
      </c>
      <c r="AI59" s="1139"/>
      <c r="AJ59" s="1139">
        <f t="shared" si="13"/>
        <v>0</v>
      </c>
    </row>
    <row r="60" spans="2:36" ht="14.25" hidden="1" customHeight="1" x14ac:dyDescent="0.2">
      <c r="B60" s="954"/>
      <c r="C60" s="1148" t="s">
        <v>80</v>
      </c>
      <c r="D60" s="1459"/>
      <c r="E60" s="1200"/>
      <c r="F60" s="1153"/>
      <c r="G60" s="1153"/>
      <c r="H60" s="1153"/>
      <c r="I60" s="1168"/>
      <c r="J60" s="1168"/>
      <c r="K60" s="1168"/>
      <c r="L60" s="1198"/>
      <c r="M60" s="1168"/>
      <c r="N60" s="1229"/>
      <c r="O60" s="1459"/>
      <c r="P60" s="1200"/>
      <c r="Q60" s="1153"/>
      <c r="R60" s="1153"/>
      <c r="S60" s="1153"/>
      <c r="T60" s="1168"/>
      <c r="U60" s="1168"/>
      <c r="V60" s="1168"/>
      <c r="W60" s="1198"/>
      <c r="X60" s="1168"/>
      <c r="Y60" s="1211"/>
      <c r="Z60" s="173"/>
      <c r="AA60" s="1139"/>
      <c r="AB60" s="1139"/>
      <c r="AC60" s="1139">
        <f t="shared" si="10"/>
        <v>0</v>
      </c>
      <c r="AD60" s="1139"/>
      <c r="AE60" s="1139">
        <f t="shared" si="12"/>
        <v>0</v>
      </c>
      <c r="AF60" s="1139"/>
      <c r="AG60" s="1139"/>
      <c r="AH60" s="1139">
        <f t="shared" si="2"/>
        <v>0</v>
      </c>
      <c r="AI60" s="1139"/>
      <c r="AJ60" s="1139">
        <f t="shared" si="13"/>
        <v>0</v>
      </c>
    </row>
    <row r="61" spans="2:36" ht="14.25" hidden="1" customHeight="1" x14ac:dyDescent="0.2">
      <c r="B61" s="954"/>
      <c r="C61" s="1148" t="s">
        <v>81</v>
      </c>
      <c r="D61" s="1459"/>
      <c r="E61" s="1200"/>
      <c r="F61" s="1153"/>
      <c r="G61" s="1153"/>
      <c r="H61" s="1153"/>
      <c r="I61" s="1168"/>
      <c r="J61" s="1168"/>
      <c r="K61" s="1168"/>
      <c r="L61" s="1198"/>
      <c r="M61" s="1168"/>
      <c r="N61" s="1229"/>
      <c r="O61" s="1459"/>
      <c r="P61" s="1200"/>
      <c r="Q61" s="1153"/>
      <c r="R61" s="1153"/>
      <c r="S61" s="1153"/>
      <c r="T61" s="1168"/>
      <c r="U61" s="1168"/>
      <c r="V61" s="1168"/>
      <c r="W61" s="1198"/>
      <c r="X61" s="1168"/>
      <c r="Y61" s="1211"/>
      <c r="Z61" s="173"/>
      <c r="AA61" s="1139"/>
      <c r="AB61" s="1139"/>
      <c r="AC61" s="1139">
        <f t="shared" si="10"/>
        <v>0</v>
      </c>
      <c r="AD61" s="1139"/>
      <c r="AE61" s="1139">
        <f t="shared" si="12"/>
        <v>0</v>
      </c>
      <c r="AF61" s="1139"/>
      <c r="AG61" s="1139"/>
      <c r="AH61" s="1139">
        <f t="shared" si="2"/>
        <v>0</v>
      </c>
      <c r="AI61" s="1139"/>
      <c r="AJ61" s="1139">
        <f t="shared" si="13"/>
        <v>0</v>
      </c>
    </row>
    <row r="62" spans="2:36" ht="14.25" hidden="1" customHeight="1" x14ac:dyDescent="0.2">
      <c r="B62" s="954"/>
      <c r="C62" s="1148" t="s">
        <v>82</v>
      </c>
      <c r="D62" s="1459"/>
      <c r="E62" s="1200"/>
      <c r="F62" s="1153"/>
      <c r="G62" s="1153"/>
      <c r="H62" s="1153"/>
      <c r="I62" s="1168"/>
      <c r="J62" s="1168"/>
      <c r="K62" s="1168"/>
      <c r="L62" s="1198"/>
      <c r="M62" s="1168"/>
      <c r="N62" s="1229"/>
      <c r="O62" s="1459"/>
      <c r="P62" s="1200"/>
      <c r="Q62" s="1153"/>
      <c r="R62" s="1153"/>
      <c r="S62" s="1153"/>
      <c r="T62" s="1168"/>
      <c r="U62" s="1168"/>
      <c r="V62" s="1168"/>
      <c r="W62" s="1198"/>
      <c r="X62" s="1168"/>
      <c r="Y62" s="1211"/>
      <c r="Z62" s="173"/>
      <c r="AA62" s="1139"/>
      <c r="AB62" s="1139"/>
      <c r="AC62" s="1139">
        <f t="shared" si="10"/>
        <v>0</v>
      </c>
      <c r="AD62" s="1139"/>
      <c r="AE62" s="1139">
        <f t="shared" si="12"/>
        <v>0</v>
      </c>
      <c r="AF62" s="1139"/>
      <c r="AG62" s="1139"/>
      <c r="AH62" s="1139">
        <f t="shared" si="2"/>
        <v>0</v>
      </c>
      <c r="AI62" s="1139"/>
      <c r="AJ62" s="1139">
        <f t="shared" si="13"/>
        <v>0</v>
      </c>
    </row>
    <row r="63" spans="2:36" ht="14.25" hidden="1" customHeight="1" x14ac:dyDescent="0.2">
      <c r="B63" s="954"/>
      <c r="C63" s="1148" t="s">
        <v>153</v>
      </c>
      <c r="D63" s="1459"/>
      <c r="E63" s="1200"/>
      <c r="F63" s="1153"/>
      <c r="G63" s="1153"/>
      <c r="H63" s="1153"/>
      <c r="I63" s="1168"/>
      <c r="J63" s="1168"/>
      <c r="K63" s="1168"/>
      <c r="L63" s="1198"/>
      <c r="M63" s="1168"/>
      <c r="N63" s="1229"/>
      <c r="O63" s="1459"/>
      <c r="P63" s="1200"/>
      <c r="Q63" s="1153"/>
      <c r="R63" s="1153"/>
      <c r="S63" s="1153"/>
      <c r="T63" s="1168"/>
      <c r="U63" s="1168"/>
      <c r="V63" s="1168"/>
      <c r="W63" s="1198"/>
      <c r="X63" s="1168"/>
      <c r="Y63" s="1211"/>
      <c r="Z63" s="173"/>
      <c r="AA63" s="1139"/>
      <c r="AB63" s="1139"/>
      <c r="AC63" s="1139">
        <f t="shared" si="10"/>
        <v>0</v>
      </c>
      <c r="AD63" s="1139"/>
      <c r="AE63" s="1139">
        <f t="shared" si="12"/>
        <v>0</v>
      </c>
      <c r="AF63" s="1139"/>
      <c r="AG63" s="1139"/>
      <c r="AH63" s="1139">
        <f t="shared" si="2"/>
        <v>0</v>
      </c>
      <c r="AI63" s="1139"/>
      <c r="AJ63" s="1139">
        <f t="shared" si="13"/>
        <v>0</v>
      </c>
    </row>
    <row r="64" spans="2:36" ht="14.25" hidden="1" customHeight="1" x14ac:dyDescent="0.2">
      <c r="B64" s="954"/>
      <c r="C64" s="113" t="s">
        <v>84</v>
      </c>
      <c r="D64" s="633"/>
      <c r="E64" s="1200"/>
      <c r="F64" s="1153"/>
      <c r="G64" s="1153"/>
      <c r="H64" s="1153"/>
      <c r="I64" s="1168"/>
      <c r="J64" s="1168"/>
      <c r="K64" s="1168"/>
      <c r="L64" s="1198"/>
      <c r="M64" s="1168"/>
      <c r="N64" s="1229"/>
      <c r="O64" s="633"/>
      <c r="P64" s="1200"/>
      <c r="Q64" s="1153"/>
      <c r="R64" s="1153"/>
      <c r="S64" s="1153"/>
      <c r="T64" s="1168"/>
      <c r="U64" s="1168"/>
      <c r="V64" s="1168"/>
      <c r="W64" s="1198"/>
      <c r="X64" s="1168"/>
      <c r="Y64" s="1211"/>
      <c r="Z64" s="173"/>
      <c r="AA64" s="1139"/>
      <c r="AB64" s="1139"/>
      <c r="AC64" s="1139">
        <f t="shared" si="10"/>
        <v>0</v>
      </c>
      <c r="AD64" s="1139"/>
      <c r="AE64" s="1139">
        <f t="shared" si="12"/>
        <v>0</v>
      </c>
      <c r="AF64" s="1139"/>
      <c r="AG64" s="1139"/>
      <c r="AH64" s="1139">
        <f t="shared" si="2"/>
        <v>0</v>
      </c>
      <c r="AI64" s="1139"/>
      <c r="AJ64" s="1139">
        <f t="shared" si="13"/>
        <v>0</v>
      </c>
    </row>
    <row r="65" spans="3:36" ht="14.25" hidden="1" customHeight="1" x14ac:dyDescent="0.2">
      <c r="C65" s="1148" t="s">
        <v>85</v>
      </c>
      <c r="D65" s="1459"/>
      <c r="E65" s="1200"/>
      <c r="F65" s="1153"/>
      <c r="G65" s="1153"/>
      <c r="H65" s="1153"/>
      <c r="I65" s="1168"/>
      <c r="J65" s="1168"/>
      <c r="K65" s="1168"/>
      <c r="L65" s="1198"/>
      <c r="M65" s="1168"/>
      <c r="N65" s="1229"/>
      <c r="O65" s="1459"/>
      <c r="P65" s="1200"/>
      <c r="Q65" s="1153"/>
      <c r="R65" s="1153"/>
      <c r="S65" s="1153"/>
      <c r="T65" s="1168"/>
      <c r="U65" s="1168"/>
      <c r="V65" s="1168"/>
      <c r="W65" s="1198"/>
      <c r="X65" s="1168"/>
      <c r="Y65" s="1211"/>
      <c r="Z65" s="173"/>
      <c r="AA65" s="1139"/>
      <c r="AB65" s="1139"/>
      <c r="AC65" s="1139">
        <f t="shared" si="10"/>
        <v>0</v>
      </c>
      <c r="AD65" s="1139"/>
      <c r="AE65" s="1139">
        <f t="shared" si="12"/>
        <v>0</v>
      </c>
      <c r="AF65" s="1139"/>
      <c r="AG65" s="1139"/>
      <c r="AH65" s="1139">
        <f t="shared" si="2"/>
        <v>0</v>
      </c>
      <c r="AI65" s="1139"/>
      <c r="AJ65" s="1139">
        <f t="shared" si="13"/>
        <v>0</v>
      </c>
    </row>
    <row r="66" spans="3:36" ht="14.25" hidden="1" customHeight="1" x14ac:dyDescent="0.2">
      <c r="C66" s="1148" t="str">
        <f>+TableA1!A67</f>
        <v>Cyprus</v>
      </c>
      <c r="D66" s="1459"/>
      <c r="E66" s="1200"/>
      <c r="F66" s="1153"/>
      <c r="G66" s="1153"/>
      <c r="H66" s="1153"/>
      <c r="I66" s="1168"/>
      <c r="J66" s="1168"/>
      <c r="K66" s="1168"/>
      <c r="L66" s="1198"/>
      <c r="M66" s="1168"/>
      <c r="N66" s="1229"/>
      <c r="O66" s="1459"/>
      <c r="P66" s="1200"/>
      <c r="Q66" s="1153"/>
      <c r="R66" s="1153"/>
      <c r="S66" s="1153"/>
      <c r="T66" s="1168"/>
      <c r="U66" s="1168"/>
      <c r="V66" s="1168"/>
      <c r="W66" s="1198"/>
      <c r="X66" s="1168"/>
      <c r="Y66" s="1211"/>
      <c r="Z66" s="173"/>
      <c r="AA66" s="1139"/>
      <c r="AB66" s="1139"/>
      <c r="AC66" s="1139">
        <f t="shared" si="10"/>
        <v>0</v>
      </c>
      <c r="AD66" s="1139"/>
      <c r="AE66" s="1139">
        <f t="shared" si="12"/>
        <v>0</v>
      </c>
      <c r="AF66" s="1139"/>
      <c r="AG66" s="1139"/>
      <c r="AH66" s="1139">
        <f t="shared" si="2"/>
        <v>0</v>
      </c>
      <c r="AI66" s="1139"/>
      <c r="AJ66" s="1139">
        <f t="shared" si="13"/>
        <v>0</v>
      </c>
    </row>
    <row r="67" spans="3:36" ht="14.25" hidden="1" customHeight="1" x14ac:dyDescent="0.2">
      <c r="C67" s="1148" t="s">
        <v>87</v>
      </c>
      <c r="D67" s="1459"/>
      <c r="E67" s="1200"/>
      <c r="F67" s="1153"/>
      <c r="G67" s="1153"/>
      <c r="H67" s="1153"/>
      <c r="I67" s="1168"/>
      <c r="J67" s="1168"/>
      <c r="K67" s="1168"/>
      <c r="L67" s="1198"/>
      <c r="M67" s="1168"/>
      <c r="N67" s="1229"/>
      <c r="O67" s="1459"/>
      <c r="P67" s="1200"/>
      <c r="Q67" s="1153"/>
      <c r="R67" s="1153"/>
      <c r="S67" s="1153"/>
      <c r="T67" s="1168"/>
      <c r="U67" s="1168"/>
      <c r="V67" s="1168"/>
      <c r="W67" s="1198"/>
      <c r="X67" s="1168"/>
      <c r="Y67" s="1211"/>
      <c r="Z67" s="173"/>
      <c r="AA67" s="1139"/>
      <c r="AB67" s="1139"/>
      <c r="AC67" s="1139">
        <f t="shared" si="10"/>
        <v>0</v>
      </c>
      <c r="AD67" s="1139"/>
      <c r="AE67" s="1139">
        <f t="shared" si="12"/>
        <v>0</v>
      </c>
      <c r="AF67" s="1139"/>
      <c r="AG67" s="1139"/>
      <c r="AH67" s="1139">
        <f t="shared" si="2"/>
        <v>0</v>
      </c>
      <c r="AI67" s="1139"/>
      <c r="AJ67" s="1139">
        <f t="shared" si="13"/>
        <v>0</v>
      </c>
    </row>
    <row r="68" spans="3:36" ht="14.25" hidden="1" customHeight="1" x14ac:dyDescent="0.2">
      <c r="C68" s="1148" t="str">
        <f>+TableA1!A69</f>
        <v>Grenada</v>
      </c>
      <c r="D68" s="1459"/>
      <c r="E68" s="1200"/>
      <c r="F68" s="1153"/>
      <c r="G68" s="1153"/>
      <c r="H68" s="1153"/>
      <c r="I68" s="1168"/>
      <c r="J68" s="1168"/>
      <c r="K68" s="1168"/>
      <c r="L68" s="1198"/>
      <c r="M68" s="1168"/>
      <c r="N68" s="1229"/>
      <c r="O68" s="1459"/>
      <c r="P68" s="1200"/>
      <c r="Q68" s="1153"/>
      <c r="R68" s="1153"/>
      <c r="S68" s="1153"/>
      <c r="T68" s="1168"/>
      <c r="U68" s="1168"/>
      <c r="V68" s="1168"/>
      <c r="W68" s="1198"/>
      <c r="X68" s="1168"/>
      <c r="Y68" s="1211"/>
      <c r="Z68" s="173"/>
      <c r="AA68" s="1139"/>
      <c r="AB68" s="1139"/>
      <c r="AC68" s="1139">
        <f t="shared" si="10"/>
        <v>0</v>
      </c>
      <c r="AD68" s="1139"/>
      <c r="AE68" s="1139">
        <f t="shared" si="12"/>
        <v>0</v>
      </c>
      <c r="AF68" s="1139"/>
      <c r="AG68" s="1139"/>
      <c r="AH68" s="1139">
        <f t="shared" si="2"/>
        <v>0</v>
      </c>
      <c r="AI68" s="1139"/>
      <c r="AJ68" s="1139">
        <f t="shared" si="13"/>
        <v>0</v>
      </c>
    </row>
    <row r="69" spans="3:36" ht="14.25" hidden="1" customHeight="1" x14ac:dyDescent="0.2">
      <c r="C69" s="1148" t="s">
        <v>89</v>
      </c>
      <c r="D69" s="1459"/>
      <c r="E69" s="1200"/>
      <c r="F69" s="1153"/>
      <c r="G69" s="1153"/>
      <c r="H69" s="1153"/>
      <c r="I69" s="1168"/>
      <c r="J69" s="1168"/>
      <c r="K69" s="1168"/>
      <c r="L69" s="1198"/>
      <c r="M69" s="1168"/>
      <c r="N69" s="1229"/>
      <c r="O69" s="1459"/>
      <c r="P69" s="1200"/>
      <c r="Q69" s="1153"/>
      <c r="R69" s="1153"/>
      <c r="S69" s="1153"/>
      <c r="T69" s="1168"/>
      <c r="U69" s="1168"/>
      <c r="V69" s="1168"/>
      <c r="W69" s="1198"/>
      <c r="X69" s="1168"/>
      <c r="Y69" s="1211"/>
      <c r="Z69" s="173"/>
      <c r="AA69" s="1139"/>
      <c r="AB69" s="1139"/>
      <c r="AC69" s="1139">
        <f t="shared" si="10"/>
        <v>0</v>
      </c>
      <c r="AD69" s="1139"/>
      <c r="AE69" s="1139">
        <f t="shared" si="12"/>
        <v>0</v>
      </c>
      <c r="AF69" s="1139"/>
      <c r="AG69" s="1139"/>
      <c r="AH69" s="1139">
        <f t="shared" si="2"/>
        <v>0</v>
      </c>
      <c r="AI69" s="1139"/>
      <c r="AJ69" s="1139">
        <f t="shared" si="13"/>
        <v>0</v>
      </c>
    </row>
    <row r="70" spans="3:36" ht="14.25" hidden="1" customHeight="1" x14ac:dyDescent="0.2">
      <c r="C70" s="1148" t="s">
        <v>154</v>
      </c>
      <c r="D70" s="1459"/>
      <c r="E70" s="1200"/>
      <c r="F70" s="1153"/>
      <c r="G70" s="1153"/>
      <c r="H70" s="1153"/>
      <c r="I70" s="1168"/>
      <c r="J70" s="1168"/>
      <c r="K70" s="1168"/>
      <c r="L70" s="1198"/>
      <c r="M70" s="1168"/>
      <c r="N70" s="1229"/>
      <c r="O70" s="1459"/>
      <c r="P70" s="1200"/>
      <c r="Q70" s="1153"/>
      <c r="R70" s="1153"/>
      <c r="S70" s="1153"/>
      <c r="T70" s="1168"/>
      <c r="U70" s="1168"/>
      <c r="V70" s="1168"/>
      <c r="W70" s="1198"/>
      <c r="X70" s="1168"/>
      <c r="Y70" s="1211"/>
      <c r="Z70" s="173"/>
      <c r="AA70" s="1139"/>
      <c r="AB70" s="1139"/>
      <c r="AC70" s="1139">
        <f t="shared" si="10"/>
        <v>0</v>
      </c>
      <c r="AD70" s="1139"/>
      <c r="AE70" s="1139">
        <f t="shared" si="12"/>
        <v>0</v>
      </c>
      <c r="AF70" s="1139"/>
      <c r="AG70" s="1139"/>
      <c r="AH70" s="1139">
        <f t="shared" si="2"/>
        <v>0</v>
      </c>
      <c r="AI70" s="1139"/>
      <c r="AJ70" s="1139">
        <f t="shared" si="13"/>
        <v>0</v>
      </c>
    </row>
    <row r="71" spans="3:36" ht="14.25" hidden="1" customHeight="1" x14ac:dyDescent="0.2">
      <c r="C71" s="1148" t="s">
        <v>91</v>
      </c>
      <c r="D71" s="1459"/>
      <c r="E71" s="1200"/>
      <c r="F71" s="1153"/>
      <c r="G71" s="1153"/>
      <c r="H71" s="1153"/>
      <c r="I71" s="1168"/>
      <c r="J71" s="1168"/>
      <c r="K71" s="1168"/>
      <c r="L71" s="1198"/>
      <c r="M71" s="1168"/>
      <c r="N71" s="1229"/>
      <c r="O71" s="1459"/>
      <c r="P71" s="1200"/>
      <c r="Q71" s="1153"/>
      <c r="R71" s="1153"/>
      <c r="S71" s="1153"/>
      <c r="T71" s="1168"/>
      <c r="U71" s="1168"/>
      <c r="V71" s="1168"/>
      <c r="W71" s="1198"/>
      <c r="X71" s="1168"/>
      <c r="Y71" s="1211"/>
      <c r="Z71" s="173"/>
      <c r="AA71" s="1139"/>
      <c r="AB71" s="1139"/>
      <c r="AC71" s="1139">
        <f t="shared" si="10"/>
        <v>0</v>
      </c>
      <c r="AD71" s="1139"/>
      <c r="AE71" s="1139">
        <f t="shared" si="12"/>
        <v>0</v>
      </c>
      <c r="AF71" s="1139"/>
      <c r="AG71" s="1139"/>
      <c r="AH71" s="1139">
        <f t="shared" si="2"/>
        <v>0</v>
      </c>
      <c r="AI71" s="1139"/>
      <c r="AJ71" s="1139">
        <f t="shared" si="13"/>
        <v>0</v>
      </c>
    </row>
    <row r="72" spans="3:36" ht="14.25" hidden="1" customHeight="1" x14ac:dyDescent="0.2">
      <c r="C72" s="1148" t="s">
        <v>92</v>
      </c>
      <c r="D72" s="1459"/>
      <c r="E72" s="1200"/>
      <c r="F72" s="1153"/>
      <c r="G72" s="1153"/>
      <c r="H72" s="1153"/>
      <c r="I72" s="1168"/>
      <c r="J72" s="1168"/>
      <c r="K72" s="1168"/>
      <c r="L72" s="1198"/>
      <c r="M72" s="1168"/>
      <c r="N72" s="1229"/>
      <c r="O72" s="1459"/>
      <c r="P72" s="1200"/>
      <c r="Q72" s="1153"/>
      <c r="R72" s="1153"/>
      <c r="S72" s="1153"/>
      <c r="T72" s="1168"/>
      <c r="U72" s="1168"/>
      <c r="V72" s="1168"/>
      <c r="W72" s="1198"/>
      <c r="X72" s="1168"/>
      <c r="Y72" s="1211"/>
      <c r="Z72" s="173"/>
      <c r="AA72" s="1139"/>
      <c r="AB72" s="1139"/>
      <c r="AC72" s="1139">
        <f t="shared" si="10"/>
        <v>0</v>
      </c>
      <c r="AD72" s="1139"/>
      <c r="AE72" s="1139">
        <f t="shared" si="12"/>
        <v>0</v>
      </c>
      <c r="AF72" s="1139"/>
      <c r="AG72" s="1139"/>
      <c r="AH72" s="1139">
        <f t="shared" si="2"/>
        <v>0</v>
      </c>
      <c r="AI72" s="1139"/>
      <c r="AJ72" s="1139">
        <f t="shared" si="13"/>
        <v>0</v>
      </c>
    </row>
    <row r="73" spans="3:36" ht="14.25" hidden="1" customHeight="1" x14ac:dyDescent="0.2">
      <c r="C73" s="1148" t="s">
        <v>93</v>
      </c>
      <c r="D73" s="1459"/>
      <c r="E73" s="1200"/>
      <c r="F73" s="1153"/>
      <c r="G73" s="1153"/>
      <c r="H73" s="1153"/>
      <c r="I73" s="1168"/>
      <c r="J73" s="1168"/>
      <c r="K73" s="1168"/>
      <c r="L73" s="1198"/>
      <c r="M73" s="1168"/>
      <c r="N73" s="1229"/>
      <c r="O73" s="1459"/>
      <c r="P73" s="1200"/>
      <c r="Q73" s="1153"/>
      <c r="R73" s="1153"/>
      <c r="S73" s="1153"/>
      <c r="T73" s="1168"/>
      <c r="U73" s="1168"/>
      <c r="V73" s="1168"/>
      <c r="W73" s="1198"/>
      <c r="X73" s="1168"/>
      <c r="Y73" s="1211"/>
      <c r="Z73" s="173"/>
      <c r="AA73" s="1139"/>
      <c r="AB73" s="1139"/>
      <c r="AC73" s="1139">
        <f t="shared" si="10"/>
        <v>0</v>
      </c>
      <c r="AD73" s="1139"/>
      <c r="AE73" s="1139">
        <f t="shared" si="12"/>
        <v>0</v>
      </c>
      <c r="AF73" s="1139"/>
      <c r="AG73" s="1139"/>
      <c r="AH73" s="1139">
        <f t="shared" ref="AH73:AH88" si="19">+AG73/$AG$90</f>
        <v>0</v>
      </c>
      <c r="AI73" s="1139"/>
      <c r="AJ73" s="1139">
        <f t="shared" si="13"/>
        <v>0</v>
      </c>
    </row>
    <row r="74" spans="3:36" ht="14.25" hidden="1" customHeight="1" x14ac:dyDescent="0.2">
      <c r="C74" s="1148" t="s">
        <v>94</v>
      </c>
      <c r="D74" s="1459"/>
      <c r="E74" s="1200"/>
      <c r="F74" s="1153"/>
      <c r="G74" s="1153"/>
      <c r="H74" s="1153"/>
      <c r="I74" s="1168"/>
      <c r="J74" s="1168"/>
      <c r="K74" s="1168"/>
      <c r="L74" s="1198"/>
      <c r="M74" s="1168"/>
      <c r="N74" s="1229"/>
      <c r="O74" s="1459"/>
      <c r="P74" s="1200"/>
      <c r="Q74" s="1153"/>
      <c r="R74" s="1153"/>
      <c r="S74" s="1153"/>
      <c r="T74" s="1168"/>
      <c r="U74" s="1168"/>
      <c r="V74" s="1168"/>
      <c r="W74" s="1198"/>
      <c r="X74" s="1168"/>
      <c r="Y74" s="1211"/>
      <c r="Z74" s="173"/>
      <c r="AA74" s="1139"/>
      <c r="AB74" s="1139"/>
      <c r="AC74" s="1139">
        <f t="shared" ref="AC74:AC90" si="20">+AB74/$AB$90</f>
        <v>0</v>
      </c>
      <c r="AD74" s="1139"/>
      <c r="AE74" s="1139">
        <f t="shared" ref="AE74:AE88" si="21">+AD74/$AD$90</f>
        <v>0</v>
      </c>
      <c r="AF74" s="1139"/>
      <c r="AG74" s="1139"/>
      <c r="AH74" s="1139">
        <f t="shared" si="19"/>
        <v>0</v>
      </c>
      <c r="AI74" s="1139"/>
      <c r="AJ74" s="1139">
        <f t="shared" si="13"/>
        <v>0</v>
      </c>
    </row>
    <row r="75" spans="3:36" ht="14.25" hidden="1" customHeight="1" x14ac:dyDescent="0.2">
      <c r="C75" s="1148" t="s">
        <v>95</v>
      </c>
      <c r="D75" s="1459"/>
      <c r="E75" s="1200"/>
      <c r="F75" s="1153"/>
      <c r="G75" s="1153"/>
      <c r="H75" s="1153"/>
      <c r="I75" s="1168"/>
      <c r="J75" s="1168"/>
      <c r="K75" s="1168"/>
      <c r="L75" s="1198"/>
      <c r="M75" s="1168"/>
      <c r="N75" s="1229"/>
      <c r="O75" s="1459"/>
      <c r="P75" s="1200"/>
      <c r="Q75" s="1153"/>
      <c r="R75" s="1153"/>
      <c r="S75" s="1153"/>
      <c r="T75" s="1168"/>
      <c r="U75" s="1168"/>
      <c r="V75" s="1168"/>
      <c r="W75" s="1198"/>
      <c r="X75" s="1168"/>
      <c r="Y75" s="1211"/>
      <c r="Z75" s="173"/>
      <c r="AA75" s="1139"/>
      <c r="AB75" s="1139"/>
      <c r="AC75" s="1139">
        <f t="shared" si="20"/>
        <v>0</v>
      </c>
      <c r="AD75" s="1139"/>
      <c r="AE75" s="1139">
        <f t="shared" si="21"/>
        <v>0</v>
      </c>
      <c r="AF75" s="1139"/>
      <c r="AG75" s="1139"/>
      <c r="AH75" s="1139">
        <f t="shared" si="19"/>
        <v>0</v>
      </c>
      <c r="AI75" s="1139"/>
      <c r="AJ75" s="1139">
        <f t="shared" si="13"/>
        <v>0</v>
      </c>
    </row>
    <row r="76" spans="3:36" ht="14.25" hidden="1" customHeight="1" x14ac:dyDescent="0.2">
      <c r="C76" s="1148" t="s">
        <v>96</v>
      </c>
      <c r="D76" s="1459"/>
      <c r="E76" s="1200"/>
      <c r="F76" s="1153"/>
      <c r="G76" s="1153"/>
      <c r="H76" s="1153"/>
      <c r="I76" s="1168"/>
      <c r="J76" s="1168"/>
      <c r="K76" s="1168"/>
      <c r="L76" s="1198"/>
      <c r="M76" s="1168"/>
      <c r="N76" s="634"/>
      <c r="O76" s="1459"/>
      <c r="P76" s="1200"/>
      <c r="Q76" s="1153"/>
      <c r="R76" s="1153"/>
      <c r="S76" s="1153"/>
      <c r="T76" s="1168"/>
      <c r="U76" s="1168"/>
      <c r="V76" s="1168"/>
      <c r="W76" s="1198"/>
      <c r="X76" s="1168"/>
      <c r="Y76" s="635"/>
      <c r="Z76" s="173"/>
      <c r="AA76" s="1139"/>
      <c r="AB76" s="1139"/>
      <c r="AC76" s="1139">
        <f t="shared" si="20"/>
        <v>0</v>
      </c>
      <c r="AD76" s="1139"/>
      <c r="AE76" s="1139">
        <f t="shared" si="21"/>
        <v>0</v>
      </c>
      <c r="AF76" s="1139"/>
      <c r="AG76" s="1139"/>
      <c r="AH76" s="1139">
        <f t="shared" si="19"/>
        <v>0</v>
      </c>
      <c r="AI76" s="1139"/>
      <c r="AJ76" s="1139">
        <f t="shared" si="13"/>
        <v>0</v>
      </c>
    </row>
    <row r="77" spans="3:36" ht="14.25" hidden="1" customHeight="1" x14ac:dyDescent="0.2">
      <c r="C77" s="1148" t="s">
        <v>97</v>
      </c>
      <c r="D77" s="1459"/>
      <c r="E77" s="1200"/>
      <c r="F77" s="1153"/>
      <c r="G77" s="1153"/>
      <c r="H77" s="1153"/>
      <c r="I77" s="1168"/>
      <c r="J77" s="1168"/>
      <c r="K77" s="1168"/>
      <c r="L77" s="1198"/>
      <c r="M77" s="1168"/>
      <c r="N77" s="1229"/>
      <c r="O77" s="1459"/>
      <c r="P77" s="1200"/>
      <c r="Q77" s="1153"/>
      <c r="R77" s="1153"/>
      <c r="S77" s="1153"/>
      <c r="T77" s="1168"/>
      <c r="U77" s="1168"/>
      <c r="V77" s="1168"/>
      <c r="W77" s="1198"/>
      <c r="X77" s="1168"/>
      <c r="Y77" s="1211"/>
      <c r="Z77" s="173"/>
      <c r="AA77" s="1139"/>
      <c r="AB77" s="1139"/>
      <c r="AC77" s="1139">
        <f t="shared" si="20"/>
        <v>0</v>
      </c>
      <c r="AD77" s="1139"/>
      <c r="AE77" s="1139">
        <f t="shared" si="21"/>
        <v>0</v>
      </c>
      <c r="AF77" s="1139"/>
      <c r="AG77" s="1139"/>
      <c r="AH77" s="1139">
        <f t="shared" si="19"/>
        <v>0</v>
      </c>
      <c r="AI77" s="1139"/>
      <c r="AJ77" s="1139">
        <f t="shared" si="13"/>
        <v>0</v>
      </c>
    </row>
    <row r="78" spans="3:36" ht="14.25" hidden="1" customHeight="1" x14ac:dyDescent="0.2">
      <c r="C78" s="1148" t="str">
        <f>+TableA1!A79</f>
        <v>Monaco</v>
      </c>
      <c r="D78" s="1459"/>
      <c r="E78" s="1200"/>
      <c r="F78" s="1153"/>
      <c r="G78" s="1153"/>
      <c r="H78" s="1153"/>
      <c r="I78" s="1168"/>
      <c r="J78" s="1168"/>
      <c r="K78" s="1168"/>
      <c r="L78" s="1198"/>
      <c r="M78" s="1168"/>
      <c r="N78" s="1229"/>
      <c r="O78" s="1459"/>
      <c r="P78" s="1200"/>
      <c r="Q78" s="1153"/>
      <c r="R78" s="1153"/>
      <c r="S78" s="1153"/>
      <c r="T78" s="1168"/>
      <c r="U78" s="1168"/>
      <c r="V78" s="1168"/>
      <c r="W78" s="1198"/>
      <c r="X78" s="1168"/>
      <c r="Y78" s="1211"/>
      <c r="Z78" s="173"/>
      <c r="AA78" s="1139"/>
      <c r="AB78" s="1139"/>
      <c r="AC78" s="1139">
        <f t="shared" si="20"/>
        <v>0</v>
      </c>
      <c r="AD78" s="1139"/>
      <c r="AE78" s="1139">
        <f t="shared" si="21"/>
        <v>0</v>
      </c>
      <c r="AF78" s="1139"/>
      <c r="AG78" s="1139"/>
      <c r="AH78" s="1139">
        <f t="shared" si="19"/>
        <v>0</v>
      </c>
      <c r="AI78" s="1139"/>
      <c r="AJ78" s="1139">
        <f t="shared" si="13"/>
        <v>0</v>
      </c>
    </row>
    <row r="79" spans="3:36" ht="14.25" hidden="1" customHeight="1" x14ac:dyDescent="0.2">
      <c r="C79" s="1148" t="s">
        <v>99</v>
      </c>
      <c r="D79" s="1459"/>
      <c r="E79" s="1200"/>
      <c r="F79" s="1153"/>
      <c r="G79" s="1153"/>
      <c r="H79" s="1153"/>
      <c r="I79" s="1168"/>
      <c r="J79" s="1168"/>
      <c r="K79" s="1168"/>
      <c r="L79" s="1198"/>
      <c r="M79" s="1168"/>
      <c r="N79" s="1229"/>
      <c r="O79" s="1459"/>
      <c r="P79" s="1200"/>
      <c r="Q79" s="1153"/>
      <c r="R79" s="1153"/>
      <c r="S79" s="1153"/>
      <c r="T79" s="1168"/>
      <c r="U79" s="1168"/>
      <c r="V79" s="1168"/>
      <c r="W79" s="1198"/>
      <c r="X79" s="1168"/>
      <c r="Y79" s="1211"/>
      <c r="Z79" s="173"/>
      <c r="AA79" s="1139"/>
      <c r="AB79" s="1139"/>
      <c r="AC79" s="1139">
        <f t="shared" si="20"/>
        <v>0</v>
      </c>
      <c r="AD79" s="1139"/>
      <c r="AE79" s="1139">
        <f t="shared" si="21"/>
        <v>0</v>
      </c>
      <c r="AF79" s="1139"/>
      <c r="AG79" s="1139"/>
      <c r="AH79" s="1139">
        <f t="shared" si="19"/>
        <v>0</v>
      </c>
      <c r="AI79" s="1139"/>
      <c r="AJ79" s="1139">
        <f t="shared" si="13"/>
        <v>0</v>
      </c>
    </row>
    <row r="80" spans="3:36" ht="14.25" hidden="1" customHeight="1" x14ac:dyDescent="0.2">
      <c r="C80" s="1148" t="s">
        <v>100</v>
      </c>
      <c r="D80" s="1459"/>
      <c r="E80" s="1200"/>
      <c r="F80" s="1153"/>
      <c r="G80" s="1153"/>
      <c r="H80" s="1153"/>
      <c r="I80" s="1168"/>
      <c r="J80" s="1168"/>
      <c r="K80" s="1168"/>
      <c r="L80" s="1198"/>
      <c r="M80" s="1168"/>
      <c r="N80" s="1229"/>
      <c r="O80" s="1459"/>
      <c r="P80" s="1200"/>
      <c r="Q80" s="1153"/>
      <c r="R80" s="1153"/>
      <c r="S80" s="1153"/>
      <c r="T80" s="1168"/>
      <c r="U80" s="1168"/>
      <c r="V80" s="1168"/>
      <c r="W80" s="1198"/>
      <c r="X80" s="1168"/>
      <c r="Y80" s="1211"/>
      <c r="Z80" s="173"/>
      <c r="AA80" s="1139"/>
      <c r="AB80" s="1139"/>
      <c r="AC80" s="1139">
        <f t="shared" si="20"/>
        <v>0</v>
      </c>
      <c r="AD80" s="1139"/>
      <c r="AE80" s="1139">
        <f t="shared" si="21"/>
        <v>0</v>
      </c>
      <c r="AF80" s="1139"/>
      <c r="AG80" s="1139"/>
      <c r="AH80" s="1139">
        <f t="shared" si="19"/>
        <v>0</v>
      </c>
      <c r="AI80" s="1139"/>
      <c r="AJ80" s="1139">
        <f t="shared" si="13"/>
        <v>0</v>
      </c>
    </row>
    <row r="81" spans="3:36" ht="14.25" hidden="1" customHeight="1" x14ac:dyDescent="0.2">
      <c r="C81" s="1148" t="str">
        <f>+TableA1!A82</f>
        <v>Seychelles</v>
      </c>
      <c r="D81" s="1459"/>
      <c r="E81" s="1200"/>
      <c r="F81" s="1153"/>
      <c r="G81" s="1153"/>
      <c r="H81" s="1153"/>
      <c r="I81" s="1168"/>
      <c r="J81" s="1168"/>
      <c r="K81" s="1168"/>
      <c r="L81" s="1198"/>
      <c r="M81" s="1168"/>
      <c r="N81" s="1229"/>
      <c r="O81" s="1459"/>
      <c r="P81" s="1200"/>
      <c r="Q81" s="1153"/>
      <c r="R81" s="1153"/>
      <c r="S81" s="1153"/>
      <c r="T81" s="1168"/>
      <c r="U81" s="1168"/>
      <c r="V81" s="1168"/>
      <c r="W81" s="1198"/>
      <c r="X81" s="1168"/>
      <c r="Y81" s="1211"/>
      <c r="Z81" s="173"/>
      <c r="AA81" s="1139"/>
      <c r="AB81" s="1139"/>
      <c r="AC81" s="1139">
        <f t="shared" si="20"/>
        <v>0</v>
      </c>
      <c r="AD81" s="1139"/>
      <c r="AE81" s="1139">
        <f t="shared" si="21"/>
        <v>0</v>
      </c>
      <c r="AF81" s="1139"/>
      <c r="AG81" s="1139"/>
      <c r="AH81" s="1139">
        <f t="shared" si="19"/>
        <v>0</v>
      </c>
      <c r="AI81" s="1139"/>
      <c r="AJ81" s="1139">
        <f t="shared" si="13"/>
        <v>0</v>
      </c>
    </row>
    <row r="82" spans="3:36" hidden="1" x14ac:dyDescent="0.2">
      <c r="C82" s="1148" t="s">
        <v>102</v>
      </c>
      <c r="D82" s="1459"/>
      <c r="E82" s="1200"/>
      <c r="F82" s="1153"/>
      <c r="G82" s="1153"/>
      <c r="H82" s="1153"/>
      <c r="I82" s="1168"/>
      <c r="J82" s="1168"/>
      <c r="K82" s="1168"/>
      <c r="L82" s="1198"/>
      <c r="M82" s="1168"/>
      <c r="N82" s="1229"/>
      <c r="O82" s="1459"/>
      <c r="P82" s="1200"/>
      <c r="Q82" s="1153"/>
      <c r="R82" s="1153"/>
      <c r="S82" s="1153"/>
      <c r="T82" s="1168"/>
      <c r="U82" s="1168"/>
      <c r="V82" s="1168"/>
      <c r="W82" s="1198"/>
      <c r="X82" s="1168"/>
      <c r="Y82" s="1211"/>
      <c r="Z82" s="173"/>
      <c r="AA82" s="1139"/>
      <c r="AB82" s="1139"/>
      <c r="AC82" s="1139">
        <f t="shared" si="20"/>
        <v>0</v>
      </c>
      <c r="AD82" s="1139"/>
      <c r="AE82" s="1139">
        <f t="shared" si="21"/>
        <v>0</v>
      </c>
      <c r="AF82" s="1139"/>
      <c r="AG82" s="1139"/>
      <c r="AH82" s="1139">
        <f t="shared" si="19"/>
        <v>0</v>
      </c>
      <c r="AI82" s="1139"/>
      <c r="AJ82" s="1139">
        <f t="shared" si="13"/>
        <v>0</v>
      </c>
    </row>
    <row r="83" spans="3:36" hidden="1" x14ac:dyDescent="0.2">
      <c r="C83" s="1148" t="str">
        <f>+TableA1!A84</f>
        <v>St. Kitts and Nevis</v>
      </c>
      <c r="D83" s="1459"/>
      <c r="E83" s="1200"/>
      <c r="F83" s="1153"/>
      <c r="G83" s="1153"/>
      <c r="H83" s="1153"/>
      <c r="I83" s="1168"/>
      <c r="J83" s="1168"/>
      <c r="K83" s="1168"/>
      <c r="L83" s="1198"/>
      <c r="M83" s="1168"/>
      <c r="N83" s="1229"/>
      <c r="O83" s="1459"/>
      <c r="P83" s="1200"/>
      <c r="Q83" s="1153"/>
      <c r="R83" s="1153"/>
      <c r="S83" s="1153"/>
      <c r="T83" s="1168"/>
      <c r="U83" s="1168"/>
      <c r="V83" s="1168"/>
      <c r="W83" s="1198"/>
      <c r="X83" s="1168"/>
      <c r="Y83" s="1211"/>
      <c r="Z83" s="173"/>
      <c r="AA83" s="1139"/>
      <c r="AB83" s="1139"/>
      <c r="AC83" s="1139">
        <f t="shared" si="20"/>
        <v>0</v>
      </c>
      <c r="AD83" s="1139"/>
      <c r="AE83" s="1139">
        <f t="shared" si="21"/>
        <v>0</v>
      </c>
      <c r="AF83" s="1139"/>
      <c r="AG83" s="1139"/>
      <c r="AH83" s="1139">
        <f t="shared" si="19"/>
        <v>0</v>
      </c>
      <c r="AI83" s="1139"/>
      <c r="AJ83" s="1139">
        <f t="shared" si="13"/>
        <v>0</v>
      </c>
    </row>
    <row r="84" spans="3:36" hidden="1" x14ac:dyDescent="0.2">
      <c r="C84" s="1148" t="str">
        <f>+TableA1!A85</f>
        <v>St. Lucia</v>
      </c>
      <c r="D84" s="1459"/>
      <c r="E84" s="1200"/>
      <c r="F84" s="1153"/>
      <c r="G84" s="1153"/>
      <c r="H84" s="1153"/>
      <c r="I84" s="1168"/>
      <c r="J84" s="1168"/>
      <c r="K84" s="1168"/>
      <c r="L84" s="1198"/>
      <c r="M84" s="1168"/>
      <c r="N84" s="1229"/>
      <c r="O84" s="1459"/>
      <c r="P84" s="1200"/>
      <c r="Q84" s="1153"/>
      <c r="R84" s="1153"/>
      <c r="S84" s="1153"/>
      <c r="T84" s="1168"/>
      <c r="U84" s="1168"/>
      <c r="V84" s="1168"/>
      <c r="W84" s="1198"/>
      <c r="X84" s="1168"/>
      <c r="Y84" s="1211"/>
      <c r="Z84" s="173"/>
      <c r="AA84" s="1139"/>
      <c r="AB84" s="1139"/>
      <c r="AC84" s="1139">
        <f t="shared" si="20"/>
        <v>0</v>
      </c>
      <c r="AD84" s="1139"/>
      <c r="AE84" s="1139">
        <f t="shared" si="21"/>
        <v>0</v>
      </c>
      <c r="AF84" s="1139"/>
      <c r="AG84" s="1139"/>
      <c r="AH84" s="1139">
        <f t="shared" si="19"/>
        <v>0</v>
      </c>
      <c r="AI84" s="1139"/>
      <c r="AJ84" s="1139">
        <f t="shared" si="13"/>
        <v>0</v>
      </c>
    </row>
    <row r="85" spans="3:36" hidden="1" x14ac:dyDescent="0.2">
      <c r="C85" s="1148" t="str">
        <f>+TableA1!A86</f>
        <v>St. Vincent and the Grenadines</v>
      </c>
      <c r="D85" s="1459"/>
      <c r="E85" s="1200"/>
      <c r="F85" s="1153"/>
      <c r="G85" s="1153"/>
      <c r="H85" s="1153"/>
      <c r="I85" s="1168"/>
      <c r="J85" s="1168"/>
      <c r="K85" s="1168"/>
      <c r="L85" s="1198"/>
      <c r="M85" s="1168"/>
      <c r="N85" s="1229"/>
      <c r="O85" s="1459"/>
      <c r="P85" s="1200"/>
      <c r="Q85" s="1153"/>
      <c r="R85" s="1153"/>
      <c r="S85" s="1153"/>
      <c r="T85" s="1168"/>
      <c r="U85" s="1168"/>
      <c r="V85" s="1168"/>
      <c r="W85" s="1198"/>
      <c r="X85" s="1168"/>
      <c r="Y85" s="1211"/>
      <c r="Z85" s="173"/>
      <c r="AA85" s="1139"/>
      <c r="AB85" s="1139"/>
      <c r="AC85" s="1139">
        <f t="shared" si="20"/>
        <v>0</v>
      </c>
      <c r="AD85" s="1139"/>
      <c r="AE85" s="1139">
        <f t="shared" si="21"/>
        <v>0</v>
      </c>
      <c r="AF85" s="1139"/>
      <c r="AG85" s="1139"/>
      <c r="AH85" s="1139">
        <f t="shared" si="19"/>
        <v>0</v>
      </c>
      <c r="AI85" s="1139"/>
      <c r="AJ85" s="1139">
        <f t="shared" si="13"/>
        <v>0</v>
      </c>
    </row>
    <row r="86" spans="3:36" hidden="1" x14ac:dyDescent="0.2">
      <c r="C86" s="1148" t="str">
        <f>+TableA1!A87</f>
        <v>Turks and Caicos</v>
      </c>
      <c r="D86" s="1459"/>
      <c r="E86" s="1200"/>
      <c r="F86" s="1153"/>
      <c r="G86" s="1153"/>
      <c r="H86" s="1153"/>
      <c r="I86" s="1168"/>
      <c r="J86" s="1168"/>
      <c r="K86" s="1168"/>
      <c r="L86" s="1198"/>
      <c r="M86" s="1168"/>
      <c r="N86" s="1229"/>
      <c r="O86" s="1459"/>
      <c r="P86" s="1200"/>
      <c r="Q86" s="1153"/>
      <c r="R86" s="1153"/>
      <c r="S86" s="1153"/>
      <c r="T86" s="1168"/>
      <c r="U86" s="1168"/>
      <c r="V86" s="1168"/>
      <c r="W86" s="1198"/>
      <c r="X86" s="1168"/>
      <c r="Y86" s="1211"/>
      <c r="Z86" s="173"/>
      <c r="AA86" s="1139"/>
      <c r="AB86" s="1139"/>
      <c r="AC86" s="1139">
        <f t="shared" si="20"/>
        <v>0</v>
      </c>
      <c r="AD86" s="1139"/>
      <c r="AE86" s="1139">
        <f t="shared" si="21"/>
        <v>0</v>
      </c>
      <c r="AF86" s="1139"/>
      <c r="AG86" s="1139"/>
      <c r="AH86" s="1139">
        <f t="shared" si="19"/>
        <v>0</v>
      </c>
      <c r="AI86" s="1139"/>
      <c r="AJ86" s="1139">
        <f t="shared" si="13"/>
        <v>0</v>
      </c>
    </row>
    <row r="87" spans="3:36" hidden="1" x14ac:dyDescent="0.2">
      <c r="C87" s="1148" t="str">
        <f>+TableA1!A88</f>
        <v>Panama</v>
      </c>
      <c r="D87" s="1459"/>
      <c r="E87" s="1200"/>
      <c r="F87" s="1153"/>
      <c r="G87" s="1153"/>
      <c r="H87" s="1153"/>
      <c r="I87" s="1168"/>
      <c r="J87" s="1168"/>
      <c r="K87" s="1168"/>
      <c r="L87" s="1198"/>
      <c r="M87" s="1168"/>
      <c r="N87" s="1229"/>
      <c r="O87" s="1459"/>
      <c r="P87" s="1200"/>
      <c r="Q87" s="1153"/>
      <c r="R87" s="1153"/>
      <c r="S87" s="1153"/>
      <c r="T87" s="1168"/>
      <c r="U87" s="1168"/>
      <c r="V87" s="1168"/>
      <c r="W87" s="1198"/>
      <c r="X87" s="1168"/>
      <c r="Y87" s="1211"/>
      <c r="Z87" s="173"/>
      <c r="AA87" s="1139"/>
      <c r="AB87" s="1139"/>
      <c r="AC87" s="1139">
        <f t="shared" si="20"/>
        <v>0</v>
      </c>
      <c r="AD87" s="1139"/>
      <c r="AE87" s="1139">
        <f t="shared" si="21"/>
        <v>0</v>
      </c>
      <c r="AF87" s="1139"/>
      <c r="AG87" s="1139"/>
      <c r="AH87" s="1139">
        <f t="shared" si="19"/>
        <v>0</v>
      </c>
      <c r="AI87" s="1139"/>
      <c r="AJ87" s="1139">
        <f t="shared" si="13"/>
        <v>0</v>
      </c>
    </row>
    <row r="88" spans="3:36" hidden="1" x14ac:dyDescent="0.2">
      <c r="C88" s="1148" t="s">
        <v>108</v>
      </c>
      <c r="D88" s="1459"/>
      <c r="E88" s="1200"/>
      <c r="F88" s="1153"/>
      <c r="G88" s="1153"/>
      <c r="H88" s="1153"/>
      <c r="I88" s="1168"/>
      <c r="J88" s="1168"/>
      <c r="K88" s="1168"/>
      <c r="L88" s="1198"/>
      <c r="M88" s="1168"/>
      <c r="N88" s="1229"/>
      <c r="O88" s="1459"/>
      <c r="P88" s="1200"/>
      <c r="Q88" s="1153"/>
      <c r="R88" s="1153"/>
      <c r="S88" s="1153"/>
      <c r="T88" s="1168"/>
      <c r="U88" s="1168"/>
      <c r="V88" s="1168"/>
      <c r="W88" s="1198"/>
      <c r="X88" s="1168"/>
      <c r="Y88" s="1211"/>
      <c r="Z88" s="173"/>
      <c r="AA88" s="1139"/>
      <c r="AB88" s="1139"/>
      <c r="AC88" s="1139">
        <f t="shared" si="20"/>
        <v>0</v>
      </c>
      <c r="AD88" s="1139"/>
      <c r="AE88" s="1139">
        <f t="shared" si="21"/>
        <v>0</v>
      </c>
      <c r="AF88" s="1139"/>
      <c r="AG88" s="1139"/>
      <c r="AH88" s="1139">
        <f t="shared" si="19"/>
        <v>0</v>
      </c>
      <c r="AI88" s="1139"/>
      <c r="AJ88" s="1139">
        <f t="shared" si="13"/>
        <v>0</v>
      </c>
    </row>
    <row r="89" spans="3:36" ht="40" customHeight="1" x14ac:dyDescent="0.2">
      <c r="C89" s="1865" t="s">
        <v>155</v>
      </c>
      <c r="D89" s="1462">
        <f>+E89+L89</f>
        <v>6883.9709665518621</v>
      </c>
      <c r="E89" s="1341">
        <f>SUM(F89:K89)</f>
        <v>3776.7283641538465</v>
      </c>
      <c r="F89" s="1342">
        <v>1397.6810582864161</v>
      </c>
      <c r="G89" s="1342">
        <v>-27.790811293277596</v>
      </c>
      <c r="H89" s="1342">
        <v>-145.20458495795557</v>
      </c>
      <c r="I89" s="1463">
        <v>2057.9624653544411</v>
      </c>
      <c r="J89" s="1463">
        <v>-134.81909146427398</v>
      </c>
      <c r="K89" s="1463">
        <v>628.8993282284963</v>
      </c>
      <c r="L89" s="1464">
        <f>SUM(M89:N89)</f>
        <v>3107.2426023980156</v>
      </c>
      <c r="M89" s="1465">
        <v>487.09908245585387</v>
      </c>
      <c r="N89" s="1466">
        <v>2620.1435199421617</v>
      </c>
      <c r="O89" s="1467">
        <f>+P89+W89</f>
        <v>75639.569393791957</v>
      </c>
      <c r="P89" s="1341">
        <f>SUM(Q89:V89)</f>
        <v>29904.84178455019</v>
      </c>
      <c r="Q89" s="1342">
        <v>1177.903596129373</v>
      </c>
      <c r="R89" s="1342">
        <v>702.24412012677942</v>
      </c>
      <c r="S89" s="1342">
        <v>18052.886401546933</v>
      </c>
      <c r="T89" s="1463">
        <v>1797.245671492265</v>
      </c>
      <c r="U89" s="1463">
        <v>3385.5071976378699</v>
      </c>
      <c r="V89" s="1463">
        <v>4789.0547976169664</v>
      </c>
      <c r="W89" s="1464">
        <f>SUM(X89:AC89)</f>
        <v>45734.72760924176</v>
      </c>
      <c r="X89" s="1465">
        <v>3522.7799196821306</v>
      </c>
      <c r="Y89" s="1468">
        <v>42211.654436496174</v>
      </c>
      <c r="Z89" s="173"/>
      <c r="AA89" s="1139">
        <f>+TableB2!L90/TableB2!$L$91</f>
        <v>6.7158306912131871E-2</v>
      </c>
      <c r="AB89" s="1139">
        <f>+AA89</f>
        <v>6.7158306912131871E-2</v>
      </c>
      <c r="AC89" s="1139">
        <f t="shared" si="20"/>
        <v>0.15893644962964881</v>
      </c>
      <c r="AD89" s="1139">
        <f>+AB89</f>
        <v>6.7158306912131871E-2</v>
      </c>
      <c r="AE89" s="1139">
        <f>+AD89/$AD$90</f>
        <v>0.26233696407958473</v>
      </c>
      <c r="AF89" s="1139"/>
      <c r="AG89" s="1139">
        <f>+AB89</f>
        <v>6.7158306912131871E-2</v>
      </c>
      <c r="AH89" s="1139">
        <f>+AG89/$AG$90</f>
        <v>0.96161976793348058</v>
      </c>
      <c r="AI89" s="1139">
        <f>+AD89</f>
        <v>6.7158306912131871E-2</v>
      </c>
      <c r="AJ89" s="1139">
        <f>+AI89/$AI$90</f>
        <v>0.96161976793348058</v>
      </c>
    </row>
    <row r="90" spans="3:36" ht="40" customHeight="1" x14ac:dyDescent="0.2">
      <c r="C90" s="636" t="s">
        <v>110</v>
      </c>
      <c r="D90" s="1470">
        <f t="shared" ref="D90:O90" si="22">SUMIF(D9:D89,"&gt;-999999")-D44</f>
        <v>141001.20463089287</v>
      </c>
      <c r="E90" s="304">
        <f t="shared" si="22"/>
        <v>102646.10771742737</v>
      </c>
      <c r="F90" s="244">
        <f t="shared" si="22"/>
        <v>10443.393706980482</v>
      </c>
      <c r="G90" s="245">
        <f t="shared" si="22"/>
        <v>277.571816785387</v>
      </c>
      <c r="H90" s="245">
        <f t="shared" si="22"/>
        <v>6842.5367306164044</v>
      </c>
      <c r="I90" s="245">
        <f t="shared" si="22"/>
        <v>38067.539216760371</v>
      </c>
      <c r="J90" s="245">
        <f t="shared" si="22"/>
        <v>143.84213647694267</v>
      </c>
      <c r="K90" s="245">
        <f t="shared" si="22"/>
        <v>46871.22410980775</v>
      </c>
      <c r="L90" s="304">
        <f t="shared" si="22"/>
        <v>42230.425122624416</v>
      </c>
      <c r="M90" s="244">
        <f t="shared" si="22"/>
        <v>10718.140182688408</v>
      </c>
      <c r="N90" s="623">
        <f t="shared" si="22"/>
        <v>31512.284939936006</v>
      </c>
      <c r="O90" s="1470">
        <f t="shared" si="22"/>
        <v>672629.63592404686</v>
      </c>
      <c r="P90" s="304">
        <f>SUMIF(P9:P89,"&gt;-999999")-P44</f>
        <v>280248.84358519281</v>
      </c>
      <c r="Q90" s="332">
        <f t="shared" ref="Q90:Y90" si="23">SUMIF(Q9:Q89,"&gt;-999999")-Q44</f>
        <v>37617.009072275105</v>
      </c>
      <c r="R90" s="245">
        <f t="shared" si="23"/>
        <v>2188.5531645511196</v>
      </c>
      <c r="S90" s="245">
        <f t="shared" si="23"/>
        <v>101295.26138194889</v>
      </c>
      <c r="T90" s="245">
        <f t="shared" si="23"/>
        <v>72702.47772259223</v>
      </c>
      <c r="U90" s="245">
        <f t="shared" si="23"/>
        <v>4514.2684050478274</v>
      </c>
      <c r="V90" s="623">
        <f t="shared" si="23"/>
        <v>61931.273838777634</v>
      </c>
      <c r="W90" s="245">
        <f t="shared" si="23"/>
        <v>408050.34110182303</v>
      </c>
      <c r="X90" s="332">
        <f t="shared" si="23"/>
        <v>74880.678752291526</v>
      </c>
      <c r="Y90" s="624">
        <f t="shared" si="23"/>
        <v>333169.36909646797</v>
      </c>
      <c r="Z90" s="173"/>
      <c r="AA90" s="1139">
        <f>+SUM(AA9:AA89)</f>
        <v>0.85846452450486399</v>
      </c>
      <c r="AB90" s="1139">
        <f>+SUM(AB9:AB89)</f>
        <v>0.42254817613343626</v>
      </c>
      <c r="AC90" s="1139">
        <f t="shared" si="20"/>
        <v>1</v>
      </c>
      <c r="AD90" s="1139">
        <f>+SUM(AD9:AD89)</f>
        <v>0.25600016813398119</v>
      </c>
      <c r="AE90" s="1139">
        <f>SUM(AE9:AE89)</f>
        <v>1</v>
      </c>
      <c r="AF90" s="1139"/>
      <c r="AG90" s="1139">
        <f>+SUM(AG9:AG89)</f>
        <v>6.9838733719518861E-2</v>
      </c>
      <c r="AH90" s="1139">
        <f>+AG90/$AB$90</f>
        <v>0.16527993176679698</v>
      </c>
      <c r="AI90" s="1139">
        <f>+SUM(AI9:AI89)</f>
        <v>6.9838733719518861E-2</v>
      </c>
      <c r="AJ90" s="1139">
        <f>+SUM(AJ9:AJ89)</f>
        <v>1</v>
      </c>
    </row>
    <row r="91" spans="3:36" ht="41.25" customHeight="1" thickBot="1" x14ac:dyDescent="0.25">
      <c r="C91" s="637" t="s">
        <v>639</v>
      </c>
      <c r="D91" s="626">
        <f>+E91+L91</f>
        <v>101353.57865552056</v>
      </c>
      <c r="E91" s="326">
        <f>+E89+E44+E8</f>
        <v>76779.604962492609</v>
      </c>
      <c r="F91" s="627">
        <f t="shared" ref="F91:Y91" si="24">+F89+F44+F8</f>
        <v>8310.1469220911113</v>
      </c>
      <c r="G91" s="628">
        <f t="shared" si="24"/>
        <v>258.77747195120048</v>
      </c>
      <c r="H91" s="628">
        <f t="shared" si="24"/>
        <v>2275.2873842019462</v>
      </c>
      <c r="I91" s="628">
        <f t="shared" si="24"/>
        <v>32091.896366895799</v>
      </c>
      <c r="J91" s="628">
        <f t="shared" si="24"/>
        <v>95.927920016006524</v>
      </c>
      <c r="K91" s="628">
        <f t="shared" si="24"/>
        <v>33747.568897336576</v>
      </c>
      <c r="L91" s="326">
        <f t="shared" si="24"/>
        <v>24573.973693027947</v>
      </c>
      <c r="M91" s="627">
        <f t="shared" si="24"/>
        <v>4967.022056411779</v>
      </c>
      <c r="N91" s="629">
        <f t="shared" si="24"/>
        <v>19606.95163661617</v>
      </c>
      <c r="O91" s="626">
        <f>+P91+W91</f>
        <v>544908.42770965945</v>
      </c>
      <c r="P91" s="326">
        <f t="shared" si="24"/>
        <v>228382.03507140695</v>
      </c>
      <c r="Q91" s="627">
        <f t="shared" si="24"/>
        <v>27087.6061628567</v>
      </c>
      <c r="R91" s="628">
        <f t="shared" si="24"/>
        <v>2100.157540414436</v>
      </c>
      <c r="S91" s="628">
        <f t="shared" si="24"/>
        <v>90845.886051695707</v>
      </c>
      <c r="T91" s="628">
        <f t="shared" si="24"/>
        <v>59824.476046700715</v>
      </c>
      <c r="U91" s="628">
        <f t="shared" si="24"/>
        <v>4414.8783881340205</v>
      </c>
      <c r="V91" s="629">
        <f t="shared" si="24"/>
        <v>44109.030881605388</v>
      </c>
      <c r="W91" s="628">
        <f t="shared" si="24"/>
        <v>316526.39263825252</v>
      </c>
      <c r="X91" s="627">
        <f t="shared" si="24"/>
        <v>47558.006375198274</v>
      </c>
      <c r="Y91" s="630">
        <f t="shared" si="24"/>
        <v>268968.09300999081</v>
      </c>
      <c r="Z91" s="954"/>
      <c r="AA91" s="954"/>
      <c r="AB91" s="954"/>
      <c r="AC91" s="954"/>
      <c r="AD91" s="954"/>
      <c r="AE91" s="954"/>
      <c r="AF91" s="954"/>
      <c r="AG91" s="954"/>
      <c r="AH91" s="954"/>
      <c r="AI91" s="954"/>
      <c r="AJ91" s="954"/>
    </row>
    <row r="92" spans="3:36" s="2" customFormat="1" ht="17" thickTop="1" x14ac:dyDescent="0.2">
      <c r="E92" s="954"/>
      <c r="F92" s="954"/>
      <c r="G92" s="954"/>
      <c r="H92" s="954"/>
      <c r="I92" s="954"/>
      <c r="J92" s="954"/>
      <c r="K92" s="954"/>
      <c r="L92" s="954"/>
      <c r="M92" s="954"/>
      <c r="N92" s="954"/>
      <c r="O92" s="954"/>
      <c r="P92" s="954"/>
      <c r="Q92" s="954"/>
      <c r="R92" s="954"/>
      <c r="S92" s="954"/>
      <c r="T92" s="954"/>
      <c r="U92" s="954"/>
      <c r="V92" s="954"/>
      <c r="W92" s="954"/>
      <c r="X92" s="954"/>
      <c r="Y92" s="954"/>
    </row>
    <row r="93" spans="3:36" s="2" customFormat="1" x14ac:dyDescent="0.2">
      <c r="C93" s="954"/>
      <c r="D93" s="954"/>
      <c r="E93" s="954"/>
      <c r="F93" s="954"/>
      <c r="G93" s="954"/>
      <c r="H93" s="954"/>
      <c r="I93" s="954"/>
      <c r="J93" s="954"/>
      <c r="K93" s="954"/>
      <c r="L93" s="954"/>
      <c r="M93" s="954"/>
      <c r="N93" s="954"/>
      <c r="O93" s="954"/>
      <c r="P93" s="954"/>
      <c r="Q93" s="954"/>
      <c r="R93" s="954"/>
      <c r="S93" s="954"/>
      <c r="T93" s="954"/>
      <c r="U93" s="954"/>
      <c r="V93" s="954"/>
      <c r="W93" s="954"/>
      <c r="X93" s="954"/>
      <c r="Y93" s="954"/>
    </row>
    <row r="94" spans="3:36" ht="17" thickBot="1" x14ac:dyDescent="0.25">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row>
    <row r="95" spans="3:36" ht="17" thickBot="1" x14ac:dyDescent="0.25">
      <c r="C95" s="1472" t="s">
        <v>642</v>
      </c>
      <c r="D95" s="1473">
        <f>D91/(D91+O91)</f>
        <v>0.15683047689213714</v>
      </c>
      <c r="E95" s="1473">
        <f>E91/(E91+P91)</f>
        <v>0.25160306830820339</v>
      </c>
      <c r="F95" s="1473">
        <f>F91/(F91+Q91)</f>
        <v>0.23476481408716404</v>
      </c>
      <c r="G95" s="1473">
        <f t="shared" ref="G95:L95" si="25">G91/(G91+R91)</f>
        <v>0.10970097548032401</v>
      </c>
      <c r="H95" s="1473">
        <f t="shared" si="25"/>
        <v>2.4433620198828342E-2</v>
      </c>
      <c r="I95" s="1473">
        <f t="shared" si="25"/>
        <v>0.3491423293174773</v>
      </c>
      <c r="J95" s="1473">
        <f t="shared" si="25"/>
        <v>2.1266246755637909E-2</v>
      </c>
      <c r="K95" s="1473">
        <f t="shared" si="25"/>
        <v>0.43345803686721435</v>
      </c>
      <c r="L95" s="1474">
        <f t="shared" si="25"/>
        <v>7.2043234539248283E-2</v>
      </c>
      <c r="M95" s="1474">
        <f t="shared" ref="M95" si="26">M91/(M91+X91)</f>
        <v>9.4564861833041455E-2</v>
      </c>
      <c r="N95" s="1474">
        <f t="shared" ref="N95" si="27">N91/(N91+Y91)</f>
        <v>6.7944030505573044E-2</v>
      </c>
      <c r="O95" s="954"/>
      <c r="P95" s="954"/>
      <c r="Q95" s="954"/>
      <c r="R95" s="954"/>
      <c r="S95" s="954"/>
      <c r="T95" s="954"/>
      <c r="U95" s="954"/>
      <c r="V95" s="954"/>
      <c r="W95" s="954"/>
      <c r="X95" s="954"/>
      <c r="Y95" s="954"/>
      <c r="Z95" s="954"/>
      <c r="AA95" s="954"/>
      <c r="AB95" s="954"/>
      <c r="AC95" s="954"/>
      <c r="AD95" s="954"/>
      <c r="AE95" s="954"/>
      <c r="AF95" s="954"/>
      <c r="AG95" s="954"/>
      <c r="AH95" s="954"/>
      <c r="AI95" s="954"/>
      <c r="AJ95" s="954"/>
    </row>
    <row r="99" spans="13:13" x14ac:dyDescent="0.2">
      <c r="M99" s="1018">
        <f>+M9+M13+M22++M12+M24+M26+M27+M30+M32+M33+M41+M43+M44+M89</f>
        <v>3064.5772955762327</v>
      </c>
    </row>
    <row r="100" spans="13:13" x14ac:dyDescent="0.2">
      <c r="M100" s="1475">
        <f>+M90-M99</f>
        <v>7653.5628871121753</v>
      </c>
    </row>
  </sheetData>
  <mergeCells count="13">
    <mergeCell ref="AI8:AJ8"/>
    <mergeCell ref="AB8:AC8"/>
    <mergeCell ref="AD8:AE8"/>
    <mergeCell ref="AG8:AH8"/>
    <mergeCell ref="C3:Y3"/>
    <mergeCell ref="E6:E7"/>
    <mergeCell ref="L6:L7"/>
    <mergeCell ref="P6:P7"/>
    <mergeCell ref="W6:W7"/>
    <mergeCell ref="D6:D7"/>
    <mergeCell ref="O6:O7"/>
    <mergeCell ref="D5:N5"/>
    <mergeCell ref="O5:Y5"/>
  </mergeCells>
  <pageMargins left="0.7" right="0.7" top="0.75" bottom="0.75" header="0.3" footer="0.3"/>
  <pageSetup scale="31" orientation="landscape"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94"/>
  <sheetViews>
    <sheetView zoomScale="85" zoomScaleNormal="85" zoomScalePageLayoutView="85" workbookViewId="0">
      <pane xSplit="2" ySplit="7" topLeftCell="C86" activePane="bottomRight" state="frozen"/>
      <selection pane="topRight" activeCell="AR8" sqref="AR8"/>
      <selection pane="bottomLeft" activeCell="AR8" sqref="AR8"/>
      <selection pane="bottomRight" activeCell="G95" sqref="G95"/>
    </sheetView>
  </sheetViews>
  <sheetFormatPr baseColWidth="10" defaultColWidth="10.83203125" defaultRowHeight="16" x14ac:dyDescent="0.2"/>
  <cols>
    <col min="1" max="1" width="17.5" style="1" hidden="1" customWidth="1"/>
    <col min="2" max="2" width="19" style="1" customWidth="1"/>
    <col min="3" max="13" width="12.83203125" style="1" customWidth="1"/>
    <col min="14" max="16384" width="10.83203125" style="1"/>
  </cols>
  <sheetData>
    <row r="1" spans="2:14" ht="17" thickBot="1" x14ac:dyDescent="0.25">
      <c r="B1" s="954"/>
      <c r="C1" s="954"/>
      <c r="D1" s="954"/>
      <c r="E1" s="954"/>
      <c r="F1" s="954"/>
      <c r="G1" s="954"/>
      <c r="H1" s="954"/>
      <c r="I1" s="954"/>
      <c r="J1" s="954"/>
      <c r="K1" s="954"/>
      <c r="L1" s="954"/>
      <c r="M1" s="1109"/>
      <c r="N1" s="954"/>
    </row>
    <row r="2" spans="2:14" ht="17" hidden="1" thickBot="1" x14ac:dyDescent="0.25">
      <c r="B2" s="954"/>
      <c r="C2" s="954"/>
      <c r="D2" s="954"/>
      <c r="E2" s="954">
        <v>2</v>
      </c>
      <c r="F2" s="954">
        <v>3</v>
      </c>
      <c r="G2" s="954">
        <v>4</v>
      </c>
      <c r="H2" s="954">
        <v>5</v>
      </c>
      <c r="I2" s="954">
        <v>6</v>
      </c>
      <c r="J2" s="954">
        <v>7</v>
      </c>
      <c r="K2" s="954"/>
      <c r="L2" s="954">
        <v>8</v>
      </c>
      <c r="M2" s="954">
        <v>9</v>
      </c>
      <c r="N2" s="954"/>
    </row>
    <row r="3" spans="2:14" ht="32.25" customHeight="1" thickTop="1" x14ac:dyDescent="0.2">
      <c r="B3" s="1951" t="s">
        <v>643</v>
      </c>
      <c r="C3" s="1952"/>
      <c r="D3" s="1952"/>
      <c r="E3" s="1952"/>
      <c r="F3" s="1952"/>
      <c r="G3" s="1952"/>
      <c r="H3" s="1952"/>
      <c r="I3" s="1952"/>
      <c r="J3" s="1952"/>
      <c r="K3" s="1952"/>
      <c r="L3" s="1952"/>
      <c r="M3" s="1953"/>
      <c r="N3" s="954"/>
    </row>
    <row r="4" spans="2:14" ht="32.25" customHeight="1" x14ac:dyDescent="0.2">
      <c r="B4" s="4"/>
      <c r="C4" s="160" t="s">
        <v>1</v>
      </c>
      <c r="D4" s="160" t="s">
        <v>2</v>
      </c>
      <c r="E4" s="160" t="s">
        <v>3</v>
      </c>
      <c r="F4" s="160" t="s">
        <v>4</v>
      </c>
      <c r="G4" s="160" t="s">
        <v>5</v>
      </c>
      <c r="H4" s="160" t="s">
        <v>6</v>
      </c>
      <c r="I4" s="160" t="s">
        <v>7</v>
      </c>
      <c r="J4" s="160" t="s">
        <v>8</v>
      </c>
      <c r="K4" s="160" t="s">
        <v>9</v>
      </c>
      <c r="L4" s="160" t="s">
        <v>10</v>
      </c>
      <c r="M4" s="6" t="s">
        <v>12</v>
      </c>
      <c r="N4" s="954"/>
    </row>
    <row r="5" spans="2:14" ht="21" customHeight="1" x14ac:dyDescent="0.2">
      <c r="B5" s="1148"/>
      <c r="C5" s="2282" t="s">
        <v>644</v>
      </c>
      <c r="D5" s="2047"/>
      <c r="E5" s="2047"/>
      <c r="F5" s="2047"/>
      <c r="G5" s="2047"/>
      <c r="H5" s="2047"/>
      <c r="I5" s="2047"/>
      <c r="J5" s="2047"/>
      <c r="K5" s="2047"/>
      <c r="L5" s="2047"/>
      <c r="M5" s="2073"/>
      <c r="N5" s="954"/>
    </row>
    <row r="6" spans="2:14" ht="85" customHeight="1" x14ac:dyDescent="0.2">
      <c r="B6" s="1148"/>
      <c r="C6" s="2050" t="s">
        <v>627</v>
      </c>
      <c r="D6" s="2050" t="s">
        <v>628</v>
      </c>
      <c r="E6" s="1820" t="s">
        <v>31</v>
      </c>
      <c r="F6" s="1820" t="s">
        <v>86</v>
      </c>
      <c r="G6" s="1820" t="s">
        <v>43</v>
      </c>
      <c r="H6" s="1820" t="s">
        <v>49</v>
      </c>
      <c r="I6" s="1820" t="s">
        <v>96</v>
      </c>
      <c r="J6" s="1820" t="s">
        <v>51</v>
      </c>
      <c r="K6" s="2050" t="s">
        <v>629</v>
      </c>
      <c r="L6" s="1820" t="s">
        <v>60</v>
      </c>
      <c r="M6" s="1831" t="s">
        <v>630</v>
      </c>
      <c r="N6" s="173"/>
    </row>
    <row r="7" spans="2:14" ht="18" customHeight="1" x14ac:dyDescent="0.2">
      <c r="B7" s="1148"/>
      <c r="C7" s="2050"/>
      <c r="D7" s="2050"/>
      <c r="E7" s="1820"/>
      <c r="F7" s="1820"/>
      <c r="G7" s="1820"/>
      <c r="H7" s="1820"/>
      <c r="I7" s="1820"/>
      <c r="J7" s="1820"/>
      <c r="K7" s="2067"/>
      <c r="L7" s="1820"/>
      <c r="M7" s="1831"/>
      <c r="N7" s="173"/>
    </row>
    <row r="8" spans="2:14" ht="40" customHeight="1" x14ac:dyDescent="0.2">
      <c r="B8" s="8" t="s">
        <v>28</v>
      </c>
      <c r="C8" s="264">
        <f>SUMIF(C9:C43,"&gt;-999999999")-(C11+C23+C29+C31)-C40</f>
        <v>1751575.2520845423</v>
      </c>
      <c r="D8" s="264">
        <f t="shared" ref="D8:M8" si="0">SUMIF(D9:D43,"&gt;-999999999")-(D11+D23+D29+D31)-D40</f>
        <v>1054622.6474443628</v>
      </c>
      <c r="E8" s="258">
        <f t="shared" si="0"/>
        <v>128961.35844677093</v>
      </c>
      <c r="F8" s="258">
        <f t="shared" si="0"/>
        <v>3661.9613645212703</v>
      </c>
      <c r="G8" s="258">
        <f t="shared" si="0"/>
        <v>259313.02145023903</v>
      </c>
      <c r="H8" s="258">
        <f t="shared" si="0"/>
        <v>150579.65275902595</v>
      </c>
      <c r="I8" s="258">
        <f t="shared" si="0"/>
        <v>323.4562426734762</v>
      </c>
      <c r="J8" s="258">
        <f t="shared" si="0"/>
        <v>511783.19718113216</v>
      </c>
      <c r="K8" s="264">
        <f t="shared" si="0"/>
        <v>696952.60464017943</v>
      </c>
      <c r="L8" s="258">
        <f t="shared" si="0"/>
        <v>430943.28515948798</v>
      </c>
      <c r="M8" s="621">
        <f t="shared" si="0"/>
        <v>266009.3194806914</v>
      </c>
      <c r="N8" s="173"/>
    </row>
    <row r="9" spans="2:14" ht="14.25" customHeight="1" x14ac:dyDescent="0.2">
      <c r="B9" s="1149" t="s">
        <v>29</v>
      </c>
      <c r="C9" s="1452">
        <f t="shared" ref="C9:C43" si="1">+D9+K9</f>
        <v>5751.3045289728207</v>
      </c>
      <c r="D9" s="1452">
        <f>SUM(E9:J9)</f>
        <v>-510.18355296630523</v>
      </c>
      <c r="E9" s="1453">
        <v>-615.9062407435307</v>
      </c>
      <c r="F9" s="1453">
        <v>1.1876887982666315</v>
      </c>
      <c r="G9" s="1453">
        <v>104.53499897895882</v>
      </c>
      <c r="H9" s="1453">
        <v>0</v>
      </c>
      <c r="I9" s="1453">
        <v>0</v>
      </c>
      <c r="J9" s="1453">
        <v>0</v>
      </c>
      <c r="K9" s="1452">
        <f>+SUM(L9:M9)</f>
        <v>6261.4880819391255</v>
      </c>
      <c r="L9" s="1168">
        <v>0</v>
      </c>
      <c r="M9" s="1211">
        <v>6261.4880819391255</v>
      </c>
      <c r="N9" s="173"/>
    </row>
    <row r="10" spans="2:14" ht="14.25" customHeight="1" x14ac:dyDescent="0.2">
      <c r="B10" s="1149" t="s">
        <v>30</v>
      </c>
      <c r="C10" s="1452">
        <f t="shared" si="1"/>
        <v>7318.7924249048392</v>
      </c>
      <c r="D10" s="1452">
        <f t="shared" ref="D10:D73" si="2">SUM(E10:J10)</f>
        <v>1217.7256328869876</v>
      </c>
      <c r="E10" s="1453">
        <v>433.33276310420302</v>
      </c>
      <c r="F10" s="1453">
        <v>0</v>
      </c>
      <c r="G10" s="1453">
        <v>31.043161596114651</v>
      </c>
      <c r="H10" s="1453">
        <v>0</v>
      </c>
      <c r="I10" s="1453">
        <v>24.278676011084276</v>
      </c>
      <c r="J10" s="1453">
        <v>729.07103217558551</v>
      </c>
      <c r="K10" s="1452">
        <f t="shared" ref="K10:K73" si="3">+SUM(L10:M10)</f>
        <v>6101.0667920178512</v>
      </c>
      <c r="L10" s="1168">
        <v>5916.3417119005753</v>
      </c>
      <c r="M10" s="1211">
        <v>184.72508011727587</v>
      </c>
      <c r="N10" s="173"/>
    </row>
    <row r="11" spans="2:14" ht="14.25" customHeight="1" x14ac:dyDescent="0.2">
      <c r="B11" s="1149" t="s">
        <v>31</v>
      </c>
      <c r="C11" s="1452">
        <f t="shared" si="1"/>
        <v>77227.403659880831</v>
      </c>
      <c r="D11" s="1452">
        <f t="shared" si="2"/>
        <v>70582.422042409831</v>
      </c>
      <c r="E11" s="1453">
        <v>20788.002304599999</v>
      </c>
      <c r="F11" s="1453">
        <v>0</v>
      </c>
      <c r="G11" s="1453">
        <v>597.283169100387</v>
      </c>
      <c r="H11" s="1453">
        <v>2364.4478514807347</v>
      </c>
      <c r="I11" s="1453">
        <v>3.3023002324771502</v>
      </c>
      <c r="J11" s="1453">
        <v>46829.386416996225</v>
      </c>
      <c r="K11" s="1452">
        <f t="shared" si="3"/>
        <v>6644.981617471004</v>
      </c>
      <c r="L11" s="1168">
        <v>6082.885119108968</v>
      </c>
      <c r="M11" s="1211">
        <v>562.09649836203607</v>
      </c>
      <c r="N11" s="173"/>
    </row>
    <row r="12" spans="2:14" ht="14.25" customHeight="1" x14ac:dyDescent="0.2">
      <c r="B12" s="1149" t="s">
        <v>32</v>
      </c>
      <c r="C12" s="1452">
        <f t="shared" si="1"/>
        <v>53961.816978863833</v>
      </c>
      <c r="D12" s="1452">
        <f t="shared" si="2"/>
        <v>14156.0272973137</v>
      </c>
      <c r="E12" s="1453">
        <v>-745.27540271346413</v>
      </c>
      <c r="F12" s="1453">
        <v>0</v>
      </c>
      <c r="G12" s="1453">
        <v>512.79770691542603</v>
      </c>
      <c r="H12" s="1453">
        <v>12953.845602215399</v>
      </c>
      <c r="I12" s="1453">
        <v>0</v>
      </c>
      <c r="J12" s="1453">
        <v>1434.6593908963389</v>
      </c>
      <c r="K12" s="1452">
        <f t="shared" si="3"/>
        <v>39805.78968155013</v>
      </c>
      <c r="L12" s="1168">
        <v>32630.135823720724</v>
      </c>
      <c r="M12" s="1211">
        <v>7175.6538578294058</v>
      </c>
      <c r="N12" s="173"/>
    </row>
    <row r="13" spans="2:14" ht="14.25" customHeight="1" x14ac:dyDescent="0.2">
      <c r="B13" s="1149" t="s">
        <v>33</v>
      </c>
      <c r="C13" s="1452">
        <f t="shared" si="1"/>
        <v>-343.04542126512609</v>
      </c>
      <c r="D13" s="1452">
        <f t="shared" si="2"/>
        <v>-399.87876187403094</v>
      </c>
      <c r="E13" s="1453">
        <v>-395.96937972779762</v>
      </c>
      <c r="F13" s="1453">
        <v>0</v>
      </c>
      <c r="G13" s="1453">
        <v>-25.057090527813411</v>
      </c>
      <c r="H13" s="1453">
        <v>7.1182937871358636</v>
      </c>
      <c r="I13" s="1453">
        <v>0</v>
      </c>
      <c r="J13" s="1453">
        <v>14.029414594444203</v>
      </c>
      <c r="K13" s="1452">
        <f t="shared" si="3"/>
        <v>56.833340608904848</v>
      </c>
      <c r="L13" s="1168">
        <v>0</v>
      </c>
      <c r="M13" s="1211">
        <v>56.833340608904848</v>
      </c>
      <c r="N13" s="173"/>
    </row>
    <row r="14" spans="2:14" ht="14.25" customHeight="1" x14ac:dyDescent="0.2">
      <c r="B14" s="1149" t="s">
        <v>34</v>
      </c>
      <c r="C14" s="1452">
        <f t="shared" si="1"/>
        <v>1551.0008039169954</v>
      </c>
      <c r="D14" s="1452">
        <f t="shared" si="2"/>
        <v>1550.5597432151119</v>
      </c>
      <c r="E14" s="1453">
        <v>1547.5407387583773</v>
      </c>
      <c r="F14" s="1453">
        <v>0</v>
      </c>
      <c r="G14" s="1453">
        <v>3.0190044567345171</v>
      </c>
      <c r="H14" s="1453">
        <v>0</v>
      </c>
      <c r="I14" s="1453">
        <v>0</v>
      </c>
      <c r="J14" s="1453">
        <v>0</v>
      </c>
      <c r="K14" s="1452">
        <f t="shared" si="3"/>
        <v>0.44106070188354352</v>
      </c>
      <c r="L14" s="1168">
        <v>0</v>
      </c>
      <c r="M14" s="1211">
        <v>0.44106070188354352</v>
      </c>
      <c r="N14" s="173"/>
    </row>
    <row r="15" spans="2:14" ht="14.25" customHeight="1" x14ac:dyDescent="0.2">
      <c r="B15" s="1149" t="s">
        <v>35</v>
      </c>
      <c r="C15" s="1452">
        <f t="shared" si="1"/>
        <v>11938.815067608886</v>
      </c>
      <c r="D15" s="1452">
        <f t="shared" si="2"/>
        <v>6947.7556777800946</v>
      </c>
      <c r="E15" s="1453">
        <v>688.75809239170087</v>
      </c>
      <c r="F15" s="1453">
        <v>0.87803495095367745</v>
      </c>
      <c r="G15" s="1453">
        <v>311.37174497136255</v>
      </c>
      <c r="H15" s="1453">
        <v>0</v>
      </c>
      <c r="I15" s="1453">
        <v>2.6393183847410779</v>
      </c>
      <c r="J15" s="1453">
        <v>5944.1084870813365</v>
      </c>
      <c r="K15" s="1452">
        <f t="shared" si="3"/>
        <v>4991.0593898287916</v>
      </c>
      <c r="L15" s="1168">
        <v>2885.6897561444289</v>
      </c>
      <c r="M15" s="1211">
        <v>2105.3696336843623</v>
      </c>
      <c r="N15" s="173"/>
    </row>
    <row r="16" spans="2:14" ht="14.25" customHeight="1" x14ac:dyDescent="0.2">
      <c r="B16" s="1088" t="s">
        <v>36</v>
      </c>
      <c r="C16" s="1452">
        <f t="shared" si="1"/>
        <v>-13.320891907351287</v>
      </c>
      <c r="D16" s="1452">
        <f t="shared" si="2"/>
        <v>-13.320891907351287</v>
      </c>
      <c r="E16" s="1453">
        <v>-13.342167683968011</v>
      </c>
      <c r="F16" s="1453">
        <v>0</v>
      </c>
      <c r="G16" s="1453">
        <v>0</v>
      </c>
      <c r="H16" s="1453">
        <v>0</v>
      </c>
      <c r="I16" s="1453">
        <v>2.1275776616723623E-2</v>
      </c>
      <c r="J16" s="1453">
        <v>0</v>
      </c>
      <c r="K16" s="1452">
        <f t="shared" si="3"/>
        <v>0</v>
      </c>
      <c r="L16" s="1168">
        <v>0</v>
      </c>
      <c r="M16" s="1211">
        <v>0</v>
      </c>
      <c r="N16" s="173"/>
    </row>
    <row r="17" spans="1:14" ht="14.25" customHeight="1" x14ac:dyDescent="0.2">
      <c r="A17" s="954"/>
      <c r="B17" s="1149" t="s">
        <v>37</v>
      </c>
      <c r="C17" s="1452">
        <f t="shared" si="1"/>
        <v>7422.1405339289504</v>
      </c>
      <c r="D17" s="1452">
        <f t="shared" si="2"/>
        <v>6702.4478420130827</v>
      </c>
      <c r="E17" s="1453">
        <v>2869.2161758254474</v>
      </c>
      <c r="F17" s="1453">
        <v>1.2132012951053943</v>
      </c>
      <c r="G17" s="1453">
        <v>-53.71461390771826</v>
      </c>
      <c r="H17" s="1453">
        <v>0</v>
      </c>
      <c r="I17" s="1453">
        <v>0</v>
      </c>
      <c r="J17" s="1453">
        <v>3885.7330788002478</v>
      </c>
      <c r="K17" s="1452">
        <f t="shared" si="3"/>
        <v>719.69269191586739</v>
      </c>
      <c r="L17" s="1168">
        <v>341.72397790533307</v>
      </c>
      <c r="M17" s="1211">
        <v>377.96871401053431</v>
      </c>
      <c r="N17" s="173"/>
    </row>
    <row r="18" spans="1:14" ht="14.25" customHeight="1" x14ac:dyDescent="0.2">
      <c r="A18" s="954"/>
      <c r="B18" s="1088" t="s">
        <v>38</v>
      </c>
      <c r="C18" s="1452">
        <f t="shared" si="1"/>
        <v>211426.84952728514</v>
      </c>
      <c r="D18" s="1452">
        <f t="shared" si="2"/>
        <v>167111.73061028757</v>
      </c>
      <c r="E18" s="1453">
        <v>129603.05769863859</v>
      </c>
      <c r="F18" s="1453">
        <v>25.302012443013588</v>
      </c>
      <c r="G18" s="1453">
        <v>4380.8156204039342</v>
      </c>
      <c r="H18" s="1453">
        <v>-1059.5520526108169</v>
      </c>
      <c r="I18" s="1453">
        <v>56.370290984260471</v>
      </c>
      <c r="J18" s="1453">
        <v>34105.737040428598</v>
      </c>
      <c r="K18" s="1452">
        <f t="shared" si="3"/>
        <v>44315.118916997555</v>
      </c>
      <c r="L18" s="1168">
        <v>37780.597323555892</v>
      </c>
      <c r="M18" s="1211">
        <v>6534.5215934416628</v>
      </c>
      <c r="N18" s="173"/>
    </row>
    <row r="19" spans="1:14" ht="14.25" customHeight="1" x14ac:dyDescent="0.2">
      <c r="A19" s="954"/>
      <c r="B19" s="1149" t="s">
        <v>39</v>
      </c>
      <c r="C19" s="1452">
        <f t="shared" si="1"/>
        <v>117080.72903831323</v>
      </c>
      <c r="D19" s="1452">
        <f t="shared" si="2"/>
        <v>83334.884111057312</v>
      </c>
      <c r="E19" s="1453">
        <v>12670.048319309652</v>
      </c>
      <c r="F19" s="1453">
        <v>2248.4638879098088</v>
      </c>
      <c r="G19" s="1453">
        <v>867.31616177123362</v>
      </c>
      <c r="H19" s="1453">
        <v>3212.6818336911897</v>
      </c>
      <c r="I19" s="1453">
        <v>0</v>
      </c>
      <c r="J19" s="1453">
        <v>64336.373908375426</v>
      </c>
      <c r="K19" s="1452">
        <f t="shared" si="3"/>
        <v>33745.844927255923</v>
      </c>
      <c r="L19" s="1168">
        <v>28481.744770550868</v>
      </c>
      <c r="M19" s="1211">
        <v>5264.1001567050553</v>
      </c>
      <c r="N19" s="173"/>
    </row>
    <row r="20" spans="1:14" ht="14.25" customHeight="1" x14ac:dyDescent="0.2">
      <c r="A20" s="954"/>
      <c r="B20" s="1149" t="s">
        <v>40</v>
      </c>
      <c r="C20" s="1452">
        <f t="shared" si="1"/>
        <v>1443.8093338526871</v>
      </c>
      <c r="D20" s="1452">
        <f t="shared" si="2"/>
        <v>1441.1824464352067</v>
      </c>
      <c r="E20" s="1453">
        <v>1064.1392372357113</v>
      </c>
      <c r="F20" s="1453">
        <v>272.8383396111642</v>
      </c>
      <c r="G20" s="1453">
        <v>10.338372525366655</v>
      </c>
      <c r="H20" s="1453">
        <v>0</v>
      </c>
      <c r="I20" s="1453">
        <v>0</v>
      </c>
      <c r="J20" s="1453">
        <v>93.866497062964427</v>
      </c>
      <c r="K20" s="1452">
        <f t="shared" si="3"/>
        <v>2.6268874174804751</v>
      </c>
      <c r="L20" s="1168">
        <v>0</v>
      </c>
      <c r="M20" s="1211">
        <v>2.6268874174804751</v>
      </c>
      <c r="N20" s="173"/>
    </row>
    <row r="21" spans="1:14" ht="14.25" customHeight="1" x14ac:dyDescent="0.2">
      <c r="A21" s="954"/>
      <c r="B21" s="1149" t="s">
        <v>41</v>
      </c>
      <c r="C21" s="1452">
        <f t="shared" si="1"/>
        <v>1642.8486517275869</v>
      </c>
      <c r="D21" s="1452">
        <f t="shared" si="2"/>
        <v>1619.9802880579182</v>
      </c>
      <c r="E21" s="1453">
        <v>1273.275233362968</v>
      </c>
      <c r="F21" s="1453">
        <v>0</v>
      </c>
      <c r="G21" s="1453">
        <v>0</v>
      </c>
      <c r="H21" s="1453">
        <v>291.13022871400608</v>
      </c>
      <c r="I21" s="1453">
        <v>0</v>
      </c>
      <c r="J21" s="1453">
        <v>55.57482598094397</v>
      </c>
      <c r="K21" s="1452">
        <f t="shared" si="3"/>
        <v>22.868363669668724</v>
      </c>
      <c r="L21" s="1168">
        <v>0</v>
      </c>
      <c r="M21" s="1211">
        <v>22.868363669668724</v>
      </c>
      <c r="N21" s="173"/>
    </row>
    <row r="22" spans="1:14" ht="14.25" customHeight="1" x14ac:dyDescent="0.2">
      <c r="A22" s="954"/>
      <c r="B22" s="1149" t="s">
        <v>42</v>
      </c>
      <c r="C22" s="1452">
        <f t="shared" si="1"/>
        <v>45.011783060774256</v>
      </c>
      <c r="D22" s="1452">
        <f t="shared" si="2"/>
        <v>42.75702931559205</v>
      </c>
      <c r="E22" s="1453">
        <v>42.591284040911582</v>
      </c>
      <c r="F22" s="1453">
        <v>0.16574527468047132</v>
      </c>
      <c r="G22" s="1453">
        <v>0</v>
      </c>
      <c r="H22" s="1453">
        <v>0</v>
      </c>
      <c r="I22" s="1453">
        <v>0</v>
      </c>
      <c r="J22" s="1453">
        <v>0</v>
      </c>
      <c r="K22" s="1452">
        <f t="shared" si="3"/>
        <v>2.2547537451822066</v>
      </c>
      <c r="L22" s="1168">
        <v>0</v>
      </c>
      <c r="M22" s="1211">
        <v>2.2547537451822066</v>
      </c>
      <c r="N22" s="173"/>
    </row>
    <row r="23" spans="1:14" ht="14.25" customHeight="1" x14ac:dyDescent="0.2">
      <c r="A23" s="954"/>
      <c r="B23" s="1149" t="s">
        <v>43</v>
      </c>
      <c r="C23" s="1452">
        <f t="shared" si="1"/>
        <v>49321.082766263266</v>
      </c>
      <c r="D23" s="1452">
        <f t="shared" si="2"/>
        <v>49106.659561809574</v>
      </c>
      <c r="E23" s="1453">
        <v>-7702.2503961466</v>
      </c>
      <c r="F23" s="1453">
        <v>8.2617583142837301</v>
      </c>
      <c r="G23" s="1453">
        <v>15352.363185136815</v>
      </c>
      <c r="H23" s="1453">
        <v>19108.017977024119</v>
      </c>
      <c r="I23" s="1453">
        <v>0</v>
      </c>
      <c r="J23" s="1453">
        <v>22340.267037480953</v>
      </c>
      <c r="K23" s="1452">
        <f t="shared" si="3"/>
        <v>214.42320445369114</v>
      </c>
      <c r="L23" s="1168">
        <v>0</v>
      </c>
      <c r="M23" s="1211">
        <v>214.42320445369114</v>
      </c>
      <c r="N23" s="173"/>
    </row>
    <row r="24" spans="1:14" ht="14.25" customHeight="1" x14ac:dyDescent="0.2">
      <c r="A24" s="954"/>
      <c r="B24" s="1149" t="s">
        <v>44</v>
      </c>
      <c r="C24" s="1452">
        <f t="shared" si="1"/>
        <v>1754.4086298838288</v>
      </c>
      <c r="D24" s="1452">
        <f t="shared" si="2"/>
        <v>217.17041498534263</v>
      </c>
      <c r="E24" s="1453">
        <v>-127.480499936223</v>
      </c>
      <c r="F24" s="1453">
        <v>110.80752105681026</v>
      </c>
      <c r="G24" s="1453">
        <v>78.134790238010439</v>
      </c>
      <c r="H24" s="1453">
        <v>155.70860362674495</v>
      </c>
      <c r="I24" s="1453">
        <v>0</v>
      </c>
      <c r="J24" s="1453">
        <v>0</v>
      </c>
      <c r="K24" s="1452">
        <f t="shared" si="3"/>
        <v>1537.2382148984861</v>
      </c>
      <c r="L24" s="1168">
        <v>1311.7567452905103</v>
      </c>
      <c r="M24" s="1211">
        <v>225.4814696079759</v>
      </c>
      <c r="N24" s="173"/>
    </row>
    <row r="25" spans="1:14" ht="14.25" customHeight="1" x14ac:dyDescent="0.2">
      <c r="A25" s="954"/>
      <c r="B25" s="1149" t="s">
        <v>45</v>
      </c>
      <c r="C25" s="1452">
        <f t="shared" si="1"/>
        <v>12295.918666332425</v>
      </c>
      <c r="D25" s="1452">
        <f t="shared" si="2"/>
        <v>8279.2378085001892</v>
      </c>
      <c r="E25" s="1453">
        <v>831.62656857086438</v>
      </c>
      <c r="F25" s="1453">
        <v>11.048642862847675</v>
      </c>
      <c r="G25" s="1453">
        <v>2124.3154442421769</v>
      </c>
      <c r="H25" s="1453">
        <v>-597.17046177811812</v>
      </c>
      <c r="I25" s="1453">
        <v>84.314868692089362</v>
      </c>
      <c r="J25" s="1453">
        <v>5825.1027459103288</v>
      </c>
      <c r="K25" s="1452">
        <f t="shared" si="3"/>
        <v>4016.6808578322361</v>
      </c>
      <c r="L25" s="1168">
        <v>3552.28115846539</v>
      </c>
      <c r="M25" s="1211">
        <v>464.39969936684611</v>
      </c>
      <c r="N25" s="173"/>
    </row>
    <row r="26" spans="1:14" ht="14.25" customHeight="1" x14ac:dyDescent="0.2">
      <c r="A26" s="954"/>
      <c r="B26" s="1149" t="s">
        <v>46</v>
      </c>
      <c r="C26" s="1452">
        <f t="shared" si="1"/>
        <v>63379.8102207966</v>
      </c>
      <c r="D26" s="1452">
        <f t="shared" si="2"/>
        <v>27882.46846265455</v>
      </c>
      <c r="E26" s="1453">
        <v>13875.26778368908</v>
      </c>
      <c r="F26" s="1453">
        <v>0.10243480824884013</v>
      </c>
      <c r="G26" s="1453">
        <v>413.02631758289124</v>
      </c>
      <c r="H26" s="1453">
        <v>0</v>
      </c>
      <c r="I26" s="1453">
        <v>0</v>
      </c>
      <c r="J26" s="1453">
        <v>13594.07192657433</v>
      </c>
      <c r="K26" s="1452">
        <f t="shared" si="3"/>
        <v>35497.341758142051</v>
      </c>
      <c r="L26" s="1168">
        <v>10267.61553167849</v>
      </c>
      <c r="M26" s="1211">
        <v>25229.726226463565</v>
      </c>
      <c r="N26" s="173"/>
    </row>
    <row r="27" spans="1:14" ht="14.25" customHeight="1" x14ac:dyDescent="0.2">
      <c r="A27" s="954" t="s">
        <v>308</v>
      </c>
      <c r="B27" s="1149" t="s">
        <v>47</v>
      </c>
      <c r="C27" s="1452">
        <f t="shared" si="1"/>
        <v>5141.6799102938876</v>
      </c>
      <c r="D27" s="1452">
        <f t="shared" si="2"/>
        <v>2561.2355055777798</v>
      </c>
      <c r="E27" s="1453">
        <v>1072.8952116912624</v>
      </c>
      <c r="F27" s="1453">
        <v>4.5337791897297662E-2</v>
      </c>
      <c r="G27" s="1453">
        <v>0</v>
      </c>
      <c r="H27" s="1453">
        <v>0</v>
      </c>
      <c r="I27" s="1453">
        <v>0</v>
      </c>
      <c r="J27" s="1453">
        <v>1488.2949560946199</v>
      </c>
      <c r="K27" s="1452">
        <f t="shared" si="3"/>
        <v>2580.4444047161078</v>
      </c>
      <c r="L27" s="1168">
        <v>0</v>
      </c>
      <c r="M27" s="1211">
        <v>2580.4444047161078</v>
      </c>
      <c r="N27" s="173"/>
    </row>
    <row r="28" spans="1:14" ht="14.25" customHeight="1" x14ac:dyDescent="0.2">
      <c r="A28" s="954"/>
      <c r="B28" s="1148" t="s">
        <v>48</v>
      </c>
      <c r="C28" s="1452">
        <f t="shared" si="1"/>
        <v>-4.2620184009749282</v>
      </c>
      <c r="D28" s="1452">
        <f t="shared" si="2"/>
        <v>-4.5411252294764637</v>
      </c>
      <c r="E28" s="1453">
        <v>-5.8779063725395622</v>
      </c>
      <c r="F28" s="1453">
        <v>1.3367811430630989</v>
      </c>
      <c r="G28" s="1453">
        <v>0</v>
      </c>
      <c r="H28" s="1453">
        <v>0</v>
      </c>
      <c r="I28" s="1453">
        <v>0</v>
      </c>
      <c r="J28" s="1453">
        <v>0</v>
      </c>
      <c r="K28" s="1452">
        <f t="shared" si="3"/>
        <v>0.27910682850153545</v>
      </c>
      <c r="L28" s="1168">
        <v>0</v>
      </c>
      <c r="M28" s="1211">
        <v>0.27910682850153545</v>
      </c>
      <c r="N28" s="173"/>
    </row>
    <row r="29" spans="1:14" ht="14.25" customHeight="1" x14ac:dyDescent="0.2">
      <c r="A29" s="954"/>
      <c r="B29" s="1148" t="s">
        <v>49</v>
      </c>
      <c r="C29" s="1452">
        <f t="shared" si="1"/>
        <v>97895.943290237556</v>
      </c>
      <c r="D29" s="1452">
        <f t="shared" si="2"/>
        <v>73692.697455079891</v>
      </c>
      <c r="E29" s="1453">
        <v>34534.949480493509</v>
      </c>
      <c r="F29" s="1453">
        <v>0</v>
      </c>
      <c r="G29" s="1453">
        <v>7307.021577140571</v>
      </c>
      <c r="H29" s="1453">
        <v>11353.671380697848</v>
      </c>
      <c r="I29" s="1453">
        <v>0</v>
      </c>
      <c r="J29" s="1453">
        <v>20497.055016747963</v>
      </c>
      <c r="K29" s="1452">
        <f t="shared" si="3"/>
        <v>24203.245835157664</v>
      </c>
      <c r="L29" s="1168">
        <v>22456.171759956647</v>
      </c>
      <c r="M29" s="1211">
        <v>1747.074075201017</v>
      </c>
      <c r="N29" s="173"/>
    </row>
    <row r="30" spans="1:14" ht="14.25" customHeight="1" x14ac:dyDescent="0.2">
      <c r="A30" s="954"/>
      <c r="B30" s="1148" t="s">
        <v>50</v>
      </c>
      <c r="C30" s="1452">
        <f t="shared" si="1"/>
        <v>11941.637583040174</v>
      </c>
      <c r="D30" s="1452">
        <f t="shared" si="2"/>
        <v>9875.5786568872227</v>
      </c>
      <c r="E30" s="1453">
        <v>-2420.2689672782058</v>
      </c>
      <c r="F30" s="1453">
        <v>5.9972282742800352E-4</v>
      </c>
      <c r="G30" s="1453">
        <v>60.949648084594592</v>
      </c>
      <c r="H30" s="1453">
        <v>0</v>
      </c>
      <c r="I30" s="1453">
        <v>0</v>
      </c>
      <c r="J30" s="1453">
        <v>12234.897376358007</v>
      </c>
      <c r="K30" s="1452">
        <f t="shared" si="3"/>
        <v>2066.0589261529512</v>
      </c>
      <c r="L30" s="1168">
        <v>0</v>
      </c>
      <c r="M30" s="1211">
        <v>2066.0589261529512</v>
      </c>
      <c r="N30" s="173"/>
    </row>
    <row r="31" spans="1:14" ht="14.25" customHeight="1" x14ac:dyDescent="0.2">
      <c r="A31" s="954"/>
      <c r="B31" s="1148" t="s">
        <v>51</v>
      </c>
      <c r="C31" s="1452">
        <f t="shared" si="1"/>
        <v>159709.27141464892</v>
      </c>
      <c r="D31" s="1452">
        <f t="shared" si="2"/>
        <v>90747.933385031094</v>
      </c>
      <c r="E31" s="1453">
        <v>37015.66453731605</v>
      </c>
      <c r="F31" s="1453">
        <v>977.87459018250672</v>
      </c>
      <c r="G31" s="1453">
        <v>7241.864399864744</v>
      </c>
      <c r="H31" s="1453">
        <v>9152.7213614192351</v>
      </c>
      <c r="I31" s="1453">
        <v>40.864565927558992</v>
      </c>
      <c r="J31" s="1453">
        <v>36318.943930321002</v>
      </c>
      <c r="K31" s="1452">
        <f t="shared" si="3"/>
        <v>68961.338029617822</v>
      </c>
      <c r="L31" s="1168">
        <v>56497.637432704418</v>
      </c>
      <c r="M31" s="1211">
        <v>12463.700596913404</v>
      </c>
      <c r="N31" s="173"/>
    </row>
    <row r="32" spans="1:14" ht="14.25" customHeight="1" x14ac:dyDescent="0.2">
      <c r="A32" s="954"/>
      <c r="B32" s="1148" t="s">
        <v>52</v>
      </c>
      <c r="C32" s="1452">
        <f t="shared" si="1"/>
        <v>2181.5869325030612</v>
      </c>
      <c r="D32" s="1452">
        <f t="shared" si="2"/>
        <v>-356.38484814082602</v>
      </c>
      <c r="E32" s="1453">
        <v>-386.08379980683003</v>
      </c>
      <c r="F32" s="1453">
        <v>0.65770219700894816</v>
      </c>
      <c r="G32" s="1453">
        <v>29.041249468995034</v>
      </c>
      <c r="H32" s="1453">
        <v>0</v>
      </c>
      <c r="I32" s="1453">
        <v>0</v>
      </c>
      <c r="J32" s="1453">
        <v>0</v>
      </c>
      <c r="K32" s="1452">
        <f t="shared" si="3"/>
        <v>2537.9717806438871</v>
      </c>
      <c r="L32" s="1168">
        <v>0</v>
      </c>
      <c r="M32" s="1211">
        <v>2537.9717806438871</v>
      </c>
      <c r="N32" s="173"/>
    </row>
    <row r="33" spans="1:14" ht="14.25" customHeight="1" x14ac:dyDescent="0.2">
      <c r="A33" s="954"/>
      <c r="B33" s="1148" t="s">
        <v>53</v>
      </c>
      <c r="C33" s="1452">
        <f t="shared" si="1"/>
        <v>17841.830948986506</v>
      </c>
      <c r="D33" s="1452">
        <f t="shared" si="2"/>
        <v>12610.991648048961</v>
      </c>
      <c r="E33" s="1453">
        <v>12160.414384293175</v>
      </c>
      <c r="F33" s="1453">
        <v>0</v>
      </c>
      <c r="G33" s="1453">
        <v>115.11282002981895</v>
      </c>
      <c r="H33" s="1453">
        <v>0</v>
      </c>
      <c r="I33" s="1453">
        <v>0</v>
      </c>
      <c r="J33" s="1453">
        <v>335.46444372596585</v>
      </c>
      <c r="K33" s="1452">
        <f t="shared" si="3"/>
        <v>5230.839300937545</v>
      </c>
      <c r="L33" s="1168">
        <v>0</v>
      </c>
      <c r="M33" s="1211">
        <v>5230.839300937545</v>
      </c>
      <c r="N33" s="173"/>
    </row>
    <row r="34" spans="1:14" ht="14.25" customHeight="1" x14ac:dyDescent="0.2">
      <c r="A34" s="954"/>
      <c r="B34" s="1148" t="s">
        <v>54</v>
      </c>
      <c r="C34" s="1452">
        <f t="shared" si="1"/>
        <v>-8300.0134877695091</v>
      </c>
      <c r="D34" s="1452">
        <f t="shared" si="2"/>
        <v>-8306.0486783043289</v>
      </c>
      <c r="E34" s="1453">
        <v>-9819.6407950871999</v>
      </c>
      <c r="F34" s="1453">
        <v>0</v>
      </c>
      <c r="G34" s="1453">
        <v>-60.156873900061136</v>
      </c>
      <c r="H34" s="1453">
        <v>0</v>
      </c>
      <c r="I34" s="1453">
        <v>0</v>
      </c>
      <c r="J34" s="1453">
        <v>1573.7489906829326</v>
      </c>
      <c r="K34" s="1452">
        <f t="shared" si="3"/>
        <v>6.0351905348197761</v>
      </c>
      <c r="L34" s="1168">
        <v>0</v>
      </c>
      <c r="M34" s="1211">
        <v>6.0351905348197761</v>
      </c>
      <c r="N34" s="173"/>
    </row>
    <row r="35" spans="1:14" ht="14.25" customHeight="1" x14ac:dyDescent="0.2">
      <c r="A35" s="954"/>
      <c r="B35" s="1148" t="s">
        <v>55</v>
      </c>
      <c r="C35" s="1452">
        <f t="shared" si="1"/>
        <v>913.12167095701648</v>
      </c>
      <c r="D35" s="1452">
        <f t="shared" si="2"/>
        <v>10.430603019293073</v>
      </c>
      <c r="E35" s="1453">
        <v>-513.62600494397748</v>
      </c>
      <c r="F35" s="1453">
        <v>0.49172749178789138</v>
      </c>
      <c r="G35" s="1453">
        <v>167.70241013896438</v>
      </c>
      <c r="H35" s="1453">
        <v>0</v>
      </c>
      <c r="I35" s="1453">
        <v>0</v>
      </c>
      <c r="J35" s="1453">
        <v>355.86247033251828</v>
      </c>
      <c r="K35" s="1452">
        <f t="shared" si="3"/>
        <v>902.69106793772335</v>
      </c>
      <c r="L35" s="1168">
        <v>0</v>
      </c>
      <c r="M35" s="1211">
        <v>902.69106793772335</v>
      </c>
      <c r="N35" s="173"/>
    </row>
    <row r="36" spans="1:14" ht="14.25" customHeight="1" x14ac:dyDescent="0.2">
      <c r="A36" s="954" t="s">
        <v>336</v>
      </c>
      <c r="B36" s="1148" t="s">
        <v>56</v>
      </c>
      <c r="C36" s="1452">
        <f t="shared" si="1"/>
        <v>295.3660782125985</v>
      </c>
      <c r="D36" s="1452">
        <f t="shared" si="2"/>
        <v>283.7216173452324</v>
      </c>
      <c r="E36" s="1453">
        <v>264.54930876521507</v>
      </c>
      <c r="F36" s="1453">
        <v>0</v>
      </c>
      <c r="G36" s="1453">
        <v>0</v>
      </c>
      <c r="H36" s="1453">
        <v>0</v>
      </c>
      <c r="I36" s="1453">
        <v>0</v>
      </c>
      <c r="J36" s="1453">
        <v>19.172308580017337</v>
      </c>
      <c r="K36" s="1452">
        <f t="shared" si="3"/>
        <v>11.644460867366092</v>
      </c>
      <c r="L36" s="1168">
        <v>0</v>
      </c>
      <c r="M36" s="1211">
        <v>11.644460867366092</v>
      </c>
      <c r="N36" s="173"/>
    </row>
    <row r="37" spans="1:14" ht="14.25" customHeight="1" x14ac:dyDescent="0.2">
      <c r="A37" s="954"/>
      <c r="B37" s="1148" t="s">
        <v>57</v>
      </c>
      <c r="C37" s="1452">
        <f t="shared" si="1"/>
        <v>-23.17763931395919</v>
      </c>
      <c r="D37" s="1452">
        <f t="shared" si="2"/>
        <v>-24.905432023456282</v>
      </c>
      <c r="E37" s="1453">
        <v>-24.860545189177721</v>
      </c>
      <c r="F37" s="1453">
        <v>-4.4886834278559232E-2</v>
      </c>
      <c r="G37" s="1453">
        <v>0</v>
      </c>
      <c r="H37" s="1453">
        <v>0</v>
      </c>
      <c r="I37" s="1453">
        <v>0</v>
      </c>
      <c r="J37" s="1453">
        <v>0</v>
      </c>
      <c r="K37" s="1452">
        <f t="shared" si="3"/>
        <v>1.7277927094970913</v>
      </c>
      <c r="L37" s="1168">
        <v>0</v>
      </c>
      <c r="M37" s="1211">
        <v>1.7277927094970913</v>
      </c>
      <c r="N37" s="173"/>
    </row>
    <row r="38" spans="1:14" ht="14.25" customHeight="1" x14ac:dyDescent="0.2">
      <c r="A38" s="954"/>
      <c r="B38" s="1148" t="s">
        <v>58</v>
      </c>
      <c r="C38" s="1452">
        <f t="shared" si="1"/>
        <v>10181.739415194243</v>
      </c>
      <c r="D38" s="1452">
        <f t="shared" si="2"/>
        <v>3622.4207306510007</v>
      </c>
      <c r="E38" s="1453">
        <v>-3066.2105270970255</v>
      </c>
      <c r="F38" s="1453">
        <v>15.84816114101875</v>
      </c>
      <c r="G38" s="1453">
        <v>2307.3896754350289</v>
      </c>
      <c r="H38" s="1453">
        <v>-732.27055177521595</v>
      </c>
      <c r="I38" s="1453">
        <v>9.2651582362935549</v>
      </c>
      <c r="J38" s="1453">
        <v>5088.3988147109012</v>
      </c>
      <c r="K38" s="1452">
        <f t="shared" si="3"/>
        <v>6559.3186845432419</v>
      </c>
      <c r="L38" s="1168">
        <v>5567.2824289672672</v>
      </c>
      <c r="M38" s="1211">
        <v>992.03625557597479</v>
      </c>
      <c r="N38" s="173"/>
    </row>
    <row r="39" spans="1:14" s="25" customFormat="1" ht="14.25" customHeight="1" x14ac:dyDescent="0.2">
      <c r="A39" s="1109"/>
      <c r="B39" s="1074" t="s">
        <v>59</v>
      </c>
      <c r="C39" s="1452">
        <f t="shared" si="1"/>
        <v>31146.006388506787</v>
      </c>
      <c r="D39" s="1452">
        <f t="shared" si="2"/>
        <v>22127.550497897446</v>
      </c>
      <c r="E39" s="1453">
        <v>11741.65564652445</v>
      </c>
      <c r="F39" s="1453">
        <v>4.6620851891726627</v>
      </c>
      <c r="G39" s="1453">
        <v>537.47488592858201</v>
      </c>
      <c r="H39" s="1453">
        <v>209.25389308022665</v>
      </c>
      <c r="I39" s="1453">
        <v>0</v>
      </c>
      <c r="J39" s="1453">
        <v>9634.5039871750123</v>
      </c>
      <c r="K39" s="1452">
        <f t="shared" si="3"/>
        <v>9018.4558906093389</v>
      </c>
      <c r="L39" s="1168">
        <v>8735.6687563038304</v>
      </c>
      <c r="M39" s="1211">
        <v>282.78713430550852</v>
      </c>
      <c r="N39" s="271"/>
    </row>
    <row r="40" spans="1:14" ht="14.25" customHeight="1" x14ac:dyDescent="0.2">
      <c r="A40" s="954"/>
      <c r="B40" s="1148" t="s">
        <v>60</v>
      </c>
      <c r="C40" s="1452">
        <f t="shared" si="1"/>
        <v>55211.576234721724</v>
      </c>
      <c r="D40" s="1452">
        <f t="shared" si="2"/>
        <v>45774.956453113162</v>
      </c>
      <c r="E40" s="1453">
        <v>2080.9177681414535</v>
      </c>
      <c r="F40" s="1453">
        <v>8.1678915044821601</v>
      </c>
      <c r="G40" s="1453">
        <v>2200.5737200124231</v>
      </c>
      <c r="H40" s="1453">
        <v>3383.4501356892692</v>
      </c>
      <c r="I40" s="1453">
        <v>45.027409454487682</v>
      </c>
      <c r="J40" s="1453">
        <v>38056.819528311047</v>
      </c>
      <c r="K40" s="1452">
        <f t="shared" si="3"/>
        <v>9436.6197816085623</v>
      </c>
      <c r="L40" s="1168">
        <v>0</v>
      </c>
      <c r="M40" s="1211">
        <v>9436.6197816085623</v>
      </c>
      <c r="N40" s="173"/>
    </row>
    <row r="41" spans="1:14" ht="14.25" customHeight="1" x14ac:dyDescent="0.2">
      <c r="A41" s="954"/>
      <c r="B41" s="1148" t="s">
        <v>61</v>
      </c>
      <c r="C41" s="1452">
        <f t="shared" si="1"/>
        <v>1537.4335278325104</v>
      </c>
      <c r="D41" s="1452">
        <f t="shared" si="2"/>
        <v>1473.2650093428642</v>
      </c>
      <c r="E41" s="1453">
        <v>61.264790593573771</v>
      </c>
      <c r="F41" s="1453">
        <v>-1.9907452305176425E-2</v>
      </c>
      <c r="G41" s="1453">
        <v>0</v>
      </c>
      <c r="H41" s="1453">
        <v>0</v>
      </c>
      <c r="I41" s="1453">
        <v>11.699414270835703</v>
      </c>
      <c r="J41" s="1453">
        <v>1400.3207119307599</v>
      </c>
      <c r="K41" s="1452">
        <f t="shared" si="3"/>
        <v>64.168518489646203</v>
      </c>
      <c r="L41" s="1168">
        <v>0</v>
      </c>
      <c r="M41" s="1211">
        <v>64.168518489646203</v>
      </c>
      <c r="N41" s="173"/>
    </row>
    <row r="42" spans="1:14" ht="14.25" customHeight="1" x14ac:dyDescent="0.2">
      <c r="A42" s="954"/>
      <c r="B42" s="1148" t="s">
        <v>62</v>
      </c>
      <c r="C42" s="1452">
        <f t="shared" si="1"/>
        <v>178911.81455327503</v>
      </c>
      <c r="D42" s="1452">
        <f t="shared" si="2"/>
        <v>127425.76276870121</v>
      </c>
      <c r="E42" s="1453">
        <v>-7215.0931222393356</v>
      </c>
      <c r="F42" s="1453">
        <v>966.97625512017873</v>
      </c>
      <c r="G42" s="1453">
        <v>9845.1054887291903</v>
      </c>
      <c r="H42" s="1453">
        <v>29627.559175909941</v>
      </c>
      <c r="I42" s="1453">
        <v>125.68868391817556</v>
      </c>
      <c r="J42" s="1453">
        <v>94075.52628726307</v>
      </c>
      <c r="K42" s="1452">
        <f t="shared" si="3"/>
        <v>51486.051784573821</v>
      </c>
      <c r="L42" s="1168">
        <v>27117.231554607602</v>
      </c>
      <c r="M42" s="1211">
        <v>24368.820229966223</v>
      </c>
      <c r="N42" s="173"/>
    </row>
    <row r="43" spans="1:14" ht="14.25" customHeight="1" x14ac:dyDescent="0.2">
      <c r="A43" s="954"/>
      <c r="B43" s="1148" t="s">
        <v>63</v>
      </c>
      <c r="C43" s="1452">
        <f t="shared" si="1"/>
        <v>1003153.5983449486</v>
      </c>
      <c r="D43" s="1452">
        <f t="shared" si="2"/>
        <v>563743.02633283485</v>
      </c>
      <c r="E43" s="1453">
        <v>-35888.639431204974</v>
      </c>
      <c r="F43" s="1453">
        <v>0</v>
      </c>
      <c r="G43" s="1453">
        <v>237552.46052707723</v>
      </c>
      <c r="H43" s="1453">
        <v>106511.34819416545</v>
      </c>
      <c r="I43" s="1453">
        <v>9.1785563993794046</v>
      </c>
      <c r="J43" s="1453">
        <v>255558.67848639775</v>
      </c>
      <c r="K43" s="1452">
        <f t="shared" si="3"/>
        <v>439410.57201211381</v>
      </c>
      <c r="L43" s="1168">
        <v>266355.21562039707</v>
      </c>
      <c r="M43" s="1211">
        <v>173055.35639171675</v>
      </c>
      <c r="N43" s="173"/>
    </row>
    <row r="44" spans="1:14" ht="40" customHeight="1" x14ac:dyDescent="0.2">
      <c r="A44" s="954"/>
      <c r="B44" s="7" t="s">
        <v>64</v>
      </c>
      <c r="C44" s="1201">
        <f>+SUM(C45:C51)</f>
        <v>207789.78846278359</v>
      </c>
      <c r="D44" s="1201">
        <f t="shared" ref="D44:M44" si="4">+SUM(D45:D51)</f>
        <v>22170.092096658031</v>
      </c>
      <c r="E44" s="245">
        <f t="shared" si="4"/>
        <v>12356.026878230501</v>
      </c>
      <c r="F44" s="245">
        <f t="shared" si="4"/>
        <v>4051.7033510616852</v>
      </c>
      <c r="G44" s="245">
        <f t="shared" si="4"/>
        <v>-221.49061857383253</v>
      </c>
      <c r="H44" s="245">
        <f t="shared" si="4"/>
        <v>-605.76330637259639</v>
      </c>
      <c r="I44" s="245">
        <f t="shared" si="4"/>
        <v>0</v>
      </c>
      <c r="J44" s="245">
        <f t="shared" si="4"/>
        <v>6589.6157923122691</v>
      </c>
      <c r="K44" s="1201">
        <f t="shared" si="4"/>
        <v>185619.69636612563</v>
      </c>
      <c r="L44" s="245">
        <f t="shared" si="4"/>
        <v>0</v>
      </c>
      <c r="M44" s="624">
        <f t="shared" si="4"/>
        <v>185619.69636612563</v>
      </c>
      <c r="N44" s="173"/>
    </row>
    <row r="45" spans="1:14" x14ac:dyDescent="0.2">
      <c r="A45" s="954"/>
      <c r="B45" s="1149" t="s">
        <v>65</v>
      </c>
      <c r="C45" s="1452">
        <f t="shared" ref="C45:C51" si="5">+D45+K45</f>
        <v>22255.332501510988</v>
      </c>
      <c r="D45" s="1452">
        <f t="shared" si="2"/>
        <v>21280.177618859641</v>
      </c>
      <c r="E45" s="1453">
        <v>17705.220291142199</v>
      </c>
      <c r="F45" s="1453">
        <v>1.9262341254779852E-2</v>
      </c>
      <c r="G45" s="1453">
        <v>-166.6414552863763</v>
      </c>
      <c r="H45" s="1453">
        <v>1601.6293248446195</v>
      </c>
      <c r="I45" s="1453">
        <v>0</v>
      </c>
      <c r="J45" s="1453">
        <v>2139.950195817943</v>
      </c>
      <c r="K45" s="1452">
        <f t="shared" si="3"/>
        <v>975.15488265134627</v>
      </c>
      <c r="L45" s="1168">
        <v>0</v>
      </c>
      <c r="M45" s="1211">
        <v>975.15488265134627</v>
      </c>
      <c r="N45" s="173"/>
    </row>
    <row r="46" spans="1:14" x14ac:dyDescent="0.2">
      <c r="A46" s="329" t="s">
        <v>337</v>
      </c>
      <c r="B46" s="1148" t="s">
        <v>66</v>
      </c>
      <c r="C46" s="1452">
        <f t="shared" si="5"/>
        <v>149504.8853445545</v>
      </c>
      <c r="D46" s="1452">
        <f t="shared" si="2"/>
        <v>21.119639583179378</v>
      </c>
      <c r="E46" s="1453">
        <v>-3233.462590341649</v>
      </c>
      <c r="F46" s="1453">
        <v>43.26140806395388</v>
      </c>
      <c r="G46" s="1453">
        <v>-47.743435304795341</v>
      </c>
      <c r="H46" s="1453">
        <v>310.64859227388001</v>
      </c>
      <c r="I46" s="1453">
        <v>0</v>
      </c>
      <c r="J46" s="1453">
        <v>2948.4156648917897</v>
      </c>
      <c r="K46" s="1452">
        <f t="shared" si="3"/>
        <v>149483.76570497133</v>
      </c>
      <c r="L46" s="1168">
        <v>0</v>
      </c>
      <c r="M46" s="1211">
        <v>149483.76570497133</v>
      </c>
      <c r="N46" s="173"/>
    </row>
    <row r="47" spans="1:14" x14ac:dyDescent="0.2">
      <c r="A47" s="954"/>
      <c r="B47" s="1148" t="s">
        <v>67</v>
      </c>
      <c r="C47" s="1452">
        <f t="shared" si="5"/>
        <v>3281.1683549992799</v>
      </c>
      <c r="D47" s="1452">
        <f t="shared" si="2"/>
        <v>-9.6820721270468759</v>
      </c>
      <c r="E47" s="1453">
        <v>-9.7127999951406991</v>
      </c>
      <c r="F47" s="1453">
        <v>3.0727868093823073E-2</v>
      </c>
      <c r="G47" s="1453">
        <v>0</v>
      </c>
      <c r="H47" s="1453">
        <v>0</v>
      </c>
      <c r="I47" s="1453">
        <v>0</v>
      </c>
      <c r="J47" s="1453">
        <v>0</v>
      </c>
      <c r="K47" s="1452">
        <f t="shared" si="3"/>
        <v>3290.8504271263268</v>
      </c>
      <c r="L47" s="1168">
        <v>0</v>
      </c>
      <c r="M47" s="1211">
        <v>3290.8504271263268</v>
      </c>
      <c r="N47" s="173"/>
    </row>
    <row r="48" spans="1:14" x14ac:dyDescent="0.2">
      <c r="A48" s="954"/>
      <c r="B48" s="1148" t="s">
        <v>68</v>
      </c>
      <c r="C48" s="1452">
        <f t="shared" si="5"/>
        <v>391.54700629603752</v>
      </c>
      <c r="D48" s="1452">
        <f t="shared" si="2"/>
        <v>-4.8489462310344802</v>
      </c>
      <c r="E48" s="1168">
        <v>-4.8563999975702998</v>
      </c>
      <c r="F48" s="1168">
        <v>7.4537665358196262E-3</v>
      </c>
      <c r="G48" s="1168">
        <v>0</v>
      </c>
      <c r="H48" s="1168">
        <v>0</v>
      </c>
      <c r="I48" s="1168">
        <v>0</v>
      </c>
      <c r="J48" s="1168">
        <v>0</v>
      </c>
      <c r="K48" s="1452">
        <f t="shared" si="3"/>
        <v>396.39595252707198</v>
      </c>
      <c r="L48" s="1168">
        <v>0</v>
      </c>
      <c r="M48" s="1211">
        <v>396.39595252707198</v>
      </c>
      <c r="N48" s="173"/>
    </row>
    <row r="49" spans="1:14" ht="14.25" customHeight="1" x14ac:dyDescent="0.2">
      <c r="A49" s="954"/>
      <c r="B49" s="1148" t="s">
        <v>69</v>
      </c>
      <c r="C49" s="1452">
        <f t="shared" si="5"/>
        <v>15361.297585290473</v>
      </c>
      <c r="D49" s="1452">
        <f t="shared" si="2"/>
        <v>94.674979832904555</v>
      </c>
      <c r="E49" s="1453">
        <v>92.109593166567365</v>
      </c>
      <c r="F49" s="1453">
        <v>2.5653866663371852</v>
      </c>
      <c r="G49" s="1453">
        <v>0</v>
      </c>
      <c r="H49" s="1453">
        <v>0</v>
      </c>
      <c r="I49" s="1453">
        <v>0</v>
      </c>
      <c r="J49" s="1453">
        <v>0</v>
      </c>
      <c r="K49" s="1452">
        <f t="shared" si="3"/>
        <v>15266.622605457569</v>
      </c>
      <c r="L49" s="1168">
        <v>0</v>
      </c>
      <c r="M49" s="1211">
        <v>15266.622605457569</v>
      </c>
      <c r="N49" s="173"/>
    </row>
    <row r="50" spans="1:14" ht="14.25" customHeight="1" x14ac:dyDescent="0.2">
      <c r="A50" s="329" t="s">
        <v>338</v>
      </c>
      <c r="B50" s="1148" t="s">
        <v>70</v>
      </c>
      <c r="C50" s="1452">
        <f t="shared" si="5"/>
        <v>2479.6631017541658</v>
      </c>
      <c r="D50" s="1452">
        <f t="shared" si="2"/>
        <v>2357.9721290491707</v>
      </c>
      <c r="E50" s="1453">
        <v>-612.51301653476582</v>
      </c>
      <c r="F50" s="1453">
        <v>3992.3077904930865</v>
      </c>
      <c r="G50" s="1453">
        <v>-5.0313530205898207</v>
      </c>
      <c r="H50" s="1453">
        <v>-2518.0412234910959</v>
      </c>
      <c r="I50" s="1453">
        <v>0</v>
      </c>
      <c r="J50" s="1453">
        <v>1501.2499316025358</v>
      </c>
      <c r="K50" s="1452">
        <f t="shared" si="3"/>
        <v>121.69097270499515</v>
      </c>
      <c r="L50" s="1168">
        <v>0</v>
      </c>
      <c r="M50" s="1211">
        <v>121.69097270499515</v>
      </c>
      <c r="N50" s="173"/>
    </row>
    <row r="51" spans="1:14" ht="14.25" customHeight="1" x14ac:dyDescent="0.2">
      <c r="A51" s="954"/>
      <c r="B51" s="1148" t="s">
        <v>71</v>
      </c>
      <c r="C51" s="1452">
        <f t="shared" si="5"/>
        <v>14515.894568378182</v>
      </c>
      <c r="D51" s="1452">
        <f t="shared" si="2"/>
        <v>-1569.3212523087877</v>
      </c>
      <c r="E51" s="1453">
        <v>-1580.75819920914</v>
      </c>
      <c r="F51" s="1453">
        <v>13.511321862423356</v>
      </c>
      <c r="G51" s="1453">
        <v>-2.0743749620710741</v>
      </c>
      <c r="H51" s="1453">
        <v>0</v>
      </c>
      <c r="I51" s="1453">
        <v>0</v>
      </c>
      <c r="J51" s="1453">
        <v>0</v>
      </c>
      <c r="K51" s="1452">
        <f t="shared" si="3"/>
        <v>16085.21582068697</v>
      </c>
      <c r="L51" s="1168">
        <v>0</v>
      </c>
      <c r="M51" s="1211">
        <v>16085.21582068697</v>
      </c>
      <c r="N51" s="173"/>
    </row>
    <row r="52" spans="1:14" ht="40" customHeight="1" x14ac:dyDescent="0.2">
      <c r="A52" s="954"/>
      <c r="B52" s="7" t="s">
        <v>72</v>
      </c>
      <c r="C52" s="299">
        <f t="shared" ref="C52:C88" si="6">+D52+K52</f>
        <v>386836.76953536895</v>
      </c>
      <c r="D52" s="1200">
        <f>+SUM(D53:D88)</f>
        <v>93746.188854985419</v>
      </c>
      <c r="E52" s="245">
        <f t="shared" ref="E52:M52" si="7">+SUM(E53:E88)</f>
        <v>5117.7426292332102</v>
      </c>
      <c r="F52" s="245">
        <f t="shared" si="7"/>
        <v>2760.3769895008863</v>
      </c>
      <c r="G52" s="245">
        <f t="shared" si="7"/>
        <v>15204.420168688473</v>
      </c>
      <c r="H52" s="13">
        <f t="shared" si="7"/>
        <v>26842.336063761708</v>
      </c>
      <c r="I52" s="13">
        <f t="shared" si="7"/>
        <v>1156.0654949586703</v>
      </c>
      <c r="J52" s="13">
        <f t="shared" si="7"/>
        <v>42665.247508842469</v>
      </c>
      <c r="K52" s="1201">
        <f t="shared" si="7"/>
        <v>293090.58068038354</v>
      </c>
      <c r="L52" s="13">
        <f t="shared" si="7"/>
        <v>0</v>
      </c>
      <c r="M52" s="14">
        <f t="shared" si="7"/>
        <v>293090.58068038354</v>
      </c>
      <c r="N52" s="173"/>
    </row>
    <row r="53" spans="1:14" ht="14.25" customHeight="1" x14ac:dyDescent="0.2">
      <c r="A53" s="954"/>
      <c r="B53" s="1148" t="s">
        <v>73</v>
      </c>
      <c r="C53" s="1452">
        <f t="shared" si="6"/>
        <v>2.4230958874476558</v>
      </c>
      <c r="D53" s="1200">
        <f t="shared" si="2"/>
        <v>7.2045163267565493E-2</v>
      </c>
      <c r="E53" s="1153">
        <v>0</v>
      </c>
      <c r="F53" s="1153">
        <v>7.2045163267565493E-2</v>
      </c>
      <c r="G53" s="1153">
        <v>0</v>
      </c>
      <c r="H53" s="1168">
        <v>0</v>
      </c>
      <c r="I53" s="1168">
        <v>0</v>
      </c>
      <c r="J53" s="1168">
        <v>0</v>
      </c>
      <c r="K53" s="1198">
        <f t="shared" si="3"/>
        <v>2.3510507241800904</v>
      </c>
      <c r="L53" s="1168">
        <v>0</v>
      </c>
      <c r="M53" s="1211">
        <v>2.3510507241800904</v>
      </c>
      <c r="N53" s="173"/>
    </row>
    <row r="54" spans="1:14" ht="14.25" customHeight="1" x14ac:dyDescent="0.2">
      <c r="A54" s="954"/>
      <c r="B54" s="1148" t="s">
        <v>74</v>
      </c>
      <c r="C54" s="1452">
        <f t="shared" si="6"/>
        <v>213.58223370985496</v>
      </c>
      <c r="D54" s="1200">
        <f t="shared" si="2"/>
        <v>9.0370808639742266E-3</v>
      </c>
      <c r="E54" s="1153">
        <v>0</v>
      </c>
      <c r="F54" s="1153">
        <v>9.0370808639742266E-3</v>
      </c>
      <c r="G54" s="1153">
        <v>0</v>
      </c>
      <c r="H54" s="1168">
        <v>0</v>
      </c>
      <c r="I54" s="1168">
        <v>0</v>
      </c>
      <c r="J54" s="1168">
        <v>0</v>
      </c>
      <c r="K54" s="1198">
        <f t="shared" si="3"/>
        <v>213.57319662899098</v>
      </c>
      <c r="L54" s="1168">
        <v>0</v>
      </c>
      <c r="M54" s="1211">
        <v>213.57319662899098</v>
      </c>
      <c r="N54" s="173"/>
    </row>
    <row r="55" spans="1:14" ht="14.25" customHeight="1" x14ac:dyDescent="0.2">
      <c r="A55" s="954"/>
      <c r="B55" s="1148" t="str">
        <f>+TableA1!A56</f>
        <v>Antigua and Barbuda</v>
      </c>
      <c r="C55" s="1452">
        <f t="shared" si="6"/>
        <v>13.266053840261437</v>
      </c>
      <c r="D55" s="1200">
        <f t="shared" si="2"/>
        <v>2.7753790269925284E-2</v>
      </c>
      <c r="E55" s="1153">
        <v>0</v>
      </c>
      <c r="F55" s="1153">
        <v>2.7753790269925284E-2</v>
      </c>
      <c r="G55" s="1153">
        <v>0</v>
      </c>
      <c r="H55" s="1168">
        <v>0</v>
      </c>
      <c r="I55" s="1168">
        <v>0</v>
      </c>
      <c r="J55" s="1168">
        <v>0</v>
      </c>
      <c r="K55" s="1198">
        <f t="shared" si="3"/>
        <v>13.238300049991512</v>
      </c>
      <c r="L55" s="1168">
        <v>0</v>
      </c>
      <c r="M55" s="1211">
        <v>13.238300049991512</v>
      </c>
      <c r="N55" s="173"/>
    </row>
    <row r="56" spans="1:14" ht="14.25" customHeight="1" x14ac:dyDescent="0.2">
      <c r="A56" s="954"/>
      <c r="B56" s="1148" t="s">
        <v>76</v>
      </c>
      <c r="C56" s="1452">
        <f t="shared" si="6"/>
        <v>123.33728275211953</v>
      </c>
      <c r="D56" s="1200">
        <f t="shared" si="2"/>
        <v>0</v>
      </c>
      <c r="E56" s="1153">
        <v>0</v>
      </c>
      <c r="F56" s="1153">
        <v>0</v>
      </c>
      <c r="G56" s="1153">
        <v>0</v>
      </c>
      <c r="H56" s="1168">
        <v>0</v>
      </c>
      <c r="I56" s="1168">
        <v>0</v>
      </c>
      <c r="J56" s="1168">
        <v>0</v>
      </c>
      <c r="K56" s="1198">
        <f t="shared" si="3"/>
        <v>123.33728275211953</v>
      </c>
      <c r="L56" s="1168">
        <v>0</v>
      </c>
      <c r="M56" s="1211">
        <v>123.33728275211953</v>
      </c>
      <c r="N56" s="173"/>
    </row>
    <row r="57" spans="1:14" ht="14.25" customHeight="1" x14ac:dyDescent="0.2">
      <c r="A57" s="329" t="s">
        <v>77</v>
      </c>
      <c r="B57" s="1148" t="s">
        <v>152</v>
      </c>
      <c r="C57" s="1452">
        <f t="shared" si="6"/>
        <v>1544.8356546338973</v>
      </c>
      <c r="D57" s="1200">
        <f t="shared" si="2"/>
        <v>390.86531552018306</v>
      </c>
      <c r="E57" s="1153">
        <v>0</v>
      </c>
      <c r="F57" s="1153">
        <v>0</v>
      </c>
      <c r="G57" s="1153">
        <v>0</v>
      </c>
      <c r="H57" s="1168">
        <v>390.86531552018306</v>
      </c>
      <c r="I57" s="1168">
        <v>0</v>
      </c>
      <c r="J57" s="1168">
        <v>0</v>
      </c>
      <c r="K57" s="1198">
        <f t="shared" si="3"/>
        <v>1153.9703391137143</v>
      </c>
      <c r="L57" s="1168">
        <v>0</v>
      </c>
      <c r="M57" s="1211">
        <v>1153.9703391137143</v>
      </c>
      <c r="N57" s="173"/>
    </row>
    <row r="58" spans="1:14" ht="14.25" customHeight="1" x14ac:dyDescent="0.2">
      <c r="A58" s="329" t="s">
        <v>340</v>
      </c>
      <c r="B58" s="1148" t="s">
        <v>78</v>
      </c>
      <c r="C58" s="1452">
        <f t="shared" si="6"/>
        <v>811.20778638926799</v>
      </c>
      <c r="D58" s="1200">
        <f t="shared" si="2"/>
        <v>-192.90087561766276</v>
      </c>
      <c r="E58" s="1153">
        <v>-199.11239990038001</v>
      </c>
      <c r="F58" s="1153">
        <v>6.6724964965108207</v>
      </c>
      <c r="G58" s="1153">
        <v>-0.46097221379357206</v>
      </c>
      <c r="H58" s="1168">
        <v>0</v>
      </c>
      <c r="I58" s="1168">
        <v>0</v>
      </c>
      <c r="J58" s="1168">
        <v>0</v>
      </c>
      <c r="K58" s="1198">
        <f t="shared" si="3"/>
        <v>1004.1086620069308</v>
      </c>
      <c r="L58" s="1168">
        <v>0</v>
      </c>
      <c r="M58" s="1211">
        <v>1004.1086620069308</v>
      </c>
      <c r="N58" s="173"/>
    </row>
    <row r="59" spans="1:14" ht="14.25" customHeight="1" x14ac:dyDescent="0.2">
      <c r="A59" s="954"/>
      <c r="B59" s="1148" t="str">
        <f>+TableA1!A60</f>
        <v>Barbados</v>
      </c>
      <c r="C59" s="1452">
        <f t="shared" si="6"/>
        <v>216.25147493540092</v>
      </c>
      <c r="D59" s="1200">
        <f t="shared" si="2"/>
        <v>23.79012539556178</v>
      </c>
      <c r="E59" s="1153">
        <v>0</v>
      </c>
      <c r="F59" s="1153">
        <v>13.372153363827056</v>
      </c>
      <c r="G59" s="1153">
        <v>10.417972031734726</v>
      </c>
      <c r="H59" s="1168">
        <v>0</v>
      </c>
      <c r="I59" s="1168">
        <v>0</v>
      </c>
      <c r="J59" s="1168">
        <v>0</v>
      </c>
      <c r="K59" s="1198">
        <f t="shared" si="3"/>
        <v>192.46134953983915</v>
      </c>
      <c r="L59" s="1168">
        <v>0</v>
      </c>
      <c r="M59" s="1211">
        <v>192.46134953983915</v>
      </c>
      <c r="N59" s="173"/>
    </row>
    <row r="60" spans="1:14" ht="14.25" customHeight="1" x14ac:dyDescent="0.2">
      <c r="A60" s="954"/>
      <c r="B60" s="1148" t="s">
        <v>80</v>
      </c>
      <c r="C60" s="1452">
        <f t="shared" si="6"/>
        <v>5.266852257878341</v>
      </c>
      <c r="D60" s="1200">
        <f t="shared" si="2"/>
        <v>8.065746991227575E-2</v>
      </c>
      <c r="E60" s="1153">
        <v>0</v>
      </c>
      <c r="F60" s="1153">
        <v>0</v>
      </c>
      <c r="G60" s="1153">
        <v>0</v>
      </c>
      <c r="H60" s="1168">
        <v>0</v>
      </c>
      <c r="I60" s="1168">
        <v>8.065746991227575E-2</v>
      </c>
      <c r="J60" s="1168">
        <v>0</v>
      </c>
      <c r="K60" s="1198">
        <f t="shared" si="3"/>
        <v>5.1861947879660653</v>
      </c>
      <c r="L60" s="1168">
        <v>0</v>
      </c>
      <c r="M60" s="1211">
        <v>5.1861947879660653</v>
      </c>
      <c r="N60" s="173"/>
    </row>
    <row r="61" spans="1:14" ht="14.25" customHeight="1" x14ac:dyDescent="0.2">
      <c r="A61" s="954"/>
      <c r="B61" s="1148" t="s">
        <v>81</v>
      </c>
      <c r="C61" s="1452">
        <f t="shared" si="6"/>
        <v>69457.285062833456</v>
      </c>
      <c r="D61" s="1200">
        <f t="shared" si="2"/>
        <v>45189.249403021218</v>
      </c>
      <c r="E61" s="1153">
        <v>0</v>
      </c>
      <c r="F61" s="1153">
        <v>0</v>
      </c>
      <c r="G61" s="1153">
        <v>12238.812276219338</v>
      </c>
      <c r="H61" s="1168">
        <v>7295.2314096845521</v>
      </c>
      <c r="I61" s="1168">
        <v>0</v>
      </c>
      <c r="J61" s="1168">
        <v>25655.205717117329</v>
      </c>
      <c r="K61" s="1198">
        <f t="shared" si="3"/>
        <v>24268.035659812238</v>
      </c>
      <c r="L61" s="1168">
        <v>0</v>
      </c>
      <c r="M61" s="1211">
        <v>24268.035659812238</v>
      </c>
      <c r="N61" s="173"/>
    </row>
    <row r="62" spans="1:14" ht="14.25" customHeight="1" x14ac:dyDescent="0.2">
      <c r="A62" s="329" t="s">
        <v>645</v>
      </c>
      <c r="B62" s="1148" t="s">
        <v>82</v>
      </c>
      <c r="C62" s="1452">
        <f t="shared" si="6"/>
        <v>-5.3465463947633669</v>
      </c>
      <c r="D62" s="1200">
        <f t="shared" si="2"/>
        <v>0</v>
      </c>
      <c r="E62" s="1153">
        <v>0</v>
      </c>
      <c r="F62" s="1153">
        <v>0</v>
      </c>
      <c r="G62" s="1153">
        <v>0</v>
      </c>
      <c r="H62" s="1168">
        <v>0</v>
      </c>
      <c r="I62" s="1168">
        <v>0</v>
      </c>
      <c r="J62" s="1168">
        <v>0</v>
      </c>
      <c r="K62" s="1198">
        <f t="shared" si="3"/>
        <v>-5.3465463947633669</v>
      </c>
      <c r="L62" s="1168">
        <v>0</v>
      </c>
      <c r="M62" s="1211">
        <v>-5.3465463947633669</v>
      </c>
      <c r="N62" s="173"/>
    </row>
    <row r="63" spans="1:14" ht="14.25" customHeight="1" x14ac:dyDescent="0.2">
      <c r="A63" s="329" t="s">
        <v>372</v>
      </c>
      <c r="B63" s="1148" t="s">
        <v>153</v>
      </c>
      <c r="C63" s="1452">
        <f t="shared" si="6"/>
        <v>155035.98067250533</v>
      </c>
      <c r="D63" s="1200">
        <f t="shared" si="2"/>
        <v>5269.6923767666385</v>
      </c>
      <c r="E63" s="1153">
        <v>44.921699977526004</v>
      </c>
      <c r="F63" s="1153">
        <v>947.17370135434703</v>
      </c>
      <c r="G63" s="1153">
        <v>0</v>
      </c>
      <c r="H63" s="1168">
        <v>4206.9428079563804</v>
      </c>
      <c r="I63" s="1168">
        <v>0</v>
      </c>
      <c r="J63" s="1168">
        <v>70.654167478384963</v>
      </c>
      <c r="K63" s="1198">
        <f t="shared" si="3"/>
        <v>149766.28829573869</v>
      </c>
      <c r="L63" s="1168">
        <v>0</v>
      </c>
      <c r="M63" s="1211">
        <v>149766.28829573869</v>
      </c>
      <c r="N63" s="173"/>
    </row>
    <row r="64" spans="1:14" ht="14.25" customHeight="1" x14ac:dyDescent="0.2">
      <c r="A64" s="954"/>
      <c r="B64" s="113" t="s">
        <v>84</v>
      </c>
      <c r="C64" s="1452">
        <f t="shared" si="6"/>
        <v>56964.833106419734</v>
      </c>
      <c r="D64" s="1200">
        <f t="shared" si="2"/>
        <v>13256.949435024355</v>
      </c>
      <c r="E64" s="1153">
        <v>116.55359994169</v>
      </c>
      <c r="F64" s="1153">
        <v>0</v>
      </c>
      <c r="G64" s="1153">
        <v>1975.9573944261465</v>
      </c>
      <c r="H64" s="1168">
        <v>5047.5296945826385</v>
      </c>
      <c r="I64" s="1168">
        <v>0</v>
      </c>
      <c r="J64" s="1168">
        <v>6116.9087460738792</v>
      </c>
      <c r="K64" s="1198">
        <f t="shared" si="3"/>
        <v>43707.883671395379</v>
      </c>
      <c r="L64" s="1168">
        <v>0</v>
      </c>
      <c r="M64" s="1211">
        <v>43707.883671395379</v>
      </c>
      <c r="N64" s="173"/>
    </row>
    <row r="65" spans="1:14" ht="14.25" customHeight="1" x14ac:dyDescent="0.2">
      <c r="A65" s="954"/>
      <c r="B65" s="1148" t="s">
        <v>85</v>
      </c>
      <c r="C65" s="1452">
        <f t="shared" si="6"/>
        <v>115.53068522180237</v>
      </c>
      <c r="D65" s="1200">
        <f t="shared" si="2"/>
        <v>-15.625466992182631</v>
      </c>
      <c r="E65" s="1153">
        <v>-15.625466992182631</v>
      </c>
      <c r="F65" s="1153">
        <v>0</v>
      </c>
      <c r="G65" s="1153">
        <v>0</v>
      </c>
      <c r="H65" s="1168">
        <v>0</v>
      </c>
      <c r="I65" s="1168">
        <v>0</v>
      </c>
      <c r="J65" s="1168">
        <v>0</v>
      </c>
      <c r="K65" s="1198">
        <f t="shared" si="3"/>
        <v>131.156152213985</v>
      </c>
      <c r="L65" s="1168">
        <v>0</v>
      </c>
      <c r="M65" s="1211">
        <v>131.156152213985</v>
      </c>
      <c r="N65" s="173"/>
    </row>
    <row r="66" spans="1:14" ht="14.25" customHeight="1" x14ac:dyDescent="0.2">
      <c r="A66" s="954"/>
      <c r="B66" s="1148" t="str">
        <f>+TableA1!A67</f>
        <v>Cyprus</v>
      </c>
      <c r="C66" s="1452">
        <f t="shared" si="6"/>
        <v>7272.0437159187277</v>
      </c>
      <c r="D66" s="1200">
        <f t="shared" si="2"/>
        <v>6685.621793657202</v>
      </c>
      <c r="E66" s="1153">
        <v>511.86027526694767</v>
      </c>
      <c r="F66" s="1153">
        <v>1703.0350937789067</v>
      </c>
      <c r="G66" s="1153">
        <v>42.526332755038055</v>
      </c>
      <c r="H66" s="1168">
        <v>413.60010672989881</v>
      </c>
      <c r="I66" s="1168">
        <v>9.9983183989815156</v>
      </c>
      <c r="J66" s="1168">
        <v>4004.6016667274293</v>
      </c>
      <c r="K66" s="1198">
        <f t="shared" si="3"/>
        <v>586.42192226152565</v>
      </c>
      <c r="L66" s="1168">
        <v>0</v>
      </c>
      <c r="M66" s="1211">
        <v>586.42192226152565</v>
      </c>
      <c r="N66" s="173"/>
    </row>
    <row r="67" spans="1:14" ht="14.25" customHeight="1" x14ac:dyDescent="0.2">
      <c r="A67" s="954"/>
      <c r="B67" s="1148" t="s">
        <v>87</v>
      </c>
      <c r="C67" s="1452">
        <f t="shared" si="6"/>
        <v>3383.267548608057</v>
      </c>
      <c r="D67" s="1200">
        <f t="shared" si="2"/>
        <v>2893.9692759729851</v>
      </c>
      <c r="E67" s="1153">
        <v>-15.518602577421515</v>
      </c>
      <c r="F67" s="1153">
        <v>2.9005118065748583</v>
      </c>
      <c r="G67" s="1153">
        <v>664.33854490831129</v>
      </c>
      <c r="H67" s="1168">
        <v>2242.2488218355206</v>
      </c>
      <c r="I67" s="1168">
        <v>0</v>
      </c>
      <c r="J67" s="1168">
        <v>0</v>
      </c>
      <c r="K67" s="1198">
        <f t="shared" si="3"/>
        <v>489.29827263507195</v>
      </c>
      <c r="L67" s="1168">
        <v>0</v>
      </c>
      <c r="M67" s="1211">
        <v>489.29827263507195</v>
      </c>
      <c r="N67" s="173"/>
    </row>
    <row r="68" spans="1:14" ht="14.25" customHeight="1" x14ac:dyDescent="0.2">
      <c r="A68" s="954"/>
      <c r="B68" s="1148" t="str">
        <f>+TableA1!A69</f>
        <v>Grenada</v>
      </c>
      <c r="C68" s="1452">
        <f t="shared" si="6"/>
        <v>4.1725997786207163</v>
      </c>
      <c r="D68" s="1200">
        <f t="shared" si="2"/>
        <v>0.17023905159586764</v>
      </c>
      <c r="E68" s="1153">
        <v>0</v>
      </c>
      <c r="F68" s="1153">
        <v>0.17023905159586764</v>
      </c>
      <c r="G68" s="1153">
        <v>0</v>
      </c>
      <c r="H68" s="1168">
        <v>0</v>
      </c>
      <c r="I68" s="1168">
        <v>0</v>
      </c>
      <c r="J68" s="1168">
        <v>0</v>
      </c>
      <c r="K68" s="1198">
        <f t="shared" si="3"/>
        <v>4.0023607270248487</v>
      </c>
      <c r="L68" s="1168">
        <v>0</v>
      </c>
      <c r="M68" s="1211">
        <v>4.0023607270248487</v>
      </c>
      <c r="N68" s="173"/>
    </row>
    <row r="69" spans="1:14" ht="14.25" customHeight="1" x14ac:dyDescent="0.2">
      <c r="A69" s="954"/>
      <c r="B69" s="1148" t="s">
        <v>89</v>
      </c>
      <c r="C69" s="1452">
        <f t="shared" si="6"/>
        <v>956.28691439342447</v>
      </c>
      <c r="D69" s="1200">
        <f t="shared" si="2"/>
        <v>772.20380508388087</v>
      </c>
      <c r="E69" s="1153">
        <v>-47.349899976311001</v>
      </c>
      <c r="F69" s="1153">
        <v>36.061658076690634</v>
      </c>
      <c r="G69" s="1153">
        <v>0</v>
      </c>
      <c r="H69" s="1168">
        <v>783.49204698350127</v>
      </c>
      <c r="I69" s="1168">
        <v>0</v>
      </c>
      <c r="J69" s="1168">
        <v>0</v>
      </c>
      <c r="K69" s="1198">
        <f t="shared" si="3"/>
        <v>184.0831093095436</v>
      </c>
      <c r="L69" s="1168">
        <v>0</v>
      </c>
      <c r="M69" s="1211">
        <v>184.0831093095436</v>
      </c>
      <c r="N69" s="173"/>
    </row>
    <row r="70" spans="1:14" ht="14.25" customHeight="1" x14ac:dyDescent="0.2">
      <c r="A70" s="329" t="s">
        <v>90</v>
      </c>
      <c r="B70" s="1148" t="s">
        <v>154</v>
      </c>
      <c r="C70" s="1452">
        <f t="shared" si="6"/>
        <v>3266.3938197704301</v>
      </c>
      <c r="D70" s="1200">
        <f t="shared" si="2"/>
        <v>3039.5056282634091</v>
      </c>
      <c r="E70" s="1153">
        <v>1.8990497800651365</v>
      </c>
      <c r="F70" s="1153">
        <v>4.4517843408043891</v>
      </c>
      <c r="G70" s="1153">
        <v>0</v>
      </c>
      <c r="H70" s="1168">
        <v>2756.1113336412345</v>
      </c>
      <c r="I70" s="1168">
        <v>0</v>
      </c>
      <c r="J70" s="1168">
        <v>277.04346050130516</v>
      </c>
      <c r="K70" s="1198">
        <f t="shared" si="3"/>
        <v>226.88819150702102</v>
      </c>
      <c r="L70" s="1168">
        <v>0</v>
      </c>
      <c r="M70" s="1211">
        <v>226.88819150702102</v>
      </c>
      <c r="N70" s="173"/>
    </row>
    <row r="71" spans="1:14" ht="14.25" customHeight="1" x14ac:dyDescent="0.2">
      <c r="A71" s="329" t="s">
        <v>341</v>
      </c>
      <c r="B71" s="1148" t="s">
        <v>91</v>
      </c>
      <c r="C71" s="1452">
        <f t="shared" si="6"/>
        <v>44685.10692140615</v>
      </c>
      <c r="D71" s="1200">
        <f t="shared" si="2"/>
        <v>10281.541351931135</v>
      </c>
      <c r="E71" s="1153">
        <v>4273.6319978619003</v>
      </c>
      <c r="F71" s="1153">
        <v>10.313566947786425</v>
      </c>
      <c r="G71" s="1153">
        <v>59.234929472474008</v>
      </c>
      <c r="H71" s="1168">
        <v>1681.6892334032877</v>
      </c>
      <c r="I71" s="1168">
        <v>0</v>
      </c>
      <c r="J71" s="1168">
        <v>4256.6716242456878</v>
      </c>
      <c r="K71" s="1198">
        <f t="shared" si="3"/>
        <v>34403.565569475017</v>
      </c>
      <c r="L71" s="1168">
        <v>0</v>
      </c>
      <c r="M71" s="1211">
        <v>34403.565569475017</v>
      </c>
      <c r="N71" s="173"/>
    </row>
    <row r="72" spans="1:14" ht="14.25" customHeight="1" x14ac:dyDescent="0.2">
      <c r="A72" s="954"/>
      <c r="B72" s="1148" t="s">
        <v>92</v>
      </c>
      <c r="C72" s="1452">
        <f t="shared" si="6"/>
        <v>154.23105587659745</v>
      </c>
      <c r="D72" s="1200">
        <f t="shared" si="2"/>
        <v>5.1282404161474346</v>
      </c>
      <c r="E72" s="1153">
        <v>0</v>
      </c>
      <c r="F72" s="1153">
        <v>4.7011768660379651</v>
      </c>
      <c r="G72" s="1153">
        <v>0</v>
      </c>
      <c r="H72" s="1168">
        <v>0</v>
      </c>
      <c r="I72" s="1168">
        <v>0.42706355010946995</v>
      </c>
      <c r="J72" s="1168">
        <v>0</v>
      </c>
      <c r="K72" s="1198">
        <f t="shared" si="3"/>
        <v>149.10281546045002</v>
      </c>
      <c r="L72" s="1168">
        <v>0</v>
      </c>
      <c r="M72" s="1211">
        <v>149.10281546045002</v>
      </c>
      <c r="N72" s="173"/>
    </row>
    <row r="73" spans="1:14" ht="14.25" customHeight="1" x14ac:dyDescent="0.2">
      <c r="A73" s="954"/>
      <c r="B73" s="1148" t="s">
        <v>93</v>
      </c>
      <c r="C73" s="1452">
        <f t="shared" si="6"/>
        <v>216.85439044033095</v>
      </c>
      <c r="D73" s="1200">
        <f t="shared" si="2"/>
        <v>116.7561119437278</v>
      </c>
      <c r="E73" s="1153">
        <v>94.699799952622001</v>
      </c>
      <c r="F73" s="1153">
        <v>22.056311991105794</v>
      </c>
      <c r="G73" s="1153">
        <v>0</v>
      </c>
      <c r="H73" s="1168">
        <v>0</v>
      </c>
      <c r="I73" s="1168">
        <v>0</v>
      </c>
      <c r="J73" s="1168">
        <v>0</v>
      </c>
      <c r="K73" s="1198">
        <f t="shared" si="3"/>
        <v>100.09827849660314</v>
      </c>
      <c r="L73" s="1168">
        <v>0</v>
      </c>
      <c r="M73" s="1211">
        <v>100.09827849660314</v>
      </c>
      <c r="N73" s="173"/>
    </row>
    <row r="74" spans="1:14" ht="14.25" customHeight="1" x14ac:dyDescent="0.2">
      <c r="A74" s="954"/>
      <c r="B74" s="1148" t="s">
        <v>94</v>
      </c>
      <c r="C74" s="1452">
        <f t="shared" si="6"/>
        <v>968.79224367855647</v>
      </c>
      <c r="D74" s="1200">
        <f t="shared" ref="D74:D90" si="8">SUM(E74:J74)</f>
        <v>600.95805395320735</v>
      </c>
      <c r="E74" s="1153">
        <v>0</v>
      </c>
      <c r="F74" s="1153">
        <v>0</v>
      </c>
      <c r="G74" s="1153">
        <v>0</v>
      </c>
      <c r="H74" s="1168">
        <v>600.95805395320735</v>
      </c>
      <c r="I74" s="1168">
        <v>0</v>
      </c>
      <c r="J74" s="1168">
        <v>0</v>
      </c>
      <c r="K74" s="1198">
        <f t="shared" ref="K74:K90" si="9">+SUM(L74:M74)</f>
        <v>367.83418972534912</v>
      </c>
      <c r="L74" s="1168">
        <v>0</v>
      </c>
      <c r="M74" s="1211">
        <v>367.83418972534912</v>
      </c>
      <c r="N74" s="173"/>
    </row>
    <row r="75" spans="1:14" ht="14.25" customHeight="1" x14ac:dyDescent="0.2">
      <c r="A75" s="329" t="s">
        <v>342</v>
      </c>
      <c r="B75" s="1148" t="s">
        <v>95</v>
      </c>
      <c r="C75" s="1452">
        <f t="shared" si="6"/>
        <v>2669.583642106104</v>
      </c>
      <c r="D75" s="1200">
        <f>SUM(E75:J75)</f>
        <v>0.44800131878256805</v>
      </c>
      <c r="E75" s="1153">
        <v>0</v>
      </c>
      <c r="F75" s="1153">
        <v>0.44800131878256805</v>
      </c>
      <c r="G75" s="1153">
        <v>0</v>
      </c>
      <c r="H75" s="1168">
        <v>0</v>
      </c>
      <c r="I75" s="1168">
        <v>0</v>
      </c>
      <c r="J75" s="1168">
        <v>0</v>
      </c>
      <c r="K75" s="1198">
        <f>+SUM(L75:M75)</f>
        <v>2669.1356407873213</v>
      </c>
      <c r="L75" s="1168">
        <v>0</v>
      </c>
      <c r="M75" s="1211">
        <v>2669.1356407873213</v>
      </c>
      <c r="N75" s="173"/>
    </row>
    <row r="76" spans="1:14" ht="14.25" customHeight="1" x14ac:dyDescent="0.2">
      <c r="A76" s="954"/>
      <c r="B76" s="1148" t="s">
        <v>96</v>
      </c>
      <c r="C76" s="1452">
        <f t="shared" si="6"/>
        <v>2106.4968673421495</v>
      </c>
      <c r="D76" s="1200">
        <f t="shared" si="8"/>
        <v>2099.4714887082591</v>
      </c>
      <c r="E76" s="1153">
        <v>415.5509993243021</v>
      </c>
      <c r="F76" s="1153">
        <v>6.0878081894871046E-2</v>
      </c>
      <c r="G76" s="1153">
        <v>213.59369108922525</v>
      </c>
      <c r="H76" s="1168">
        <v>324.70646467316948</v>
      </c>
      <c r="I76" s="1168">
        <v>1145.5594555396672</v>
      </c>
      <c r="J76" s="1168">
        <v>0</v>
      </c>
      <c r="K76" s="1198">
        <f t="shared" si="9"/>
        <v>7.025378633890341</v>
      </c>
      <c r="L76" s="1168">
        <v>0</v>
      </c>
      <c r="M76" s="1476">
        <v>7.025378633890341</v>
      </c>
      <c r="N76" s="173"/>
    </row>
    <row r="77" spans="1:14" ht="14.25" customHeight="1" x14ac:dyDescent="0.2">
      <c r="A77" s="329" t="s">
        <v>373</v>
      </c>
      <c r="B77" s="1148" t="s">
        <v>97</v>
      </c>
      <c r="C77" s="1452">
        <f t="shared" si="6"/>
        <v>1071.704268069549</v>
      </c>
      <c r="D77" s="1200">
        <f t="shared" si="8"/>
        <v>322.6688292329535</v>
      </c>
      <c r="E77" s="1153">
        <v>322.95059983842998</v>
      </c>
      <c r="F77" s="1153">
        <v>-0.28177060547647398</v>
      </c>
      <c r="G77" s="1153">
        <v>0</v>
      </c>
      <c r="H77" s="1168">
        <v>0</v>
      </c>
      <c r="I77" s="1168">
        <v>0</v>
      </c>
      <c r="J77" s="1168">
        <v>0</v>
      </c>
      <c r="K77" s="1198">
        <f t="shared" si="9"/>
        <v>749.03543883659552</v>
      </c>
      <c r="L77" s="1168">
        <v>0</v>
      </c>
      <c r="M77" s="1211">
        <v>749.03543883659552</v>
      </c>
      <c r="N77" s="173"/>
    </row>
    <row r="78" spans="1:14" ht="14.25" customHeight="1" x14ac:dyDescent="0.2">
      <c r="A78" s="954"/>
      <c r="B78" s="1148" t="str">
        <f>+TableA1!A79</f>
        <v>Monaco</v>
      </c>
      <c r="C78" s="1452">
        <f t="shared" si="6"/>
        <v>2.2011967451673256</v>
      </c>
      <c r="D78" s="1200">
        <f t="shared" si="8"/>
        <v>0</v>
      </c>
      <c r="E78" s="1153">
        <v>0</v>
      </c>
      <c r="F78" s="1153">
        <v>0</v>
      </c>
      <c r="G78" s="1153">
        <v>0</v>
      </c>
      <c r="H78" s="1168">
        <v>0</v>
      </c>
      <c r="I78" s="1168">
        <v>0</v>
      </c>
      <c r="J78" s="1168">
        <v>0</v>
      </c>
      <c r="K78" s="1198">
        <f t="shared" si="9"/>
        <v>2.2011967451673256</v>
      </c>
      <c r="L78" s="1168">
        <v>0</v>
      </c>
      <c r="M78" s="1211">
        <v>2.2011967451673256</v>
      </c>
      <c r="N78" s="173"/>
    </row>
    <row r="79" spans="1:14" ht="14.25" customHeight="1" x14ac:dyDescent="0.2">
      <c r="A79" s="954"/>
      <c r="B79" s="1148" t="s">
        <v>99</v>
      </c>
      <c r="C79" s="1452">
        <f t="shared" si="6"/>
        <v>31.796067267748899</v>
      </c>
      <c r="D79" s="1200">
        <f t="shared" si="8"/>
        <v>0</v>
      </c>
      <c r="E79" s="1153">
        <v>0</v>
      </c>
      <c r="F79" s="1153">
        <v>0</v>
      </c>
      <c r="G79" s="1153">
        <v>0</v>
      </c>
      <c r="H79" s="1168">
        <v>0</v>
      </c>
      <c r="I79" s="1168">
        <v>0</v>
      </c>
      <c r="J79" s="1168">
        <v>0</v>
      </c>
      <c r="K79" s="1198">
        <f t="shared" si="9"/>
        <v>31.796067267748899</v>
      </c>
      <c r="L79" s="1168">
        <v>0</v>
      </c>
      <c r="M79" s="1211">
        <v>31.796067267748899</v>
      </c>
      <c r="N79" s="173"/>
    </row>
    <row r="80" spans="1:14" ht="14.25" customHeight="1" x14ac:dyDescent="0.2">
      <c r="A80" s="954"/>
      <c r="B80" s="1148" t="s">
        <v>100</v>
      </c>
      <c r="C80" s="1452">
        <f t="shared" si="6"/>
        <v>3155.0149882749065</v>
      </c>
      <c r="D80" s="1200">
        <f t="shared" si="8"/>
        <v>6.0673393508282949</v>
      </c>
      <c r="E80" s="1153">
        <v>-0.80130599959911608</v>
      </c>
      <c r="F80" s="1153">
        <v>6.8686453504274105</v>
      </c>
      <c r="G80" s="1153">
        <v>0</v>
      </c>
      <c r="H80" s="1168">
        <v>0</v>
      </c>
      <c r="I80" s="1168">
        <v>0</v>
      </c>
      <c r="J80" s="1168">
        <v>0</v>
      </c>
      <c r="K80" s="1198">
        <f t="shared" si="9"/>
        <v>3148.9476489240783</v>
      </c>
      <c r="L80" s="1168">
        <v>0</v>
      </c>
      <c r="M80" s="1211">
        <v>3148.9476489240783</v>
      </c>
      <c r="N80" s="173"/>
    </row>
    <row r="81" spans="1:14" ht="14.25" customHeight="1" x14ac:dyDescent="0.2">
      <c r="A81" s="954"/>
      <c r="B81" s="1148" t="str">
        <f>+TableA1!A82</f>
        <v>Seychelles</v>
      </c>
      <c r="C81" s="1452">
        <f t="shared" si="6"/>
        <v>149.47889266090402</v>
      </c>
      <c r="D81" s="1200">
        <f t="shared" si="8"/>
        <v>0.28278646073447922</v>
      </c>
      <c r="E81" s="1153">
        <v>0</v>
      </c>
      <c r="F81" s="1153">
        <v>0.28278646073447922</v>
      </c>
      <c r="G81" s="1153">
        <v>0</v>
      </c>
      <c r="H81" s="1168">
        <v>0</v>
      </c>
      <c r="I81" s="1168">
        <v>0</v>
      </c>
      <c r="J81" s="1168">
        <v>0</v>
      </c>
      <c r="K81" s="1198">
        <f t="shared" si="9"/>
        <v>149.19610620016954</v>
      </c>
      <c r="L81" s="1168">
        <v>0</v>
      </c>
      <c r="M81" s="1211">
        <v>149.19610620016954</v>
      </c>
      <c r="N81" s="173"/>
    </row>
    <row r="82" spans="1:14" x14ac:dyDescent="0.2">
      <c r="A82" s="954"/>
      <c r="B82" s="1148" t="s">
        <v>102</v>
      </c>
      <c r="C82" s="1452">
        <f t="shared" si="6"/>
        <v>30328.204654972891</v>
      </c>
      <c r="D82" s="1200">
        <f t="shared" si="8"/>
        <v>3019.45065550662</v>
      </c>
      <c r="E82" s="1153">
        <v>-365.44409981717001</v>
      </c>
      <c r="F82" s="1153">
        <v>1.7718538272047677</v>
      </c>
      <c r="G82" s="1153">
        <v>0</v>
      </c>
      <c r="H82" s="1168">
        <v>1098.9607747981333</v>
      </c>
      <c r="I82" s="1168">
        <v>0</v>
      </c>
      <c r="J82" s="1168">
        <v>2284.1621266984521</v>
      </c>
      <c r="K82" s="1198">
        <f t="shared" si="9"/>
        <v>27308.753999466273</v>
      </c>
      <c r="L82" s="1168">
        <v>0</v>
      </c>
      <c r="M82" s="1211">
        <v>27308.753999466273</v>
      </c>
      <c r="N82" s="173"/>
    </row>
    <row r="83" spans="1:14" x14ac:dyDescent="0.2">
      <c r="A83" s="954"/>
      <c r="B83" s="1148" t="str">
        <f>+TableA1!A84</f>
        <v>St. Kitts and Nevis</v>
      </c>
      <c r="C83" s="1452">
        <f t="shared" si="6"/>
        <v>-0.10058821358700398</v>
      </c>
      <c r="D83" s="1200">
        <f t="shared" si="8"/>
        <v>8.0949907943786027E-3</v>
      </c>
      <c r="E83" s="1153">
        <v>0</v>
      </c>
      <c r="F83" s="1153">
        <v>8.0949907943786027E-3</v>
      </c>
      <c r="G83" s="1153">
        <v>0</v>
      </c>
      <c r="H83" s="1168">
        <v>0</v>
      </c>
      <c r="I83" s="1168">
        <v>0</v>
      </c>
      <c r="J83" s="1168">
        <v>0</v>
      </c>
      <c r="K83" s="1198">
        <f t="shared" si="9"/>
        <v>-0.10868320438138258</v>
      </c>
      <c r="L83" s="1168">
        <v>0</v>
      </c>
      <c r="M83" s="1211">
        <v>-0.10868320438138258</v>
      </c>
      <c r="N83" s="173"/>
    </row>
    <row r="84" spans="1:14" x14ac:dyDescent="0.2">
      <c r="A84" s="954"/>
      <c r="B84" s="1148" t="str">
        <f>+TableA1!A85</f>
        <v>St. Lucia</v>
      </c>
      <c r="C84" s="1452">
        <f t="shared" si="6"/>
        <v>-39.267764691463398</v>
      </c>
      <c r="D84" s="1200">
        <f t="shared" si="8"/>
        <v>-1.1054972739637652</v>
      </c>
      <c r="E84" s="1153">
        <v>-1.2140999993926</v>
      </c>
      <c r="F84" s="1153">
        <v>0.10860272542883488</v>
      </c>
      <c r="G84" s="1153">
        <v>0</v>
      </c>
      <c r="H84" s="1168">
        <v>0</v>
      </c>
      <c r="I84" s="1168">
        <v>0</v>
      </c>
      <c r="J84" s="1168">
        <v>0</v>
      </c>
      <c r="K84" s="1198">
        <f t="shared" si="9"/>
        <v>-38.162267417499635</v>
      </c>
      <c r="L84" s="1168">
        <v>0</v>
      </c>
      <c r="M84" s="1211">
        <v>-38.162267417499635</v>
      </c>
      <c r="N84" s="173"/>
    </row>
    <row r="85" spans="1:14" x14ac:dyDescent="0.2">
      <c r="A85" s="954"/>
      <c r="B85" s="1148" t="str">
        <f>+TableA1!A86</f>
        <v>St. Vincent and the Grenadines</v>
      </c>
      <c r="C85" s="1452">
        <f t="shared" si="6"/>
        <v>9.3345135764596208</v>
      </c>
      <c r="D85" s="1200">
        <f t="shared" si="8"/>
        <v>3.2920241160652609E-3</v>
      </c>
      <c r="E85" s="1153">
        <v>0</v>
      </c>
      <c r="F85" s="1153">
        <v>3.2920241160652609E-3</v>
      </c>
      <c r="G85" s="1153">
        <v>0</v>
      </c>
      <c r="H85" s="1168">
        <v>0</v>
      </c>
      <c r="I85" s="1168">
        <v>0</v>
      </c>
      <c r="J85" s="1168">
        <v>0</v>
      </c>
      <c r="K85" s="1198">
        <f t="shared" si="9"/>
        <v>9.3312215523435551</v>
      </c>
      <c r="L85" s="1168">
        <v>0</v>
      </c>
      <c r="M85" s="1211">
        <v>9.3312215523435551</v>
      </c>
      <c r="N85" s="173"/>
    </row>
    <row r="86" spans="1:14" x14ac:dyDescent="0.2">
      <c r="A86" s="329" t="s">
        <v>374</v>
      </c>
      <c r="B86" s="1148" t="str">
        <f>+TableA1!A87</f>
        <v>Turks and Caicos</v>
      </c>
      <c r="C86" s="1452">
        <f t="shared" si="6"/>
        <v>1.3098229245816537</v>
      </c>
      <c r="D86" s="1200">
        <f t="shared" si="8"/>
        <v>1.2875289252840306E-2</v>
      </c>
      <c r="E86" s="1153">
        <v>0</v>
      </c>
      <c r="F86" s="1153">
        <v>1.2875289252840306E-2</v>
      </c>
      <c r="G86" s="1153">
        <v>0</v>
      </c>
      <c r="H86" s="1168">
        <v>0</v>
      </c>
      <c r="I86" s="1168">
        <v>0</v>
      </c>
      <c r="J86" s="1168">
        <v>0</v>
      </c>
      <c r="K86" s="1198">
        <f t="shared" si="9"/>
        <v>1.2969476353288134</v>
      </c>
      <c r="L86" s="1168">
        <v>0</v>
      </c>
      <c r="M86" s="1211">
        <v>1.2969476353288134</v>
      </c>
      <c r="N86" s="173"/>
    </row>
    <row r="87" spans="1:14" x14ac:dyDescent="0.2">
      <c r="A87" s="954"/>
      <c r="B87" s="1148" t="str">
        <f>+TableA1!A88</f>
        <v>Panama</v>
      </c>
      <c r="C87" s="1452">
        <f t="shared" si="6"/>
        <v>1877.8346026243687</v>
      </c>
      <c r="D87" s="1200">
        <f t="shared" si="8"/>
        <v>-19.183317518677327</v>
      </c>
      <c r="E87" s="1153">
        <v>-19.259517447815881</v>
      </c>
      <c r="F87" s="1153">
        <v>7.6199929138552142E-2</v>
      </c>
      <c r="G87" s="1153">
        <v>0</v>
      </c>
      <c r="H87" s="1168">
        <v>0</v>
      </c>
      <c r="I87" s="1168">
        <v>0</v>
      </c>
      <c r="J87" s="1168">
        <v>0</v>
      </c>
      <c r="K87" s="1198">
        <f t="shared" si="9"/>
        <v>1897.017920143046</v>
      </c>
      <c r="L87" s="1168">
        <v>0</v>
      </c>
      <c r="M87" s="1211">
        <v>1897.017920143046</v>
      </c>
      <c r="N87" s="173"/>
    </row>
    <row r="88" spans="1:14" x14ac:dyDescent="0.2">
      <c r="A88" s="954"/>
      <c r="B88" s="1148" t="s">
        <v>108</v>
      </c>
      <c r="C88" s="1452">
        <f t="shared" si="6"/>
        <v>67.575746846713315</v>
      </c>
      <c r="D88" s="1200">
        <f t="shared" si="8"/>
        <v>0</v>
      </c>
      <c r="E88" s="1153">
        <v>0</v>
      </c>
      <c r="F88" s="1153">
        <v>0</v>
      </c>
      <c r="G88" s="1153">
        <v>0</v>
      </c>
      <c r="H88" s="1168">
        <v>0</v>
      </c>
      <c r="I88" s="1168">
        <v>0</v>
      </c>
      <c r="J88" s="1168">
        <v>0</v>
      </c>
      <c r="K88" s="1198">
        <f t="shared" si="9"/>
        <v>67.575746846713315</v>
      </c>
      <c r="L88" s="1168">
        <v>0</v>
      </c>
      <c r="M88" s="1211">
        <v>67.575746846713315</v>
      </c>
      <c r="N88" s="173"/>
    </row>
    <row r="89" spans="1:14" ht="40" customHeight="1" x14ac:dyDescent="0.2">
      <c r="A89" s="954"/>
      <c r="B89" s="1461" t="s">
        <v>155</v>
      </c>
      <c r="C89" s="1462">
        <f>+C90-C52-C44-SUM(C9:C43)</f>
        <v>65442.279878934845</v>
      </c>
      <c r="D89" s="1341">
        <f t="shared" si="8"/>
        <v>8149.1365600186236</v>
      </c>
      <c r="E89" s="1342">
        <f>+E90-SUM(E53:E88,E45:E51,E9:E43)</f>
        <v>1695.0643598457973</v>
      </c>
      <c r="F89" s="1342">
        <f t="shared" ref="F89:M89" si="10">+F90-SUM(F53:F88,F45:F51,F9:F43)</f>
        <v>157.77461322254021</v>
      </c>
      <c r="G89" s="1342">
        <f t="shared" si="10"/>
        <v>52.206651127664372</v>
      </c>
      <c r="H89" s="1463">
        <f t="shared" si="10"/>
        <v>4894.8933912306093</v>
      </c>
      <c r="I89" s="1463">
        <f t="shared" si="10"/>
        <v>50.851350316125036</v>
      </c>
      <c r="J89" s="1463">
        <f t="shared" si="10"/>
        <v>1298.3461942758877</v>
      </c>
      <c r="K89" s="1464">
        <f t="shared" si="10"/>
        <v>57293.143318916205</v>
      </c>
      <c r="L89" s="1465">
        <f t="shared" si="10"/>
        <v>0</v>
      </c>
      <c r="M89" s="1468">
        <f t="shared" si="10"/>
        <v>57293.143318916089</v>
      </c>
      <c r="N89" s="173"/>
    </row>
    <row r="90" spans="1:14" ht="40" customHeight="1" x14ac:dyDescent="0.2">
      <c r="A90" s="954"/>
      <c r="B90" s="622" t="s">
        <v>110</v>
      </c>
      <c r="C90" s="1470">
        <f>+D90+K90</f>
        <v>2851009.3673273819</v>
      </c>
      <c r="D90" s="304">
        <f t="shared" si="8"/>
        <v>1508592.7338534682</v>
      </c>
      <c r="E90" s="244">
        <v>234847.47600848484</v>
      </c>
      <c r="F90" s="245">
        <v>11626.120558307652</v>
      </c>
      <c r="G90" s="245">
        <v>307047.26370273624</v>
      </c>
      <c r="H90" s="245">
        <v>227073.42761395685</v>
      </c>
      <c r="I90" s="245">
        <v>1619.5673635627952</v>
      </c>
      <c r="J90" s="245">
        <v>726378.87860641989</v>
      </c>
      <c r="K90" s="304">
        <f t="shared" si="9"/>
        <v>1342416.6334739137</v>
      </c>
      <c r="L90" s="244">
        <v>515979.979471258</v>
      </c>
      <c r="M90" s="624">
        <v>826436.65400265553</v>
      </c>
      <c r="N90" s="173"/>
    </row>
    <row r="91" spans="1:14" ht="39.75" customHeight="1" thickBot="1" x14ac:dyDescent="0.25">
      <c r="A91" s="954"/>
      <c r="B91" s="625" t="s">
        <v>639</v>
      </c>
      <c r="C91" s="626">
        <f>+D91+K91</f>
        <v>2024807.3204262606</v>
      </c>
      <c r="D91" s="326">
        <f>+D89+D44+D8</f>
        <v>1084941.8761010394</v>
      </c>
      <c r="E91" s="627">
        <f t="shared" ref="E91:M91" si="11">+E89+E44+E8</f>
        <v>143012.44968484723</v>
      </c>
      <c r="F91" s="628">
        <f t="shared" si="11"/>
        <v>7871.4393288054962</v>
      </c>
      <c r="G91" s="628">
        <f t="shared" si="11"/>
        <v>259143.73748279287</v>
      </c>
      <c r="H91" s="628">
        <f t="shared" si="11"/>
        <v>154868.78284388396</v>
      </c>
      <c r="I91" s="628">
        <f t="shared" si="11"/>
        <v>374.30759298960123</v>
      </c>
      <c r="J91" s="628">
        <f t="shared" si="11"/>
        <v>519671.1591677203</v>
      </c>
      <c r="K91" s="326">
        <f t="shared" si="11"/>
        <v>939865.44432522124</v>
      </c>
      <c r="L91" s="627">
        <f t="shared" si="11"/>
        <v>430943.28515948798</v>
      </c>
      <c r="M91" s="630">
        <f t="shared" si="11"/>
        <v>508922.15916573314</v>
      </c>
      <c r="N91" s="954"/>
    </row>
    <row r="92" spans="1:14" s="2" customFormat="1" ht="17" thickTop="1" x14ac:dyDescent="0.2">
      <c r="D92" s="954"/>
      <c r="E92" s="954"/>
      <c r="F92" s="954"/>
      <c r="G92" s="954"/>
      <c r="H92" s="954"/>
      <c r="I92" s="954"/>
      <c r="J92" s="954"/>
      <c r="K92" s="954"/>
      <c r="L92" s="954"/>
      <c r="M92" s="954"/>
    </row>
    <row r="94" spans="1:14" s="2" customFormat="1" x14ac:dyDescent="0.2">
      <c r="B94" s="954"/>
      <c r="C94" s="954"/>
      <c r="D94" s="954"/>
      <c r="E94" s="954"/>
      <c r="F94" s="954"/>
      <c r="G94" s="954"/>
      <c r="H94" s="954"/>
      <c r="I94" s="954"/>
      <c r="J94" s="954"/>
      <c r="K94" s="954"/>
      <c r="L94" s="954"/>
      <c r="M94" s="954"/>
    </row>
  </sheetData>
  <mergeCells count="5">
    <mergeCell ref="D6:D7"/>
    <mergeCell ref="K6:K7"/>
    <mergeCell ref="B3:M3"/>
    <mergeCell ref="C6:C7"/>
    <mergeCell ref="C5:M5"/>
  </mergeCells>
  <pageMargins left="0.7" right="0.7" top="0.75" bottom="0.75" header="0.3" footer="0.3"/>
  <pageSetup scale="47"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AC94"/>
  <sheetViews>
    <sheetView zoomScale="70" zoomScaleNormal="70" zoomScalePageLayoutView="70" workbookViewId="0">
      <pane xSplit="2" ySplit="9" topLeftCell="C22" activePane="bottomRight" state="frozen"/>
      <selection pane="topRight" activeCell="AR8" sqref="AR8"/>
      <selection pane="bottomLeft" activeCell="AR8" sqref="AR8"/>
      <selection pane="bottomRight" activeCell="J14" sqref="J14"/>
    </sheetView>
  </sheetViews>
  <sheetFormatPr baseColWidth="10" defaultColWidth="10.83203125" defaultRowHeight="16" x14ac:dyDescent="0.2"/>
  <cols>
    <col min="1" max="1" width="17.5" style="1" hidden="1" customWidth="1"/>
    <col min="2" max="2" width="19" style="1" customWidth="1"/>
    <col min="3" max="24" width="11.5" style="1" customWidth="1"/>
    <col min="25" max="26" width="10.83203125" style="1"/>
    <col min="27" max="27" width="13.6640625" style="1" customWidth="1"/>
    <col min="28" max="16384" width="10.83203125" style="1"/>
  </cols>
  <sheetData>
    <row r="3" spans="2:29" ht="17" thickBot="1" x14ac:dyDescent="0.25">
      <c r="B3" s="954"/>
      <c r="C3" s="954"/>
      <c r="D3" s="954"/>
      <c r="E3" s="954"/>
      <c r="F3" s="954"/>
      <c r="G3" s="954"/>
      <c r="H3" s="954"/>
      <c r="I3" s="954"/>
      <c r="J3" s="954"/>
      <c r="K3" s="954"/>
      <c r="L3" s="954"/>
      <c r="M3" s="1109"/>
      <c r="N3" s="954"/>
      <c r="O3" s="954"/>
      <c r="P3" s="954"/>
      <c r="Q3" s="954"/>
      <c r="R3" s="954"/>
      <c r="S3" s="954"/>
      <c r="T3" s="954"/>
      <c r="U3" s="954"/>
      <c r="V3" s="954"/>
      <c r="W3" s="954"/>
      <c r="X3" s="1109"/>
      <c r="Y3" s="954"/>
      <c r="Z3" s="954"/>
      <c r="AA3" s="954"/>
      <c r="AB3" s="954"/>
      <c r="AC3" s="954"/>
    </row>
    <row r="4" spans="2:29" hidden="1" x14ac:dyDescent="0.2">
      <c r="B4" s="954"/>
      <c r="C4" s="954"/>
      <c r="D4" s="954"/>
      <c r="E4" s="954">
        <v>2</v>
      </c>
      <c r="F4" s="954">
        <v>3</v>
      </c>
      <c r="G4" s="954">
        <v>4</v>
      </c>
      <c r="H4" s="954">
        <v>5</v>
      </c>
      <c r="I4" s="954">
        <v>6</v>
      </c>
      <c r="J4" s="954">
        <v>7</v>
      </c>
      <c r="K4" s="954"/>
      <c r="L4" s="954">
        <v>8</v>
      </c>
      <c r="M4" s="954">
        <v>9</v>
      </c>
      <c r="N4" s="954"/>
      <c r="O4" s="954"/>
      <c r="P4" s="954">
        <v>2</v>
      </c>
      <c r="Q4" s="954">
        <v>3</v>
      </c>
      <c r="R4" s="954">
        <v>4</v>
      </c>
      <c r="S4" s="954">
        <v>5</v>
      </c>
      <c r="T4" s="954">
        <v>6</v>
      </c>
      <c r="U4" s="954">
        <v>7</v>
      </c>
      <c r="V4" s="954"/>
      <c r="W4" s="954">
        <v>8</v>
      </c>
      <c r="X4" s="954">
        <v>9</v>
      </c>
      <c r="Y4" s="954"/>
      <c r="Z4" s="954"/>
      <c r="AA4" s="954"/>
      <c r="AB4" s="954"/>
      <c r="AC4" s="954"/>
    </row>
    <row r="5" spans="2:29" ht="32.25" customHeight="1" thickTop="1" x14ac:dyDescent="0.2">
      <c r="B5" s="1951" t="s">
        <v>646</v>
      </c>
      <c r="C5" s="1952"/>
      <c r="D5" s="1952"/>
      <c r="E5" s="1952"/>
      <c r="F5" s="1952"/>
      <c r="G5" s="1952"/>
      <c r="H5" s="1952"/>
      <c r="I5" s="1952"/>
      <c r="J5" s="1952"/>
      <c r="K5" s="1952"/>
      <c r="L5" s="1952"/>
      <c r="M5" s="1952"/>
      <c r="N5" s="1952"/>
      <c r="O5" s="1952"/>
      <c r="P5" s="1952"/>
      <c r="Q5" s="1952"/>
      <c r="R5" s="1952"/>
      <c r="S5" s="1952"/>
      <c r="T5" s="1952"/>
      <c r="U5" s="1952"/>
      <c r="V5" s="1952"/>
      <c r="W5" s="1952"/>
      <c r="X5" s="1953"/>
      <c r="Y5" s="954"/>
      <c r="Z5" s="954"/>
      <c r="AA5" s="954"/>
      <c r="AB5" s="954"/>
      <c r="AC5" s="954"/>
    </row>
    <row r="6" spans="2:29" ht="32.25" customHeight="1" x14ac:dyDescent="0.2">
      <c r="B6" s="4"/>
      <c r="C6" s="160" t="s">
        <v>1</v>
      </c>
      <c r="D6" s="160" t="s">
        <v>2</v>
      </c>
      <c r="E6" s="160" t="s">
        <v>3</v>
      </c>
      <c r="F6" s="160" t="s">
        <v>4</v>
      </c>
      <c r="G6" s="160" t="s">
        <v>5</v>
      </c>
      <c r="H6" s="160" t="s">
        <v>6</v>
      </c>
      <c r="I6" s="160" t="s">
        <v>7</v>
      </c>
      <c r="J6" s="160" t="s">
        <v>8</v>
      </c>
      <c r="K6" s="160" t="s">
        <v>9</v>
      </c>
      <c r="L6" s="160" t="s">
        <v>10</v>
      </c>
      <c r="M6" s="160" t="s">
        <v>11</v>
      </c>
      <c r="N6" s="160" t="s">
        <v>12</v>
      </c>
      <c r="O6" s="160" t="s">
        <v>13</v>
      </c>
      <c r="P6" s="160" t="s">
        <v>177</v>
      </c>
      <c r="Q6" s="160" t="s">
        <v>178</v>
      </c>
      <c r="R6" s="160" t="s">
        <v>179</v>
      </c>
      <c r="S6" s="160" t="s">
        <v>619</v>
      </c>
      <c r="T6" s="160" t="s">
        <v>620</v>
      </c>
      <c r="U6" s="160" t="s">
        <v>621</v>
      </c>
      <c r="V6" s="160" t="s">
        <v>622</v>
      </c>
      <c r="W6" s="160" t="s">
        <v>623</v>
      </c>
      <c r="X6" s="6" t="s">
        <v>624</v>
      </c>
      <c r="Y6" s="954"/>
      <c r="Z6" s="954"/>
      <c r="AA6" s="954"/>
      <c r="AB6" s="954"/>
      <c r="AC6" s="954"/>
    </row>
    <row r="7" spans="2:29" ht="21" customHeight="1" x14ac:dyDescent="0.2">
      <c r="B7" s="1148"/>
      <c r="C7" s="2115" t="s">
        <v>647</v>
      </c>
      <c r="D7" s="2116" t="s">
        <v>648</v>
      </c>
      <c r="E7" s="2116"/>
      <c r="F7" s="2116"/>
      <c r="G7" s="2116"/>
      <c r="H7" s="2116"/>
      <c r="I7" s="2116"/>
      <c r="J7" s="2116"/>
      <c r="K7" s="2116"/>
      <c r="L7" s="2116"/>
      <c r="M7" s="2117"/>
      <c r="N7" s="2116" t="s">
        <v>649</v>
      </c>
      <c r="O7" s="2116" t="s">
        <v>648</v>
      </c>
      <c r="P7" s="2116"/>
      <c r="Q7" s="2116"/>
      <c r="R7" s="2116"/>
      <c r="S7" s="2116"/>
      <c r="T7" s="2116"/>
      <c r="U7" s="2116"/>
      <c r="V7" s="2116"/>
      <c r="W7" s="2116"/>
      <c r="X7" s="2192"/>
      <c r="Y7" s="954"/>
      <c r="Z7" s="954"/>
      <c r="AA7" s="954"/>
      <c r="AB7" s="954"/>
      <c r="AC7" s="954"/>
    </row>
    <row r="8" spans="2:29" ht="85" customHeight="1" x14ac:dyDescent="0.2">
      <c r="B8" s="1148"/>
      <c r="C8" s="2050" t="s">
        <v>627</v>
      </c>
      <c r="D8" s="2050" t="s">
        <v>628</v>
      </c>
      <c r="E8" s="1820" t="s">
        <v>31</v>
      </c>
      <c r="F8" s="1820" t="s">
        <v>86</v>
      </c>
      <c r="G8" s="1820" t="s">
        <v>43</v>
      </c>
      <c r="H8" s="1822" t="s">
        <v>49</v>
      </c>
      <c r="I8" s="1820" t="s">
        <v>96</v>
      </c>
      <c r="J8" s="1822" t="s">
        <v>51</v>
      </c>
      <c r="K8" s="2050" t="s">
        <v>629</v>
      </c>
      <c r="L8" s="1822" t="s">
        <v>60</v>
      </c>
      <c r="M8" s="1837" t="s">
        <v>630</v>
      </c>
      <c r="N8" s="2050" t="s">
        <v>627</v>
      </c>
      <c r="O8" s="2050" t="s">
        <v>628</v>
      </c>
      <c r="P8" s="1820" t="s">
        <v>31</v>
      </c>
      <c r="Q8" s="1820" t="s">
        <v>86</v>
      </c>
      <c r="R8" s="1820" t="s">
        <v>43</v>
      </c>
      <c r="S8" s="1822" t="s">
        <v>49</v>
      </c>
      <c r="T8" s="1820" t="s">
        <v>96</v>
      </c>
      <c r="U8" s="1822" t="s">
        <v>51</v>
      </c>
      <c r="V8" s="2053" t="s">
        <v>629</v>
      </c>
      <c r="W8" s="1822" t="s">
        <v>60</v>
      </c>
      <c r="X8" s="1831" t="s">
        <v>630</v>
      </c>
      <c r="Y8" s="954"/>
      <c r="Z8" s="954"/>
      <c r="AA8" s="954"/>
      <c r="AB8" s="954"/>
      <c r="AC8" s="954"/>
    </row>
    <row r="9" spans="2:29" ht="17.25" customHeight="1" x14ac:dyDescent="0.2">
      <c r="B9" s="1148"/>
      <c r="C9" s="2050"/>
      <c r="D9" s="2050"/>
      <c r="E9" s="1820"/>
      <c r="F9" s="1820"/>
      <c r="G9" s="1820"/>
      <c r="H9" s="1820"/>
      <c r="I9" s="1820"/>
      <c r="J9" s="1820"/>
      <c r="K9" s="2067"/>
      <c r="L9" s="1820"/>
      <c r="M9" s="1837"/>
      <c r="N9" s="2050"/>
      <c r="O9" s="2050"/>
      <c r="P9" s="1820"/>
      <c r="Q9" s="1820"/>
      <c r="R9" s="1820"/>
      <c r="S9" s="1820"/>
      <c r="T9" s="1820"/>
      <c r="U9" s="1820"/>
      <c r="V9" s="2283"/>
      <c r="W9" s="1820"/>
      <c r="X9" s="1831"/>
      <c r="Y9" s="954"/>
      <c r="Z9" s="954"/>
      <c r="AA9" s="954"/>
      <c r="AB9" s="954"/>
      <c r="AC9" s="954"/>
    </row>
    <row r="10" spans="2:29" ht="40" customHeight="1" x14ac:dyDescent="0.2">
      <c r="B10" s="8" t="s">
        <v>28</v>
      </c>
      <c r="C10" s="264">
        <f>+SUM(C11:C45)</f>
        <v>435144.24979196116</v>
      </c>
      <c r="D10" s="264">
        <f t="shared" ref="D10:X10" si="0">+SUM(D11:D45)</f>
        <v>234793.02632222945</v>
      </c>
      <c r="E10" s="258">
        <f t="shared" si="0"/>
        <v>29994.00888902284</v>
      </c>
      <c r="F10" s="258">
        <f t="shared" si="0"/>
        <v>1123.6946548864801</v>
      </c>
      <c r="G10" s="258">
        <f t="shared" si="0"/>
        <v>63083.945394416514</v>
      </c>
      <c r="H10" s="258">
        <f t="shared" si="0"/>
        <v>77984.996457696223</v>
      </c>
      <c r="I10" s="258">
        <f t="shared" si="0"/>
        <v>1070.9409788799055</v>
      </c>
      <c r="J10" s="258">
        <f t="shared" si="0"/>
        <v>61535.439947327446</v>
      </c>
      <c r="K10" s="264">
        <f t="shared" si="0"/>
        <v>200351.22346973181</v>
      </c>
      <c r="L10" s="258">
        <f t="shared" si="0"/>
        <v>39838.908998594576</v>
      </c>
      <c r="M10" s="259">
        <f t="shared" si="0"/>
        <v>160512.3144711373</v>
      </c>
      <c r="N10" s="264">
        <f t="shared" si="0"/>
        <v>533274.90660975617</v>
      </c>
      <c r="O10" s="264">
        <f t="shared" si="0"/>
        <v>321084.57410271821</v>
      </c>
      <c r="P10" s="258">
        <f t="shared" si="0"/>
        <v>39262.86141581642</v>
      </c>
      <c r="Q10" s="258">
        <f t="shared" si="0"/>
        <v>1114.9004887740675</v>
      </c>
      <c r="R10" s="258">
        <f t="shared" si="0"/>
        <v>78949.00726189035</v>
      </c>
      <c r="S10" s="258">
        <f t="shared" si="0"/>
        <v>45844.647648928578</v>
      </c>
      <c r="T10" s="258">
        <f t="shared" si="0"/>
        <v>98.477697374840005</v>
      </c>
      <c r="U10" s="258">
        <f t="shared" si="0"/>
        <v>155814.67958993395</v>
      </c>
      <c r="V10" s="264">
        <f t="shared" si="0"/>
        <v>212190.33250703808</v>
      </c>
      <c r="W10" s="258">
        <f t="shared" si="0"/>
        <v>131202.60740954758</v>
      </c>
      <c r="X10" s="621">
        <f t="shared" si="0"/>
        <v>80987.725097490504</v>
      </c>
      <c r="Y10" s="954"/>
      <c r="Z10" s="954"/>
      <c r="AA10" s="954"/>
      <c r="AB10" s="954"/>
      <c r="AC10" s="954"/>
    </row>
    <row r="11" spans="2:29" ht="14.25" customHeight="1" x14ac:dyDescent="0.2">
      <c r="B11" s="1149" t="s">
        <v>29</v>
      </c>
      <c r="C11" s="1452">
        <f>1000*TableA7!$P$91*(TableC2!D9+TableC2!O9)/(TableC2!$D$91+TableC2!$O$91)</f>
        <v>12959.094629306808</v>
      </c>
      <c r="D11" s="1452">
        <f>1000*TableA7!$P$91*(TableC2!E9+TableC2!P9)/(TableC2!$D$91+TableC2!$O$91)</f>
        <v>4114.8978838800631</v>
      </c>
      <c r="E11" s="1453">
        <f>1000*TableA7!$P$91*(TableC2!F9+TableC2!Q9)/(TableC2!$D$91+TableC2!$O$91)</f>
        <v>261.22630325692518</v>
      </c>
      <c r="F11" s="1453">
        <f>1000*TableA7!$P$91*(TableC2!G9+TableC2!R9)/(TableC2!$D$91+TableC2!$O$91)</f>
        <v>1.6855537143936803</v>
      </c>
      <c r="G11" s="1453">
        <f>1000*TableA7!$P$91*(TableC2!H9+TableC2!S9)/(TableC2!$D$91+TableC2!$O$91)</f>
        <v>1860.1357561312632</v>
      </c>
      <c r="H11" s="1453">
        <f>1000*TableA7!$P$91*(TableC2!I9+TableC2!T9)/(TableC2!$D$91+TableC2!$O$91)</f>
        <v>640.56120056375551</v>
      </c>
      <c r="I11" s="1453">
        <f>1000*TableA7!$P$91*(TableC2!J9+TableC2!U9)/(TableC2!$D$91+TableC2!$O$91)</f>
        <v>10.627770509239408</v>
      </c>
      <c r="J11" s="1453">
        <f>1000*TableA7!$P$91*(TableC2!K9+TableC2!V9)/(TableC2!$D$91+TableC2!$O$91)</f>
        <v>1340.6612997044863</v>
      </c>
      <c r="K11" s="1452">
        <f>1000*TableA7!$P$91*(TableC2!L9+TableC2!W9)/(TableC2!$D$91+TableC2!$O$91)</f>
        <v>8844.1967454267451</v>
      </c>
      <c r="L11" s="1168">
        <f>1000*TableA7!$P$91*(TableC2!M9+TableC2!X9)/(TableC2!$D$91+TableC2!$O$91)</f>
        <v>726.10444662540408</v>
      </c>
      <c r="M11" s="1229">
        <f>1000*TableA7!$P$91*(TableC2!N9+TableC2!Y9)/(TableC2!$D$91+TableC2!$O$91)</f>
        <v>8118.0922988013408</v>
      </c>
      <c r="N11" s="1452">
        <f>1000*TableA7!$P$91*TableC3!C9/TableC3!$C$91</f>
        <v>1751.0103445011537</v>
      </c>
      <c r="O11" s="1452">
        <f>1000*TableA7!$P$91*TableC3!D9/TableC3!$C$91</f>
        <v>-155.32766076601789</v>
      </c>
      <c r="P11" s="1453">
        <f>1000*TableA7!$P$91*TableC3!E9/TableC3!$C$91</f>
        <v>-187.51540513146017</v>
      </c>
      <c r="Q11" s="1453">
        <f>1000*TableA7!$P$91*TableC3!F9/TableC3!$C$91</f>
        <v>0.36159715788592417</v>
      </c>
      <c r="R11" s="1453">
        <f>1000*TableA7!$P$91*TableC3!G9/TableC3!$C$91</f>
        <v>31.826147207556335</v>
      </c>
      <c r="S11" s="1453">
        <f>1000*TableA7!$P$91*TableC3!H9/TableC3!$C$91</f>
        <v>0</v>
      </c>
      <c r="T11" s="1453">
        <f>1000*TableA7!$P$91*TableC3!I9/TableC3!$C$91</f>
        <v>0</v>
      </c>
      <c r="U11" s="1453">
        <f>1000*TableA7!$P$91*TableC3!J9/TableC3!$C$91</f>
        <v>0</v>
      </c>
      <c r="V11" s="1452">
        <f>1000*TableA7!$P$91*TableC3!K9/TableC3!$C$91</f>
        <v>1906.3380052671716</v>
      </c>
      <c r="W11" s="1168">
        <f>1000*TableA7!$P$91*TableC3!L9/TableC3!$C$91</f>
        <v>0</v>
      </c>
      <c r="X11" s="1211">
        <f>1000*TableA7!$P$91*TableC3!M9/TableC3!$C$91</f>
        <v>1906.3380052671716</v>
      </c>
      <c r="Y11" s="954"/>
      <c r="Z11" s="954"/>
      <c r="AA11" s="954"/>
      <c r="AB11" s="954"/>
      <c r="AC11" s="954"/>
    </row>
    <row r="12" spans="2:29" ht="14.25" customHeight="1" x14ac:dyDescent="0.2">
      <c r="B12" s="1149" t="s">
        <v>30</v>
      </c>
      <c r="C12" s="1452">
        <f>1000*TableA7!$P$91*(TableC2!D10+TableC2!O10)/(TableC2!$D$91+TableC2!$O$91)</f>
        <v>3589.4388002507044</v>
      </c>
      <c r="D12" s="1452">
        <f>1000*TableA7!$P$91*(TableC2!E10+TableC2!P10)/(TableC2!$D$91+TableC2!$O$91)</f>
        <v>2075.6313277908025</v>
      </c>
      <c r="E12" s="1453">
        <f>1000*TableA7!$P$91*(TableC2!F10+TableC2!Q10)/(TableC2!$D$91+TableC2!$O$91)</f>
        <v>320.22850996040779</v>
      </c>
      <c r="F12" s="1453">
        <f>1000*TableA7!$P$91*(TableC2!G10+TableC2!R10)/(TableC2!$D$91+TableC2!$O$91)</f>
        <v>7.6734541214757375</v>
      </c>
      <c r="G12" s="1453">
        <f>1000*TableA7!$P$91*(TableC2!H10+TableC2!S10)/(TableC2!$D$91+TableC2!$O$91)</f>
        <v>751.32605153964062</v>
      </c>
      <c r="H12" s="1453">
        <f>1000*TableA7!$P$91*(TableC2!I10+TableC2!T10)/(TableC2!$D$91+TableC2!$O$91)</f>
        <v>629.46314143690859</v>
      </c>
      <c r="I12" s="1453">
        <f>1000*TableA7!$P$91*(TableC2!J10+TableC2!U10)/(TableC2!$D$91+TableC2!$O$91)</f>
        <v>35.723356797109524</v>
      </c>
      <c r="J12" s="1453">
        <f>1000*TableA7!$P$91*(TableC2!K10+TableC2!V10)/(TableC2!$D$91+TableC2!$O$91)</f>
        <v>331.21681393526001</v>
      </c>
      <c r="K12" s="1452">
        <f>1000*TableA7!$P$91*(TableC2!L10+TableC2!W10)/(TableC2!$D$91+TableC2!$O$91)</f>
        <v>1513.8074724599021</v>
      </c>
      <c r="L12" s="1168">
        <f>1000*TableA7!$P$91*(TableC2!M10+TableC2!X10)/(TableC2!$D$91+TableC2!$O$91)</f>
        <v>1176.0162222051465</v>
      </c>
      <c r="M12" s="1229">
        <f>1000*TableA7!$P$91*(TableC2!N10+TableC2!Y10)/(TableC2!$D$91+TableC2!$O$91)</f>
        <v>337.79125025475571</v>
      </c>
      <c r="N12" s="1452">
        <f>1000*TableA7!$P$91*TableC3!C10/TableC3!$C$91</f>
        <v>2228.2390335456394</v>
      </c>
      <c r="O12" s="1452">
        <f>1000*TableA7!$P$91*TableC3!D10/TableC3!$C$91</f>
        <v>370.74200630620197</v>
      </c>
      <c r="P12" s="1453">
        <f>1000*TableA7!$P$91*TableC3!E10/TableC3!$C$91</f>
        <v>131.93009463928408</v>
      </c>
      <c r="Q12" s="1453">
        <f>1000*TableA7!$P$91*TableC3!F10/TableC3!$C$91</f>
        <v>0</v>
      </c>
      <c r="R12" s="1453">
        <f>1000*TableA7!$P$91*TableC3!G10/TableC3!$C$91</f>
        <v>9.4512291614865696</v>
      </c>
      <c r="S12" s="1453">
        <f>1000*TableA7!$P$91*TableC3!H10/TableC3!$C$91</f>
        <v>0</v>
      </c>
      <c r="T12" s="1453">
        <f>1000*TableA7!$P$91*TableC3!I10/TableC3!$C$91</f>
        <v>7.3917513204249037</v>
      </c>
      <c r="U12" s="1453">
        <f>1000*TableA7!$P$91*TableC3!J10/TableC3!$C$91</f>
        <v>221.9689311850064</v>
      </c>
      <c r="V12" s="1452">
        <f>1000*TableA7!$P$91*TableC3!K10/TableC3!$C$91</f>
        <v>1857.4970272394371</v>
      </c>
      <c r="W12" s="1168">
        <f>1000*TableA7!$P$91*TableC3!L10/TableC3!$C$91</f>
        <v>1801.2566517655405</v>
      </c>
      <c r="X12" s="1211">
        <f>1000*TableA7!$P$91*TableC3!M10/TableC3!$C$91</f>
        <v>56.240375473896769</v>
      </c>
      <c r="Y12" s="954"/>
      <c r="Z12" s="954"/>
      <c r="AA12" s="954" t="s">
        <v>650</v>
      </c>
      <c r="AB12" s="954" t="s">
        <v>651</v>
      </c>
      <c r="AC12" s="954"/>
    </row>
    <row r="13" spans="2:29" ht="14.25" customHeight="1" x14ac:dyDescent="0.2">
      <c r="B13" s="1149" t="s">
        <v>31</v>
      </c>
      <c r="C13" s="1452"/>
      <c r="D13" s="1452"/>
      <c r="E13" s="1453"/>
      <c r="F13" s="1453"/>
      <c r="G13" s="1453"/>
      <c r="H13" s="1453"/>
      <c r="I13" s="1453"/>
      <c r="J13" s="1453"/>
      <c r="K13" s="1452"/>
      <c r="L13" s="1168"/>
      <c r="M13" s="1229"/>
      <c r="N13" s="1452"/>
      <c r="O13" s="1452"/>
      <c r="P13" s="1453"/>
      <c r="Q13" s="1453"/>
      <c r="R13" s="1453"/>
      <c r="S13" s="1453"/>
      <c r="T13" s="1453"/>
      <c r="U13" s="1453"/>
      <c r="V13" s="1452"/>
      <c r="W13" s="1168"/>
      <c r="X13" s="1211"/>
      <c r="Y13" s="954"/>
      <c r="Z13" s="954" t="s">
        <v>169</v>
      </c>
      <c r="AA13" s="1003">
        <f>+C12+C16+C17+C18+C19+C20+C21+C22+C23+C27+C37+C36+C38+C39+C40+C41+C44</f>
        <v>216002.97279864468</v>
      </c>
      <c r="AB13" s="1477">
        <f>+TableA2!F10+TableA2!F11+TableA2!F16+TableA2!F17+TableA2!F18+TableA2!F19+TableA2!F20+TableA2!F21+TableA2!F22+TableA2!F26+TableA2!F29+TableA2!F35+TableA2!F36+TableA2!F37+TableA2!F38+TableA2!F39+TableA2!F40+TableA2!F43+TableA2!F15</f>
        <v>2118.1107471611385</v>
      </c>
      <c r="AC13" s="1469">
        <f>+AA13/(AB13*1000)</f>
        <v>0.10197907408200878</v>
      </c>
    </row>
    <row r="14" spans="2:29" ht="14.25" customHeight="1" x14ac:dyDescent="0.2">
      <c r="B14" s="1149" t="s">
        <v>32</v>
      </c>
      <c r="C14" s="1452">
        <f>1000*TableA7!$P$91*(TableC2!D12+TableC2!O12)/(TableC2!$D$91+TableC2!$O$91)</f>
        <v>18916.079243072261</v>
      </c>
      <c r="D14" s="1452">
        <f>1000*TableA7!$P$91*(TableC2!E12+TableC2!P12)/(TableC2!$D$91+TableC2!$O$91)</f>
        <v>3337.0993099470156</v>
      </c>
      <c r="E14" s="1453">
        <f>1000*TableA7!$P$91*(TableC2!F12+TableC2!Q12)/(TableC2!$D$91+TableC2!$O$91)</f>
        <v>252.25359267293629</v>
      </c>
      <c r="F14" s="1453">
        <f>1000*TableA7!$P$91*(TableC2!G12+TableC2!R12)/(TableC2!$D$91+TableC2!$O$91)</f>
        <v>1.6855537143936803</v>
      </c>
      <c r="G14" s="1453">
        <f>1000*TableA7!$P$91*(TableC2!H12+TableC2!S12)/(TableC2!$D$91+TableC2!$O$91)</f>
        <v>612.04224147815762</v>
      </c>
      <c r="H14" s="1453">
        <f>1000*TableA7!$P$91*(TableC2!I12+TableC2!T12)/(TableC2!$D$91+TableC2!$O$91)</f>
        <v>1092.5125068656464</v>
      </c>
      <c r="I14" s="1453">
        <f>1000*TableA7!$P$91*(TableC2!J12+TableC2!U12)/(TableC2!$D$91+TableC2!$O$91)</f>
        <v>12.243633495189517</v>
      </c>
      <c r="J14" s="1453">
        <f>1000*TableA7!$P$91*(TableC2!K12+TableC2!V12)/(TableC2!$D$91+TableC2!$O$91)</f>
        <v>1366.3617817206923</v>
      </c>
      <c r="K14" s="1452">
        <f>1000*TableA7!$P$91*(TableC2!L12+TableC2!W12)/(TableC2!$D$91+TableC2!$O$91)</f>
        <v>15578.979933125243</v>
      </c>
      <c r="L14" s="1168">
        <f>1000*TableA7!$P$91*(TableC2!M12+TableC2!X12)/(TableC2!$D$91+TableC2!$O$91)</f>
        <v>1279.0270195175719</v>
      </c>
      <c r="M14" s="1229">
        <f>1000*TableA7!$P$91*(TableC2!N12+TableC2!Y12)/(TableC2!$D$91+TableC2!$O$91)</f>
        <v>14299.952913607669</v>
      </c>
      <c r="N14" s="1452">
        <f>1000*TableA7!$P$91*TableC3!C12/TableC3!$C$91</f>
        <v>16428.916128867204</v>
      </c>
      <c r="O14" s="1452">
        <f>1000*TableA7!$P$91*TableC3!D12/TableC3!$C$91</f>
        <v>4309.8657199889221</v>
      </c>
      <c r="P14" s="1453">
        <f>1000*TableA7!$P$91*TableC3!E12/TableC3!$C$91</f>
        <v>-226.90242415082275</v>
      </c>
      <c r="Q14" s="1453">
        <f>1000*TableA7!$P$91*TableC3!F12/TableC3!$C$91</f>
        <v>0</v>
      </c>
      <c r="R14" s="1453">
        <f>1000*TableA7!$P$91*TableC3!G12/TableC3!$C$91</f>
        <v>156.12355160851632</v>
      </c>
      <c r="S14" s="1453">
        <f>1000*TableA7!$P$91*TableC3!H12/TableC3!$C$91</f>
        <v>3943.8561349490888</v>
      </c>
      <c r="T14" s="1453">
        <f>1000*TableA7!$P$91*TableC3!I12/TableC3!$C$91</f>
        <v>0</v>
      </c>
      <c r="U14" s="1453">
        <f>1000*TableA7!$P$91*TableC3!J12/TableC3!$C$91</f>
        <v>436.78845758213981</v>
      </c>
      <c r="V14" s="1452">
        <f>1000*TableA7!$P$91*TableC3!K12/TableC3!$C$91</f>
        <v>12119.050408878278</v>
      </c>
      <c r="W14" s="1168">
        <f>1000*TableA7!$P$91*TableC3!L12/TableC3!$C$91</f>
        <v>9934.3905512193523</v>
      </c>
      <c r="X14" s="1211">
        <f>1000*TableA7!$P$91*TableC3!M12/TableC3!$C$91</f>
        <v>2184.6598576589258</v>
      </c>
      <c r="Y14" s="954"/>
      <c r="Z14" s="954" t="s">
        <v>652</v>
      </c>
      <c r="AA14" s="1478">
        <f>C45</f>
        <v>142565.30860350179</v>
      </c>
      <c r="AB14" s="1477">
        <f>+TableA2!F44</f>
        <v>1889.3969000000002</v>
      </c>
      <c r="AC14" s="1469">
        <f>+AA14/(AB14*1000)</f>
        <v>7.5455458090093075E-2</v>
      </c>
    </row>
    <row r="15" spans="2:29" ht="14.25" customHeight="1" x14ac:dyDescent="0.2">
      <c r="B15" s="1149" t="s">
        <v>33</v>
      </c>
      <c r="C15" s="1452">
        <f>1000*TableA7!$P$91*(TableC2!D13+TableC2!O13)/(TableC2!$D$91+TableC2!$O$91)</f>
        <v>5181.914374561401</v>
      </c>
      <c r="D15" s="1452">
        <f>1000*TableA7!$P$91*(TableC2!E13+TableC2!P13)/(TableC2!$D$91+TableC2!$O$91)</f>
        <v>1008.1594951876596</v>
      </c>
      <c r="E15" s="1453">
        <f>1000*TableA7!$P$91*(TableC2!F13+TableC2!Q13)/(TableC2!$D$91+TableC2!$O$91)</f>
        <v>42.807209501378431</v>
      </c>
      <c r="F15" s="1453">
        <f>1000*TableA7!$P$91*(TableC2!G13+TableC2!R13)/(TableC2!$D$91+TableC2!$O$91)</f>
        <v>0</v>
      </c>
      <c r="G15" s="1453">
        <f>1000*TableA7!$P$91*(TableC2!H13+TableC2!S13)/(TableC2!$D$91+TableC2!$O$91)</f>
        <v>248.53186177206933</v>
      </c>
      <c r="H15" s="1453">
        <f>1000*TableA7!$P$91*(TableC2!I13+TableC2!T13)/(TableC2!$D$91+TableC2!$O$91)</f>
        <v>266.78374649642797</v>
      </c>
      <c r="I15" s="1453">
        <f>1000*TableA7!$P$91*(TableC2!J13+TableC2!U13)/(TableC2!$D$91+TableC2!$O$91)</f>
        <v>36.746311614367301</v>
      </c>
      <c r="J15" s="1453">
        <f>1000*TableA7!$P$91*(TableC2!K13+TableC2!V13)/(TableC2!$D$91+TableC2!$O$91)</f>
        <v>413.29036580341619</v>
      </c>
      <c r="K15" s="1452">
        <f>1000*TableA7!$P$91*(TableC2!L13+TableC2!W13)/(TableC2!$D$91+TableC2!$O$91)</f>
        <v>4173.7548793737406</v>
      </c>
      <c r="L15" s="1168">
        <f>1000*TableA7!$P$91*(TableC2!M13+TableC2!X13)/(TableC2!$D$91+TableC2!$O$91)</f>
        <v>342.6633378101676</v>
      </c>
      <c r="M15" s="1229">
        <f>1000*TableA7!$P$91*(TableC2!N13+TableC2!Y13)/(TableC2!$D$91+TableC2!$O$91)</f>
        <v>3831.0915415635718</v>
      </c>
      <c r="N15" s="1452">
        <f>1000*TableA7!$P$91*TableC3!C13/TableC3!$C$91</f>
        <v>-104.44171026643102</v>
      </c>
      <c r="O15" s="1452">
        <f>1000*TableA7!$P$91*TableC3!D13/TableC3!$C$91</f>
        <v>-121.74487458635676</v>
      </c>
      <c r="P15" s="1453">
        <f>1000*TableA7!$P$91*TableC3!E13/TableC3!$C$91</f>
        <v>-120.55464573581018</v>
      </c>
      <c r="Q15" s="1453">
        <f>1000*TableA7!$P$91*TableC3!F13/TableC3!$C$91</f>
        <v>0</v>
      </c>
      <c r="R15" s="1453">
        <f>1000*TableA7!$P$91*TableC3!G13/TableC3!$C$91</f>
        <v>-7.6287430958101679</v>
      </c>
      <c r="S15" s="1453">
        <f>1000*TableA7!$P$91*TableC3!H13/TableC3!$C$91</f>
        <v>2.1671963280127837</v>
      </c>
      <c r="T15" s="1453">
        <f>1000*TableA7!$P$91*TableC3!I13/TableC3!$C$91</f>
        <v>0</v>
      </c>
      <c r="U15" s="1453">
        <f>1000*TableA7!$P$91*TableC3!J13/TableC3!$C$91</f>
        <v>4.271317917250796</v>
      </c>
      <c r="V15" s="1452">
        <f>1000*TableA7!$P$91*TableC3!K13/TableC3!$C$91</f>
        <v>17.303164319925749</v>
      </c>
      <c r="W15" s="1168">
        <f>1000*TableA7!$P$91*TableC3!L13/TableC3!$C$91</f>
        <v>0</v>
      </c>
      <c r="X15" s="1211">
        <f>1000*TableA7!$P$91*TableC3!M13/TableC3!$C$91</f>
        <v>17.303164319925749</v>
      </c>
      <c r="Y15" s="954"/>
      <c r="Z15" s="954"/>
      <c r="AA15" s="954"/>
      <c r="AB15" s="954"/>
      <c r="AC15" s="954"/>
    </row>
    <row r="16" spans="2:29" ht="14.25" customHeight="1" x14ac:dyDescent="0.2">
      <c r="B16" s="1149" t="s">
        <v>34</v>
      </c>
      <c r="C16" s="1452">
        <f>1000*TableA7!$P$91*(TableC2!D14+TableC2!O14)/(TableC2!$D$91+TableC2!$O$91)</f>
        <v>1760.6284926203614</v>
      </c>
      <c r="D16" s="1452">
        <f>1000*TableA7!$P$91*(TableC2!E14+TableC2!P14)/(TableC2!$D$91+TableC2!$O$91)</f>
        <v>1409.2647465167709</v>
      </c>
      <c r="E16" s="1453">
        <f>1000*TableA7!$P$91*(TableC2!F14+TableC2!Q14)/(TableC2!$D$91+TableC2!$O$91)</f>
        <v>273.86191821811997</v>
      </c>
      <c r="F16" s="1453">
        <f>1000*TableA7!$P$91*(TableC2!G14+TableC2!R14)/(TableC2!$D$91+TableC2!$O$91)</f>
        <v>15.443454198904847</v>
      </c>
      <c r="G16" s="1453">
        <f>1000*TableA7!$P$91*(TableC2!H14+TableC2!S14)/(TableC2!$D$91+TableC2!$O$91)</f>
        <v>265.74286886933061</v>
      </c>
      <c r="H16" s="1453">
        <f>1000*TableA7!$P$91*(TableC2!I14+TableC2!T14)/(TableC2!$D$91+TableC2!$O$91)</f>
        <v>348.44919289219524</v>
      </c>
      <c r="I16" s="1453">
        <f>1000*TableA7!$P$91*(TableC2!J14+TableC2!U14)/(TableC2!$D$91+TableC2!$O$91)</f>
        <v>5.1563606065816732</v>
      </c>
      <c r="J16" s="1453">
        <f>1000*TableA7!$P$91*(TableC2!K14+TableC2!V14)/(TableC2!$D$91+TableC2!$O$91)</f>
        <v>500.61095173163824</v>
      </c>
      <c r="K16" s="1452">
        <f>1000*TableA7!$P$91*(TableC2!L14+TableC2!W14)/(TableC2!$D$91+TableC2!$O$91)</f>
        <v>351.36374610359064</v>
      </c>
      <c r="L16" s="1168">
        <f>1000*TableA7!$P$91*(TableC2!M14+TableC2!X14)/(TableC2!$D$91+TableC2!$O$91)</f>
        <v>316.81274305999432</v>
      </c>
      <c r="M16" s="1229">
        <f>1000*TableA7!$P$91*(TableC2!N14+TableC2!Y14)/(TableC2!$D$91+TableC2!$O$91)</f>
        <v>34.551003043596332</v>
      </c>
      <c r="N16" s="1452">
        <f>1000*TableA7!$P$91*TableC3!C14/TableC3!$C$91</f>
        <v>472.20912026254814</v>
      </c>
      <c r="O16" s="1452">
        <f>1000*TableA7!$P$91*TableC3!D14/TableC3!$C$91</f>
        <v>472.0748373624408</v>
      </c>
      <c r="P16" s="1453">
        <f>1000*TableA7!$P$91*TableC3!E14/TableC3!$C$91</f>
        <v>471.15568797516579</v>
      </c>
      <c r="Q16" s="1453">
        <f>1000*TableA7!$P$91*TableC3!F14/TableC3!$C$91</f>
        <v>0</v>
      </c>
      <c r="R16" s="1453">
        <f>1000*TableA7!$P$91*TableC3!G14/TableC3!$C$91</f>
        <v>0.91914938727498685</v>
      </c>
      <c r="S16" s="1453">
        <f>1000*TableA7!$P$91*TableC3!H14/TableC3!$C$91</f>
        <v>0</v>
      </c>
      <c r="T16" s="1453">
        <f>1000*TableA7!$P$91*TableC3!I14/TableC3!$C$91</f>
        <v>0</v>
      </c>
      <c r="U16" s="1453">
        <f>1000*TableA7!$P$91*TableC3!J14/TableC3!$C$91</f>
        <v>0</v>
      </c>
      <c r="V16" s="1452">
        <f>1000*TableA7!$P$91*TableC3!K14/TableC3!$C$91</f>
        <v>0.134282900107353</v>
      </c>
      <c r="W16" s="1168">
        <f>1000*TableA7!$P$91*TableC3!L14/TableC3!$C$91</f>
        <v>0</v>
      </c>
      <c r="X16" s="1211">
        <f>1000*TableA7!$P$91*TableC3!M14/TableC3!$C$91</f>
        <v>0.134282900107353</v>
      </c>
      <c r="Y16" s="954"/>
      <c r="Z16" s="954"/>
      <c r="AA16" s="954"/>
      <c r="AB16" s="954"/>
      <c r="AC16" s="954"/>
    </row>
    <row r="17" spans="1:24" ht="14.25" customHeight="1" x14ac:dyDescent="0.2">
      <c r="A17" s="954"/>
      <c r="B17" s="1149" t="s">
        <v>35</v>
      </c>
      <c r="C17" s="1452">
        <f>1000*TableA7!$P$91*(TableC2!D15+TableC2!O15)/(TableC2!$D$91+TableC2!$O$91)</f>
        <v>2961.7661722785192</v>
      </c>
      <c r="D17" s="1452">
        <f>1000*TableA7!$P$91*(TableC2!E15+TableC2!P15)/(TableC2!$D$91+TableC2!$O$91)</f>
        <v>2331.5889402003227</v>
      </c>
      <c r="E17" s="1453">
        <f>1000*TableA7!$P$91*(TableC2!F15+TableC2!Q15)/(TableC2!$D$91+TableC2!$O$91)</f>
        <v>311.14042906841536</v>
      </c>
      <c r="F17" s="1453">
        <f>1000*TableA7!$P$91*(TableC2!G15+TableC2!R15)/(TableC2!$D$91+TableC2!$O$91)</f>
        <v>0.69758673831597617</v>
      </c>
      <c r="G17" s="1453">
        <f>1000*TableA7!$P$91*(TableC2!H15+TableC2!S15)/(TableC2!$D$91+TableC2!$O$91)</f>
        <v>1168.686206222787</v>
      </c>
      <c r="H17" s="1453">
        <f>1000*TableA7!$P$91*(TableC2!I15+TableC2!T15)/(TableC2!$D$91+TableC2!$O$91)</f>
        <v>452.68579058260491</v>
      </c>
      <c r="I17" s="1453">
        <f>1000*TableA7!$P$91*(TableC2!J15+TableC2!U15)/(TableC2!$D$91+TableC2!$O$91)</f>
        <v>12.362710740841502</v>
      </c>
      <c r="J17" s="1453">
        <f>1000*TableA7!$P$91*(TableC2!K15+TableC2!V15)/(TableC2!$D$91+TableC2!$O$91)</f>
        <v>386.0162168473571</v>
      </c>
      <c r="K17" s="1452">
        <f>1000*TableA7!$P$91*(TableC2!L15+TableC2!W15)/(TableC2!$D$91+TableC2!$O$91)</f>
        <v>630.17723207819733</v>
      </c>
      <c r="L17" s="1168">
        <f>1000*TableA7!$P$91*(TableC2!M15+TableC2!X15)/(TableC2!$D$91+TableC2!$O$91)</f>
        <v>366.70471853474584</v>
      </c>
      <c r="M17" s="1229">
        <f>1000*TableA7!$P$91*(TableC2!N15+TableC2!Y15)/(TableC2!$D$91+TableC2!$O$91)</f>
        <v>263.47251354345156</v>
      </c>
      <c r="N17" s="1452">
        <f>1000*TableA7!$P$91*TableC3!C15/TableC3!$C$91</f>
        <v>3634.8255563860771</v>
      </c>
      <c r="O17" s="1452">
        <f>1000*TableA7!$P$91*TableC3!D15/TableC3!$C$91</f>
        <v>2115.275239134718</v>
      </c>
      <c r="P17" s="1453">
        <f>1000*TableA7!$P$91*TableC3!E15/TableC3!$C$91</f>
        <v>209.69547666295188</v>
      </c>
      <c r="Q17" s="1453">
        <f>1000*TableA7!$P$91*TableC3!F15/TableC3!$C$91</f>
        <v>0.2673216614088838</v>
      </c>
      <c r="R17" s="1453">
        <f>1000*TableA7!$P$91*TableC3!G15/TableC3!$C$91</f>
        <v>94.798518089878641</v>
      </c>
      <c r="S17" s="1453">
        <f>1000*TableA7!$P$91*TableC3!H15/TableC3!$C$91</f>
        <v>0</v>
      </c>
      <c r="T17" s="1453">
        <f>1000*TableA7!$P$91*TableC3!I15/TableC3!$C$91</f>
        <v>0.80355226728693074</v>
      </c>
      <c r="U17" s="1453">
        <f>1000*TableA7!$P$91*TableC3!J15/TableC3!$C$91</f>
        <v>1809.7103704531917</v>
      </c>
      <c r="V17" s="1452">
        <f>1000*TableA7!$P$91*TableC3!K15/TableC3!$C$91</f>
        <v>1519.5503172513595</v>
      </c>
      <c r="W17" s="1168">
        <f>1000*TableA7!$P$91*TableC3!L15/TableC3!$C$91</f>
        <v>878.56113140514674</v>
      </c>
      <c r="X17" s="1211">
        <f>1000*TableA7!$P$91*TableC3!M15/TableC3!$C$91</f>
        <v>640.98918584621242</v>
      </c>
    </row>
    <row r="18" spans="1:24" ht="14.25" customHeight="1" x14ac:dyDescent="0.2">
      <c r="A18" s="954"/>
      <c r="B18" s="1088" t="s">
        <v>36</v>
      </c>
      <c r="C18" s="1452">
        <f>1000*TableA7!$P$91*(TableC2!D16+TableC2!O16)/(TableC2!$D$91+TableC2!$O$91)</f>
        <v>243.69349684162626</v>
      </c>
      <c r="D18" s="1452">
        <f>1000*TableA7!$P$91*(TableC2!E16+TableC2!P16)/(TableC2!$D$91+TableC2!$O$91)</f>
        <v>174.74220335809187</v>
      </c>
      <c r="E18" s="1453">
        <f>1000*TableA7!$P$91*(TableC2!F16+TableC2!Q16)/(TableC2!$D$91+TableC2!$O$91)</f>
        <v>30.031924019490372</v>
      </c>
      <c r="F18" s="1453">
        <f>1000*TableA7!$P$91*(TableC2!G16+TableC2!R16)/(TableC2!$D$91+TableC2!$O$91)</f>
        <v>0.97662143364236664</v>
      </c>
      <c r="G18" s="1453">
        <f>1000*TableA7!$P$91*(TableC2!H16+TableC2!S16)/(TableC2!$D$91+TableC2!$O$91)</f>
        <v>13.293757050742457</v>
      </c>
      <c r="H18" s="1453">
        <f>1000*TableA7!$P$91*(TableC2!I16+TableC2!T16)/(TableC2!$D$91+TableC2!$O$91)</f>
        <v>107.38215227672995</v>
      </c>
      <c r="I18" s="1453">
        <f>1000*TableA7!$P$91*(TableC2!J16+TableC2!U16)/(TableC2!$D$91+TableC2!$O$91)</f>
        <v>0.35347308353021395</v>
      </c>
      <c r="J18" s="1453">
        <f>1000*TableA7!$P$91*(TableC2!K16+TableC2!V16)/(TableC2!$D$91+TableC2!$O$91)</f>
        <v>22.70427549395653</v>
      </c>
      <c r="K18" s="1452">
        <f>1000*TableA7!$P$91*(TableC2!L16+TableC2!W16)/(TableC2!$D$91+TableC2!$O$91)</f>
        <v>68.951293483534371</v>
      </c>
      <c r="L18" s="1168">
        <f>1000*TableA7!$P$91*(TableC2!M16+TableC2!X16)/(TableC2!$D$91+TableC2!$O$91)</f>
        <v>42.81482193423912</v>
      </c>
      <c r="M18" s="1229">
        <f>1000*TableA7!$P$91*(TableC2!N16+TableC2!Y16)/(TableC2!$D$91+TableC2!$O$91)</f>
        <v>26.136471549295248</v>
      </c>
      <c r="N18" s="1452">
        <f>1000*TableA7!$P$91*TableC3!C16/TableC3!$C$91</f>
        <v>-4.0556050214784296</v>
      </c>
      <c r="O18" s="1452">
        <f>1000*TableA7!$P$91*TableC3!D16/TableC3!$C$91</f>
        <v>-4.0556050214784296</v>
      </c>
      <c r="P18" s="1453">
        <f>1000*TableA7!$P$91*TableC3!E16/TableC3!$C$91</f>
        <v>-4.0620825266697311</v>
      </c>
      <c r="Q18" s="1453">
        <f>1000*TableA7!$P$91*TableC3!F16/TableC3!$C$91</f>
        <v>0</v>
      </c>
      <c r="R18" s="1453">
        <f>1000*TableA7!$P$91*TableC3!G16/TableC3!$C$91</f>
        <v>0</v>
      </c>
      <c r="S18" s="1453">
        <f>1000*TableA7!$P$91*TableC3!H16/TableC3!$C$91</f>
        <v>0</v>
      </c>
      <c r="T18" s="1453">
        <f>1000*TableA7!$P$91*TableC3!I16/TableC3!$C$91</f>
        <v>6.4775051913017693E-3</v>
      </c>
      <c r="U18" s="1453">
        <f>1000*TableA7!$P$91*TableC3!J16/TableC3!$C$91</f>
        <v>0</v>
      </c>
      <c r="V18" s="1452">
        <f>1000*TableA7!$P$91*TableC3!K16/TableC3!$C$91</f>
        <v>0</v>
      </c>
      <c r="W18" s="1168">
        <f>1000*TableA7!$P$91*TableC3!L16/TableC3!$C$91</f>
        <v>0</v>
      </c>
      <c r="X18" s="1211">
        <f>1000*TableA7!$P$91*TableC3!M16/TableC3!$C$91</f>
        <v>0</v>
      </c>
    </row>
    <row r="19" spans="1:24" ht="14.25" customHeight="1" x14ac:dyDescent="0.2">
      <c r="A19" s="954"/>
      <c r="B19" s="1149" t="s">
        <v>37</v>
      </c>
      <c r="C19" s="1452">
        <f>1000*TableA7!$P$91*(TableC2!D17+TableC2!O17)/(TableC2!$D$91+TableC2!$O$91)</f>
        <v>2714.8693656359137</v>
      </c>
      <c r="D19" s="1452">
        <f>1000*TableA7!$P$91*(TableC2!E17+TableC2!P17)/(TableC2!$D$91+TableC2!$O$91)</f>
        <v>1744.7266135251398</v>
      </c>
      <c r="E19" s="1453">
        <f>1000*TableA7!$P$91*(TableC2!F17+TableC2!Q17)/(TableC2!$D$91+TableC2!$O$91)</f>
        <v>206.13347519312785</v>
      </c>
      <c r="F19" s="1453">
        <f>1000*TableA7!$P$91*(TableC2!G17+TableC2!R17)/(TableC2!$D$91+TableC2!$O$91)</f>
        <v>0.69758673831597617</v>
      </c>
      <c r="G19" s="1453">
        <f>1000*TableA7!$P$91*(TableC2!H17+TableC2!S17)/(TableC2!$D$91+TableC2!$O$91)</f>
        <v>787.03283905935439</v>
      </c>
      <c r="H19" s="1453">
        <f>1000*TableA7!$P$91*(TableC2!I17+TableC2!T17)/(TableC2!$D$91+TableC2!$O$91)</f>
        <v>501.01177269976017</v>
      </c>
      <c r="I19" s="1453">
        <f>1000*TableA7!$P$91*(TableC2!J17+TableC2!U17)/(TableC2!$D$91+TableC2!$O$91)</f>
        <v>3.2054124361883396</v>
      </c>
      <c r="J19" s="1453">
        <f>1000*TableA7!$P$91*(TableC2!K17+TableC2!V17)/(TableC2!$D$91+TableC2!$O$91)</f>
        <v>246.64552739839309</v>
      </c>
      <c r="K19" s="1452">
        <f>1000*TableA7!$P$91*(TableC2!L17+TableC2!W17)/(TableC2!$D$91+TableC2!$O$91)</f>
        <v>970.14275211077438</v>
      </c>
      <c r="L19" s="1168">
        <f>1000*TableA7!$P$91*(TableC2!M17+TableC2!X17)/(TableC2!$D$91+TableC2!$O$91)</f>
        <v>410.10248682518784</v>
      </c>
      <c r="M19" s="1229">
        <f>1000*TableA7!$P$91*(TableC2!N17+TableC2!Y17)/(TableC2!$D$91+TableC2!$O$91)</f>
        <v>560.04026528558654</v>
      </c>
      <c r="N19" s="1452">
        <f>1000*TableA7!$P$91*TableC3!C17/TableC3!$C$91</f>
        <v>2259.7038268067554</v>
      </c>
      <c r="O19" s="1452">
        <f>1000*TableA7!$P$91*TableC3!D17/TableC3!$C$91</f>
        <v>2040.5901731898716</v>
      </c>
      <c r="P19" s="1453">
        <f>1000*TableA7!$P$91*TableC3!E17/TableC3!$C$91</f>
        <v>873.54567631940154</v>
      </c>
      <c r="Q19" s="1453">
        <f>1000*TableA7!$P$91*TableC3!F17/TableC3!$C$91</f>
        <v>0.3693645514665776</v>
      </c>
      <c r="R19" s="1453">
        <f>1000*TableA7!$P$91*TableC3!G17/TableC3!$C$91</f>
        <v>-16.353654050048771</v>
      </c>
      <c r="S19" s="1453">
        <f>1000*TableA7!$P$91*TableC3!H17/TableC3!$C$91</f>
        <v>0</v>
      </c>
      <c r="T19" s="1453">
        <f>1000*TableA7!$P$91*TableC3!I17/TableC3!$C$91</f>
        <v>0</v>
      </c>
      <c r="U19" s="1453">
        <f>1000*TableA7!$P$91*TableC3!J17/TableC3!$C$91</f>
        <v>1183.0287863690523</v>
      </c>
      <c r="V19" s="1452">
        <f>1000*TableA7!$P$91*TableC3!K17/TableC3!$C$91</f>
        <v>219.11365361688377</v>
      </c>
      <c r="W19" s="1168">
        <f>1000*TableA7!$P$91*TableC3!L17/TableC3!$C$91</f>
        <v>104.03939093504913</v>
      </c>
      <c r="X19" s="1211">
        <f>1000*TableA7!$P$91*TableC3!M17/TableC3!$C$91</f>
        <v>115.07426268183465</v>
      </c>
    </row>
    <row r="20" spans="1:24" ht="14.25" customHeight="1" x14ac:dyDescent="0.2">
      <c r="A20" s="954"/>
      <c r="B20" s="1088" t="s">
        <v>38</v>
      </c>
      <c r="C20" s="1452">
        <f>1000*TableA7!$P$91*(TableC2!D18+TableC2!O18)/(TableC2!$D$91+TableC2!$O$91)</f>
        <v>32084.12988744217</v>
      </c>
      <c r="D20" s="1452">
        <f>1000*TableA7!$P$91*(TableC2!E18+TableC2!P18)/(TableC2!$D$91+TableC2!$O$91)</f>
        <v>24195.850308678233</v>
      </c>
      <c r="E20" s="1453">
        <f>1000*TableA7!$P$91*(TableC2!F18+TableC2!Q18)/(TableC2!$D$91+TableC2!$O$91)</f>
        <v>6196.7703325563807</v>
      </c>
      <c r="F20" s="1453">
        <f>1000*TableA7!$P$91*(TableC2!G18+TableC2!R18)/(TableC2!$D$91+TableC2!$O$91)</f>
        <v>15.137632221456686</v>
      </c>
      <c r="G20" s="1453">
        <f>1000*TableA7!$P$91*(TableC2!H18+TableC2!S18)/(TableC2!$D$91+TableC2!$O$91)</f>
        <v>5279.7309153941687</v>
      </c>
      <c r="H20" s="1453">
        <f>1000*TableA7!$P$91*(TableC2!I18+TableC2!T18)/(TableC2!$D$91+TableC2!$O$91)</f>
        <v>8875.620322386605</v>
      </c>
      <c r="I20" s="1453">
        <f>1000*TableA7!$P$91*(TableC2!J18+TableC2!U18)/(TableC2!$D$91+TableC2!$O$91)</f>
        <v>62.286956914059125</v>
      </c>
      <c r="J20" s="1453">
        <f>1000*TableA7!$P$91*(TableC2!K18+TableC2!V18)/(TableC2!$D$91+TableC2!$O$91)</f>
        <v>3766.3041492055581</v>
      </c>
      <c r="K20" s="1452">
        <f>1000*TableA7!$P$91*(TableC2!L18+TableC2!W18)/(TableC2!$D$91+TableC2!$O$91)</f>
        <v>7888.2795787639407</v>
      </c>
      <c r="L20" s="1168">
        <f>1000*TableA7!$P$91*(TableC2!M18+TableC2!X18)/(TableC2!$D$91+TableC2!$O$91)</f>
        <v>788.9927023153565</v>
      </c>
      <c r="M20" s="1229">
        <f>1000*TableA7!$P$91*(TableC2!N18+TableC2!Y18)/(TableC2!$D$91+TableC2!$O$91)</f>
        <v>7099.2868764485829</v>
      </c>
      <c r="N20" s="1452">
        <f>1000*TableA7!$P$91*TableC3!C18/TableC3!$C$91</f>
        <v>64369.848399191702</v>
      </c>
      <c r="O20" s="1452">
        <f>1000*TableA7!$P$91*TableC3!D18/TableC3!$C$91</f>
        <v>50877.912569579123</v>
      </c>
      <c r="P20" s="1453">
        <f>1000*TableA7!$P$91*TableC3!E18/TableC3!$C$91</f>
        <v>39458.229618355246</v>
      </c>
      <c r="Q20" s="1453">
        <f>1000*TableA7!$P$91*TableC3!F18/TableC3!$C$91</f>
        <v>7.7033106665152333</v>
      </c>
      <c r="R20" s="1453">
        <f>1000*TableA7!$P$91*TableC3!G18/TableC3!$C$91</f>
        <v>1333.7588767968678</v>
      </c>
      <c r="S20" s="1453">
        <f>1000*TableA7!$P$91*TableC3!H18/TableC3!$C$91</f>
        <v>-322.58535351636544</v>
      </c>
      <c r="T20" s="1453">
        <f>1000*TableA7!$P$91*TableC3!I18/TableC3!$C$91</f>
        <v>17.162186794099188</v>
      </c>
      <c r="U20" s="1453">
        <f>1000*TableA7!$P$91*TableC3!J18/TableC3!$C$91</f>
        <v>10383.64393048276</v>
      </c>
      <c r="V20" s="1452">
        <f>1000*TableA7!$P$91*TableC3!K18/TableC3!$C$91</f>
        <v>13491.935829612576</v>
      </c>
      <c r="W20" s="1168">
        <f>1000*TableA7!$P$91*TableC3!L18/TableC3!$C$91</f>
        <v>11502.471552622526</v>
      </c>
      <c r="X20" s="1211">
        <f>1000*TableA7!$P$91*TableC3!M18/TableC3!$C$91</f>
        <v>1989.4642769900502</v>
      </c>
    </row>
    <row r="21" spans="1:24" ht="14.25" customHeight="1" x14ac:dyDescent="0.2">
      <c r="A21" s="954"/>
      <c r="B21" s="1149" t="s">
        <v>39</v>
      </c>
      <c r="C21" s="1452">
        <f>1000*TableA7!$P$91*(TableC2!D19+TableC2!O19)/(TableC2!$D$91+TableC2!$O$91)</f>
        <v>54904.338589641877</v>
      </c>
      <c r="D21" s="1452">
        <f>1000*TableA7!$P$91*(TableC2!E19+TableC2!P19)/(TableC2!$D$91+TableC2!$O$91)</f>
        <v>41584.631730761779</v>
      </c>
      <c r="E21" s="1453">
        <f>1000*TableA7!$P$91*(TableC2!F19+TableC2!Q19)/(TableC2!$D$91+TableC2!$O$91)</f>
        <v>4372.9502037112106</v>
      </c>
      <c r="F21" s="1453">
        <f>1000*TableA7!$P$91*(TableC2!G19+TableC2!R19)/(TableC2!$D$91+TableC2!$O$91)</f>
        <v>82.244917745878652</v>
      </c>
      <c r="G21" s="1453">
        <f>1000*TableA7!$P$91*(TableC2!H19+TableC2!S19)/(TableC2!$D$91+TableC2!$O$91)</f>
        <v>9156.1770841158122</v>
      </c>
      <c r="H21" s="1453">
        <f>1000*TableA7!$P$91*(TableC2!I19+TableC2!T19)/(TableC2!$D$91+TableC2!$O$91)</f>
        <v>14838.644170783664</v>
      </c>
      <c r="I21" s="1453">
        <f>1000*TableA7!$P$91*(TableC2!J19+TableC2!U19)/(TableC2!$D$91+TableC2!$O$91)</f>
        <v>167.82735789126519</v>
      </c>
      <c r="J21" s="1453">
        <f>1000*TableA7!$P$91*(TableC2!K19+TableC2!V19)/(TableC2!$D$91+TableC2!$O$91)</f>
        <v>12966.787996513951</v>
      </c>
      <c r="K21" s="1452">
        <f>1000*TableA7!$P$91*(TableC2!L19+TableC2!W19)/(TableC2!$D$91+TableC2!$O$91)</f>
        <v>13319.706858880096</v>
      </c>
      <c r="L21" s="1168">
        <f>1000*TableA7!$P$91*(TableC2!M19+TableC2!X19)/(TableC2!$D$91+TableC2!$O$91)</f>
        <v>8387.4313532036431</v>
      </c>
      <c r="M21" s="1229">
        <f>1000*TableA7!$P$91*(TableC2!N19+TableC2!Y19)/(TableC2!$D$91+TableC2!$O$91)</f>
        <v>4932.2755056764536</v>
      </c>
      <c r="N21" s="1452">
        <f>1000*TableA7!$P$91*TableC3!C19/TableC3!$C$91</f>
        <v>35645.750743168814</v>
      </c>
      <c r="O21" s="1452">
        <f>1000*TableA7!$P$91*TableC3!D19/TableC3!$C$91</f>
        <v>25371.677573527384</v>
      </c>
      <c r="P21" s="1453">
        <f>1000*TableA7!$P$91*TableC3!E19/TableC3!$C$91</f>
        <v>3857.4527849602414</v>
      </c>
      <c r="Q21" s="1453">
        <f>1000*TableA7!$P$91*TableC3!F19/TableC3!$C$91</f>
        <v>684.55487048788189</v>
      </c>
      <c r="R21" s="1453">
        <f>1000*TableA7!$P$91*TableC3!G19/TableC3!$C$91</f>
        <v>264.05827818088108</v>
      </c>
      <c r="S21" s="1453">
        <f>1000*TableA7!$P$91*TableC3!H19/TableC3!$C$91</f>
        <v>978.11532949532545</v>
      </c>
      <c r="T21" s="1453">
        <f>1000*TableA7!$P$91*TableC3!I19/TableC3!$C$91</f>
        <v>0</v>
      </c>
      <c r="U21" s="1453">
        <f>1000*TableA7!$P$91*TableC3!J19/TableC3!$C$91</f>
        <v>19587.496310403054</v>
      </c>
      <c r="V21" s="1452">
        <f>1000*TableA7!$P$91*TableC3!K19/TableC3!$C$91</f>
        <v>10274.07316964143</v>
      </c>
      <c r="W21" s="1168">
        <f>1000*TableA7!$P$91*TableC3!L19/TableC3!$C$91</f>
        <v>8671.3943717362654</v>
      </c>
      <c r="X21" s="1211">
        <f>1000*TableA7!$P$91*TableC3!M19/TableC3!$C$91</f>
        <v>1602.6787979051658</v>
      </c>
    </row>
    <row r="22" spans="1:24" ht="14.25" customHeight="1" x14ac:dyDescent="0.2">
      <c r="A22" s="954"/>
      <c r="B22" s="1149" t="s">
        <v>40</v>
      </c>
      <c r="C22" s="1452">
        <f>1000*TableA7!$P$91*(TableC2!D20+TableC2!O20)/(TableC2!$D$91+TableC2!$O$91)</f>
        <v>1046.5124601954992</v>
      </c>
      <c r="D22" s="1452">
        <f>1000*TableA7!$P$91*(TableC2!E20+TableC2!P20)/(TableC2!$D$91+TableC2!$O$91)</f>
        <v>913.78755346575019</v>
      </c>
      <c r="E22" s="1453">
        <f>1000*TableA7!$P$91*(TableC2!F20+TableC2!Q20)/(TableC2!$D$91+TableC2!$O$91)</f>
        <v>186.4987150981276</v>
      </c>
      <c r="F22" s="1453">
        <f>1000*TableA7!$P$91*(TableC2!G20+TableC2!R20)/(TableC2!$D$91+TableC2!$O$91)</f>
        <v>40.460030822326623</v>
      </c>
      <c r="G22" s="1453">
        <f>1000*TableA7!$P$91*(TableC2!H20+TableC2!S20)/(TableC2!$D$91+TableC2!$O$91)</f>
        <v>266.63089808801556</v>
      </c>
      <c r="H22" s="1453">
        <f>1000*TableA7!$P$91*(TableC2!I20+TableC2!T20)/(TableC2!$D$91+TableC2!$O$91)</f>
        <v>211.45725478711961</v>
      </c>
      <c r="I22" s="1453">
        <f>1000*TableA7!$P$91*(TableC2!J20+TableC2!U20)/(TableC2!$D$91+TableC2!$O$91)</f>
        <v>4.4622993216025071</v>
      </c>
      <c r="J22" s="1453">
        <f>1000*TableA7!$P$91*(TableC2!K20+TableC2!V20)/(TableC2!$D$91+TableC2!$O$91)</f>
        <v>204.27835534855828</v>
      </c>
      <c r="K22" s="1452">
        <f>1000*TableA7!$P$91*(TableC2!L20+TableC2!W20)/(TableC2!$D$91+TableC2!$O$91)</f>
        <v>132.72490672974874</v>
      </c>
      <c r="L22" s="1168">
        <f>1000*TableA7!$P$91*(TableC2!M20+TableC2!X20)/(TableC2!$D$91+TableC2!$O$91)</f>
        <v>111.01567890592571</v>
      </c>
      <c r="M22" s="1229">
        <f>1000*TableA7!$P$91*(TableC2!N20+TableC2!Y20)/(TableC2!$D$91+TableC2!$O$91)</f>
        <v>21.709227823823035</v>
      </c>
      <c r="N22" s="1452">
        <f>1000*TableA7!$P$91*TableC3!C20/TableC3!$C$91</f>
        <v>439.57419857141463</v>
      </c>
      <c r="O22" s="1452">
        <f>1000*TableA7!$P$91*TableC3!D20/TableC3!$C$91</f>
        <v>438.77443096761675</v>
      </c>
      <c r="P22" s="1453">
        <f>1000*TableA7!$P$91*TableC3!E20/TableC3!$C$91</f>
        <v>323.98194235805585</v>
      </c>
      <c r="Q22" s="1453">
        <f>1000*TableA7!$P$91*TableC3!F20/TableC3!$C$91</f>
        <v>83.066850769070982</v>
      </c>
      <c r="R22" s="1453">
        <f>1000*TableA7!$P$91*TableC3!G20/TableC3!$C$91</f>
        <v>3.1475636781237593</v>
      </c>
      <c r="S22" s="1453">
        <f>1000*TableA7!$P$91*TableC3!H20/TableC3!$C$91</f>
        <v>0</v>
      </c>
      <c r="T22" s="1453">
        <f>1000*TableA7!$P$91*TableC3!I20/TableC3!$C$91</f>
        <v>0</v>
      </c>
      <c r="U22" s="1453">
        <f>1000*TableA7!$P$91*TableC3!J20/TableC3!$C$91</f>
        <v>28.5780741623662</v>
      </c>
      <c r="V22" s="1452">
        <f>1000*TableA7!$P$91*TableC3!K20/TableC3!$C$91</f>
        <v>0.79976760379783562</v>
      </c>
      <c r="W22" s="1168">
        <f>1000*TableA7!$P$91*TableC3!L20/TableC3!$C$91</f>
        <v>0</v>
      </c>
      <c r="X22" s="1211">
        <f>1000*TableA7!$P$91*TableC3!M20/TableC3!$C$91</f>
        <v>0.79976760379783562</v>
      </c>
    </row>
    <row r="23" spans="1:24" ht="14.25" customHeight="1" x14ac:dyDescent="0.2">
      <c r="A23" s="954"/>
      <c r="B23" s="1149" t="s">
        <v>41</v>
      </c>
      <c r="C23" s="1452">
        <f>1000*TableA7!$P$91*(TableC2!D21+TableC2!O21)/(TableC2!$D$91+TableC2!$O$91)</f>
        <v>2394.889053990079</v>
      </c>
      <c r="D23" s="1452">
        <f>1000*TableA7!$P$91*(TableC2!E21+TableC2!P21)/(TableC2!$D$91+TableC2!$O$91)</f>
        <v>1689.4617331249303</v>
      </c>
      <c r="E23" s="1453">
        <f>1000*TableA7!$P$91*(TableC2!F21+TableC2!Q21)/(TableC2!$D$91+TableC2!$O$91)</f>
        <v>214.21253386301217</v>
      </c>
      <c r="F23" s="1453">
        <f>1000*TableA7!$P$91*(TableC2!G21+TableC2!R21)/(TableC2!$D$91+TableC2!$O$91)</f>
        <v>1.1790483996020753</v>
      </c>
      <c r="G23" s="1453">
        <f>1000*TableA7!$P$91*(TableC2!H21+TableC2!S21)/(TableC2!$D$91+TableC2!$O$91)</f>
        <v>771.83101117785623</v>
      </c>
      <c r="H23" s="1453">
        <f>1000*TableA7!$P$91*(TableC2!I21+TableC2!T21)/(TableC2!$D$91+TableC2!$O$91)</f>
        <v>392.05878723658799</v>
      </c>
      <c r="I23" s="1453">
        <f>1000*TableA7!$P$91*(TableC2!J21+TableC2!U21)/(TableC2!$D$91+TableC2!$O$91)</f>
        <v>6.1322384617148691</v>
      </c>
      <c r="J23" s="1453">
        <f>1000*TableA7!$P$91*(TableC2!K21+TableC2!V21)/(TableC2!$D$91+TableC2!$O$91)</f>
        <v>304.04811398615692</v>
      </c>
      <c r="K23" s="1452">
        <f>1000*TableA7!$P$91*(TableC2!L21+TableC2!W21)/(TableC2!$D$91+TableC2!$O$91)</f>
        <v>705.42732086514832</v>
      </c>
      <c r="L23" s="1168">
        <f>1000*TableA7!$P$91*(TableC2!M21+TableC2!X21)/(TableC2!$D$91+TableC2!$O$91)</f>
        <v>300.45661952068173</v>
      </c>
      <c r="M23" s="1229">
        <f>1000*TableA7!$P$91*(TableC2!N21+TableC2!Y21)/(TableC2!$D$91+TableC2!$O$91)</f>
        <v>404.97070134446659</v>
      </c>
      <c r="N23" s="1452">
        <f>1000*TableA7!$P$91*TableC3!C21/TableC3!$C$91</f>
        <v>500.17260764638115</v>
      </c>
      <c r="O23" s="1452">
        <f>1000*TableA7!$P$91*TableC3!D21/TableC3!$C$91</f>
        <v>493.21023221560984</v>
      </c>
      <c r="P23" s="1453">
        <f>1000*TableA7!$P$91*TableC3!E21/TableC3!$C$91</f>
        <v>387.65433021051803</v>
      </c>
      <c r="Q23" s="1453">
        <f>1000*TableA7!$P$91*TableC3!F21/TableC3!$C$91</f>
        <v>0</v>
      </c>
      <c r="R23" s="1453">
        <f>1000*TableA7!$P$91*TableC3!G21/TableC3!$C$91</f>
        <v>0</v>
      </c>
      <c r="S23" s="1453">
        <f>1000*TableA7!$P$91*TableC3!H21/TableC3!$C$91</f>
        <v>88.635898083153037</v>
      </c>
      <c r="T23" s="1453">
        <f>1000*TableA7!$P$91*TableC3!I21/TableC3!$C$91</f>
        <v>0</v>
      </c>
      <c r="U23" s="1453">
        <f>1000*TableA7!$P$91*TableC3!J21/TableC3!$C$91</f>
        <v>16.920003921938775</v>
      </c>
      <c r="V23" s="1452">
        <f>1000*TableA7!$P$91*TableC3!K21/TableC3!$C$91</f>
        <v>6.9623754307713401</v>
      </c>
      <c r="W23" s="1168">
        <f>1000*TableA7!$P$91*TableC3!L21/TableC3!$C$91</f>
        <v>0</v>
      </c>
      <c r="X23" s="1211">
        <f>1000*TableA7!$P$91*TableC3!M21/TableC3!$C$91</f>
        <v>6.9623754307713401</v>
      </c>
    </row>
    <row r="24" spans="1:24" ht="14.25" customHeight="1" x14ac:dyDescent="0.2">
      <c r="A24" s="954"/>
      <c r="B24" s="1149" t="s">
        <v>42</v>
      </c>
      <c r="C24" s="1452">
        <f>1000*TableA7!$P$91*(TableC2!D22+TableC2!O22)/(TableC2!$D$91+TableC2!$O$91)</f>
        <v>437.74676216057213</v>
      </c>
      <c r="D24" s="1452">
        <f>1000*TableA7!$P$91*(TableC2!E22+TableC2!P22)/(TableC2!$D$91+TableC2!$O$91)</f>
        <v>337.64759136893497</v>
      </c>
      <c r="E24" s="1453">
        <f>1000*TableA7!$P$91*(TableC2!F22+TableC2!Q22)/(TableC2!$D$91+TableC2!$O$91)</f>
        <v>38.482630728901484</v>
      </c>
      <c r="F24" s="1453">
        <f>1000*TableA7!$P$91*(TableC2!G22+TableC2!R22)/(TableC2!$D$91+TableC2!$O$91)</f>
        <v>0</v>
      </c>
      <c r="G24" s="1453">
        <f>1000*TableA7!$P$91*(TableC2!H22+TableC2!S22)/(TableC2!$D$91+TableC2!$O$91)</f>
        <v>71.836563071426227</v>
      </c>
      <c r="H24" s="1453">
        <f>1000*TableA7!$P$91*(TableC2!I22+TableC2!T22)/(TableC2!$D$91+TableC2!$O$91)</f>
        <v>180.71581106301579</v>
      </c>
      <c r="I24" s="1453">
        <f>1000*TableA7!$P$91*(TableC2!J22+TableC2!U22)/(TableC2!$D$91+TableC2!$O$91)</f>
        <v>0.52896277217170617</v>
      </c>
      <c r="J24" s="1453">
        <f>1000*TableA7!$P$91*(TableC2!K22+TableC2!V22)/(TableC2!$D$91+TableC2!$O$91)</f>
        <v>46.083623733419749</v>
      </c>
      <c r="K24" s="1452">
        <f>1000*TableA7!$P$91*(TableC2!L22+TableC2!W22)/(TableC2!$D$91+TableC2!$O$91)</f>
        <v>100.09917079163714</v>
      </c>
      <c r="L24" s="1168">
        <f>1000*TableA7!$P$91*(TableC2!M22+TableC2!X22)/(TableC2!$D$91+TableC2!$O$91)</f>
        <v>8.5151296701204231</v>
      </c>
      <c r="M24" s="1229">
        <f>1000*TableA7!$P$91*(TableC2!N22+TableC2!Y22)/(TableC2!$D$91+TableC2!$O$91)</f>
        <v>91.584041121516719</v>
      </c>
      <c r="N24" s="1452">
        <f>1000*TableA7!$P$91*TableC3!C22/TableC3!$C$91</f>
        <v>13.704038338921695</v>
      </c>
      <c r="O24" s="1452">
        <f>1000*TableA7!$P$91*TableC3!D22/TableC3!$C$91</f>
        <v>13.017568493301837</v>
      </c>
      <c r="P24" s="1453">
        <f>1000*TableA7!$P$91*TableC3!E22/TableC3!$C$91</f>
        <v>12.967106604341575</v>
      </c>
      <c r="Q24" s="1453">
        <f>1000*TableA7!$P$91*TableC3!F22/TableC3!$C$91</f>
        <v>5.0461888960264087E-2</v>
      </c>
      <c r="R24" s="1453">
        <f>1000*TableA7!$P$91*TableC3!G22/TableC3!$C$91</f>
        <v>0</v>
      </c>
      <c r="S24" s="1453">
        <f>1000*TableA7!$P$91*TableC3!H22/TableC3!$C$91</f>
        <v>0</v>
      </c>
      <c r="T24" s="1453">
        <f>1000*TableA7!$P$91*TableC3!I22/TableC3!$C$91</f>
        <v>0</v>
      </c>
      <c r="U24" s="1453">
        <f>1000*TableA7!$P$91*TableC3!J22/TableC3!$C$91</f>
        <v>0</v>
      </c>
      <c r="V24" s="1452">
        <f>1000*TableA7!$P$91*TableC3!K22/TableC3!$C$91</f>
        <v>0.68646984561985802</v>
      </c>
      <c r="W24" s="1168">
        <f>1000*TableA7!$P$91*TableC3!L22/TableC3!$C$91</f>
        <v>0</v>
      </c>
      <c r="X24" s="1211">
        <f>1000*TableA7!$P$91*TableC3!M22/TableC3!$C$91</f>
        <v>0.68646984561985802</v>
      </c>
    </row>
    <row r="25" spans="1:24" ht="14.25" customHeight="1" x14ac:dyDescent="0.2">
      <c r="A25" s="954"/>
      <c r="B25" s="1149" t="s">
        <v>43</v>
      </c>
      <c r="C25" s="1452"/>
      <c r="D25" s="1452"/>
      <c r="E25" s="1453"/>
      <c r="F25" s="1453"/>
      <c r="G25" s="1453"/>
      <c r="H25" s="1453"/>
      <c r="I25" s="1453"/>
      <c r="J25" s="1453"/>
      <c r="K25" s="1452"/>
      <c r="L25" s="1168"/>
      <c r="M25" s="1229"/>
      <c r="N25" s="1452"/>
      <c r="O25" s="1452"/>
      <c r="P25" s="1453"/>
      <c r="Q25" s="1453"/>
      <c r="R25" s="1453"/>
      <c r="S25" s="1453"/>
      <c r="T25" s="1453"/>
      <c r="U25" s="1453"/>
      <c r="V25" s="1452"/>
      <c r="W25" s="1168"/>
      <c r="X25" s="1211"/>
    </row>
    <row r="26" spans="1:24" ht="14.25" customHeight="1" x14ac:dyDescent="0.2">
      <c r="A26" s="954"/>
      <c r="B26" s="1149" t="s">
        <v>44</v>
      </c>
      <c r="C26" s="1452">
        <f>1000*TableA7!$P$91*(TableC2!D24+TableC2!O24)/(TableC2!$D$91+TableC2!$O$91)</f>
        <v>680.65831999156558</v>
      </c>
      <c r="D26" s="1452">
        <f>1000*TableA7!$P$91*(TableC2!E24+TableC2!P24)/(TableC2!$D$91+TableC2!$O$91)</f>
        <v>277.80827531291379</v>
      </c>
      <c r="E26" s="1453">
        <f>1000*TableA7!$P$91*(TableC2!F24+TableC2!Q24)/(TableC2!$D$91+TableC2!$O$91)</f>
        <v>21.243627527061367</v>
      </c>
      <c r="F26" s="1453">
        <f>1000*TableA7!$P$91*(TableC2!G24+TableC2!R24)/(TableC2!$D$91+TableC2!$O$91)</f>
        <v>5.5629446513001266</v>
      </c>
      <c r="G26" s="1453">
        <f>1000*TableA7!$P$91*(TableC2!H24+TableC2!S24)/(TableC2!$D$91+TableC2!$O$91)</f>
        <v>147.70398702776717</v>
      </c>
      <c r="H26" s="1453">
        <f>1000*TableA7!$P$91*(TableC2!I24+TableC2!T24)/(TableC2!$D$91+TableC2!$O$91)</f>
        <v>31.798064007740578</v>
      </c>
      <c r="I26" s="1453">
        <f>1000*TableA7!$P$91*(TableC2!J24+TableC2!U24)/(TableC2!$D$91+TableC2!$O$91)</f>
        <v>26.811934609023446</v>
      </c>
      <c r="J26" s="1453">
        <f>1000*TableA7!$P$91*(TableC2!K24+TableC2!V24)/(TableC2!$D$91+TableC2!$O$91)</f>
        <v>44.687717490021086</v>
      </c>
      <c r="K26" s="1452">
        <f>1000*TableA7!$P$91*(TableC2!L24+TableC2!W24)/(TableC2!$D$91+TableC2!$O$91)</f>
        <v>402.85004467865184</v>
      </c>
      <c r="L26" s="1168">
        <f>1000*TableA7!$P$91*(TableC2!M24+TableC2!X24)/(TableC2!$D$91+TableC2!$O$91)</f>
        <v>33.073801633332806</v>
      </c>
      <c r="M26" s="1229">
        <f>1000*TableA7!$P$91*(TableC2!N24+TableC2!Y24)/(TableC2!$D$91+TableC2!$O$91)</f>
        <v>369.77624304531906</v>
      </c>
      <c r="N26" s="1452">
        <f>1000*TableA7!$P$91*TableC3!C24/TableC3!$C$91</f>
        <v>534.13754113231334</v>
      </c>
      <c r="O26" s="1452">
        <f>1000*TableA7!$P$91*TableC3!D24/TableC3!$C$91</f>
        <v>66.118502548996275</v>
      </c>
      <c r="P26" s="1453">
        <f>1000*TableA7!$P$91*TableC3!E24/TableC3!$C$91</f>
        <v>-38.812007429968595</v>
      </c>
      <c r="Q26" s="1453">
        <f>1000*TableA7!$P$91*TableC3!F24/TableC3!$C$91</f>
        <v>33.735844562147875</v>
      </c>
      <c r="R26" s="1453">
        <f>1000*TableA7!$P$91*TableC3!G24/TableC3!$C$91</f>
        <v>23.788485774482034</v>
      </c>
      <c r="S26" s="1453">
        <f>1000*TableA7!$P$91*TableC3!H24/TableC3!$C$91</f>
        <v>47.406179642334969</v>
      </c>
      <c r="T26" s="1453">
        <f>1000*TableA7!$P$91*TableC3!I24/TableC3!$C$91</f>
        <v>0</v>
      </c>
      <c r="U26" s="1453">
        <f>1000*TableA7!$P$91*TableC3!J24/TableC3!$C$91</f>
        <v>0</v>
      </c>
      <c r="V26" s="1452">
        <f>1000*TableA7!$P$91*TableC3!K24/TableC3!$C$91</f>
        <v>468.01903858331707</v>
      </c>
      <c r="W26" s="1168">
        <f>1000*TableA7!$P$91*TableC3!L24/TableC3!$C$91</f>
        <v>399.37019834403958</v>
      </c>
      <c r="X26" s="1211">
        <f>1000*TableA7!$P$91*TableC3!M24/TableC3!$C$91</f>
        <v>68.648840239277504</v>
      </c>
    </row>
    <row r="27" spans="1:24" ht="14.25" customHeight="1" x14ac:dyDescent="0.2">
      <c r="A27" s="954"/>
      <c r="B27" s="1149" t="s">
        <v>45</v>
      </c>
      <c r="C27" s="1452">
        <f>1000*TableA7!$P$91*(TableC2!D25+TableC2!O25)/(TableC2!$D$91+TableC2!$O$91)</f>
        <v>22702.482961511632</v>
      </c>
      <c r="D27" s="1452">
        <f>1000*TableA7!$P$91*(TableC2!E25+TableC2!P25)/(TableC2!$D$91+TableC2!$O$91)</f>
        <v>19453.222640725438</v>
      </c>
      <c r="E27" s="1453">
        <f>1000*TableA7!$P$91*(TableC2!F25+TableC2!Q25)/(TableC2!$D$91+TableC2!$O$91)</f>
        <v>2138.4635697288891</v>
      </c>
      <c r="F27" s="1453">
        <f>1000*TableA7!$P$91*(TableC2!G25+TableC2!R25)/(TableC2!$D$91+TableC2!$O$91)</f>
        <v>14.963869596118068</v>
      </c>
      <c r="G27" s="1453">
        <f>1000*TableA7!$P$91*(TableC2!H25+TableC2!S25)/(TableC2!$D$91+TableC2!$O$91)</f>
        <v>5683.5093311897463</v>
      </c>
      <c r="H27" s="1453">
        <f>1000*TableA7!$P$91*(TableC2!I25+TableC2!T25)/(TableC2!$D$91+TableC2!$O$91)</f>
        <v>9176.7651206524024</v>
      </c>
      <c r="I27" s="1453">
        <f>1000*TableA7!$P$91*(TableC2!J25+TableC2!U25)/(TableC2!$D$91+TableC2!$O$91)</f>
        <v>77.291482706668518</v>
      </c>
      <c r="J27" s="1453">
        <f>1000*TableA7!$P$91*(TableC2!K25+TableC2!V25)/(TableC2!$D$91+TableC2!$O$91)</f>
        <v>2362.2292668516202</v>
      </c>
      <c r="K27" s="1452">
        <f>1000*TableA7!$P$91*(TableC2!L25+TableC2!W25)/(TableC2!$D$91+TableC2!$O$91)</f>
        <v>3249.260320786188</v>
      </c>
      <c r="L27" s="1168">
        <f>1000*TableA7!$P$91*(TableC2!M25+TableC2!X25)/(TableC2!$D$91+TableC2!$O$91)</f>
        <v>2248.8031473606939</v>
      </c>
      <c r="M27" s="1229">
        <f>1000*TableA7!$P$91*(TableC2!N25+TableC2!Y25)/(TableC2!$D$91+TableC2!$O$91)</f>
        <v>1000.4571734254946</v>
      </c>
      <c r="N27" s="1452">
        <f>1000*TableA7!$P$91*TableC3!C25/TableC3!$C$91</f>
        <v>3743.5473415521265</v>
      </c>
      <c r="O27" s="1452">
        <f>1000*TableA7!$P$91*TableC3!D25/TableC3!$C$91</f>
        <v>2520.6509191503469</v>
      </c>
      <c r="P27" s="1453">
        <f>1000*TableA7!$P$91*TableC3!E25/TableC3!$C$91</f>
        <v>253.19242217028901</v>
      </c>
      <c r="Q27" s="1453">
        <f>1000*TableA7!$P$91*TableC3!F25/TableC3!$C$91</f>
        <v>3.3638086538603709</v>
      </c>
      <c r="R27" s="1453">
        <f>1000*TableA7!$P$91*TableC3!G25/TableC3!$C$91</f>
        <v>646.75732246714313</v>
      </c>
      <c r="S27" s="1453">
        <f>1000*TableA7!$P$91*TableC3!H25/TableC3!$C$91</f>
        <v>-181.81121356666679</v>
      </c>
      <c r="T27" s="1453">
        <f>1000*TableA7!$P$91*TableC3!I25/TableC3!$C$91</f>
        <v>25.670038255037881</v>
      </c>
      <c r="U27" s="1453">
        <f>1000*TableA7!$P$91*TableC3!J25/TableC3!$C$91</f>
        <v>1773.4785411706832</v>
      </c>
      <c r="V27" s="1452">
        <f>1000*TableA7!$P$91*TableC3!K25/TableC3!$C$91</f>
        <v>1222.8964224017795</v>
      </c>
      <c r="W27" s="1168">
        <f>1000*TableA7!$P$91*TableC3!L25/TableC3!$C$91</f>
        <v>1081.5078602976257</v>
      </c>
      <c r="X27" s="1211">
        <f>1000*TableA7!$P$91*TableC3!M25/TableC3!$C$91</f>
        <v>141.38856210415358</v>
      </c>
    </row>
    <row r="28" spans="1:24" ht="14.25" customHeight="1" x14ac:dyDescent="0.2">
      <c r="A28" s="954"/>
      <c r="B28" s="1149" t="s">
        <v>46</v>
      </c>
      <c r="C28" s="1452">
        <f>1000*TableA7!$P$91*(TableC2!D26+TableC2!O26)/(TableC2!$D$91+TableC2!$O$91)</f>
        <v>8554.3737634504905</v>
      </c>
      <c r="D28" s="1452">
        <f>1000*TableA7!$P$91*(TableC2!E26+TableC2!P26)/(TableC2!$D$91+TableC2!$O$91)</f>
        <v>4543.9112374116648</v>
      </c>
      <c r="E28" s="1453">
        <f>1000*TableA7!$P$91*(TableC2!F26+TableC2!Q26)/(TableC2!$D$91+TableC2!$O$91)</f>
        <v>332.45713249138208</v>
      </c>
      <c r="F28" s="1453">
        <f>1000*TableA7!$P$91*(TableC2!G26+TableC2!R26)/(TableC2!$D$91+TableC2!$O$91)</f>
        <v>71.720310547451106</v>
      </c>
      <c r="G28" s="1453">
        <f>1000*TableA7!$P$91*(TableC2!H26+TableC2!S26)/(TableC2!$D$91+TableC2!$O$91)</f>
        <v>2179.4377233081541</v>
      </c>
      <c r="H28" s="1453">
        <f>1000*TableA7!$P$91*(TableC2!I26+TableC2!T26)/(TableC2!$D$91+TableC2!$O$91)</f>
        <v>861.78348495408432</v>
      </c>
      <c r="I28" s="1453">
        <f>1000*TableA7!$P$91*(TableC2!J26+TableC2!U26)/(TableC2!$D$91+TableC2!$O$91)</f>
        <v>2.3564108669904944</v>
      </c>
      <c r="J28" s="1453">
        <f>1000*TableA7!$P$91*(TableC2!K26+TableC2!V26)/(TableC2!$D$91+TableC2!$O$91)</f>
        <v>1096.1561752436023</v>
      </c>
      <c r="K28" s="1452">
        <f>1000*TableA7!$P$91*(TableC2!L26+TableC2!W26)/(TableC2!$D$91+TableC2!$O$91)</f>
        <v>4010.4625260388257</v>
      </c>
      <c r="L28" s="1168">
        <f>1000*TableA7!$P$91*(TableC2!M26+TableC2!X26)/(TableC2!$D$91+TableC2!$O$91)</f>
        <v>329.2571114145689</v>
      </c>
      <c r="M28" s="1229">
        <f>1000*TableA7!$P$91*(TableC2!N26+TableC2!Y26)/(TableC2!$D$91+TableC2!$O$91)</f>
        <v>3681.2054146242567</v>
      </c>
      <c r="N28" s="1452">
        <f>1000*TableA7!$P$91*TableC3!C26/TableC3!$C$91</f>
        <v>19296.266224483075</v>
      </c>
      <c r="O28" s="1452">
        <f>1000*TableA7!$P$91*TableC3!D26/TableC3!$C$91</f>
        <v>8488.9420239159135</v>
      </c>
      <c r="P28" s="1453">
        <f>1000*TableA7!$P$91*TableC3!E26/TableC3!$C$91</f>
        <v>4224.3872324219246</v>
      </c>
      <c r="Q28" s="1453">
        <f>1000*TableA7!$P$91*TableC3!F26/TableC3!$C$91</f>
        <v>3.1186734762025468E-2</v>
      </c>
      <c r="R28" s="1453">
        <f>1000*TableA7!$P$91*TableC3!G26/TableC3!$C$91</f>
        <v>125.74770662822591</v>
      </c>
      <c r="S28" s="1453">
        <f>1000*TableA7!$P$91*TableC3!H26/TableC3!$C$91</f>
        <v>0</v>
      </c>
      <c r="T28" s="1453">
        <f>1000*TableA7!$P$91*TableC3!I26/TableC3!$C$91</f>
        <v>0</v>
      </c>
      <c r="U28" s="1453">
        <f>1000*TableA7!$P$91*TableC3!J26/TableC3!$C$91</f>
        <v>4138.7758981310008</v>
      </c>
      <c r="V28" s="1452">
        <f>1000*TableA7!$P$91*TableC3!K26/TableC3!$C$91</f>
        <v>10807.324200567164</v>
      </c>
      <c r="W28" s="1168">
        <f>1000*TableA7!$P$91*TableC3!L26/TableC3!$C$91</f>
        <v>3126.0213954521259</v>
      </c>
      <c r="X28" s="1211">
        <f>1000*TableA7!$P$91*TableC3!M26/TableC3!$C$91</f>
        <v>7681.3028051150395</v>
      </c>
    </row>
    <row r="29" spans="1:24" ht="14.25" customHeight="1" x14ac:dyDescent="0.2">
      <c r="A29" s="954" t="s">
        <v>308</v>
      </c>
      <c r="B29" s="1149" t="s">
        <v>47</v>
      </c>
      <c r="C29" s="1452">
        <f>1000*TableA7!$P$91*(TableC2!D27+TableC2!O27)/(TableC2!$D$91+TableC2!$O$91)</f>
        <v>4834.6318555725984</v>
      </c>
      <c r="D29" s="1452">
        <f>1000*TableA7!$P$91*(TableC2!E27+TableC2!P27)/(TableC2!$D$91+TableC2!$O$91)</f>
        <v>1157.3392641214625</v>
      </c>
      <c r="E29" s="1453">
        <f>1000*TableA7!$P$91*(TableC2!F27+TableC2!Q27)/(TableC2!$D$91+TableC2!$O$91)</f>
        <v>129.49015251601665</v>
      </c>
      <c r="F29" s="1453">
        <f>1000*TableA7!$P$91*(TableC2!G27+TableC2!R27)/(TableC2!$D$91+TableC2!$O$91)</f>
        <v>28.570135458972882</v>
      </c>
      <c r="G29" s="1453">
        <f>1000*TableA7!$P$91*(TableC2!H27+TableC2!S27)/(TableC2!$D$91+TableC2!$O$91)</f>
        <v>273.04610885742335</v>
      </c>
      <c r="H29" s="1453">
        <f>1000*TableA7!$P$91*(TableC2!I27+TableC2!T27)/(TableC2!$D$91+TableC2!$O$91)</f>
        <v>252.56352758364949</v>
      </c>
      <c r="I29" s="1453">
        <f>1000*TableA7!$P$91*(TableC2!J27+TableC2!U27)/(TableC2!$D$91+TableC2!$O$91)</f>
        <v>-0.2163862266811421</v>
      </c>
      <c r="J29" s="1453">
        <f>1000*TableA7!$P$91*(TableC2!K27+TableC2!V27)/(TableC2!$D$91+TableC2!$O$91)</f>
        <v>473.88572593208124</v>
      </c>
      <c r="K29" s="1452">
        <f>1000*TableA7!$P$91*(TableC2!L27+TableC2!W27)/(TableC2!$D$91+TableC2!$O$91)</f>
        <v>3677.2925914511356</v>
      </c>
      <c r="L29" s="1168">
        <f>1000*TableA7!$P$91*(TableC2!M27+TableC2!X27)/(TableC2!$D$91+TableC2!$O$91)</f>
        <v>301.90401446869765</v>
      </c>
      <c r="M29" s="1229">
        <f>1000*TableA7!$P$91*(TableC2!N27+TableC2!Y27)/(TableC2!$D$91+TableC2!$O$91)</f>
        <v>3375.3885769824374</v>
      </c>
      <c r="N29" s="1452">
        <f>1000*TableA7!$P$91*TableC3!C27/TableC3!$C$91</f>
        <v>1565.4074072558828</v>
      </c>
      <c r="O29" s="1452">
        <f>1000*TableA7!$P$91*TableC3!D27/TableC3!$C$91</f>
        <v>779.77958607093763</v>
      </c>
      <c r="P29" s="1453">
        <f>1000*TableA7!$P$91*TableC3!E27/TableC3!$C$91</f>
        <v>326.64773787811953</v>
      </c>
      <c r="Q29" s="1453">
        <f>1000*TableA7!$P$91*TableC3!F27/TableC3!$C$91</f>
        <v>1.3803293184891959E-2</v>
      </c>
      <c r="R29" s="1453">
        <f>1000*TableA7!$P$91*TableC3!G27/TableC3!$C$91</f>
        <v>0</v>
      </c>
      <c r="S29" s="1453">
        <f>1000*TableA7!$P$91*TableC3!H27/TableC3!$C$91</f>
        <v>0</v>
      </c>
      <c r="T29" s="1453">
        <f>1000*TableA7!$P$91*TableC3!I27/TableC3!$C$91</f>
        <v>0</v>
      </c>
      <c r="U29" s="1453">
        <f>1000*TableA7!$P$91*TableC3!J27/TableC3!$C$91</f>
        <v>453.11804489963311</v>
      </c>
      <c r="V29" s="1452">
        <f>1000*TableA7!$P$91*TableC3!K27/TableC3!$C$91</f>
        <v>785.62782118494545</v>
      </c>
      <c r="W29" s="1168">
        <f>1000*TableA7!$P$91*TableC3!L27/TableC3!$C$91</f>
        <v>0</v>
      </c>
      <c r="X29" s="1211">
        <f>1000*TableA7!$P$91*TableC3!M27/TableC3!$C$91</f>
        <v>785.62782118494545</v>
      </c>
    </row>
    <row r="30" spans="1:24" ht="14.25" customHeight="1" x14ac:dyDescent="0.2">
      <c r="A30" s="954"/>
      <c r="B30" s="1148" t="s">
        <v>48</v>
      </c>
      <c r="C30" s="1452">
        <f>1000*TableA7!$P$91*(TableC2!D28+TableC2!O28)/(TableC2!$D$91+TableC2!$O$91)</f>
        <v>200.97896727392819</v>
      </c>
      <c r="D30" s="1452">
        <f>1000*TableA7!$P$91*(TableC2!E28+TableC2!P28)/(TableC2!$D$91+TableC2!$O$91)</f>
        <v>140.70844607924323</v>
      </c>
      <c r="E30" s="1453">
        <f>1000*TableA7!$P$91*(TableC2!F28+TableC2!Q28)/(TableC2!$D$91+TableC2!$O$91)</f>
        <v>10.250657042879938</v>
      </c>
      <c r="F30" s="1453">
        <f>1000*TableA7!$P$91*(TableC2!G28+TableC2!R28)/(TableC2!$D$91+TableC2!$O$91)</f>
        <v>0.8371040859791713</v>
      </c>
      <c r="G30" s="1453">
        <f>1000*TableA7!$P$91*(TableC2!H28+TableC2!S28)/(TableC2!$D$91+TableC2!$O$91)</f>
        <v>46.363397896066367</v>
      </c>
      <c r="H30" s="1453">
        <f>1000*TableA7!$P$91*(TableC2!I28+TableC2!T28)/(TableC2!$D$91+TableC2!$O$91)</f>
        <v>65.804969798474758</v>
      </c>
      <c r="I30" s="1453">
        <f>1000*TableA7!$P$91*(TableC2!J28+TableC2!U28)/(TableC2!$D$91+TableC2!$O$91)</f>
        <v>1.9751028548097485</v>
      </c>
      <c r="J30" s="1453">
        <f>1000*TableA7!$P$91*(TableC2!K28+TableC2!V28)/(TableC2!$D$91+TableC2!$O$91)</f>
        <v>15.477214401033224</v>
      </c>
      <c r="K30" s="1452">
        <f>1000*TableA7!$P$91*(TableC2!L28+TableC2!W28)/(TableC2!$D$91+TableC2!$O$91)</f>
        <v>60.270521194684996</v>
      </c>
      <c r="L30" s="1168">
        <f>1000*TableA7!$P$91*(TableC2!M28+TableC2!X28)/(TableC2!$D$91+TableC2!$O$91)</f>
        <v>14.832562960491986</v>
      </c>
      <c r="M30" s="1229">
        <f>1000*TableA7!$P$91*(TableC2!N28+TableC2!Y28)/(TableC2!$D$91+TableC2!$O$91)</f>
        <v>45.437958234193026</v>
      </c>
      <c r="N30" s="1452">
        <f>1000*TableA7!$P$91*TableC3!C28/TableC3!$C$91</f>
        <v>-1.2975905328898003</v>
      </c>
      <c r="O30" s="1452">
        <f>1000*TableA7!$P$91*TableC3!D28/TableC3!$C$91</f>
        <v>-1.3825658530915257</v>
      </c>
      <c r="P30" s="1453">
        <f>1000*TableA7!$P$91*TableC3!E28/TableC3!$C$91</f>
        <v>-1.7895548410760678</v>
      </c>
      <c r="Q30" s="1453">
        <f>1000*TableA7!$P$91*TableC3!F28/TableC3!$C$91</f>
        <v>0.40698898798454225</v>
      </c>
      <c r="R30" s="1453">
        <f>1000*TableA7!$P$91*TableC3!G28/TableC3!$C$91</f>
        <v>0</v>
      </c>
      <c r="S30" s="1453">
        <f>1000*TableA7!$P$91*TableC3!H28/TableC3!$C$91</f>
        <v>0</v>
      </c>
      <c r="T30" s="1453">
        <f>1000*TableA7!$P$91*TableC3!I28/TableC3!$C$91</f>
        <v>0</v>
      </c>
      <c r="U30" s="1453">
        <f>1000*TableA7!$P$91*TableC3!J28/TableC3!$C$91</f>
        <v>0</v>
      </c>
      <c r="V30" s="1452">
        <f>1000*TableA7!$P$91*TableC3!K28/TableC3!$C$91</f>
        <v>8.4975320201725241E-2</v>
      </c>
      <c r="W30" s="1168">
        <f>1000*TableA7!$P$91*TableC3!L28/TableC3!$C$91</f>
        <v>0</v>
      </c>
      <c r="X30" s="1211">
        <f>1000*TableA7!$P$91*TableC3!M28/TableC3!$C$91</f>
        <v>8.4975320201725241E-2</v>
      </c>
    </row>
    <row r="31" spans="1:24" ht="14.25" customHeight="1" x14ac:dyDescent="0.2">
      <c r="A31" s="954"/>
      <c r="B31" s="1148" t="s">
        <v>49</v>
      </c>
      <c r="C31" s="1452"/>
      <c r="D31" s="1452"/>
      <c r="E31" s="1453"/>
      <c r="F31" s="1453"/>
      <c r="G31" s="1453"/>
      <c r="H31" s="1453"/>
      <c r="I31" s="1453"/>
      <c r="J31" s="1453"/>
      <c r="K31" s="1452"/>
      <c r="L31" s="1168"/>
      <c r="M31" s="1229"/>
      <c r="N31" s="1452"/>
      <c r="O31" s="1452"/>
      <c r="P31" s="1453"/>
      <c r="Q31" s="1453"/>
      <c r="R31" s="1453"/>
      <c r="S31" s="1453"/>
      <c r="T31" s="1453"/>
      <c r="U31" s="1453"/>
      <c r="V31" s="1452"/>
      <c r="W31" s="1168"/>
      <c r="X31" s="1211"/>
    </row>
    <row r="32" spans="1:24" ht="14.25" customHeight="1" x14ac:dyDescent="0.2">
      <c r="A32" s="954"/>
      <c r="B32" s="1148" t="s">
        <v>50</v>
      </c>
      <c r="C32" s="1452">
        <f>1000*TableA7!$P$91*(TableC2!D30+TableC2!O30)/(TableC2!$D$91+TableC2!$O$91)</f>
        <v>13095.889552074284</v>
      </c>
      <c r="D32" s="1452">
        <f>1000*TableA7!$P$91*(TableC2!E30+TableC2!P30)/(TableC2!$D$91+TableC2!$O$91)</f>
        <v>4037.4535191870855</v>
      </c>
      <c r="E32" s="1453">
        <f>1000*TableA7!$P$91*(TableC2!F30+TableC2!Q30)/(TableC2!$D$91+TableC2!$O$91)</f>
        <v>430.28860415050877</v>
      </c>
      <c r="F32" s="1453">
        <f>1000*TableA7!$P$91*(TableC2!G30+TableC2!R30)/(TableC2!$D$91+TableC2!$O$91)</f>
        <v>0</v>
      </c>
      <c r="G32" s="1453">
        <f>1000*TableA7!$P$91*(TableC2!H30+TableC2!S30)/(TableC2!$D$91+TableC2!$O$91)</f>
        <v>387.15098932633583</v>
      </c>
      <c r="H32" s="1453">
        <f>1000*TableA7!$P$91*(TableC2!I30+TableC2!T30)/(TableC2!$D$91+TableC2!$O$91)</f>
        <v>743.69280995968415</v>
      </c>
      <c r="I32" s="1453">
        <f>1000*TableA7!$P$91*(TableC2!J30+TableC2!U30)/(TableC2!$D$91+TableC2!$O$91)</f>
        <v>9.5213298990907109</v>
      </c>
      <c r="J32" s="1453">
        <f>1000*TableA7!$P$91*(TableC2!K30+TableC2!V30)/(TableC2!$D$91+TableC2!$O$91)</f>
        <v>2466.7997858514659</v>
      </c>
      <c r="K32" s="1452">
        <f>1000*TableA7!$P$91*(TableC2!L30+TableC2!W30)/(TableC2!$D$91+TableC2!$O$91)</f>
        <v>9058.436032887199</v>
      </c>
      <c r="L32" s="1168">
        <f>1000*TableA7!$P$91*(TableC2!M30+TableC2!X30)/(TableC2!$D$91+TableC2!$O$91)</f>
        <v>743.69339265912208</v>
      </c>
      <c r="M32" s="1229">
        <f>1000*TableA7!$P$91*(TableC2!N30+TableC2!Y30)/(TableC2!$D$91+TableC2!$O$91)</f>
        <v>8314.7426402280798</v>
      </c>
      <c r="N32" s="1452">
        <f>1000*TableA7!$P$91*TableC3!C30/TableC3!$C$91</f>
        <v>3635.6848838121946</v>
      </c>
      <c r="O32" s="1452">
        <f>1000*TableA7!$P$91*TableC3!D30/TableC3!$C$91</f>
        <v>3006.6640184036155</v>
      </c>
      <c r="P32" s="1453">
        <f>1000*TableA7!$P$91*TableC3!E30/TableC3!$C$91</f>
        <v>-736.86169404355144</v>
      </c>
      <c r="Q32" s="1453">
        <f>1000*TableA7!$P$91*TableC3!F30/TableC3!$C$91</f>
        <v>1.8258829268556664E-4</v>
      </c>
      <c r="R32" s="1453">
        <f>1000*TableA7!$P$91*TableC3!G30/TableC3!$C$91</f>
        <v>18.556392510985816</v>
      </c>
      <c r="S32" s="1453">
        <f>1000*TableA7!$P$91*TableC3!H30/TableC3!$C$91</f>
        <v>0</v>
      </c>
      <c r="T32" s="1453">
        <f>1000*TableA7!$P$91*TableC3!I30/TableC3!$C$91</f>
        <v>0</v>
      </c>
      <c r="U32" s="1453">
        <f>1000*TableA7!$P$91*TableC3!J30/TableC3!$C$91</f>
        <v>3724.969137347889</v>
      </c>
      <c r="V32" s="1452">
        <f>1000*TableA7!$P$91*TableC3!K30/TableC3!$C$91</f>
        <v>629.02086540857886</v>
      </c>
      <c r="W32" s="1168">
        <f>1000*TableA7!$P$91*TableC3!L30/TableC3!$C$91</f>
        <v>0</v>
      </c>
      <c r="X32" s="1211">
        <f>1000*TableA7!$P$91*TableC3!M30/TableC3!$C$91</f>
        <v>629.02086540857886</v>
      </c>
    </row>
    <row r="33" spans="1:24" ht="14.25" customHeight="1" x14ac:dyDescent="0.2">
      <c r="A33" s="954"/>
      <c r="B33" s="1148" t="s">
        <v>51</v>
      </c>
      <c r="C33" s="1452"/>
      <c r="D33" s="1452"/>
      <c r="E33" s="1453"/>
      <c r="F33" s="1453"/>
      <c r="G33" s="1453"/>
      <c r="H33" s="1453"/>
      <c r="I33" s="1453"/>
      <c r="J33" s="1453"/>
      <c r="K33" s="1452"/>
      <c r="L33" s="1168"/>
      <c r="M33" s="1229"/>
      <c r="N33" s="1452"/>
      <c r="O33" s="1452"/>
      <c r="P33" s="1453"/>
      <c r="Q33" s="1453"/>
      <c r="R33" s="1453"/>
      <c r="S33" s="1453"/>
      <c r="T33" s="1453"/>
      <c r="U33" s="1453"/>
      <c r="V33" s="1452"/>
      <c r="W33" s="1168"/>
      <c r="X33" s="1211"/>
    </row>
    <row r="34" spans="1:24" ht="14.25" customHeight="1" x14ac:dyDescent="0.2">
      <c r="A34" s="954"/>
      <c r="B34" s="1148" t="s">
        <v>52</v>
      </c>
      <c r="C34" s="1452">
        <f>1000*TableA7!$P$91*(TableC2!D32+TableC2!O32)/(TableC2!$D$91+TableC2!$O$91)</f>
        <v>1523.4433952929837</v>
      </c>
      <c r="D34" s="1452">
        <f>1000*TableA7!$P$91*(TableC2!E32+TableC2!P32)/(TableC2!$D$91+TableC2!$O$91)</f>
        <v>500.75239256662849</v>
      </c>
      <c r="E34" s="1453">
        <f>1000*TableA7!$P$91*(TableC2!F32+TableC2!Q32)/(TableC2!$D$91+TableC2!$O$91)</f>
        <v>43.161749201035775</v>
      </c>
      <c r="F34" s="1453">
        <f>1000*TableA7!$P$91*(TableC2!G32+TableC2!R32)/(TableC2!$D$91+TableC2!$O$91)</f>
        <v>0</v>
      </c>
      <c r="G34" s="1453">
        <f>1000*TableA7!$P$91*(TableC2!H32+TableC2!S32)/(TableC2!$D$91+TableC2!$O$91)</f>
        <v>214.81629912857156</v>
      </c>
      <c r="H34" s="1453">
        <f>1000*TableA7!$P$91*(TableC2!I32+TableC2!T32)/(TableC2!$D$91+TableC2!$O$91)</f>
        <v>115.22273286060243</v>
      </c>
      <c r="I34" s="1453">
        <f>1000*TableA7!$P$91*(TableC2!J32+TableC2!U32)/(TableC2!$D$91+TableC2!$O$91)</f>
        <v>8.4832806762380564</v>
      </c>
      <c r="J34" s="1453">
        <f>1000*TableA7!$P$91*(TableC2!K32+TableC2!V32)/(TableC2!$D$91+TableC2!$O$91)</f>
        <v>119.06833070018077</v>
      </c>
      <c r="K34" s="1452">
        <f>1000*TableA7!$P$91*(TableC2!L32+TableC2!W32)/(TableC2!$D$91+TableC2!$O$91)</f>
        <v>1022.6910027263549</v>
      </c>
      <c r="L34" s="1168">
        <f>1000*TableA7!$P$91*(TableC2!M32+TableC2!X32)/(TableC2!$D$91+TableC2!$O$91)</f>
        <v>83.962456509957349</v>
      </c>
      <c r="M34" s="1229">
        <f>1000*TableA7!$P$91*(TableC2!N32+TableC2!Y32)/(TableC2!$D$91+TableC2!$O$91)</f>
        <v>938.7285462163976</v>
      </c>
      <c r="N34" s="1452">
        <f>1000*TableA7!$P$91*TableC3!C32/TableC3!$C$91</f>
        <v>664.19388279612565</v>
      </c>
      <c r="O34" s="1452">
        <f>1000*TableA7!$P$91*TableC3!D32/TableC3!$C$91</f>
        <v>-108.5029583417853</v>
      </c>
      <c r="P34" s="1453">
        <f>1000*TableA7!$P$91*TableC3!E32/TableC3!$C$91</f>
        <v>-117.54493678789977</v>
      </c>
      <c r="Q34" s="1453">
        <f>1000*TableA7!$P$91*TableC3!F32/TableC3!$C$91</f>
        <v>0.20024037064326461</v>
      </c>
      <c r="R34" s="1453">
        <f>1000*TableA7!$P$91*TableC3!G32/TableC3!$C$91</f>
        <v>8.8417380754712003</v>
      </c>
      <c r="S34" s="1453">
        <f>1000*TableA7!$P$91*TableC3!H32/TableC3!$C$91</f>
        <v>0</v>
      </c>
      <c r="T34" s="1453">
        <f>1000*TableA7!$P$91*TableC3!I32/TableC3!$C$91</f>
        <v>0</v>
      </c>
      <c r="U34" s="1453">
        <f>1000*TableA7!$P$91*TableC3!J32/TableC3!$C$91</f>
        <v>0</v>
      </c>
      <c r="V34" s="1452">
        <f>1000*TableA7!$P$91*TableC3!K32/TableC3!$C$91</f>
        <v>772.69684113791095</v>
      </c>
      <c r="W34" s="1168">
        <f>1000*TableA7!$P$91*TableC3!L32/TableC3!$C$91</f>
        <v>0</v>
      </c>
      <c r="X34" s="1211">
        <f>1000*TableA7!$P$91*TableC3!M32/TableC3!$C$91</f>
        <v>772.69684113791095</v>
      </c>
    </row>
    <row r="35" spans="1:24" ht="14.25" customHeight="1" x14ac:dyDescent="0.2">
      <c r="A35" s="954"/>
      <c r="B35" s="1148" t="s">
        <v>53</v>
      </c>
      <c r="C35" s="1452">
        <f>1000*TableA7!$P$91*(TableC2!D33+TableC2!O33)/(TableC2!$D$91+TableC2!$O$91)</f>
        <v>5215.6647064681247</v>
      </c>
      <c r="D35" s="1452">
        <f>1000*TableA7!$P$91*(TableC2!E33+TableC2!P33)/(TableC2!$D$91+TableC2!$O$91)</f>
        <v>2943.7110483106339</v>
      </c>
      <c r="E35" s="1453">
        <f>1000*TableA7!$P$91*(TableC2!F33+TableC2!Q33)/(TableC2!$D$91+TableC2!$O$91)</f>
        <v>274.36645656815818</v>
      </c>
      <c r="F35" s="1453">
        <f>1000*TableA7!$P$91*(TableC2!G33+TableC2!R33)/(TableC2!$D$91+TableC2!$O$91)</f>
        <v>1.6855537143936803</v>
      </c>
      <c r="G35" s="1453">
        <f>1000*TableA7!$P$91*(TableC2!H33+TableC2!S33)/(TableC2!$D$91+TableC2!$O$91)</f>
        <v>1142.4759227196676</v>
      </c>
      <c r="H35" s="1453">
        <f>1000*TableA7!$P$91*(TableC2!I33+TableC2!T33)/(TableC2!$D$91+TableC2!$O$91)</f>
        <v>715.45484209571293</v>
      </c>
      <c r="I35" s="1453">
        <f>1000*TableA7!$P$91*(TableC2!J33+TableC2!U33)/(TableC2!$D$91+TableC2!$O$91)</f>
        <v>33.889576719519631</v>
      </c>
      <c r="J35" s="1453">
        <f>1000*TableA7!$P$91*(TableC2!K33+TableC2!V33)/(TableC2!$D$91+TableC2!$O$91)</f>
        <v>775.83869649318217</v>
      </c>
      <c r="K35" s="1452">
        <f>1000*TableA7!$P$91*(TableC2!L33+TableC2!W33)/(TableC2!$D$91+TableC2!$O$91)</f>
        <v>2271.9536581574898</v>
      </c>
      <c r="L35" s="1168">
        <f>1000*TableA7!$P$91*(TableC2!M33+TableC2!X33)/(TableC2!$D$91+TableC2!$O$91)</f>
        <v>186.52634051453447</v>
      </c>
      <c r="M35" s="1229">
        <f>1000*TableA7!$P$91*(TableC2!N33+TableC2!Y33)/(TableC2!$D$91+TableC2!$O$91)</f>
        <v>2085.4273176429556</v>
      </c>
      <c r="N35" s="1452">
        <f>1000*TableA7!$P$91*TableC3!C33/TableC3!$C$91</f>
        <v>5432.0250995465667</v>
      </c>
      <c r="O35" s="1452">
        <f>1000*TableA7!$P$91*TableC3!D33/TableC3!$C$91</f>
        <v>3839.4727176957904</v>
      </c>
      <c r="P35" s="1453">
        <f>1000*TableA7!$P$91*TableC3!E33/TableC3!$C$91</f>
        <v>3702.2924578331963</v>
      </c>
      <c r="Q35" s="1453">
        <f>1000*TableA7!$P$91*TableC3!F33/TableC3!$C$91</f>
        <v>0</v>
      </c>
      <c r="R35" s="1453">
        <f>1000*TableA7!$P$91*TableC3!G33/TableC3!$C$91</f>
        <v>35.046612058449234</v>
      </c>
      <c r="S35" s="1453">
        <f>1000*TableA7!$P$91*TableC3!H33/TableC3!$C$91</f>
        <v>0</v>
      </c>
      <c r="T35" s="1453">
        <f>1000*TableA7!$P$91*TableC3!I33/TableC3!$C$91</f>
        <v>0</v>
      </c>
      <c r="U35" s="1453">
        <f>1000*TableA7!$P$91*TableC3!J33/TableC3!$C$91</f>
        <v>102.13364780414452</v>
      </c>
      <c r="V35" s="1452">
        <f>1000*TableA7!$P$91*TableC3!K33/TableC3!$C$91</f>
        <v>1592.5523818507768</v>
      </c>
      <c r="W35" s="1168">
        <f>1000*TableA7!$P$91*TableC3!L33/TableC3!$C$91</f>
        <v>0</v>
      </c>
      <c r="X35" s="1211">
        <f>1000*TableA7!$P$91*TableC3!M33/TableC3!$C$91</f>
        <v>1592.5523818507768</v>
      </c>
    </row>
    <row r="36" spans="1:24" ht="14.25" customHeight="1" x14ac:dyDescent="0.2">
      <c r="A36" s="954"/>
      <c r="B36" s="1148" t="s">
        <v>54</v>
      </c>
      <c r="C36" s="1452">
        <f>1000*TableA7!$P$91*(TableC2!D34+TableC2!O34)/(TableC2!$D$91+TableC2!$O$91)</f>
        <v>3695.8663942036615</v>
      </c>
      <c r="D36" s="1452">
        <f>1000*TableA7!$P$91*(TableC2!E34+TableC2!P34)/(TableC2!$D$91+TableC2!$O$91)</f>
        <v>2560.6127822567601</v>
      </c>
      <c r="E36" s="1453">
        <f>1000*TableA7!$P$91*(TableC2!F34+TableC2!Q34)/(TableC2!$D$91+TableC2!$O$91)</f>
        <v>492.85065707137016</v>
      </c>
      <c r="F36" s="1453">
        <f>1000*TableA7!$P$91*(TableC2!G34+TableC2!R34)/(TableC2!$D$91+TableC2!$O$91)</f>
        <v>12.758683785637997</v>
      </c>
      <c r="G36" s="1453">
        <f>1000*TableA7!$P$91*(TableC2!H34+TableC2!S34)/(TableC2!$D$91+TableC2!$O$91)</f>
        <v>828.18108863991836</v>
      </c>
      <c r="H36" s="1453">
        <f>1000*TableA7!$P$91*(TableC2!I34+TableC2!T34)/(TableC2!$D$91+TableC2!$O$91)</f>
        <v>575.59399021059494</v>
      </c>
      <c r="I36" s="1453">
        <f>1000*TableA7!$P$91*(TableC2!J34+TableC2!U34)/(TableC2!$D$91+TableC2!$O$91)</f>
        <v>16.287146686298474</v>
      </c>
      <c r="J36" s="1453">
        <f>1000*TableA7!$P$91*(TableC2!K34+TableC2!V34)/(TableC2!$D$91+TableC2!$O$91)</f>
        <v>634.94121586293977</v>
      </c>
      <c r="K36" s="1452">
        <f>1000*TableA7!$P$91*(TableC2!L34+TableC2!W34)/(TableC2!$D$91+TableC2!$O$91)</f>
        <v>1135.2536119469016</v>
      </c>
      <c r="L36" s="1168">
        <f>1000*TableA7!$P$91*(TableC2!M34+TableC2!X34)/(TableC2!$D$91+TableC2!$O$91)</f>
        <v>1033.4183448501033</v>
      </c>
      <c r="M36" s="1229">
        <f>1000*TableA7!$P$91*(TableC2!N34+TableC2!Y34)/(TableC2!$D$91+TableC2!$O$91)</f>
        <v>101.8352670967983</v>
      </c>
      <c r="N36" s="1452">
        <f>1000*TableA7!$P$91*TableC3!C34/TableC3!$C$91</f>
        <v>-2526.9761674712031</v>
      </c>
      <c r="O36" s="1452">
        <f>1000*TableA7!$P$91*TableC3!D34/TableC3!$C$91</f>
        <v>-2528.8136081777884</v>
      </c>
      <c r="P36" s="1453">
        <f>1000*TableA7!$P$91*TableC3!E34/TableC3!$C$91</f>
        <v>-2989.6334866055354</v>
      </c>
      <c r="Q36" s="1453">
        <f>1000*TableA7!$P$91*TableC3!F34/TableC3!$C$91</f>
        <v>0</v>
      </c>
      <c r="R36" s="1453">
        <f>1000*TableA7!$P$91*TableC3!G34/TableC3!$C$91</f>
        <v>-18.31502887061891</v>
      </c>
      <c r="S36" s="1453">
        <f>1000*TableA7!$P$91*TableC3!H34/TableC3!$C$91</f>
        <v>0</v>
      </c>
      <c r="T36" s="1453">
        <f>1000*TableA7!$P$91*TableC3!I34/TableC3!$C$91</f>
        <v>0</v>
      </c>
      <c r="U36" s="1453">
        <f>1000*TableA7!$P$91*TableC3!J34/TableC3!$C$91</f>
        <v>479.13490729836593</v>
      </c>
      <c r="V36" s="1452">
        <f>1000*TableA7!$P$91*TableC3!K34/TableC3!$C$91</f>
        <v>1.8374407065856166</v>
      </c>
      <c r="W36" s="1168">
        <f>1000*TableA7!$P$91*TableC3!L34/TableC3!$C$91</f>
        <v>0</v>
      </c>
      <c r="X36" s="1211">
        <f>1000*TableA7!$P$91*TableC3!M34/TableC3!$C$91</f>
        <v>1.8374407065856166</v>
      </c>
    </row>
    <row r="37" spans="1:24" ht="14.25" customHeight="1" x14ac:dyDescent="0.2">
      <c r="A37" s="954"/>
      <c r="B37" s="1148" t="s">
        <v>55</v>
      </c>
      <c r="C37" s="1452">
        <f>1000*TableA7!$P$91*(TableC2!D35+TableC2!O35)/(TableC2!$D$91+TableC2!$O$91)</f>
        <v>2638.1822918681346</v>
      </c>
      <c r="D37" s="1452">
        <f>1000*TableA7!$P$91*(TableC2!E35+TableC2!P35)/(TableC2!$D$91+TableC2!$O$91)</f>
        <v>2356.8932486324625</v>
      </c>
      <c r="E37" s="1453">
        <f>1000*TableA7!$P$91*(TableC2!F35+TableC2!Q35)/(TableC2!$D$91+TableC2!$O$91)</f>
        <v>372.51566773606618</v>
      </c>
      <c r="F37" s="1453">
        <f>1000*TableA7!$P$91*(TableC2!G35+TableC2!R35)/(TableC2!$D$91+TableC2!$O$91)</f>
        <v>1.0463801074739643</v>
      </c>
      <c r="G37" s="1453">
        <f>1000*TableA7!$P$91*(TableC2!H35+TableC2!S35)/(TableC2!$D$91+TableC2!$O$91)</f>
        <v>532.88055199577332</v>
      </c>
      <c r="H37" s="1453">
        <f>1000*TableA7!$P$91*(TableC2!I35+TableC2!T35)/(TableC2!$D$91+TableC2!$O$91)</f>
        <v>741.87476236474674</v>
      </c>
      <c r="I37" s="1453">
        <f>1000*TableA7!$P$91*(TableC2!J35+TableC2!U35)/(TableC2!$D$91+TableC2!$O$91)</f>
        <v>8.3980050693946318</v>
      </c>
      <c r="J37" s="1453">
        <f>1000*TableA7!$P$91*(TableC2!K35+TableC2!V35)/(TableC2!$D$91+TableC2!$O$91)</f>
        <v>700.17788135900787</v>
      </c>
      <c r="K37" s="1452">
        <f>1000*TableA7!$P$91*(TableC2!L35+TableC2!W35)/(TableC2!$D$91+TableC2!$O$91)</f>
        <v>281.28904323567207</v>
      </c>
      <c r="L37" s="1168">
        <f>1000*TableA7!$P$91*(TableC2!M35+TableC2!X35)/(TableC2!$D$91+TableC2!$O$91)</f>
        <v>226.85015138945425</v>
      </c>
      <c r="M37" s="1229">
        <f>1000*TableA7!$P$91*(TableC2!N35+TableC2!Y35)/(TableC2!$D$91+TableC2!$O$91)</f>
        <v>54.438891846217764</v>
      </c>
      <c r="N37" s="1452">
        <f>1000*TableA7!$P$91*TableC3!C35/TableC3!$C$91</f>
        <v>278.00396998269787</v>
      </c>
      <c r="O37" s="1452">
        <f>1000*TableA7!$P$91*TableC3!D35/TableC3!$C$91</f>
        <v>3.1756436638261429</v>
      </c>
      <c r="P37" s="1453">
        <f>1000*TableA7!$P$91*TableC3!E35/TableC3!$C$91</f>
        <v>-156.37573064181512</v>
      </c>
      <c r="Q37" s="1453">
        <f>1000*TableA7!$P$91*TableC3!F35/TableC3!$C$91</f>
        <v>0.14970863053046879</v>
      </c>
      <c r="R37" s="1453">
        <f>1000*TableA7!$P$91*TableC3!G35/TableC3!$C$91</f>
        <v>51.057747589579861</v>
      </c>
      <c r="S37" s="1453">
        <f>1000*TableA7!$P$91*TableC3!H35/TableC3!$C$91</f>
        <v>0</v>
      </c>
      <c r="T37" s="1453">
        <f>1000*TableA7!$P$91*TableC3!I35/TableC3!$C$91</f>
        <v>0</v>
      </c>
      <c r="U37" s="1453">
        <f>1000*TableA7!$P$91*TableC3!J35/TableC3!$C$91</f>
        <v>108.34391808553094</v>
      </c>
      <c r="V37" s="1452">
        <f>1000*TableA7!$P$91*TableC3!K35/TableC3!$C$91</f>
        <v>274.82832631887175</v>
      </c>
      <c r="W37" s="1168">
        <f>1000*TableA7!$P$91*TableC3!L35/TableC3!$C$91</f>
        <v>0</v>
      </c>
      <c r="X37" s="1211">
        <f>1000*TableA7!$P$91*TableC3!M35/TableC3!$C$91</f>
        <v>274.82832631887175</v>
      </c>
    </row>
    <row r="38" spans="1:24" ht="14.25" customHeight="1" x14ac:dyDescent="0.2">
      <c r="A38" s="954" t="s">
        <v>336</v>
      </c>
      <c r="B38" s="1148" t="s">
        <v>56</v>
      </c>
      <c r="C38" s="1452">
        <f>1000*TableA7!$P$91*(TableC2!D36+TableC2!O36)/(TableC2!$D$91+TableC2!$O$91)</f>
        <v>636.81356041207425</v>
      </c>
      <c r="D38" s="1452">
        <f>1000*TableA7!$P$91*(TableC2!E36+TableC2!P36)/(TableC2!$D$91+TableC2!$O$91)</f>
        <v>535.34568700679756</v>
      </c>
      <c r="E38" s="1453">
        <f>1000*TableA7!$P$91*(TableC2!F36+TableC2!Q36)/(TableC2!$D$91+TableC2!$O$91)</f>
        <v>119.53462150435155</v>
      </c>
      <c r="F38" s="1453">
        <f>1000*TableA7!$P$91*(TableC2!G36+TableC2!R36)/(TableC2!$D$91+TableC2!$O$91)</f>
        <v>0.55806939065278094</v>
      </c>
      <c r="G38" s="1453">
        <f>1000*TableA7!$P$91*(TableC2!H36+TableC2!S36)/(TableC2!$D$91+TableC2!$O$91)</f>
        <v>96.859254026411776</v>
      </c>
      <c r="H38" s="1453">
        <f>1000*TableA7!$P$91*(TableC2!I36+TableC2!T36)/(TableC2!$D$91+TableC2!$O$91)</f>
        <v>194.0487617403175</v>
      </c>
      <c r="I38" s="1453">
        <f>1000*TableA7!$P$91*(TableC2!J36+TableC2!U36)/(TableC2!$D$91+TableC2!$O$91)</f>
        <v>4.6571518766799249</v>
      </c>
      <c r="J38" s="1453">
        <f>1000*TableA7!$P$91*(TableC2!K36+TableC2!V36)/(TableC2!$D$91+TableC2!$O$91)</f>
        <v>119.68782846838401</v>
      </c>
      <c r="K38" s="1452">
        <f>1000*TableA7!$P$91*(TableC2!L36+TableC2!W36)/(TableC2!$D$91+TableC2!$O$91)</f>
        <v>101.46787340527673</v>
      </c>
      <c r="L38" s="1168">
        <f>1000*TableA7!$P$91*(TableC2!M36+TableC2!X36)/(TableC2!$D$91+TableC2!$O$91)</f>
        <v>81.407464927208082</v>
      </c>
      <c r="M38" s="1229">
        <f>1000*TableA7!$P$91*(TableC2!N36+TableC2!Y36)/(TableC2!$D$91+TableC2!$O$91)</f>
        <v>20.06040847806867</v>
      </c>
      <c r="N38" s="1452">
        <f>1000*TableA7!$P$91*TableC3!C36/TableC3!$C$91</f>
        <v>89.925521376863429</v>
      </c>
      <c r="O38" s="1452">
        <f>1000*TableA7!$P$91*TableC3!D36/TableC3!$C$91</f>
        <v>86.38031327108807</v>
      </c>
      <c r="P38" s="1453">
        <f>1000*TableA7!$P$91*TableC3!E36/TableC3!$C$91</f>
        <v>80.543218315941559</v>
      </c>
      <c r="Q38" s="1453">
        <f>1000*TableA7!$P$91*TableC3!F36/TableC3!$C$91</f>
        <v>0</v>
      </c>
      <c r="R38" s="1453">
        <f>1000*TableA7!$P$91*TableC3!G36/TableC3!$C$91</f>
        <v>0</v>
      </c>
      <c r="S38" s="1453">
        <f>1000*TableA7!$P$91*TableC3!H36/TableC3!$C$91</f>
        <v>0</v>
      </c>
      <c r="T38" s="1453">
        <f>1000*TableA7!$P$91*TableC3!I36/TableC3!$C$91</f>
        <v>0</v>
      </c>
      <c r="U38" s="1453">
        <f>1000*TableA7!$P$91*TableC3!J36/TableC3!$C$91</f>
        <v>5.8370949551465188</v>
      </c>
      <c r="V38" s="1452">
        <f>1000*TableA7!$P$91*TableC3!K36/TableC3!$C$91</f>
        <v>3.5452081057753464</v>
      </c>
      <c r="W38" s="1168">
        <f>1000*TableA7!$P$91*TableC3!L36/TableC3!$C$91</f>
        <v>0</v>
      </c>
      <c r="X38" s="1211">
        <f>1000*TableA7!$P$91*TableC3!M36/TableC3!$C$91</f>
        <v>3.5452081057753464</v>
      </c>
    </row>
    <row r="39" spans="1:24" ht="14.25" customHeight="1" x14ac:dyDescent="0.2">
      <c r="A39" s="954"/>
      <c r="B39" s="1148" t="s">
        <v>57</v>
      </c>
      <c r="C39" s="1452">
        <f>1000*TableA7!$P$91*(TableC2!D37+TableC2!O37)/(TableC2!$D$91+TableC2!$O$91)</f>
        <v>225.29901009808276</v>
      </c>
      <c r="D39" s="1452">
        <f>1000*TableA7!$P$91*(TableC2!E37+TableC2!P37)/(TableC2!$D$91+TableC2!$O$91)</f>
        <v>115.10063901304477</v>
      </c>
      <c r="E39" s="1453">
        <f>1000*TableA7!$P$91*(TableC2!F37+TableC2!Q37)/(TableC2!$D$91+TableC2!$O$91)</f>
        <v>28.604646552711809</v>
      </c>
      <c r="F39" s="1453">
        <f>1000*TableA7!$P$91*(TableC2!G37+TableC2!R37)/(TableC2!$D$91+TableC2!$O$91)</f>
        <v>0.27000411128270535</v>
      </c>
      <c r="G39" s="1453">
        <f>1000*TableA7!$P$91*(TableC2!H37+TableC2!S37)/(TableC2!$D$91+TableC2!$O$91)</f>
        <v>40.238802202293925</v>
      </c>
      <c r="H39" s="1453">
        <f>1000*TableA7!$P$91*(TableC2!I37+TableC2!T37)/(TableC2!$D$91+TableC2!$O$91)</f>
        <v>29.320698916191361</v>
      </c>
      <c r="I39" s="1453">
        <f>1000*TableA7!$P$91*(TableC2!J37+TableC2!U37)/(TableC2!$D$91+TableC2!$O$91)</f>
        <v>0.18277521286921036</v>
      </c>
      <c r="J39" s="1453">
        <f>1000*TableA7!$P$91*(TableC2!K37+TableC2!V37)/(TableC2!$D$91+TableC2!$O$91)</f>
        <v>16.483712017695762</v>
      </c>
      <c r="K39" s="1452">
        <f>1000*TableA7!$P$91*(TableC2!L37+TableC2!W37)/(TableC2!$D$91+TableC2!$O$91)</f>
        <v>110.19837108503796</v>
      </c>
      <c r="L39" s="1168">
        <f>1000*TableA7!$P$91*(TableC2!M37+TableC2!X37)/(TableC2!$D$91+TableC2!$O$91)</f>
        <v>80.16801629536981</v>
      </c>
      <c r="M39" s="1229">
        <f>1000*TableA7!$P$91*(TableC2!N37+TableC2!Y37)/(TableC2!$D$91+TableC2!$O$91)</f>
        <v>30.030354789668166</v>
      </c>
      <c r="N39" s="1452">
        <f>1000*TableA7!$P$91*TableC3!C37/TableC3!$C$91</f>
        <v>-7.0565357816494352</v>
      </c>
      <c r="O39" s="1452">
        <f>1000*TableA7!$P$91*TableC3!D37/TableC3!$C$91</f>
        <v>-7.5825699869749208</v>
      </c>
      <c r="P39" s="1453">
        <f>1000*TableA7!$P$91*TableC3!E37/TableC3!$C$91</f>
        <v>-7.5689039898506643</v>
      </c>
      <c r="Q39" s="1453">
        <f>1000*TableA7!$P$91*TableC3!F37/TableC3!$C$91</f>
        <v>-1.3665997124256542E-2</v>
      </c>
      <c r="R39" s="1453">
        <f>1000*TableA7!$P$91*TableC3!G37/TableC3!$C$91</f>
        <v>0</v>
      </c>
      <c r="S39" s="1453">
        <f>1000*TableA7!$P$91*TableC3!H37/TableC3!$C$91</f>
        <v>0</v>
      </c>
      <c r="T39" s="1453">
        <f>1000*TableA7!$P$91*TableC3!I37/TableC3!$C$91</f>
        <v>0</v>
      </c>
      <c r="U39" s="1453">
        <f>1000*TableA7!$P$91*TableC3!J37/TableC3!$C$91</f>
        <v>0</v>
      </c>
      <c r="V39" s="1452">
        <f>1000*TableA7!$P$91*TableC3!K37/TableC3!$C$91</f>
        <v>0.52603420532548562</v>
      </c>
      <c r="W39" s="1168">
        <f>1000*TableA7!$P$91*TableC3!L37/TableC3!$C$91</f>
        <v>0</v>
      </c>
      <c r="X39" s="1211">
        <f>1000*TableA7!$P$91*TableC3!M37/TableC3!$C$91</f>
        <v>0.52603420532548562</v>
      </c>
    </row>
    <row r="40" spans="1:24" ht="14.25" customHeight="1" x14ac:dyDescent="0.2">
      <c r="A40" s="954"/>
      <c r="B40" s="1148" t="s">
        <v>58</v>
      </c>
      <c r="C40" s="1452">
        <f>1000*TableA7!$P$91*(TableC2!D38+TableC2!O38)/(TableC2!$D$91+TableC2!$O$91)</f>
        <v>14362.071520602967</v>
      </c>
      <c r="D40" s="1452">
        <f>1000*TableA7!$P$91*(TableC2!E38+TableC2!P38)/(TableC2!$D$91+TableC2!$O$91)</f>
        <v>11306.512195320996</v>
      </c>
      <c r="E40" s="1453">
        <f>1000*TableA7!$P$91*(TableC2!F38+TableC2!Q38)/(TableC2!$D$91+TableC2!$O$91)</f>
        <v>895.78485377474146</v>
      </c>
      <c r="F40" s="1453">
        <f>1000*TableA7!$P$91*(TableC2!G38+TableC2!R38)/(TableC2!$D$91+TableC2!$O$91)</f>
        <v>9.0686275981076907</v>
      </c>
      <c r="G40" s="1453">
        <f>1000*TableA7!$P$91*(TableC2!H38+TableC2!S38)/(TableC2!$D$91+TableC2!$O$91)</f>
        <v>2265.3946828007824</v>
      </c>
      <c r="H40" s="1453">
        <f>1000*TableA7!$P$91*(TableC2!I38+TableC2!T38)/(TableC2!$D$91+TableC2!$O$91)</f>
        <v>3148.3773772843465</v>
      </c>
      <c r="I40" s="1453">
        <f>1000*TableA7!$P$91*(TableC2!J38+TableC2!U38)/(TableC2!$D$91+TableC2!$O$91)</f>
        <v>17.477186541687171</v>
      </c>
      <c r="J40" s="1453">
        <f>1000*TableA7!$P$91*(TableC2!K38+TableC2!V38)/(TableC2!$D$91+TableC2!$O$91)</f>
        <v>4970.4094673213331</v>
      </c>
      <c r="K40" s="1452">
        <f>1000*TableA7!$P$91*(TableC2!L38+TableC2!W38)/(TableC2!$D$91+TableC2!$O$91)</f>
        <v>3055.5593252819704</v>
      </c>
      <c r="L40" s="1168">
        <f>1000*TableA7!$P$91*(TableC2!M38+TableC2!X38)/(TableC2!$D$91+TableC2!$O$91)</f>
        <v>1723.6309312557178</v>
      </c>
      <c r="M40" s="1229">
        <f>1000*TableA7!$P$91*(TableC2!N38+TableC2!Y38)/(TableC2!$D$91+TableC2!$O$91)</f>
        <v>1331.9283940262535</v>
      </c>
      <c r="N40" s="1452">
        <f>1000*TableA7!$P$91*TableC3!C38/TableC3!$C$91</f>
        <v>3099.8760283355009</v>
      </c>
      <c r="O40" s="1452">
        <f>1000*TableA7!$P$91*TableC3!D38/TableC3!$C$91</f>
        <v>1102.8621662359037</v>
      </c>
      <c r="P40" s="1453">
        <f>1000*TableA7!$P$91*TableC3!E38/TableC3!$C$91</f>
        <v>-933.52148618082663</v>
      </c>
      <c r="Q40" s="1453">
        <f>1000*TableA7!$P$91*TableC3!F38/TableC3!$C$91</f>
        <v>4.8250434244004845</v>
      </c>
      <c r="R40" s="1453">
        <f>1000*TableA7!$P$91*TableC3!G38/TableC3!$C$91</f>
        <v>702.49508961464846</v>
      </c>
      <c r="S40" s="1453">
        <f>1000*TableA7!$P$91*TableC3!H38/TableC3!$C$91</f>
        <v>-222.94303921357007</v>
      </c>
      <c r="T40" s="1453">
        <f>1000*TableA7!$P$91*TableC3!I38/TableC3!$C$91</f>
        <v>2.820818795711999</v>
      </c>
      <c r="U40" s="1453">
        <f>1000*TableA7!$P$91*TableC3!J38/TableC3!$C$91</f>
        <v>1549.1857397955398</v>
      </c>
      <c r="V40" s="1452">
        <f>1000*TableA7!$P$91*TableC3!K38/TableC3!$C$91</f>
        <v>1997.013862099597</v>
      </c>
      <c r="W40" s="1168">
        <f>1000*TableA7!$P$91*TableC3!L38/TableC3!$C$91</f>
        <v>1694.983994461209</v>
      </c>
      <c r="X40" s="1211">
        <f>1000*TableA7!$P$91*TableC3!M38/TableC3!$C$91</f>
        <v>302.02986763838794</v>
      </c>
    </row>
    <row r="41" spans="1:24" s="25" customFormat="1" ht="14.25" customHeight="1" x14ac:dyDescent="0.2">
      <c r="A41" s="1109"/>
      <c r="B41" s="1074" t="s">
        <v>59</v>
      </c>
      <c r="C41" s="1452">
        <f>1000*TableA7!$P$91*(TableC2!D39+TableC2!O39)/(TableC2!$D$91+TableC2!$O$91)</f>
        <v>8541.0900580049947</v>
      </c>
      <c r="D41" s="1452">
        <f>1000*TableA7!$P$91*(TableC2!E39+TableC2!P39)/(TableC2!$D$91+TableC2!$O$91)</f>
        <v>6671.350421331319</v>
      </c>
      <c r="E41" s="1453">
        <f>1000*TableA7!$P$91*(TableC2!F39+TableC2!Q39)/(TableC2!$D$91+TableC2!$O$91)</f>
        <v>939.40284480831576</v>
      </c>
      <c r="F41" s="1453">
        <f>1000*TableA7!$P$91*(TableC2!G39+TableC2!R39)/(TableC2!$D$91+TableC2!$O$91)</f>
        <v>3.4879336915798809</v>
      </c>
      <c r="G41" s="1453">
        <f>1000*TableA7!$P$91*(TableC2!H39+TableC2!S39)/(TableC2!$D$91+TableC2!$O$91)</f>
        <v>2191.6935682166823</v>
      </c>
      <c r="H41" s="1453">
        <f>1000*TableA7!$P$91*(TableC2!I39+TableC2!T39)/(TableC2!$D$91+TableC2!$O$91)</f>
        <v>2387.5842328405784</v>
      </c>
      <c r="I41" s="1453">
        <f>1000*TableA7!$P$91*(TableC2!J39+TableC2!U39)/(TableC2!$D$91+TableC2!$O$91)</f>
        <v>106.30369615594229</v>
      </c>
      <c r="J41" s="1453">
        <f>1000*TableA7!$P$91*(TableC2!K39+TableC2!V39)/(TableC2!$D$91+TableC2!$O$91)</f>
        <v>1042.8781456182198</v>
      </c>
      <c r="K41" s="1452">
        <f>1000*TableA7!$P$91*(TableC2!L39+TableC2!W39)/(TableC2!$D$91+TableC2!$O$91)</f>
        <v>1869.7396366736759</v>
      </c>
      <c r="L41" s="1168">
        <f>1000*TableA7!$P$91*(TableC2!M39+TableC2!X39)/(TableC2!$D$91+TableC2!$O$91)</f>
        <v>680.45759325108077</v>
      </c>
      <c r="M41" s="1229">
        <f>1000*TableA7!$P$91*(TableC2!N39+TableC2!Y39)/(TableC2!$D$91+TableC2!$O$91)</f>
        <v>1189.2820434225953</v>
      </c>
      <c r="N41" s="1452">
        <f>1000*TableA7!$P$91*TableC3!C39/TableC3!$C$91</f>
        <v>9482.5407177516772</v>
      </c>
      <c r="O41" s="1452">
        <f>1000*TableA7!$P$91*TableC3!D39/TableC3!$C$91</f>
        <v>6736.8315527555651</v>
      </c>
      <c r="P41" s="1453">
        <f>1000*TableA7!$P$91*TableC3!E39/TableC3!$C$91</f>
        <v>3574.7994902830601</v>
      </c>
      <c r="Q41" s="1453">
        <f>1000*TableA7!$P$91*TableC3!F39/TableC3!$C$91</f>
        <v>1.4193926529299816</v>
      </c>
      <c r="R41" s="1453">
        <f>1000*TableA7!$P$91*TableC3!G39/TableC3!$C$91</f>
        <v>163.63662894731274</v>
      </c>
      <c r="S41" s="1453">
        <f>1000*TableA7!$P$91*TableC3!H39/TableC3!$C$91</f>
        <v>63.708282106225916</v>
      </c>
      <c r="T41" s="1453">
        <f>1000*TableA7!$P$91*TableC3!I39/TableC3!$C$91</f>
        <v>0</v>
      </c>
      <c r="U41" s="1453">
        <f>1000*TableA7!$P$91*TableC3!J39/TableC3!$C$91</f>
        <v>2933.267758766036</v>
      </c>
      <c r="V41" s="1452">
        <f>1000*TableA7!$P$91*TableC3!K39/TableC3!$C$91</f>
        <v>2745.7091649961117</v>
      </c>
      <c r="W41" s="1168">
        <f>1000*TableA7!$P$91*TableC3!L39/TableC3!$C$91</f>
        <v>2659.61335925911</v>
      </c>
      <c r="X41" s="1211">
        <f>1000*TableA7!$P$91*TableC3!M39/TableC3!$C$91</f>
        <v>86.095805737001768</v>
      </c>
    </row>
    <row r="42" spans="1:24" ht="14.25" customHeight="1" x14ac:dyDescent="0.2">
      <c r="A42" s="954"/>
      <c r="B42" s="1148" t="s">
        <v>60</v>
      </c>
      <c r="C42" s="1452"/>
      <c r="D42" s="1452"/>
      <c r="E42" s="1453"/>
      <c r="F42" s="1453"/>
      <c r="G42" s="1453"/>
      <c r="H42" s="1453"/>
      <c r="I42" s="1453"/>
      <c r="J42" s="1453"/>
      <c r="K42" s="1452"/>
      <c r="L42" s="1168"/>
      <c r="M42" s="1229"/>
      <c r="N42" s="1452"/>
      <c r="O42" s="1452"/>
      <c r="P42" s="1453"/>
      <c r="Q42" s="1453"/>
      <c r="R42" s="1453"/>
      <c r="S42" s="1453"/>
      <c r="T42" s="1453"/>
      <c r="U42" s="1453"/>
      <c r="V42" s="1452"/>
      <c r="W42" s="1168"/>
      <c r="X42" s="1211"/>
    </row>
    <row r="43" spans="1:24" ht="14.25" customHeight="1" x14ac:dyDescent="0.2">
      <c r="A43" s="954"/>
      <c r="B43" s="1148" t="s">
        <v>61</v>
      </c>
      <c r="C43" s="1452">
        <f>1000*TableA7!$P$91*(TableC2!D41+TableC2!O41)/(TableC2!$D$91+TableC2!$O$91)</f>
        <v>4975.4928205897595</v>
      </c>
      <c r="D43" s="1452">
        <f>1000*TableA7!$P$91*(TableC2!E41+TableC2!P41)/(TableC2!$D$91+TableC2!$O$91)</f>
        <v>1616.4255905617979</v>
      </c>
      <c r="E43" s="1453">
        <f>1000*TableA7!$P$91*(TableC2!F41+TableC2!Q41)/(TableC2!$D$91+TableC2!$O$91)</f>
        <v>171.90102514779218</v>
      </c>
      <c r="F43" s="1453">
        <f>1000*TableA7!$P$91*(TableC2!G41+TableC2!R41)/(TableC2!$D$91+TableC2!$O$91)</f>
        <v>0</v>
      </c>
      <c r="G43" s="1453">
        <f>1000*TableA7!$P$91*(TableC2!H41+TableC2!S41)/(TableC2!$D$91+TableC2!$O$91)</f>
        <v>521.24259846847565</v>
      </c>
      <c r="H43" s="1453">
        <f>1000*TableA7!$P$91*(TableC2!I41+TableC2!T41)/(TableC2!$D$91+TableC2!$O$91)</f>
        <v>268.27102188390865</v>
      </c>
      <c r="I43" s="1453">
        <f>1000*TableA7!$P$91*(TableC2!J41+TableC2!U41)/(TableC2!$D$91+TableC2!$O$91)</f>
        <v>21.934346218198151</v>
      </c>
      <c r="J43" s="1453">
        <f>1000*TableA7!$P$91*(TableC2!K41+TableC2!V41)/(TableC2!$D$91+TableC2!$O$91)</f>
        <v>633.07659884342354</v>
      </c>
      <c r="K43" s="1452">
        <f>1000*TableA7!$P$91*(TableC2!L41+TableC2!W41)/(TableC2!$D$91+TableC2!$O$91)</f>
        <v>3359.0672300279607</v>
      </c>
      <c r="L43" s="1168">
        <f>1000*TableA7!$P$91*(TableC2!M41+TableC2!X41)/(TableC2!$D$91+TableC2!$O$91)</f>
        <v>275.77786004118281</v>
      </c>
      <c r="M43" s="1229">
        <f>1000*TableA7!$P$91*(TableC2!N41+TableC2!Y41)/(TableC2!$D$91+TableC2!$O$91)</f>
        <v>3083.2893699867777</v>
      </c>
      <c r="N43" s="1452">
        <f>1000*TableA7!$P$91*TableC3!C41/TableC3!$C$91</f>
        <v>468.07850247818971</v>
      </c>
      <c r="O43" s="1452">
        <f>1000*TableA7!$P$91*TableC3!D41/TableC3!$C$91</f>
        <v>448.54211049952477</v>
      </c>
      <c r="P43" s="1453">
        <f>1000*TableA7!$P$91*TableC3!E41/TableC3!$C$91</f>
        <v>18.652339055015045</v>
      </c>
      <c r="Q43" s="1453">
        <f>1000*TableA7!$P$91*TableC3!F41/TableC3!$C$91</f>
        <v>-6.0609127448260688E-3</v>
      </c>
      <c r="R43" s="1453">
        <f>1000*TableA7!$P$91*TableC3!G41/TableC3!$C$91</f>
        <v>0</v>
      </c>
      <c r="S43" s="1453">
        <f>1000*TableA7!$P$91*TableC3!H41/TableC3!$C$91</f>
        <v>0</v>
      </c>
      <c r="T43" s="1453">
        <f>1000*TableA7!$P$91*TableC3!I41/TableC3!$C$91</f>
        <v>3.5619389148389415</v>
      </c>
      <c r="U43" s="1453">
        <f>1000*TableA7!$P$91*TableC3!J41/TableC3!$C$91</f>
        <v>426.33389344241562</v>
      </c>
      <c r="V43" s="1452">
        <f>1000*TableA7!$P$91*TableC3!K41/TableC3!$C$91</f>
        <v>19.536391978664955</v>
      </c>
      <c r="W43" s="1168">
        <f>1000*TableA7!$P$91*TableC3!L41/TableC3!$C$91</f>
        <v>0</v>
      </c>
      <c r="X43" s="1211">
        <f>1000*TableA7!$P$91*TableC3!M41/TableC3!$C$91</f>
        <v>19.536391978664955</v>
      </c>
    </row>
    <row r="44" spans="1:24" ht="14.25" customHeight="1" x14ac:dyDescent="0.2">
      <c r="A44" s="954"/>
      <c r="B44" s="1148" t="s">
        <v>62</v>
      </c>
      <c r="C44" s="1452">
        <f>1000*TableA7!$P$91*(TableC2!D42+TableC2!O42)/(TableC2!$D$91+TableC2!$O$91)</f>
        <v>61500.90068304637</v>
      </c>
      <c r="D44" s="1452">
        <f>1000*TableA7!$P$91*(TableC2!E42+TableC2!P42)/(TableC2!$D$91+TableC2!$O$91)</f>
        <v>48545.269178069379</v>
      </c>
      <c r="E44" s="1453">
        <f>1000*TableA7!$P$91*(TableC2!F42+TableC2!Q42)/(TableC2!$D$91+TableC2!$O$91)</f>
        <v>5175.2327460793467</v>
      </c>
      <c r="F44" s="1453">
        <f>1000*TableA7!$P$91*(TableC2!G42+TableC2!R42)/(TableC2!$D$91+TableC2!$O$91)</f>
        <v>505.89624321914977</v>
      </c>
      <c r="G44" s="1453">
        <f>1000*TableA7!$P$91*(TableC2!H42+TableC2!S42)/(TableC2!$D$91+TableC2!$O$91)</f>
        <v>16919.754255845513</v>
      </c>
      <c r="H44" s="1453">
        <f>1000*TableA7!$P$91*(TableC2!I42+TableC2!T42)/(TableC2!$D$91+TableC2!$O$91)</f>
        <v>15955.786856875593</v>
      </c>
      <c r="I44" s="1453">
        <f>1000*TableA7!$P$91*(TableC2!J42+TableC2!U42)/(TableC2!$D$91+TableC2!$O$91)</f>
        <v>232.81328640864103</v>
      </c>
      <c r="J44" s="1453">
        <f>1000*TableA7!$P$91*(TableC2!K42+TableC2!V42)/(TableC2!$D$91+TableC2!$O$91)</f>
        <v>9755.7857896411315</v>
      </c>
      <c r="K44" s="1452">
        <f>1000*TableA7!$P$91*(TableC2!L42+TableC2!W42)/(TableC2!$D$91+TableC2!$O$91)</f>
        <v>12955.631504977</v>
      </c>
      <c r="L44" s="1168">
        <f>1000*TableA7!$P$91*(TableC2!M42+TableC2!X42)/(TableC2!$D$91+TableC2!$O$91)</f>
        <v>3806.9935847933366</v>
      </c>
      <c r="M44" s="1229">
        <f>1000*TableA7!$P$91*(TableC2!N42+TableC2!Y42)/(TableC2!$D$91+TableC2!$O$91)</f>
        <v>9148.6379201836626</v>
      </c>
      <c r="N44" s="1452">
        <f>1000*TableA7!$P$91*TableC3!C42/TableC3!$C$91</f>
        <v>54470.500815613676</v>
      </c>
      <c r="O44" s="1452">
        <f>1000*TableA7!$P$91*TableC3!D42/TableC3!$C$91</f>
        <v>38795.342454904843</v>
      </c>
      <c r="P44" s="1453">
        <f>1000*TableA7!$P$91*TableC3!E42/TableC3!$C$91</f>
        <v>-2196.6673178122555</v>
      </c>
      <c r="Q44" s="1453">
        <f>1000*TableA7!$P$91*TableC3!F42/TableC3!$C$91</f>
        <v>294.40023860201006</v>
      </c>
      <c r="R44" s="1453">
        <f>1000*TableA7!$P$91*TableC3!G42/TableC3!$C$91</f>
        <v>2997.3863262894815</v>
      </c>
      <c r="S44" s="1453">
        <f>1000*TableA7!$P$91*TableC3!H42/TableC3!$C$91</f>
        <v>9020.2426837244493</v>
      </c>
      <c r="T44" s="1453">
        <f>1000*TableA7!$P$91*TableC3!I42/TableC3!$C$91</f>
        <v>38.266481042478844</v>
      </c>
      <c r="U44" s="1453">
        <f>1000*TableA7!$P$91*TableC3!J42/TableC3!$C$91</f>
        <v>28641.714043058684</v>
      </c>
      <c r="V44" s="1452">
        <f>1000*TableA7!$P$91*TableC3!K42/TableC3!$C$91</f>
        <v>15675.158360708827</v>
      </c>
      <c r="W44" s="1168">
        <f>1000*TableA7!$P$91*TableC3!L42/TableC3!$C$91</f>
        <v>8255.9622303344386</v>
      </c>
      <c r="X44" s="1211">
        <f>1000*TableA7!$P$91*TableC3!M42/TableC3!$C$91</f>
        <v>7419.1961303743865</v>
      </c>
    </row>
    <row r="45" spans="1:24" ht="14.25" customHeight="1" x14ac:dyDescent="0.2">
      <c r="A45" s="954"/>
      <c r="B45" s="1148" t="s">
        <v>63</v>
      </c>
      <c r="C45" s="1452">
        <f>1000*TableA7!$P$91*(TableC2!D43+TableC2!O43)/(TableC2!$D$91+TableC2!$O$91)</f>
        <v>142565.30860350179</v>
      </c>
      <c r="D45" s="1452">
        <f>1000*TableA7!$P$91*(TableC2!E43+TableC2!P43)/(TableC2!$D$91+TableC2!$O$91)</f>
        <v>43113.120318516296</v>
      </c>
      <c r="E45" s="1453">
        <f>1000*TableA7!$P$91*(TableC2!F43+TableC2!Q43)/(TableC2!$D$91+TableC2!$O$91)</f>
        <v>5711.8620992737888</v>
      </c>
      <c r="F45" s="1453">
        <f>1000*TableA7!$P$91*(TableC2!G43+TableC2!R43)/(TableC2!$D$91+TableC2!$O$91)</f>
        <v>299.38735507967397</v>
      </c>
      <c r="G45" s="1453">
        <f>1000*TableA7!$P$91*(TableC2!H43+TableC2!S43)/(TableC2!$D$91+TableC2!$O$91)</f>
        <v>8360.1987787962989</v>
      </c>
      <c r="H45" s="1453">
        <f>1000*TableA7!$P$91*(TableC2!I43+TableC2!T43)/(TableC2!$D$91+TableC2!$O$91)</f>
        <v>14183.70735359657</v>
      </c>
      <c r="I45" s="1453">
        <f>1000*TableA7!$P$91*(TableC2!J43+TableC2!U43)/(TableC2!$D$91+TableC2!$O$91)</f>
        <v>145.1178079606745</v>
      </c>
      <c r="J45" s="1453">
        <f>1000*TableA7!$P$91*(TableC2!K43+TableC2!V43)/(TableC2!$D$91+TableC2!$O$91)</f>
        <v>14412.846923809282</v>
      </c>
      <c r="K45" s="1452">
        <f>1000*TableA7!$P$91*(TableC2!L43+TableC2!W43)/(TableC2!$D$91+TableC2!$O$91)</f>
        <v>99452.188284985503</v>
      </c>
      <c r="L45" s="1168">
        <f>1000*TableA7!$P$91*(TableC2!M43+TableC2!X43)/(TableC2!$D$91+TableC2!$O$91)</f>
        <v>13731.49494414153</v>
      </c>
      <c r="M45" s="1229">
        <f>1000*TableA7!$P$91*(TableC2!N43+TableC2!Y43)/(TableC2!$D$91+TableC2!$O$91)</f>
        <v>85720.693340843995</v>
      </c>
      <c r="N45" s="1452">
        <f>1000*TableA7!$P$91*TableC3!C43/TableC3!$C$91</f>
        <v>305414.59228542639</v>
      </c>
      <c r="O45" s="1452">
        <f>1000*TableA7!$P$91*TableC3!D43/TableC3!$C$91</f>
        <v>171634.08158557015</v>
      </c>
      <c r="P45" s="1453">
        <f>1000*TableA7!$P$91*TableC3!E43/TableC3!$C$91</f>
        <v>-10926.456524348805</v>
      </c>
      <c r="Q45" s="1453">
        <f>1000*TableA7!$P$91*TableC3!F43/TableC3!$C$91</f>
        <v>0</v>
      </c>
      <c r="R45" s="1453">
        <f>1000*TableA7!$P$91*TableC3!G43/TableC3!$C$91</f>
        <v>72323.907323840467</v>
      </c>
      <c r="S45" s="1453">
        <f>1000*TableA7!$P$91*TableC3!H43/TableC3!$C$91</f>
        <v>32427.855550896591</v>
      </c>
      <c r="T45" s="1453">
        <f>1000*TableA7!$P$91*TableC3!I43/TableC3!$C$91</f>
        <v>2.7944524797700123</v>
      </c>
      <c r="U45" s="1453">
        <f>1000*TableA7!$P$91*TableC3!J43/TableC3!$C$91</f>
        <v>77805.980782702114</v>
      </c>
      <c r="V45" s="1452">
        <f>1000*TableA7!$P$91*TableC3!K43/TableC3!$C$91</f>
        <v>133780.5106998563</v>
      </c>
      <c r="W45" s="1168">
        <f>1000*TableA7!$P$91*TableC3!L43/TableC3!$C$91</f>
        <v>81093.034721715158</v>
      </c>
      <c r="X45" s="1211">
        <f>1000*TableA7!$P$91*TableC3!M43/TableC3!$C$91</f>
        <v>52687.475978141149</v>
      </c>
    </row>
    <row r="46" spans="1:24" ht="40" customHeight="1" x14ac:dyDescent="0.2">
      <c r="A46" s="954"/>
      <c r="B46" s="7" t="s">
        <v>64</v>
      </c>
      <c r="C46" s="1201">
        <f>1000*TableA7!$P$91*(TableC2!D44+TableC2!O44)/(TableC2!$D$91+TableC2!$O$91)</f>
        <v>102599.15789568896</v>
      </c>
      <c r="D46" s="1201">
        <f>1000*TableA7!$P$91*(TableC2!E44+TableC2!P44)/(TableC2!$D$91+TableC2!$O$91)</f>
        <v>24168.578575766107</v>
      </c>
      <c r="E46" s="245">
        <f>1000*TableA7!$P$91*(TableC2!F44+TableC2!Q44)/(TableC2!$D$91+TableC2!$O$91)</f>
        <v>1314.6666118979697</v>
      </c>
      <c r="F46" s="245">
        <f>1000*TableA7!$P$91*(TableC2!G44+TableC2!R44)/(TableC2!$D$91+TableC2!$O$91)</f>
        <v>483.11237721889592</v>
      </c>
      <c r="G46" s="245">
        <f>1000*TableA7!$P$91*(TableC2!H44+TableC2!S44)/(TableC2!$D$91+TableC2!$O$91)</f>
        <v>8661.3083472477738</v>
      </c>
      <c r="H46" s="245">
        <f>1000*TableA7!$P$91*(TableC2!I44+TableC2!T44)/(TableC2!$D$91+TableC2!$O$91)</f>
        <v>6015.4991953982708</v>
      </c>
      <c r="I46" s="245">
        <f>1000*TableA7!$P$91*(TableC2!J44+TableC2!U44)/(TableC2!$D$91+TableC2!$O$91)</f>
        <v>131.07076394522778</v>
      </c>
      <c r="J46" s="245">
        <f>1000*TableA7!$P$91*(TableC2!K44+TableC2!V44)/(TableC2!$D$91+TableC2!$O$91)</f>
        <v>7562.9212800579689</v>
      </c>
      <c r="K46" s="1201">
        <f>1000*TableA7!$P$91*(TableC2!L44+TableC2!W44)/(TableC2!$D$91+TableC2!$O$91)</f>
        <v>78430.57931992285</v>
      </c>
      <c r="L46" s="245">
        <f>1000*TableA7!$P$91*(TableC2!M44+TableC2!X44)/(TableC2!$D$91+TableC2!$O$91)</f>
        <v>6439.1141485008411</v>
      </c>
      <c r="M46" s="623">
        <f>1000*TableA7!$P$91*(TableC2!N44+TableC2!Y44)/(TableC2!$D$91+TableC2!$O$91)</f>
        <v>71991.465171421994</v>
      </c>
      <c r="N46" s="1201">
        <f>1000*TableA7!$P$91*TableC3!C44/TableC3!$C$91</f>
        <v>63262.528917943157</v>
      </c>
      <c r="O46" s="1201">
        <f>1000*TableA7!$P$91*TableC3!D44/TableC3!$C$91</f>
        <v>6749.7835324544567</v>
      </c>
      <c r="P46" s="1453">
        <f>1000*TableA7!$P$91*TableC3!E44/TableC3!$C$91</f>
        <v>3761.8475550589555</v>
      </c>
      <c r="Q46" s="1453">
        <f>1000*TableA7!$P$91*TableC3!F44/TableC3!$C$91</f>
        <v>1233.5591768474981</v>
      </c>
      <c r="R46" s="1453">
        <f>1000*TableA7!$P$91*TableC3!G44/TableC3!$C$91</f>
        <v>-67.433807822032804</v>
      </c>
      <c r="S46" s="1453">
        <f>1000*TableA7!$P$91*TableC3!H44/TableC3!$C$91</f>
        <v>-184.42734347212144</v>
      </c>
      <c r="T46" s="1453">
        <f>1000*TableA7!$P$91*TableC3!I44/TableC3!$C$91</f>
        <v>0</v>
      </c>
      <c r="U46" s="1453">
        <f>1000*TableA7!$P$91*TableC3!J44/TableC3!$C$91</f>
        <v>2006.2379518421562</v>
      </c>
      <c r="V46" s="1201">
        <f>1000*TableA7!$P$91*TableC3!K44/TableC3!$C$91</f>
        <v>56512.745385488721</v>
      </c>
      <c r="W46" s="245">
        <f>1000*TableA7!$P$91*TableC3!L44/TableC3!$C$91</f>
        <v>0</v>
      </c>
      <c r="X46" s="624">
        <f>1000*TableA7!$P$91*TableC3!M44/TableC3!$C$91</f>
        <v>56512.745385488721</v>
      </c>
    </row>
    <row r="47" spans="1:24" x14ac:dyDescent="0.2">
      <c r="A47" s="954"/>
      <c r="B47" s="1149" t="s">
        <v>65</v>
      </c>
      <c r="C47" s="1452">
        <f>1000*TableA7!$P$91*(TableC2!D45+TableC2!O45)/(TableC2!$D$91+TableC2!$O$91)</f>
        <v>14212.064614009523</v>
      </c>
      <c r="D47" s="1452">
        <f>1000*TableA7!$P$91*(TableC2!E45+TableC2!P45)/(TableC2!$D$91+TableC2!$O$91)</f>
        <v>5267.4280287716601</v>
      </c>
      <c r="E47" s="1453">
        <f>1000*TableA7!$P$91*(TableC2!F45+TableC2!Q45)/(TableC2!$D$91+TableC2!$O$91)</f>
        <v>339.21721308535604</v>
      </c>
      <c r="F47" s="1453">
        <f>1000*TableA7!$P$91*(TableC2!G45+TableC2!R45)/(TableC2!$D$91+TableC2!$O$91)</f>
        <v>8.4277685719684026E-2</v>
      </c>
      <c r="G47" s="1453">
        <f>1000*TableA7!$P$91*(TableC2!H45+TableC2!S45)/(TableC2!$D$91+TableC2!$O$91)</f>
        <v>890.91438861660788</v>
      </c>
      <c r="H47" s="1453">
        <f>1000*TableA7!$P$91*(TableC2!I45+TableC2!T45)/(TableC2!$D$91+TableC2!$O$91)</f>
        <v>956.9795768028215</v>
      </c>
      <c r="I47" s="1453">
        <f>1000*TableA7!$P$91*(TableC2!J45+TableC2!U45)/(TableC2!$D$91+TableC2!$O$91)</f>
        <v>4.3374947318079906</v>
      </c>
      <c r="J47" s="1453">
        <f>1000*TableA7!$P$91*(TableC2!K45+TableC2!V45)/(TableC2!$D$91+TableC2!$O$91)</f>
        <v>3075.8950778493468</v>
      </c>
      <c r="K47" s="1452">
        <f>1000*TableA7!$P$91*(TableC2!L45+TableC2!W45)/(TableC2!$D$91+TableC2!$O$91)</f>
        <v>8944.636585237864</v>
      </c>
      <c r="L47" s="1168">
        <f>1000*TableA7!$P$91*(TableC2!M45+TableC2!X45)/(TableC2!$D$91+TableC2!$O$91)</f>
        <v>734.35051084179634</v>
      </c>
      <c r="M47" s="1229">
        <f>1000*TableA7!$P$91*(TableC2!N45+TableC2!Y45)/(TableC2!$D$91+TableC2!$O$91)</f>
        <v>8210.2860743960682</v>
      </c>
      <c r="N47" s="1452">
        <f>1000*TableA7!$P$91*TableC3!C45/TableC3!$C$91</f>
        <v>6775.7353543263644</v>
      </c>
      <c r="O47" s="1452">
        <f>1000*TableA7!$P$91*TableC3!D45/TableC3!$C$91</f>
        <v>6478.845096053381</v>
      </c>
      <c r="P47" s="1453">
        <f>1000*TableA7!$P$91*TableC3!E45/TableC3!$C$91</f>
        <v>5390.4333747736109</v>
      </c>
      <c r="Q47" s="1453">
        <f>1000*TableA7!$P$91*TableC3!F45/TableC3!$C$91</f>
        <v>5.8645058049907771E-3</v>
      </c>
      <c r="R47" s="1453">
        <f>1000*TableA7!$P$91*TableC3!G45/TableC3!$C$91</f>
        <v>-50.734735147346647</v>
      </c>
      <c r="S47" s="1453">
        <f>1000*TableA7!$P$91*TableC3!H45/TableC3!$C$91</f>
        <v>487.62319952482221</v>
      </c>
      <c r="T47" s="1453">
        <f>1000*TableA7!$P$91*TableC3!I45/TableC3!$C$91</f>
        <v>0</v>
      </c>
      <c r="U47" s="1453">
        <f>1000*TableA7!$P$91*TableC3!J45/TableC3!$C$91</f>
        <v>651.51739239648862</v>
      </c>
      <c r="V47" s="1452">
        <f>1000*TableA7!$P$91*TableC3!K45/TableC3!$C$91</f>
        <v>296.89025827298275</v>
      </c>
      <c r="W47" s="1168">
        <f>1000*TableA7!$P$91*TableC3!L45/TableC3!$C$91</f>
        <v>0</v>
      </c>
      <c r="X47" s="1211">
        <f>1000*TableA7!$P$91*TableC3!M45/TableC3!$C$91</f>
        <v>296.89025827298275</v>
      </c>
    </row>
    <row r="48" spans="1:24" x14ac:dyDescent="0.2">
      <c r="A48" s="329" t="s">
        <v>337</v>
      </c>
      <c r="B48" s="1148" t="s">
        <v>66</v>
      </c>
      <c r="C48" s="1452">
        <f>1000*TableA7!$P$91*(TableC2!D46+TableC2!O46)/(TableC2!$D$91+TableC2!$O$91)</f>
        <v>60525.807931300937</v>
      </c>
      <c r="D48" s="1452">
        <f>1000*TableA7!$P$91*(TableC2!E46+TableC2!P46)/(TableC2!$D$91+TableC2!$O$91)</f>
        <v>6129.6719549179952</v>
      </c>
      <c r="E48" s="1453">
        <f>1000*TableA7!$P$91*(TableC2!F46+TableC2!Q46)/(TableC2!$D$91+TableC2!$O$91)</f>
        <v>371.35817910358179</v>
      </c>
      <c r="F48" s="1453">
        <f>1000*TableA7!$P$91*(TableC2!G46+TableC2!R46)/(TableC2!$D$91+TableC2!$O$91)</f>
        <v>58.572991575180389</v>
      </c>
      <c r="G48" s="1453">
        <f>1000*TableA7!$P$91*(TableC2!H46+TableC2!S46)/(TableC2!$D$91+TableC2!$O$91)</f>
        <v>3076.7859166666258</v>
      </c>
      <c r="H48" s="1453">
        <f>1000*TableA7!$P$91*(TableC2!I46+TableC2!T46)/(TableC2!$D$91+TableC2!$O$91)</f>
        <v>1321.0129909379252</v>
      </c>
      <c r="I48" s="1453">
        <f>1000*TableA7!$P$91*(TableC2!J46+TableC2!U46)/(TableC2!$D$91+TableC2!$O$91)</f>
        <v>3.2411602449649015</v>
      </c>
      <c r="J48" s="1453">
        <f>1000*TableA7!$P$91*(TableC2!K46+TableC2!V46)/(TableC2!$D$91+TableC2!$O$91)</f>
        <v>1298.7007163897183</v>
      </c>
      <c r="K48" s="1452">
        <f>1000*TableA7!$P$91*(TableC2!L46+TableC2!W46)/(TableC2!$D$91+TableC2!$O$91)</f>
        <v>54396.135976382939</v>
      </c>
      <c r="L48" s="1168">
        <f>1000*TableA7!$P$91*(TableC2!M46+TableC2!X46)/(TableC2!$D$91+TableC2!$O$91)</f>
        <v>4465.8975086816627</v>
      </c>
      <c r="M48" s="1229">
        <f>1000*TableA7!$P$91*(TableC2!N46+TableC2!Y46)/(TableC2!$D$91+TableC2!$O$91)</f>
        <v>49930.238467701281</v>
      </c>
      <c r="N48" s="1452">
        <f>1000*TableA7!$P$91*TableC3!C46/TableC3!$C$91</f>
        <v>45517.429910554289</v>
      </c>
      <c r="O48" s="1452">
        <f>1000*TableA7!$P$91*TableC3!D46/TableC3!$C$91</f>
        <v>6.429968574258031</v>
      </c>
      <c r="P48" s="1453">
        <f>1000*TableA7!$P$91*TableC3!E46/TableC3!$C$91</f>
        <v>-984.44212364754083</v>
      </c>
      <c r="Q48" s="1453">
        <f>1000*TableA7!$P$91*TableC3!F46/TableC3!$C$91</f>
        <v>13.171128855386481</v>
      </c>
      <c r="R48" s="1453">
        <f>1000*TableA7!$P$91*TableC3!G46/TableC3!$C$91</f>
        <v>-14.535702061954456</v>
      </c>
      <c r="S48" s="1453">
        <f>1000*TableA7!$P$91*TableC3!H46/TableC3!$C$91</f>
        <v>94.578351022117403</v>
      </c>
      <c r="T48" s="1453">
        <f>1000*TableA7!$P$91*TableC3!I46/TableC3!$C$91</f>
        <v>0</v>
      </c>
      <c r="U48" s="1453">
        <f>1000*TableA7!$P$91*TableC3!J46/TableC3!$C$91</f>
        <v>897.65831440624947</v>
      </c>
      <c r="V48" s="1452">
        <f>1000*TableA7!$P$91*TableC3!K46/TableC3!$C$91</f>
        <v>45510.999941980044</v>
      </c>
      <c r="W48" s="1168">
        <f>1000*TableA7!$P$91*TableC3!L46/TableC3!$C$91</f>
        <v>0</v>
      </c>
      <c r="X48" s="1211">
        <f>1000*TableA7!$P$91*TableC3!M46/TableC3!$C$91</f>
        <v>45510.999941980044</v>
      </c>
    </row>
    <row r="49" spans="1:24" x14ac:dyDescent="0.2">
      <c r="A49" s="954"/>
      <c r="B49" s="1148" t="s">
        <v>67</v>
      </c>
      <c r="C49" s="1452">
        <f>1000*TableA7!$P$91*(TableC2!D47+TableC2!O47)/(TableC2!$D$91+TableC2!$O$91)</f>
        <v>1403.6174395306298</v>
      </c>
      <c r="D49" s="1452">
        <f>1000*TableA7!$P$91*(TableC2!E47+TableC2!P47)/(TableC2!$D$91+TableC2!$O$91)</f>
        <v>572.88147169047193</v>
      </c>
      <c r="E49" s="1453">
        <f>1000*TableA7!$P$91*(TableC2!F47+TableC2!Q47)/(TableC2!$D$91+TableC2!$O$91)</f>
        <v>43.807480493657621</v>
      </c>
      <c r="F49" s="1453">
        <f>1000*TableA7!$P$91*(TableC2!G47+TableC2!R47)/(TableC2!$D$91+TableC2!$O$91)</f>
        <v>11.471609026692352</v>
      </c>
      <c r="G49" s="1453">
        <f>1000*TableA7!$P$91*(TableC2!H47+TableC2!S47)/(TableC2!$D$91+TableC2!$O$91)</f>
        <v>304.58731788211873</v>
      </c>
      <c r="H49" s="1453">
        <f>1000*TableA7!$P$91*(TableC2!I47+TableC2!T47)/(TableC2!$D$91+TableC2!$O$91)</f>
        <v>65.572278886018694</v>
      </c>
      <c r="I49" s="1453">
        <f>1000*TableA7!$P$91*(TableC2!J47+TableC2!U47)/(TableC2!$D$91+TableC2!$O$91)</f>
        <v>55.29014764007659</v>
      </c>
      <c r="J49" s="1453">
        <f>1000*TableA7!$P$91*(TableC2!K47+TableC2!V47)/(TableC2!$D$91+TableC2!$O$91)</f>
        <v>92.152637761907911</v>
      </c>
      <c r="K49" s="1452">
        <f>1000*TableA7!$P$91*(TableC2!L47+TableC2!W47)/(TableC2!$D$91+TableC2!$O$91)</f>
        <v>830.73596784015785</v>
      </c>
      <c r="L49" s="1168">
        <f>1000*TableA7!$P$91*(TableC2!M47+TableC2!X47)/(TableC2!$D$91+TableC2!$O$91)</f>
        <v>68.203037266477253</v>
      </c>
      <c r="M49" s="1229">
        <f>1000*TableA7!$P$91*(TableC2!N47+TableC2!Y47)/(TableC2!$D$91+TableC2!$O$91)</f>
        <v>762.53293057368046</v>
      </c>
      <c r="N49" s="1452">
        <f>1000*TableA7!$P$91*TableC3!C47/TableC3!$C$91</f>
        <v>998.96635671275953</v>
      </c>
      <c r="O49" s="1452">
        <f>1000*TableA7!$P$91*TableC3!D47/TableC3!$C$91</f>
        <v>-2.9477500913507071</v>
      </c>
      <c r="P49" s="1453">
        <f>1000*TableA7!$P$91*TableC3!E47/TableC3!$C$91</f>
        <v>-2.9571053279975761</v>
      </c>
      <c r="Q49" s="1453">
        <f>1000*TableA7!$P$91*TableC3!F47/TableC3!$C$91</f>
        <v>9.355236646869167E-3</v>
      </c>
      <c r="R49" s="1453">
        <f>1000*TableA7!$P$91*TableC3!G47/TableC3!$C$91</f>
        <v>0</v>
      </c>
      <c r="S49" s="1453">
        <f>1000*TableA7!$P$91*TableC3!H47/TableC3!$C$91</f>
        <v>0</v>
      </c>
      <c r="T49" s="1453">
        <f>1000*TableA7!$P$91*TableC3!I47/TableC3!$C$91</f>
        <v>0</v>
      </c>
      <c r="U49" s="1453">
        <f>1000*TableA7!$P$91*TableC3!J47/TableC3!$C$91</f>
        <v>0</v>
      </c>
      <c r="V49" s="1452">
        <f>1000*TableA7!$P$91*TableC3!K47/TableC3!$C$91</f>
        <v>1001.9141068041104</v>
      </c>
      <c r="W49" s="1168">
        <f>1000*TableA7!$P$91*TableC3!L47/TableC3!$C$91</f>
        <v>0</v>
      </c>
      <c r="X49" s="1211">
        <f>1000*TableA7!$P$91*TableC3!M47/TableC3!$C$91</f>
        <v>1001.9141068041104</v>
      </c>
    </row>
    <row r="50" spans="1:24" x14ac:dyDescent="0.2">
      <c r="A50" s="954"/>
      <c r="B50" s="1148" t="s">
        <v>68</v>
      </c>
      <c r="C50" s="1452">
        <f>1000*TableA7!$P$91*(TableC2!D48+TableC2!O48)/(TableC2!$D$91+TableC2!$O$91)</f>
        <v>1057.5199886874607</v>
      </c>
      <c r="D50" s="1452">
        <f>1000*TableA7!$P$91*(TableC2!E48+TableC2!P48)/(TableC2!$D$91+TableC2!$O$91)</f>
        <v>431.62302661610892</v>
      </c>
      <c r="E50" s="1168">
        <f>1000*TableA7!$P$91*(TableC2!F48+TableC2!Q48)/(TableC2!$D$91+TableC2!$O$91)</f>
        <v>33.005635988372184</v>
      </c>
      <c r="F50" s="1168">
        <f>1000*TableA7!$P$91*(TableC2!G48+TableC2!R48)/(TableC2!$D$91+TableC2!$O$91)</f>
        <v>8.6429931023024587</v>
      </c>
      <c r="G50" s="1168">
        <f>1000*TableA7!$P$91*(TableC2!H48+TableC2!S48)/(TableC2!$D$91+TableC2!$O$91)</f>
        <v>229.48359566460999</v>
      </c>
      <c r="H50" s="1168">
        <f>1000*TableA7!$P$91*(TableC2!I48+TableC2!T48)/(TableC2!$D$91+TableC2!$O$91)</f>
        <v>49.403771763438748</v>
      </c>
      <c r="I50" s="1168">
        <f>1000*TableA7!$P$91*(TableC2!J48+TableC2!U48)/(TableC2!$D$91+TableC2!$O$91)</f>
        <v>41.656960550742639</v>
      </c>
      <c r="J50" s="1168">
        <f>1000*TableA7!$P$91*(TableC2!K48+TableC2!V48)/(TableC2!$D$91+TableC2!$O$91)</f>
        <v>69.430069546642926</v>
      </c>
      <c r="K50" s="1452">
        <f>1000*TableA7!$P$91*(TableC2!L48+TableC2!W48)/(TableC2!$D$91+TableC2!$O$91)</f>
        <v>625.89696207135182</v>
      </c>
      <c r="L50" s="1168">
        <f>1000*TableA7!$P$91*(TableC2!M48+TableC2!X48)/(TableC2!$D$91+TableC2!$O$91)</f>
        <v>51.385849995291089</v>
      </c>
      <c r="M50" s="1229">
        <f>1000*TableA7!$P$91*(TableC2!N48+TableC2!Y48)/(TableC2!$D$91+TableC2!$O$91)</f>
        <v>574.51111207606073</v>
      </c>
      <c r="N50" s="1452">
        <f>1000*TableA7!$P$91*TableC3!C48/TableC3!$C$91</f>
        <v>119.20823439778249</v>
      </c>
      <c r="O50" s="1452">
        <f>1000*TableA7!$P$91*TableC3!D48/TableC3!$C$91</f>
        <v>-1.4762833314944745</v>
      </c>
      <c r="P50" s="1168">
        <f>1000*TableA7!$P$91*TableC3!E48/TableC3!$C$91</f>
        <v>-1.4785526639987729</v>
      </c>
      <c r="Q50" s="1168">
        <f>1000*TableA7!$P$91*TableC3!F48/TableC3!$C$91</f>
        <v>2.2693325042984127E-3</v>
      </c>
      <c r="R50" s="1168">
        <f>1000*TableA7!$P$91*TableC3!G48/TableC3!$C$91</f>
        <v>0</v>
      </c>
      <c r="S50" s="1168">
        <f>1000*TableA7!$P$91*TableC3!H48/TableC3!$C$91</f>
        <v>0</v>
      </c>
      <c r="T50" s="1168">
        <f>1000*TableA7!$P$91*TableC3!I48/TableC3!$C$91</f>
        <v>0</v>
      </c>
      <c r="U50" s="1168">
        <f>1000*TableA7!$P$91*TableC3!J48/TableC3!$C$91</f>
        <v>0</v>
      </c>
      <c r="V50" s="1452">
        <f>1000*TableA7!$P$91*TableC3!K48/TableC3!$C$91</f>
        <v>120.68451772927695</v>
      </c>
      <c r="W50" s="1168">
        <f>1000*TableA7!$P$91*TableC3!L48/TableC3!$C$91</f>
        <v>0</v>
      </c>
      <c r="X50" s="1211">
        <f>1000*TableA7!$P$91*TableC3!M48/TableC3!$C$91</f>
        <v>120.68451772927695</v>
      </c>
    </row>
    <row r="51" spans="1:24" ht="14.25" customHeight="1" x14ac:dyDescent="0.2">
      <c r="A51" s="954"/>
      <c r="B51" s="1148" t="s">
        <v>69</v>
      </c>
      <c r="C51" s="1452">
        <f>1000*TableA7!$P$91*(TableC2!D49+TableC2!O49)/(TableC2!$D$91+TableC2!$O$91)</f>
        <v>9476.3990387445938</v>
      </c>
      <c r="D51" s="1452">
        <f>1000*TableA7!$P$91*(TableC2!E49+TableC2!P49)/(TableC2!$D$91+TableC2!$O$91)</f>
        <v>2762.2316274337295</v>
      </c>
      <c r="E51" s="1453">
        <f>1000*TableA7!$P$91*(TableC2!F49+TableC2!Q49)/(TableC2!$D$91+TableC2!$O$91)</f>
        <v>90.297762300830257</v>
      </c>
      <c r="F51" s="1453">
        <f>1000*TableA7!$P$91*(TableC2!G49+TableC2!R49)/(TableC2!$D$91+TableC2!$O$91)</f>
        <v>7.5849917147715615</v>
      </c>
      <c r="G51" s="1453">
        <f>1000*TableA7!$P$91*(TableC2!H49+TableC2!S49)/(TableC2!$D$91+TableC2!$O$91)</f>
        <v>2052.7961140941075</v>
      </c>
      <c r="H51" s="1453">
        <f>1000*TableA7!$P$91*(TableC2!I49+TableC2!T49)/(TableC2!$D$91+TableC2!$O$91)</f>
        <v>136.84646951055055</v>
      </c>
      <c r="I51" s="1453">
        <f>1000*TableA7!$P$91*(TableC2!J49+TableC2!U49)/(TableC2!$D$91+TableC2!$O$91)</f>
        <v>2.3420075135531158</v>
      </c>
      <c r="J51" s="1453">
        <f>1000*TableA7!$P$91*(TableC2!K49+TableC2!V49)/(TableC2!$D$91+TableC2!$O$91)</f>
        <v>472.36428229991668</v>
      </c>
      <c r="K51" s="1452">
        <f>1000*TableA7!$P$91*(TableC2!L49+TableC2!W49)/(TableC2!$D$91+TableC2!$O$91)</f>
        <v>6714.1674113108638</v>
      </c>
      <c r="L51" s="1168">
        <f>1000*TableA7!$P$91*(TableC2!M49+TableC2!X49)/(TableC2!$D$91+TableC2!$O$91)</f>
        <v>551.23002722221349</v>
      </c>
      <c r="M51" s="1229">
        <f>1000*TableA7!$P$91*(TableC2!N49+TableC2!Y49)/(TableC2!$D$91+TableC2!$O$91)</f>
        <v>6162.9373840886501</v>
      </c>
      <c r="N51" s="1452">
        <f>1000*TableA7!$P$91*TableC3!C49/TableC3!$C$91</f>
        <v>4676.8156409217545</v>
      </c>
      <c r="O51" s="1452">
        <f>1000*TableA7!$P$91*TableC3!D49/TableC3!$C$91</f>
        <v>28.82422035170195</v>
      </c>
      <c r="P51" s="1453">
        <f>1000*TableA7!$P$91*TableC3!E49/TableC3!$C$91</f>
        <v>28.043176926202097</v>
      </c>
      <c r="Q51" s="1453">
        <f>1000*TableA7!$P$91*TableC3!F49/TableC3!$C$91</f>
        <v>0.78104342549985128</v>
      </c>
      <c r="R51" s="1453">
        <f>1000*TableA7!$P$91*TableC3!G49/TableC3!$C$91</f>
        <v>0</v>
      </c>
      <c r="S51" s="1453">
        <f>1000*TableA7!$P$91*TableC3!H49/TableC3!$C$91</f>
        <v>0</v>
      </c>
      <c r="T51" s="1453">
        <f>1000*TableA7!$P$91*TableC3!I49/TableC3!$C$91</f>
        <v>0</v>
      </c>
      <c r="U51" s="1453">
        <f>1000*TableA7!$P$91*TableC3!J49/TableC3!$C$91</f>
        <v>0</v>
      </c>
      <c r="V51" s="1452">
        <f>1000*TableA7!$P$91*TableC3!K49/TableC3!$C$91</f>
        <v>4647.9914205700525</v>
      </c>
      <c r="W51" s="1168">
        <f>1000*TableA7!$P$91*TableC3!L49/TableC3!$C$91</f>
        <v>0</v>
      </c>
      <c r="X51" s="1211">
        <f>1000*TableA7!$P$91*TableC3!M49/TableC3!$C$91</f>
        <v>4647.9914205700525</v>
      </c>
    </row>
    <row r="52" spans="1:24" ht="14.25" customHeight="1" x14ac:dyDescent="0.2">
      <c r="A52" s="329" t="s">
        <v>338</v>
      </c>
      <c r="B52" s="1148" t="s">
        <v>70</v>
      </c>
      <c r="C52" s="1452">
        <f>1000*TableA7!$P$91*(TableC2!D50+TableC2!O50)/(TableC2!$D$91+TableC2!$O$91)</f>
        <v>11843.104349333909</v>
      </c>
      <c r="D52" s="1452">
        <f>1000*TableA7!$P$91*(TableC2!E50+TableC2!P50)/(TableC2!$D$91+TableC2!$O$91)</f>
        <v>7268.3665538305768</v>
      </c>
      <c r="E52" s="1453">
        <f>1000*TableA7!$P$91*(TableC2!F50+TableC2!Q50)/(TableC2!$D$91+TableC2!$O$91)</f>
        <v>371.1875899889485</v>
      </c>
      <c r="F52" s="1453">
        <f>1000*TableA7!$P$91*(TableC2!G50+TableC2!R50)/(TableC2!$D$91+TableC2!$O$91)</f>
        <v>390.01329925665482</v>
      </c>
      <c r="G52" s="1453">
        <f>1000*TableA7!$P$91*(TableC2!H50+TableC2!S50)/(TableC2!$D$91+TableC2!$O$91)</f>
        <v>1241.6960070705322</v>
      </c>
      <c r="H52" s="1453">
        <f>1000*TableA7!$P$91*(TableC2!I50+TableC2!T50)/(TableC2!$D$91+TableC2!$O$91)</f>
        <v>3134.9805065173923</v>
      </c>
      <c r="I52" s="1453">
        <f>1000*TableA7!$P$91*(TableC2!J50+TableC2!U50)/(TableC2!$D$91+TableC2!$O$91)</f>
        <v>22.019758563461046</v>
      </c>
      <c r="J52" s="1453">
        <f>1000*TableA7!$P$91*(TableC2!K50+TableC2!V50)/(TableC2!$D$91+TableC2!$O$91)</f>
        <v>2108.469392433587</v>
      </c>
      <c r="K52" s="1452">
        <f>1000*TableA7!$P$91*(TableC2!L50+TableC2!W50)/(TableC2!$D$91+TableC2!$O$91)</f>
        <v>4574.7377955033344</v>
      </c>
      <c r="L52" s="1168">
        <f>1000*TableA7!$P$91*(TableC2!M50+TableC2!X50)/(TableC2!$D$91+TableC2!$O$91)</f>
        <v>375.5838490564912</v>
      </c>
      <c r="M52" s="1229">
        <f>1000*TableA7!$P$91*(TableC2!N50+TableC2!Y50)/(TableC2!$D$91+TableC2!$O$91)</f>
        <v>4199.1539464468433</v>
      </c>
      <c r="N52" s="1452">
        <f>1000*TableA7!$P$91*TableC3!C50/TableC3!$C$91</f>
        <v>754.94450349072804</v>
      </c>
      <c r="O52" s="1452">
        <f>1000*TableA7!$P$91*TableC3!D50/TableC3!$C$91</f>
        <v>717.89514347763361</v>
      </c>
      <c r="P52" s="1453">
        <f>1000*TableA7!$P$91*TableC3!E50/TableC3!$C$91</f>
        <v>-186.48232286971802</v>
      </c>
      <c r="Q52" s="1453">
        <f>1000*TableA7!$P$91*TableC3!F50/TableC3!$C$91</f>
        <v>1215.4759332200499</v>
      </c>
      <c r="R52" s="1453">
        <f>1000*TableA7!$P$91*TableC3!G50/TableC3!$C$91</f>
        <v>-1.5318178930551871</v>
      </c>
      <c r="S52" s="1453">
        <f>1000*TableA7!$P$91*TableC3!H50/TableC3!$C$91</f>
        <v>-766.62889401906102</v>
      </c>
      <c r="T52" s="1453">
        <f>1000*TableA7!$P$91*TableC3!I50/TableC3!$C$91</f>
        <v>0</v>
      </c>
      <c r="U52" s="1453">
        <f>1000*TableA7!$P$91*TableC3!J50/TableC3!$C$91</f>
        <v>457.06224503941792</v>
      </c>
      <c r="V52" s="1452">
        <f>1000*TableA7!$P$91*TableC3!K50/TableC3!$C$91</f>
        <v>37.049360013094351</v>
      </c>
      <c r="W52" s="1168">
        <f>1000*TableA7!$P$91*TableC3!L50/TableC3!$C$91</f>
        <v>0</v>
      </c>
      <c r="X52" s="1211">
        <f>1000*TableA7!$P$91*TableC3!M50/TableC3!$C$91</f>
        <v>37.049360013094351</v>
      </c>
    </row>
    <row r="53" spans="1:24" ht="14.25" customHeight="1" x14ac:dyDescent="0.2">
      <c r="A53" s="954"/>
      <c r="B53" s="1148" t="s">
        <v>71</v>
      </c>
      <c r="C53" s="1452">
        <f>1000*TableA7!$P$91*(TableC2!D51+TableC2!O51)/(TableC2!$D$91+TableC2!$O$91)</f>
        <v>4080.6445340819</v>
      </c>
      <c r="D53" s="1452">
        <f>1000*TableA7!$P$91*(TableC2!E51+TableC2!P51)/(TableC2!$D$91+TableC2!$O$91)</f>
        <v>1736.3759125055637</v>
      </c>
      <c r="E53" s="1453">
        <f>1000*TableA7!$P$91*(TableC2!F51+TableC2!Q51)/(TableC2!$D$91+TableC2!$O$91)</f>
        <v>65.792750937223403</v>
      </c>
      <c r="F53" s="1453">
        <f>1000*TableA7!$P$91*(TableC2!G51+TableC2!R51)/(TableC2!$D$91+TableC2!$O$91)</f>
        <v>6.7422148575747212</v>
      </c>
      <c r="G53" s="1453">
        <f>1000*TableA7!$P$91*(TableC2!H51+TableC2!S51)/(TableC2!$D$91+TableC2!$O$91)</f>
        <v>865.04500725317155</v>
      </c>
      <c r="H53" s="1453">
        <f>1000*TableA7!$P$91*(TableC2!I51+TableC2!T51)/(TableC2!$D$91+TableC2!$O$91)</f>
        <v>350.70360098012389</v>
      </c>
      <c r="I53" s="1453">
        <f>1000*TableA7!$P$91*(TableC2!J51+TableC2!U51)/(TableC2!$D$91+TableC2!$O$91)</f>
        <v>2.1832347006214894</v>
      </c>
      <c r="J53" s="1453">
        <f>1000*TableA7!$P$91*(TableC2!K51+TableC2!V51)/(TableC2!$D$91+TableC2!$O$91)</f>
        <v>445.90910377684901</v>
      </c>
      <c r="K53" s="1452">
        <f>1000*TableA7!$P$91*(TableC2!L51+TableC2!W51)/(TableC2!$D$91+TableC2!$O$91)</f>
        <v>2344.268621576336</v>
      </c>
      <c r="L53" s="1168">
        <f>1000*TableA7!$P$91*(TableC2!M51+TableC2!X51)/(TableC2!$D$91+TableC2!$O$91)</f>
        <v>192.46336543690848</v>
      </c>
      <c r="M53" s="1229">
        <f>1000*TableA7!$P$91*(TableC2!N51+TableC2!Y51)/(TableC2!$D$91+TableC2!$O$91)</f>
        <v>2151.8052561394275</v>
      </c>
      <c r="N53" s="1452">
        <f>1000*TableA7!$P$91*TableC3!C51/TableC3!$C$91</f>
        <v>4419.4289175394879</v>
      </c>
      <c r="O53" s="1452">
        <f>1000*TableA7!$P$91*TableC3!D51/TableC3!$C$91</f>
        <v>-477.78686257967377</v>
      </c>
      <c r="P53" s="1453">
        <f>1000*TableA7!$P$91*TableC3!E51/TableC3!$C$91</f>
        <v>-481.26889213160285</v>
      </c>
      <c r="Q53" s="1453">
        <f>1000*TableA7!$P$91*TableC3!F51/TableC3!$C$91</f>
        <v>4.1135822716056518</v>
      </c>
      <c r="R53" s="1453">
        <f>1000*TableA7!$P$91*TableC3!G51/TableC3!$C$91</f>
        <v>-0.63155271967651427</v>
      </c>
      <c r="S53" s="1453">
        <f>1000*TableA7!$P$91*TableC3!H51/TableC3!$C$91</f>
        <v>0</v>
      </c>
      <c r="T53" s="1453">
        <f>1000*TableA7!$P$91*TableC3!I51/TableC3!$C$91</f>
        <v>0</v>
      </c>
      <c r="U53" s="1453">
        <f>1000*TableA7!$P$91*TableC3!J51/TableC3!$C$91</f>
        <v>0</v>
      </c>
      <c r="V53" s="1452">
        <f>1000*TableA7!$P$91*TableC3!K51/TableC3!$C$91</f>
        <v>4897.2157801191615</v>
      </c>
      <c r="W53" s="1168">
        <f>1000*TableA7!$P$91*TableC3!L51/TableC3!$C$91</f>
        <v>0</v>
      </c>
      <c r="X53" s="1211">
        <f>1000*TableA7!$P$91*TableC3!M51/TableC3!$C$91</f>
        <v>4897.2157801191615</v>
      </c>
    </row>
    <row r="54" spans="1:24" ht="40" hidden="1" customHeight="1" x14ac:dyDescent="0.2">
      <c r="A54" s="954"/>
      <c r="B54" s="7" t="s">
        <v>72</v>
      </c>
      <c r="C54" s="1452">
        <f>1000*TableA7!$P$91*(TableC2!D52+TableC2!O52)/(TableC2!$D$91+TableC2!$O$91)</f>
        <v>0</v>
      </c>
      <c r="D54" s="1200">
        <f>1000*TableA7!$P$91*(TableC2!E52+TableC2!P52)/(TableC2!$D$91+TableC2!$O$91)</f>
        <v>0</v>
      </c>
      <c r="E54" s="245">
        <f>1000*TableA7!$P$91*(TableC2!F52+TableC2!Q52)/(TableC2!$D$91+TableC2!$O$91)</f>
        <v>0</v>
      </c>
      <c r="F54" s="245">
        <f>1000*TableA7!$P$91*(TableC2!G52+TableC2!R52)/(TableC2!$D$91+TableC2!$O$91)</f>
        <v>0</v>
      </c>
      <c r="G54" s="245">
        <f>1000*TableA7!$P$91*(TableC2!H52+TableC2!S52)/(TableC2!$D$91+TableC2!$O$91)</f>
        <v>0</v>
      </c>
      <c r="H54" s="13">
        <f>1000*TableA7!$P$91*(TableC2!I52+TableC2!T52)/(TableC2!$D$91+TableC2!$O$91)</f>
        <v>0</v>
      </c>
      <c r="I54" s="13">
        <f>1000*TableA7!$P$91*(TableC2!J52+TableC2!U52)/(TableC2!$D$91+TableC2!$O$91)</f>
        <v>0</v>
      </c>
      <c r="J54" s="13">
        <f>1000*TableA7!$P$91*(TableC2!K52+TableC2!V52)/(TableC2!$D$91+TableC2!$O$91)</f>
        <v>0</v>
      </c>
      <c r="K54" s="1201">
        <f>1000*TableA7!$P$91*(TableC2!L52+TableC2!W52)/(TableC2!$D$91+TableC2!$O$91)</f>
        <v>0</v>
      </c>
      <c r="L54" s="13">
        <f>1000*TableA7!$P$91*(TableC2!M52+TableC2!X52)/(TableC2!$D$91+TableC2!$O$91)</f>
        <v>0</v>
      </c>
      <c r="M54" s="632">
        <f>1000*TableA7!$P$91*(TableC2!N52+TableC2!Y52)/(TableC2!$D$91+TableC2!$O$91)</f>
        <v>0</v>
      </c>
      <c r="N54" s="299">
        <f>1000*TableA7!$P$91*TableC3!C52/TableC3!$C$91</f>
        <v>117774.18178390477</v>
      </c>
      <c r="O54" s="1200">
        <f>1000*TableA7!$P$91*TableC3!D52/TableC3!$C$91</f>
        <v>28541.445791248236</v>
      </c>
      <c r="P54" s="245">
        <f>1000*TableA7!$P$91*TableC3!E52/TableC3!$C$91</f>
        <v>1558.1195951525021</v>
      </c>
      <c r="Q54" s="245">
        <f>1000*TableA7!$P$91*TableC3!F52/TableC3!$C$91</f>
        <v>840.4091000554713</v>
      </c>
      <c r="R54" s="245">
        <f>1000*TableA7!$P$91*TableC3!G52/TableC3!$C$91</f>
        <v>4629.0536109501336</v>
      </c>
      <c r="S54" s="13">
        <f>1000*TableA7!$P$91*TableC3!H52/TableC3!$C$91</f>
        <v>8172.2690706863887</v>
      </c>
      <c r="T54" s="13">
        <f>1000*TableA7!$P$91*TableC3!I52/TableC3!$C$91</f>
        <v>351.96930198982415</v>
      </c>
      <c r="U54" s="13">
        <f>1000*TableA7!$P$91*TableC3!J52/TableC3!$C$91</f>
        <v>12989.625112413916</v>
      </c>
      <c r="V54" s="1201">
        <f>1000*TableA7!$P$91*TableC3!K52/TableC3!$C$91</f>
        <v>89232.73599265654</v>
      </c>
      <c r="W54" s="13">
        <f>1000*TableA7!$P$91*TableC3!L52/TableC3!$C$91</f>
        <v>0</v>
      </c>
      <c r="X54" s="14">
        <f>1000*TableA7!$P$91*TableC3!M52/TableC3!$C$91</f>
        <v>89232.73599265654</v>
      </c>
    </row>
    <row r="55" spans="1:24" ht="14.25" hidden="1" customHeight="1" x14ac:dyDescent="0.2">
      <c r="A55" s="954"/>
      <c r="B55" s="1148" t="s">
        <v>73</v>
      </c>
      <c r="C55" s="1452">
        <f>1000*TableA7!$P$91*(TableC2!D53+TableC2!O53)/(TableC2!$D$91+TableC2!$O$91)</f>
        <v>0</v>
      </c>
      <c r="D55" s="1200">
        <f>1000*TableA7!$P$91*(TableC2!E53+TableC2!P53)/(TableC2!$D$91+TableC2!$O$91)</f>
        <v>0</v>
      </c>
      <c r="E55" s="1153">
        <f>1000*TableA7!$P$91*(TableC2!F53+TableC2!Q53)/(TableC2!$D$91+TableC2!$O$91)</f>
        <v>0</v>
      </c>
      <c r="F55" s="1153">
        <f>1000*TableA7!$P$91*(TableC2!G53+TableC2!R53)/(TableC2!$D$91+TableC2!$O$91)</f>
        <v>0</v>
      </c>
      <c r="G55" s="1153">
        <f>1000*TableA7!$P$91*(TableC2!H53+TableC2!S53)/(TableC2!$D$91+TableC2!$O$91)</f>
        <v>0</v>
      </c>
      <c r="H55" s="1168">
        <f>1000*TableA7!$P$91*(TableC2!I53+TableC2!T53)/(TableC2!$D$91+TableC2!$O$91)</f>
        <v>0</v>
      </c>
      <c r="I55" s="1168">
        <f>1000*TableA7!$P$91*(TableC2!J53+TableC2!U53)/(TableC2!$D$91+TableC2!$O$91)</f>
        <v>0</v>
      </c>
      <c r="J55" s="1168">
        <f>1000*TableA7!$P$91*(TableC2!K53+TableC2!V53)/(TableC2!$D$91+TableC2!$O$91)</f>
        <v>0</v>
      </c>
      <c r="K55" s="1198">
        <f>1000*TableA7!$P$91*(TableC2!L53+TableC2!W53)/(TableC2!$D$91+TableC2!$O$91)</f>
        <v>0</v>
      </c>
      <c r="L55" s="1168">
        <f>1000*TableA7!$P$91*(TableC2!M53+TableC2!X53)/(TableC2!$D$91+TableC2!$O$91)</f>
        <v>0</v>
      </c>
      <c r="M55" s="1229">
        <f>1000*TableA7!$P$91*(TableC2!N53+TableC2!Y53)/(TableC2!$D$91+TableC2!$O$91)</f>
        <v>0</v>
      </c>
      <c r="N55" s="1459">
        <f>1000*TableA7!$P$91*TableC3!C53/TableC3!$C$91</f>
        <v>0.73772236251187029</v>
      </c>
      <c r="O55" s="1200">
        <f>1000*TableA7!$P$91*TableC3!D53/TableC3!$C$91</f>
        <v>2.1934471652001422E-2</v>
      </c>
      <c r="P55" s="1153">
        <f>1000*TableA7!$P$91*TableC3!E53/TableC3!$C$91</f>
        <v>0</v>
      </c>
      <c r="Q55" s="1153">
        <f>1000*TableA7!$P$91*TableC3!F53/TableC3!$C$91</f>
        <v>2.1934471652001422E-2</v>
      </c>
      <c r="R55" s="1153">
        <f>1000*TableA7!$P$91*TableC3!G53/TableC3!$C$91</f>
        <v>0</v>
      </c>
      <c r="S55" s="1168">
        <f>1000*TableA7!$P$91*TableC3!H53/TableC3!$C$91</f>
        <v>0</v>
      </c>
      <c r="T55" s="1168">
        <f>1000*TableA7!$P$91*TableC3!I53/TableC3!$C$91</f>
        <v>0</v>
      </c>
      <c r="U55" s="1168">
        <f>1000*TableA7!$P$91*TableC3!J53/TableC3!$C$91</f>
        <v>0</v>
      </c>
      <c r="V55" s="1198">
        <f>1000*TableA7!$P$91*TableC3!K53/TableC3!$C$91</f>
        <v>0.71578789085986894</v>
      </c>
      <c r="W55" s="1168">
        <f>1000*TableA7!$P$91*TableC3!L53/TableC3!$C$91</f>
        <v>0</v>
      </c>
      <c r="X55" s="1211">
        <f>1000*TableA7!$P$91*TableC3!M53/TableC3!$C$91</f>
        <v>0.71578789085986894</v>
      </c>
    </row>
    <row r="56" spans="1:24" ht="14.25" hidden="1" customHeight="1" x14ac:dyDescent="0.2">
      <c r="A56" s="954"/>
      <c r="B56" s="1148" t="s">
        <v>74</v>
      </c>
      <c r="C56" s="1452">
        <f>1000*TableA7!$P$91*(TableC2!D54+TableC2!O54)/(TableC2!$D$91+TableC2!$O$91)</f>
        <v>0</v>
      </c>
      <c r="D56" s="1200">
        <f>1000*TableA7!$P$91*(TableC2!E54+TableC2!P54)/(TableC2!$D$91+TableC2!$O$91)</f>
        <v>0</v>
      </c>
      <c r="E56" s="1153">
        <f>1000*TableA7!$P$91*(TableC2!F54+TableC2!Q54)/(TableC2!$D$91+TableC2!$O$91)</f>
        <v>0</v>
      </c>
      <c r="F56" s="1153">
        <f>1000*TableA7!$P$91*(TableC2!G54+TableC2!R54)/(TableC2!$D$91+TableC2!$O$91)</f>
        <v>0</v>
      </c>
      <c r="G56" s="1153">
        <f>1000*TableA7!$P$91*(TableC2!H54+TableC2!S54)/(TableC2!$D$91+TableC2!$O$91)</f>
        <v>0</v>
      </c>
      <c r="H56" s="1168">
        <f>1000*TableA7!$P$91*(TableC2!I54+TableC2!T54)/(TableC2!$D$91+TableC2!$O$91)</f>
        <v>0</v>
      </c>
      <c r="I56" s="1168">
        <f>1000*TableA7!$P$91*(TableC2!J54+TableC2!U54)/(TableC2!$D$91+TableC2!$O$91)</f>
        <v>0</v>
      </c>
      <c r="J56" s="1168">
        <f>1000*TableA7!$P$91*(TableC2!K54+TableC2!V54)/(TableC2!$D$91+TableC2!$O$91)</f>
        <v>0</v>
      </c>
      <c r="K56" s="1198">
        <f>1000*TableA7!$P$91*(TableC2!L54+TableC2!W54)/(TableC2!$D$91+TableC2!$O$91)</f>
        <v>0</v>
      </c>
      <c r="L56" s="1168">
        <f>1000*TableA7!$P$91*(TableC2!M54+TableC2!X54)/(TableC2!$D$91+TableC2!$O$91)</f>
        <v>0</v>
      </c>
      <c r="M56" s="1229">
        <f>1000*TableA7!$P$91*(TableC2!N54+TableC2!Y54)/(TableC2!$D$91+TableC2!$O$91)</f>
        <v>0</v>
      </c>
      <c r="N56" s="1459">
        <f>1000*TableA7!$P$91*TableC3!C54/TableC3!$C$91</f>
        <v>65.026064737770454</v>
      </c>
      <c r="O56" s="1200">
        <f>1000*TableA7!$P$91*TableC3!D54/TableC3!$C$91</f>
        <v>2.751379621301057E-3</v>
      </c>
      <c r="P56" s="1153">
        <f>1000*TableA7!$P$91*TableC3!E54/TableC3!$C$91</f>
        <v>0</v>
      </c>
      <c r="Q56" s="1153">
        <f>1000*TableA7!$P$91*TableC3!F54/TableC3!$C$91</f>
        <v>2.751379621301057E-3</v>
      </c>
      <c r="R56" s="1153">
        <f>1000*TableA7!$P$91*TableC3!G54/TableC3!$C$91</f>
        <v>0</v>
      </c>
      <c r="S56" s="1168">
        <f>1000*TableA7!$P$91*TableC3!H54/TableC3!$C$91</f>
        <v>0</v>
      </c>
      <c r="T56" s="1168">
        <f>1000*TableA7!$P$91*TableC3!I54/TableC3!$C$91</f>
        <v>0</v>
      </c>
      <c r="U56" s="1168">
        <f>1000*TableA7!$P$91*TableC3!J54/TableC3!$C$91</f>
        <v>0</v>
      </c>
      <c r="V56" s="1198">
        <f>1000*TableA7!$P$91*TableC3!K54/TableC3!$C$91</f>
        <v>65.023313358149153</v>
      </c>
      <c r="W56" s="1168">
        <f>1000*TableA7!$P$91*TableC3!L54/TableC3!$C$91</f>
        <v>0</v>
      </c>
      <c r="X56" s="1211">
        <f>1000*TableA7!$P$91*TableC3!M54/TableC3!$C$91</f>
        <v>65.023313358149153</v>
      </c>
    </row>
    <row r="57" spans="1:24" ht="14.25" hidden="1" customHeight="1" x14ac:dyDescent="0.2">
      <c r="A57" s="954"/>
      <c r="B57" s="1148" t="str">
        <f>+TableA1!A56</f>
        <v>Antigua and Barbuda</v>
      </c>
      <c r="C57" s="1452">
        <f>1000*TableA7!$P$91*(TableC2!D55+TableC2!O55)/(TableC2!$D$91+TableC2!$O$91)</f>
        <v>0</v>
      </c>
      <c r="D57" s="1200">
        <f>1000*TableA7!$P$91*(TableC2!E55+TableC2!P55)/(TableC2!$D$91+TableC2!$O$91)</f>
        <v>0</v>
      </c>
      <c r="E57" s="1153">
        <f>1000*TableA7!$P$91*(TableC2!F55+TableC2!Q55)/(TableC2!$D$91+TableC2!$O$91)</f>
        <v>0</v>
      </c>
      <c r="F57" s="1153">
        <f>1000*TableA7!$P$91*(TableC2!G55+TableC2!R55)/(TableC2!$D$91+TableC2!$O$91)</f>
        <v>0</v>
      </c>
      <c r="G57" s="1153">
        <f>1000*TableA7!$P$91*(TableC2!H55+TableC2!S55)/(TableC2!$D$91+TableC2!$O$91)</f>
        <v>0</v>
      </c>
      <c r="H57" s="1168">
        <f>1000*TableA7!$P$91*(TableC2!I55+TableC2!T55)/(TableC2!$D$91+TableC2!$O$91)</f>
        <v>0</v>
      </c>
      <c r="I57" s="1168">
        <f>1000*TableA7!$P$91*(TableC2!J55+TableC2!U55)/(TableC2!$D$91+TableC2!$O$91)</f>
        <v>0</v>
      </c>
      <c r="J57" s="1168">
        <f>1000*TableA7!$P$91*(TableC2!K55+TableC2!V55)/(TableC2!$D$91+TableC2!$O$91)</f>
        <v>0</v>
      </c>
      <c r="K57" s="1198">
        <f>1000*TableA7!$P$91*(TableC2!L55+TableC2!W55)/(TableC2!$D$91+TableC2!$O$91)</f>
        <v>0</v>
      </c>
      <c r="L57" s="1168">
        <f>1000*TableA7!$P$91*(TableC2!M55+TableC2!X55)/(TableC2!$D$91+TableC2!$O$91)</f>
        <v>0</v>
      </c>
      <c r="M57" s="1229">
        <f>1000*TableA7!$P$91*(TableC2!N55+TableC2!Y55)/(TableC2!$D$91+TableC2!$O$91)</f>
        <v>0</v>
      </c>
      <c r="N57" s="1459">
        <f>1000*TableA7!$P$91*TableC3!C55/TableC3!$C$91</f>
        <v>4.0389093270906518</v>
      </c>
      <c r="O57" s="1200">
        <f>1000*TableA7!$P$91*TableC3!D55/TableC3!$C$91</f>
        <v>8.4497653735671804E-3</v>
      </c>
      <c r="P57" s="1153">
        <f>1000*TableA7!$P$91*TableC3!E55/TableC3!$C$91</f>
        <v>0</v>
      </c>
      <c r="Q57" s="1153">
        <f>1000*TableA7!$P$91*TableC3!F55/TableC3!$C$91</f>
        <v>8.4497653735671804E-3</v>
      </c>
      <c r="R57" s="1153">
        <f>1000*TableA7!$P$91*TableC3!G55/TableC3!$C$91</f>
        <v>0</v>
      </c>
      <c r="S57" s="1168">
        <f>1000*TableA7!$P$91*TableC3!H55/TableC3!$C$91</f>
        <v>0</v>
      </c>
      <c r="T57" s="1168">
        <f>1000*TableA7!$P$91*TableC3!I55/TableC3!$C$91</f>
        <v>0</v>
      </c>
      <c r="U57" s="1168">
        <f>1000*TableA7!$P$91*TableC3!J55/TableC3!$C$91</f>
        <v>0</v>
      </c>
      <c r="V57" s="1198">
        <f>1000*TableA7!$P$91*TableC3!K55/TableC3!$C$91</f>
        <v>4.030459561717084</v>
      </c>
      <c r="W57" s="1168">
        <f>1000*TableA7!$P$91*TableC3!L55/TableC3!$C$91</f>
        <v>0</v>
      </c>
      <c r="X57" s="1211">
        <f>1000*TableA7!$P$91*TableC3!M55/TableC3!$C$91</f>
        <v>4.030459561717084</v>
      </c>
    </row>
    <row r="58" spans="1:24" ht="14.25" hidden="1" customHeight="1" x14ac:dyDescent="0.2">
      <c r="A58" s="954"/>
      <c r="B58" s="1148" t="s">
        <v>76</v>
      </c>
      <c r="C58" s="1452">
        <f>1000*TableA7!$P$91*(TableC2!D56+TableC2!O56)/(TableC2!$D$91+TableC2!$O$91)</f>
        <v>0</v>
      </c>
      <c r="D58" s="1200">
        <f>1000*TableA7!$P$91*(TableC2!E56+TableC2!P56)/(TableC2!$D$91+TableC2!$O$91)</f>
        <v>0</v>
      </c>
      <c r="E58" s="1153">
        <f>1000*TableA7!$P$91*(TableC2!F56+TableC2!Q56)/(TableC2!$D$91+TableC2!$O$91)</f>
        <v>0</v>
      </c>
      <c r="F58" s="1153">
        <f>1000*TableA7!$P$91*(TableC2!G56+TableC2!R56)/(TableC2!$D$91+TableC2!$O$91)</f>
        <v>0</v>
      </c>
      <c r="G58" s="1153">
        <f>1000*TableA7!$P$91*(TableC2!H56+TableC2!S56)/(TableC2!$D$91+TableC2!$O$91)</f>
        <v>0</v>
      </c>
      <c r="H58" s="1168">
        <f>1000*TableA7!$P$91*(TableC2!I56+TableC2!T56)/(TableC2!$D$91+TableC2!$O$91)</f>
        <v>0</v>
      </c>
      <c r="I58" s="1168">
        <f>1000*TableA7!$P$91*(TableC2!J56+TableC2!U56)/(TableC2!$D$91+TableC2!$O$91)</f>
        <v>0</v>
      </c>
      <c r="J58" s="1168">
        <f>1000*TableA7!$P$91*(TableC2!K56+TableC2!V56)/(TableC2!$D$91+TableC2!$O$91)</f>
        <v>0</v>
      </c>
      <c r="K58" s="1198">
        <f>1000*TableA7!$P$91*(TableC2!L56+TableC2!W56)/(TableC2!$D$91+TableC2!$O$91)</f>
        <v>0</v>
      </c>
      <c r="L58" s="1168">
        <f>1000*TableA7!$P$91*(TableC2!M56+TableC2!X56)/(TableC2!$D$91+TableC2!$O$91)</f>
        <v>0</v>
      </c>
      <c r="M58" s="1229">
        <f>1000*TableA7!$P$91*(TableC2!N56+TableC2!Y56)/(TableC2!$D$91+TableC2!$O$91)</f>
        <v>0</v>
      </c>
      <c r="N58" s="1459">
        <f>1000*TableA7!$P$91*TableC3!C56/TableC3!$C$91</f>
        <v>37.550586458025059</v>
      </c>
      <c r="O58" s="1200">
        <f>1000*TableA7!$P$91*TableC3!D56/TableC3!$C$91</f>
        <v>0</v>
      </c>
      <c r="P58" s="1153">
        <f>1000*TableA7!$P$91*TableC3!E56/TableC3!$C$91</f>
        <v>0</v>
      </c>
      <c r="Q58" s="1153">
        <f>1000*TableA7!$P$91*TableC3!F56/TableC3!$C$91</f>
        <v>0</v>
      </c>
      <c r="R58" s="1153">
        <f>1000*TableA7!$P$91*TableC3!G56/TableC3!$C$91</f>
        <v>0</v>
      </c>
      <c r="S58" s="1168">
        <f>1000*TableA7!$P$91*TableC3!H56/TableC3!$C$91</f>
        <v>0</v>
      </c>
      <c r="T58" s="1168">
        <f>1000*TableA7!$P$91*TableC3!I56/TableC3!$C$91</f>
        <v>0</v>
      </c>
      <c r="U58" s="1168">
        <f>1000*TableA7!$P$91*TableC3!J56/TableC3!$C$91</f>
        <v>0</v>
      </c>
      <c r="V58" s="1198">
        <f>1000*TableA7!$P$91*TableC3!K56/TableC3!$C$91</f>
        <v>37.550586458025059</v>
      </c>
      <c r="W58" s="1168">
        <f>1000*TableA7!$P$91*TableC3!L56/TableC3!$C$91</f>
        <v>0</v>
      </c>
      <c r="X58" s="1211">
        <f>1000*TableA7!$P$91*TableC3!M56/TableC3!$C$91</f>
        <v>37.550586458025059</v>
      </c>
    </row>
    <row r="59" spans="1:24" ht="14.25" hidden="1" customHeight="1" x14ac:dyDescent="0.2">
      <c r="A59" s="329" t="s">
        <v>77</v>
      </c>
      <c r="B59" s="1148" t="s">
        <v>152</v>
      </c>
      <c r="C59" s="1452">
        <f>1000*TableA7!$P$91*(TableC2!D57+TableC2!O57)/(TableC2!$D$91+TableC2!$O$91)</f>
        <v>0</v>
      </c>
      <c r="D59" s="1200">
        <f>1000*TableA7!$P$91*(TableC2!E57+TableC2!P57)/(TableC2!$D$91+TableC2!$O$91)</f>
        <v>0</v>
      </c>
      <c r="E59" s="1153">
        <f>1000*TableA7!$P$91*(TableC2!F57+TableC2!Q57)/(TableC2!$D$91+TableC2!$O$91)</f>
        <v>0</v>
      </c>
      <c r="F59" s="1153">
        <f>1000*TableA7!$P$91*(TableC2!G57+TableC2!R57)/(TableC2!$D$91+TableC2!$O$91)</f>
        <v>0</v>
      </c>
      <c r="G59" s="1153">
        <f>1000*TableA7!$P$91*(TableC2!H57+TableC2!S57)/(TableC2!$D$91+TableC2!$O$91)</f>
        <v>0</v>
      </c>
      <c r="H59" s="1168">
        <f>1000*TableA7!$P$91*(TableC2!I57+TableC2!T57)/(TableC2!$D$91+TableC2!$O$91)</f>
        <v>0</v>
      </c>
      <c r="I59" s="1168">
        <f>1000*TableA7!$P$91*(TableC2!J57+TableC2!U57)/(TableC2!$D$91+TableC2!$O$91)</f>
        <v>0</v>
      </c>
      <c r="J59" s="1168">
        <f>1000*TableA7!$P$91*(TableC2!K57+TableC2!V57)/(TableC2!$D$91+TableC2!$O$91)</f>
        <v>0</v>
      </c>
      <c r="K59" s="1198">
        <f>1000*TableA7!$P$91*(TableC2!L57+TableC2!W57)/(TableC2!$D$91+TableC2!$O$91)</f>
        <v>0</v>
      </c>
      <c r="L59" s="1168">
        <f>1000*TableA7!$P$91*(TableC2!M57+TableC2!X57)/(TableC2!$D$91+TableC2!$O$91)</f>
        <v>0</v>
      </c>
      <c r="M59" s="1229">
        <f>1000*TableA7!$P$91*(TableC2!N57+TableC2!Y57)/(TableC2!$D$91+TableC2!$O$91)</f>
        <v>0</v>
      </c>
      <c r="N59" s="1459">
        <f>1000*TableA7!$P$91*TableC3!C57/TableC3!$C$91</f>
        <v>470.33211303475895</v>
      </c>
      <c r="O59" s="1200">
        <f>1000*TableA7!$P$91*TableC3!D57/TableC3!$C$91</f>
        <v>119.0006905971962</v>
      </c>
      <c r="P59" s="1153">
        <f>1000*TableA7!$P$91*TableC3!E57/TableC3!$C$91</f>
        <v>0</v>
      </c>
      <c r="Q59" s="1153">
        <f>1000*TableA7!$P$91*TableC3!F57/TableC3!$C$91</f>
        <v>0</v>
      </c>
      <c r="R59" s="1153">
        <f>1000*TableA7!$P$91*TableC3!G57/TableC3!$C$91</f>
        <v>0</v>
      </c>
      <c r="S59" s="1168">
        <f>1000*TableA7!$P$91*TableC3!H57/TableC3!$C$91</f>
        <v>119.0006905971962</v>
      </c>
      <c r="T59" s="1168">
        <f>1000*TableA7!$P$91*TableC3!I57/TableC3!$C$91</f>
        <v>0</v>
      </c>
      <c r="U59" s="1168">
        <f>1000*TableA7!$P$91*TableC3!J57/TableC3!$C$91</f>
        <v>0</v>
      </c>
      <c r="V59" s="1198">
        <f>1000*TableA7!$P$91*TableC3!K57/TableC3!$C$91</f>
        <v>351.33142243756276</v>
      </c>
      <c r="W59" s="1168">
        <f>1000*TableA7!$P$91*TableC3!L57/TableC3!$C$91</f>
        <v>0</v>
      </c>
      <c r="X59" s="1211">
        <f>1000*TableA7!$P$91*TableC3!M57/TableC3!$C$91</f>
        <v>351.33142243756276</v>
      </c>
    </row>
    <row r="60" spans="1:24" ht="14.25" hidden="1" customHeight="1" x14ac:dyDescent="0.2">
      <c r="A60" s="329" t="s">
        <v>340</v>
      </c>
      <c r="B60" s="1148" t="s">
        <v>78</v>
      </c>
      <c r="C60" s="1452">
        <f>1000*TableA7!$P$91*(TableC2!D58+TableC2!O58)/(TableC2!$D$91+TableC2!$O$91)</f>
        <v>0</v>
      </c>
      <c r="D60" s="1200">
        <f>1000*TableA7!$P$91*(TableC2!E58+TableC2!P58)/(TableC2!$D$91+TableC2!$O$91)</f>
        <v>0</v>
      </c>
      <c r="E60" s="1153">
        <f>1000*TableA7!$P$91*(TableC2!F58+TableC2!Q58)/(TableC2!$D$91+TableC2!$O$91)</f>
        <v>0</v>
      </c>
      <c r="F60" s="1153">
        <f>1000*TableA7!$P$91*(TableC2!G58+TableC2!R58)/(TableC2!$D$91+TableC2!$O$91)</f>
        <v>0</v>
      </c>
      <c r="G60" s="1153">
        <f>1000*TableA7!$P$91*(TableC2!H58+TableC2!S58)/(TableC2!$D$91+TableC2!$O$91)</f>
        <v>0</v>
      </c>
      <c r="H60" s="1168">
        <f>1000*TableA7!$P$91*(TableC2!I58+TableC2!T58)/(TableC2!$D$91+TableC2!$O$91)</f>
        <v>0</v>
      </c>
      <c r="I60" s="1168">
        <f>1000*TableA7!$P$91*(TableC2!J58+TableC2!U58)/(TableC2!$D$91+TableC2!$O$91)</f>
        <v>0</v>
      </c>
      <c r="J60" s="1168">
        <f>1000*TableA7!$P$91*(TableC2!K58+TableC2!V58)/(TableC2!$D$91+TableC2!$O$91)</f>
        <v>0</v>
      </c>
      <c r="K60" s="1198">
        <f>1000*TableA7!$P$91*(TableC2!L58+TableC2!W58)/(TableC2!$D$91+TableC2!$O$91)</f>
        <v>0</v>
      </c>
      <c r="L60" s="1168">
        <f>1000*TableA7!$P$91*(TableC2!M58+TableC2!X58)/(TableC2!$D$91+TableC2!$O$91)</f>
        <v>0</v>
      </c>
      <c r="M60" s="1229">
        <f>1000*TableA7!$P$91*(TableC2!N58+TableC2!Y58)/(TableC2!$D$91+TableC2!$O$91)</f>
        <v>0</v>
      </c>
      <c r="N60" s="1459">
        <f>1000*TableA7!$P$91*TableC3!C58/TableC3!$C$91</f>
        <v>246.9758327614029</v>
      </c>
      <c r="O60" s="1200">
        <f>1000*TableA7!$P$91*TableC3!D58/TableC3!$C$91</f>
        <v>-58.729532920452677</v>
      </c>
      <c r="P60" s="1153">
        <f>1000*TableA7!$P$91*TableC3!E58/TableC3!$C$91</f>
        <v>-60.620659223948998</v>
      </c>
      <c r="Q60" s="1153">
        <f>1000*TableA7!$P$91*TableC3!F58/TableC3!$C$91</f>
        <v>2.0314713523133228</v>
      </c>
      <c r="R60" s="1153">
        <f>1000*TableA7!$P$91*TableC3!G58/TableC3!$C$91</f>
        <v>-0.14034504881700322</v>
      </c>
      <c r="S60" s="1168">
        <f>1000*TableA7!$P$91*TableC3!H58/TableC3!$C$91</f>
        <v>0</v>
      </c>
      <c r="T60" s="1168">
        <f>1000*TableA7!$P$91*TableC3!I58/TableC3!$C$91</f>
        <v>0</v>
      </c>
      <c r="U60" s="1168">
        <f>1000*TableA7!$P$91*TableC3!J58/TableC3!$C$91</f>
        <v>0</v>
      </c>
      <c r="V60" s="1198">
        <f>1000*TableA7!$P$91*TableC3!K58/TableC3!$C$91</f>
        <v>305.7053656818556</v>
      </c>
      <c r="W60" s="1168">
        <f>1000*TableA7!$P$91*TableC3!L58/TableC3!$C$91</f>
        <v>0</v>
      </c>
      <c r="X60" s="1211">
        <f>1000*TableA7!$P$91*TableC3!M58/TableC3!$C$91</f>
        <v>305.7053656818556</v>
      </c>
    </row>
    <row r="61" spans="1:24" ht="14.25" hidden="1" customHeight="1" x14ac:dyDescent="0.2">
      <c r="A61" s="954"/>
      <c r="B61" s="1148" t="str">
        <f>+TableA1!A60</f>
        <v>Barbados</v>
      </c>
      <c r="C61" s="1452">
        <f>1000*TableA7!$P$91*(TableC2!D59+TableC2!O59)/(TableC2!$D$91+TableC2!$O$91)</f>
        <v>0</v>
      </c>
      <c r="D61" s="1200">
        <f>1000*TableA7!$P$91*(TableC2!E59+TableC2!P59)/(TableC2!$D$91+TableC2!$O$91)</f>
        <v>0</v>
      </c>
      <c r="E61" s="1153">
        <f>1000*TableA7!$P$91*(TableC2!F59+TableC2!Q59)/(TableC2!$D$91+TableC2!$O$91)</f>
        <v>0</v>
      </c>
      <c r="F61" s="1153">
        <f>1000*TableA7!$P$91*(TableC2!G59+TableC2!R59)/(TableC2!$D$91+TableC2!$O$91)</f>
        <v>0</v>
      </c>
      <c r="G61" s="1153">
        <f>1000*TableA7!$P$91*(TableC2!H59+TableC2!S59)/(TableC2!$D$91+TableC2!$O$91)</f>
        <v>0</v>
      </c>
      <c r="H61" s="1168">
        <f>1000*TableA7!$P$91*(TableC2!I59+TableC2!T59)/(TableC2!$D$91+TableC2!$O$91)</f>
        <v>0</v>
      </c>
      <c r="I61" s="1168">
        <f>1000*TableA7!$P$91*(TableC2!J59+TableC2!U59)/(TableC2!$D$91+TableC2!$O$91)</f>
        <v>0</v>
      </c>
      <c r="J61" s="1168">
        <f>1000*TableA7!$P$91*(TableC2!K59+TableC2!V59)/(TableC2!$D$91+TableC2!$O$91)</f>
        <v>0</v>
      </c>
      <c r="K61" s="1198">
        <f>1000*TableA7!$P$91*(TableC2!L59+TableC2!W59)/(TableC2!$D$91+TableC2!$O$91)</f>
        <v>0</v>
      </c>
      <c r="L61" s="1168">
        <f>1000*TableA7!$P$91*(TableC2!M59+TableC2!X59)/(TableC2!$D$91+TableC2!$O$91)</f>
        <v>0</v>
      </c>
      <c r="M61" s="1229">
        <f>1000*TableA7!$P$91*(TableC2!N59+TableC2!Y59)/(TableC2!$D$91+TableC2!$O$91)</f>
        <v>0</v>
      </c>
      <c r="N61" s="1459">
        <f>1000*TableA7!$P$91*TableC3!C59/TableC3!$C$91</f>
        <v>65.838727147551538</v>
      </c>
      <c r="O61" s="1200">
        <f>1000*TableA7!$P$91*TableC3!D59/TableC3!$C$91</f>
        <v>7.2430099040587832</v>
      </c>
      <c r="P61" s="1153">
        <f>1000*TableA7!$P$91*TableC3!E59/TableC3!$C$91</f>
        <v>0</v>
      </c>
      <c r="Q61" s="1153">
        <f>1000*TableA7!$P$91*TableC3!F59/TableC3!$C$91</f>
        <v>4.0712118007945124</v>
      </c>
      <c r="R61" s="1153">
        <f>1000*TableA7!$P$91*TableC3!G59/TableC3!$C$91</f>
        <v>3.1717981032642713</v>
      </c>
      <c r="S61" s="1168">
        <f>1000*TableA7!$P$91*TableC3!H59/TableC3!$C$91</f>
        <v>0</v>
      </c>
      <c r="T61" s="1168">
        <f>1000*TableA7!$P$91*TableC3!I59/TableC3!$C$91</f>
        <v>0</v>
      </c>
      <c r="U61" s="1168">
        <f>1000*TableA7!$P$91*TableC3!J59/TableC3!$C$91</f>
        <v>0</v>
      </c>
      <c r="V61" s="1198">
        <f>1000*TableA7!$P$91*TableC3!K59/TableC3!$C$91</f>
        <v>58.595717243492757</v>
      </c>
      <c r="W61" s="1168">
        <f>1000*TableA7!$P$91*TableC3!L59/TableC3!$C$91</f>
        <v>0</v>
      </c>
      <c r="X61" s="1211">
        <f>1000*TableA7!$P$91*TableC3!M59/TableC3!$C$91</f>
        <v>58.595717243492757</v>
      </c>
    </row>
    <row r="62" spans="1:24" ht="14.25" hidden="1" customHeight="1" x14ac:dyDescent="0.2">
      <c r="A62" s="954"/>
      <c r="B62" s="1148" t="s">
        <v>80</v>
      </c>
      <c r="C62" s="1452">
        <f>1000*TableA7!$P$91*(TableC2!D60+TableC2!O60)/(TableC2!$D$91+TableC2!$O$91)</f>
        <v>0</v>
      </c>
      <c r="D62" s="1200">
        <f>1000*TableA7!$P$91*(TableC2!E60+TableC2!P60)/(TableC2!$D$91+TableC2!$O$91)</f>
        <v>0</v>
      </c>
      <c r="E62" s="1153">
        <f>1000*TableA7!$P$91*(TableC2!F60+TableC2!Q60)/(TableC2!$D$91+TableC2!$O$91)</f>
        <v>0</v>
      </c>
      <c r="F62" s="1153">
        <f>1000*TableA7!$P$91*(TableC2!G60+TableC2!R60)/(TableC2!$D$91+TableC2!$O$91)</f>
        <v>0</v>
      </c>
      <c r="G62" s="1153">
        <f>1000*TableA7!$P$91*(TableC2!H60+TableC2!S60)/(TableC2!$D$91+TableC2!$O$91)</f>
        <v>0</v>
      </c>
      <c r="H62" s="1168">
        <f>1000*TableA7!$P$91*(TableC2!I60+TableC2!T60)/(TableC2!$D$91+TableC2!$O$91)</f>
        <v>0</v>
      </c>
      <c r="I62" s="1168">
        <f>1000*TableA7!$P$91*(TableC2!J60+TableC2!U60)/(TableC2!$D$91+TableC2!$O$91)</f>
        <v>0</v>
      </c>
      <c r="J62" s="1168">
        <f>1000*TableA7!$P$91*(TableC2!K60+TableC2!V60)/(TableC2!$D$91+TableC2!$O$91)</f>
        <v>0</v>
      </c>
      <c r="K62" s="1198">
        <f>1000*TableA7!$P$91*(TableC2!L60+TableC2!W60)/(TableC2!$D$91+TableC2!$O$91)</f>
        <v>0</v>
      </c>
      <c r="L62" s="1168">
        <f>1000*TableA7!$P$91*(TableC2!M60+TableC2!X60)/(TableC2!$D$91+TableC2!$O$91)</f>
        <v>0</v>
      </c>
      <c r="M62" s="1229">
        <f>1000*TableA7!$P$91*(TableC2!N60+TableC2!Y60)/(TableC2!$D$91+TableC2!$O$91)</f>
        <v>0</v>
      </c>
      <c r="N62" s="1459">
        <f>1000*TableA7!$P$91*TableC3!C60/TableC3!$C$91</f>
        <v>1.6035166873960216</v>
      </c>
      <c r="O62" s="1200">
        <f>1000*TableA7!$P$91*TableC3!D60/TableC3!$C$91</f>
        <v>2.4556526865550859E-2</v>
      </c>
      <c r="P62" s="1153">
        <f>1000*TableA7!$P$91*TableC3!E60/TableC3!$C$91</f>
        <v>0</v>
      </c>
      <c r="Q62" s="1153">
        <f>1000*TableA7!$P$91*TableC3!F60/TableC3!$C$91</f>
        <v>0</v>
      </c>
      <c r="R62" s="1153">
        <f>1000*TableA7!$P$91*TableC3!G60/TableC3!$C$91</f>
        <v>0</v>
      </c>
      <c r="S62" s="1168">
        <f>1000*TableA7!$P$91*TableC3!H60/TableC3!$C$91</f>
        <v>0</v>
      </c>
      <c r="T62" s="1168">
        <f>1000*TableA7!$P$91*TableC3!I60/TableC3!$C$91</f>
        <v>2.4556526865550859E-2</v>
      </c>
      <c r="U62" s="1168">
        <f>1000*TableA7!$P$91*TableC3!J60/TableC3!$C$91</f>
        <v>0</v>
      </c>
      <c r="V62" s="1198">
        <f>1000*TableA7!$P$91*TableC3!K60/TableC3!$C$91</f>
        <v>1.5789601605304706</v>
      </c>
      <c r="W62" s="1168">
        <f>1000*TableA7!$P$91*TableC3!L60/TableC3!$C$91</f>
        <v>0</v>
      </c>
      <c r="X62" s="1211">
        <f>1000*TableA7!$P$91*TableC3!M60/TableC3!$C$91</f>
        <v>1.5789601605304706</v>
      </c>
    </row>
    <row r="63" spans="1:24" ht="14.25" hidden="1" customHeight="1" x14ac:dyDescent="0.2">
      <c r="A63" s="954"/>
      <c r="B63" s="1148" t="s">
        <v>81</v>
      </c>
      <c r="C63" s="1452">
        <f>1000*TableA7!$P$91*(TableC2!D61+TableC2!O61)/(TableC2!$D$91+TableC2!$O$91)</f>
        <v>0</v>
      </c>
      <c r="D63" s="1200">
        <f>1000*TableA7!$P$91*(TableC2!E61+TableC2!P61)/(TableC2!$D$91+TableC2!$O$91)</f>
        <v>0</v>
      </c>
      <c r="E63" s="1153">
        <f>1000*TableA7!$P$91*(TableC2!F61+TableC2!Q61)/(TableC2!$D$91+TableC2!$O$91)</f>
        <v>0</v>
      </c>
      <c r="F63" s="1153">
        <f>1000*TableA7!$P$91*(TableC2!G61+TableC2!R61)/(TableC2!$D$91+TableC2!$O$91)</f>
        <v>0</v>
      </c>
      <c r="G63" s="1153">
        <f>1000*TableA7!$P$91*(TableC2!H61+TableC2!S61)/(TableC2!$D$91+TableC2!$O$91)</f>
        <v>0</v>
      </c>
      <c r="H63" s="1168">
        <f>1000*TableA7!$P$91*(TableC2!I61+TableC2!T61)/(TableC2!$D$91+TableC2!$O$91)</f>
        <v>0</v>
      </c>
      <c r="I63" s="1168">
        <f>1000*TableA7!$P$91*(TableC2!J61+TableC2!U61)/(TableC2!$D$91+TableC2!$O$91)</f>
        <v>0</v>
      </c>
      <c r="J63" s="1168">
        <f>1000*TableA7!$P$91*(TableC2!K61+TableC2!V61)/(TableC2!$D$91+TableC2!$O$91)</f>
        <v>0</v>
      </c>
      <c r="K63" s="1198">
        <f>1000*TableA7!$P$91*(TableC2!L61+TableC2!W61)/(TableC2!$D$91+TableC2!$O$91)</f>
        <v>0</v>
      </c>
      <c r="L63" s="1168">
        <f>1000*TableA7!$P$91*(TableC2!M61+TableC2!X61)/(TableC2!$D$91+TableC2!$O$91)</f>
        <v>0</v>
      </c>
      <c r="M63" s="1229">
        <f>1000*TableA7!$P$91*(TableC2!N61+TableC2!Y61)/(TableC2!$D$91+TableC2!$O$91)</f>
        <v>0</v>
      </c>
      <c r="N63" s="1459">
        <f>1000*TableA7!$P$91*TableC3!C61/TableC3!$C$91</f>
        <v>21146.580577208311</v>
      </c>
      <c r="O63" s="1200">
        <f>1000*TableA7!$P$91*TableC3!D61/TableC3!$C$91</f>
        <v>13758.068759239346</v>
      </c>
      <c r="P63" s="1153">
        <f>1000*TableA7!$P$91*TableC3!E61/TableC3!$C$91</f>
        <v>0</v>
      </c>
      <c r="Q63" s="1153">
        <f>1000*TableA7!$P$91*TableC3!F61/TableC3!$C$91</f>
        <v>0</v>
      </c>
      <c r="R63" s="1153">
        <f>1000*TableA7!$P$91*TableC3!G61/TableC3!$C$91</f>
        <v>3726.1610460914349</v>
      </c>
      <c r="S63" s="1168">
        <f>1000*TableA7!$P$91*TableC3!H61/TableC3!$C$91</f>
        <v>2221.0657772574627</v>
      </c>
      <c r="T63" s="1168">
        <f>1000*TableA7!$P$91*TableC3!I61/TableC3!$C$91</f>
        <v>0</v>
      </c>
      <c r="U63" s="1168">
        <f>1000*TableA7!$P$91*TableC3!J61/TableC3!$C$91</f>
        <v>7810.8419358904503</v>
      </c>
      <c r="V63" s="1198">
        <f>1000*TableA7!$P$91*TableC3!K61/TableC3!$C$91</f>
        <v>7388.5118179689634</v>
      </c>
      <c r="W63" s="1168">
        <f>1000*TableA7!$P$91*TableC3!L61/TableC3!$C$91</f>
        <v>0</v>
      </c>
      <c r="X63" s="1211">
        <f>1000*TableA7!$P$91*TableC3!M61/TableC3!$C$91</f>
        <v>7388.5118179689634</v>
      </c>
    </row>
    <row r="64" spans="1:24" ht="14.25" hidden="1" customHeight="1" x14ac:dyDescent="0.2">
      <c r="A64" s="329" t="s">
        <v>645</v>
      </c>
      <c r="B64" s="1148" t="s">
        <v>82</v>
      </c>
      <c r="C64" s="1452">
        <f>1000*TableA7!$P$91*(TableC2!D62+TableC2!O62)/(TableC2!$D$91+TableC2!$O$91)</f>
        <v>0</v>
      </c>
      <c r="D64" s="1200">
        <f>1000*TableA7!$P$91*(TableC2!E62+TableC2!P62)/(TableC2!$D$91+TableC2!$O$91)</f>
        <v>0</v>
      </c>
      <c r="E64" s="1153">
        <f>1000*TableA7!$P$91*(TableC2!F62+TableC2!Q62)/(TableC2!$D$91+TableC2!$O$91)</f>
        <v>0</v>
      </c>
      <c r="F64" s="1153">
        <f>1000*TableA7!$P$91*(TableC2!G62+TableC2!R62)/(TableC2!$D$91+TableC2!$O$91)</f>
        <v>0</v>
      </c>
      <c r="G64" s="1153">
        <f>1000*TableA7!$P$91*(TableC2!H62+TableC2!S62)/(TableC2!$D$91+TableC2!$O$91)</f>
        <v>0</v>
      </c>
      <c r="H64" s="1168">
        <f>1000*TableA7!$P$91*(TableC2!I62+TableC2!T62)/(TableC2!$D$91+TableC2!$O$91)</f>
        <v>0</v>
      </c>
      <c r="I64" s="1168">
        <f>1000*TableA7!$P$91*(TableC2!J62+TableC2!U62)/(TableC2!$D$91+TableC2!$O$91)</f>
        <v>0</v>
      </c>
      <c r="J64" s="1168">
        <f>1000*TableA7!$P$91*(TableC2!K62+TableC2!V62)/(TableC2!$D$91+TableC2!$O$91)</f>
        <v>0</v>
      </c>
      <c r="K64" s="1198">
        <f>1000*TableA7!$P$91*(TableC2!L62+TableC2!W62)/(TableC2!$D$91+TableC2!$O$91)</f>
        <v>0</v>
      </c>
      <c r="L64" s="1168">
        <f>1000*TableA7!$P$91*(TableC2!M62+TableC2!X62)/(TableC2!$D$91+TableC2!$O$91)</f>
        <v>0</v>
      </c>
      <c r="M64" s="1229">
        <f>1000*TableA7!$P$91*(TableC2!N62+TableC2!Y62)/(TableC2!$D$91+TableC2!$O$91)</f>
        <v>0</v>
      </c>
      <c r="N64" s="1459">
        <f>1000*TableA7!$P$91*TableC3!C62/TableC3!$C$91</f>
        <v>-1.627779923219963</v>
      </c>
      <c r="O64" s="1200">
        <f>1000*TableA7!$P$91*TableC3!D62/TableC3!$C$91</f>
        <v>0</v>
      </c>
      <c r="P64" s="1153">
        <f>1000*TableA7!$P$91*TableC3!E62/TableC3!$C$91</f>
        <v>0</v>
      </c>
      <c r="Q64" s="1153">
        <f>1000*TableA7!$P$91*TableC3!F62/TableC3!$C$91</f>
        <v>0</v>
      </c>
      <c r="R64" s="1153">
        <f>1000*TableA7!$P$91*TableC3!G62/TableC3!$C$91</f>
        <v>0</v>
      </c>
      <c r="S64" s="1168">
        <f>1000*TableA7!$P$91*TableC3!H62/TableC3!$C$91</f>
        <v>0</v>
      </c>
      <c r="T64" s="1168">
        <f>1000*TableA7!$P$91*TableC3!I62/TableC3!$C$91</f>
        <v>0</v>
      </c>
      <c r="U64" s="1168">
        <f>1000*TableA7!$P$91*TableC3!J62/TableC3!$C$91</f>
        <v>0</v>
      </c>
      <c r="V64" s="1198">
        <f>1000*TableA7!$P$91*TableC3!K62/TableC3!$C$91</f>
        <v>-1.627779923219963</v>
      </c>
      <c r="W64" s="1168">
        <f>1000*TableA7!$P$91*TableC3!L62/TableC3!$C$91</f>
        <v>0</v>
      </c>
      <c r="X64" s="1211">
        <f>1000*TableA7!$P$91*TableC3!M62/TableC3!$C$91</f>
        <v>-1.627779923219963</v>
      </c>
    </row>
    <row r="65" spans="1:24" ht="14.25" hidden="1" customHeight="1" x14ac:dyDescent="0.2">
      <c r="A65" s="329" t="s">
        <v>372</v>
      </c>
      <c r="B65" s="1148" t="s">
        <v>153</v>
      </c>
      <c r="C65" s="1452">
        <f>1000*TableA7!$P$91*(TableC2!D63+TableC2!O63)/(TableC2!$D$91+TableC2!$O$91)</f>
        <v>0</v>
      </c>
      <c r="D65" s="1200">
        <f>1000*TableA7!$P$91*(TableC2!E63+TableC2!P63)/(TableC2!$D$91+TableC2!$O$91)</f>
        <v>0</v>
      </c>
      <c r="E65" s="1153">
        <f>1000*TableA7!$P$91*(TableC2!F63+TableC2!Q63)/(TableC2!$D$91+TableC2!$O$91)</f>
        <v>0</v>
      </c>
      <c r="F65" s="1153">
        <f>1000*TableA7!$P$91*(TableC2!G63+TableC2!R63)/(TableC2!$D$91+TableC2!$O$91)</f>
        <v>0</v>
      </c>
      <c r="G65" s="1153">
        <f>1000*TableA7!$P$91*(TableC2!H63+TableC2!S63)/(TableC2!$D$91+TableC2!$O$91)</f>
        <v>0</v>
      </c>
      <c r="H65" s="1168">
        <f>1000*TableA7!$P$91*(TableC2!I63+TableC2!T63)/(TableC2!$D$91+TableC2!$O$91)</f>
        <v>0</v>
      </c>
      <c r="I65" s="1168">
        <f>1000*TableA7!$P$91*(TableC2!J63+TableC2!U63)/(TableC2!$D$91+TableC2!$O$91)</f>
        <v>0</v>
      </c>
      <c r="J65" s="1168">
        <f>1000*TableA7!$P$91*(TableC2!K63+TableC2!V63)/(TableC2!$D$91+TableC2!$O$91)</f>
        <v>0</v>
      </c>
      <c r="K65" s="1198">
        <f>1000*TableA7!$P$91*(TableC2!L63+TableC2!W63)/(TableC2!$D$91+TableC2!$O$91)</f>
        <v>0</v>
      </c>
      <c r="L65" s="1168">
        <f>1000*TableA7!$P$91*(TableC2!M63+TableC2!X63)/(TableC2!$D$91+TableC2!$O$91)</f>
        <v>0</v>
      </c>
      <c r="M65" s="1229">
        <f>1000*TableA7!$P$91*(TableC2!N63+TableC2!Y63)/(TableC2!$D$91+TableC2!$O$91)</f>
        <v>0</v>
      </c>
      <c r="N65" s="1459">
        <f>1000*TableA7!$P$91*TableC3!C63/TableC3!$C$91</f>
        <v>47201.396580528846</v>
      </c>
      <c r="O65" s="1200">
        <f>1000*TableA7!$P$91*TableC3!D63/TableC3!$C$91</f>
        <v>1604.3813742732282</v>
      </c>
      <c r="P65" s="1153">
        <f>1000*TableA7!$P$91*TableC3!E63/TableC3!$C$91</f>
        <v>13.676612141988873</v>
      </c>
      <c r="Q65" s="1153">
        <f>1000*TableA7!$P$91*TableC3!F63/TableC3!$C$91</f>
        <v>288.37126268587917</v>
      </c>
      <c r="R65" s="1153">
        <f>1000*TableA7!$P$91*TableC3!G63/TableC3!$C$91</f>
        <v>0</v>
      </c>
      <c r="S65" s="1168">
        <f>1000*TableA7!$P$91*TableC3!H63/TableC3!$C$91</f>
        <v>1280.8225226724321</v>
      </c>
      <c r="T65" s="1168">
        <f>1000*TableA7!$P$91*TableC3!I63/TableC3!$C$91</f>
        <v>0</v>
      </c>
      <c r="U65" s="1168">
        <f>1000*TableA7!$P$91*TableC3!J63/TableC3!$C$91</f>
        <v>21.510976772927847</v>
      </c>
      <c r="V65" s="1198">
        <f>1000*TableA7!$P$91*TableC3!K63/TableC3!$C$91</f>
        <v>45597.015206255623</v>
      </c>
      <c r="W65" s="1168">
        <f>1000*TableA7!$P$91*TableC3!L63/TableC3!$C$91</f>
        <v>0</v>
      </c>
      <c r="X65" s="1211">
        <f>1000*TableA7!$P$91*TableC3!M63/TableC3!$C$91</f>
        <v>45597.015206255623</v>
      </c>
    </row>
    <row r="66" spans="1:24" ht="14.25" hidden="1" customHeight="1" x14ac:dyDescent="0.2">
      <c r="A66" s="954"/>
      <c r="B66" s="113" t="s">
        <v>84</v>
      </c>
      <c r="C66" s="1452">
        <f>1000*TableA7!$P$91*(TableC2!D64+TableC2!O64)/(TableC2!$D$91+TableC2!$O$91)</f>
        <v>0</v>
      </c>
      <c r="D66" s="1200">
        <f>1000*TableA7!$P$91*(TableC2!E64+TableC2!P64)/(TableC2!$D$91+TableC2!$O$91)</f>
        <v>0</v>
      </c>
      <c r="E66" s="1153">
        <f>1000*TableA7!$P$91*(TableC2!F64+TableC2!Q64)/(TableC2!$D$91+TableC2!$O$91)</f>
        <v>0</v>
      </c>
      <c r="F66" s="1153">
        <f>1000*TableA7!$P$91*(TableC2!G64+TableC2!R64)/(TableC2!$D$91+TableC2!$O$91)</f>
        <v>0</v>
      </c>
      <c r="G66" s="1153">
        <f>1000*TableA7!$P$91*(TableC2!H64+TableC2!S64)/(TableC2!$D$91+TableC2!$O$91)</f>
        <v>0</v>
      </c>
      <c r="H66" s="1168">
        <f>1000*TableA7!$P$91*(TableC2!I64+TableC2!T64)/(TableC2!$D$91+TableC2!$O$91)</f>
        <v>0</v>
      </c>
      <c r="I66" s="1168">
        <f>1000*TableA7!$P$91*(TableC2!J64+TableC2!U64)/(TableC2!$D$91+TableC2!$O$91)</f>
        <v>0</v>
      </c>
      <c r="J66" s="1168">
        <f>1000*TableA7!$P$91*(TableC2!K64+TableC2!V64)/(TableC2!$D$91+TableC2!$O$91)</f>
        <v>0</v>
      </c>
      <c r="K66" s="1198">
        <f>1000*TableA7!$P$91*(TableC2!L64+TableC2!W64)/(TableC2!$D$91+TableC2!$O$91)</f>
        <v>0</v>
      </c>
      <c r="L66" s="1168">
        <f>1000*TableA7!$P$91*(TableC2!M64+TableC2!X64)/(TableC2!$D$91+TableC2!$O$91)</f>
        <v>0</v>
      </c>
      <c r="M66" s="1229">
        <f>1000*TableA7!$P$91*(TableC2!N64+TableC2!Y64)/(TableC2!$D$91+TableC2!$O$91)</f>
        <v>0</v>
      </c>
      <c r="N66" s="633">
        <f>1000*TableA7!$P$91*TableC3!C64/TableC3!$C$91</f>
        <v>17343.197797932866</v>
      </c>
      <c r="O66" s="1200">
        <f>1000*TableA7!$P$91*TableC3!D64/TableC3!$C$91</f>
        <v>4036.1374502633416</v>
      </c>
      <c r="P66" s="1153">
        <f>1000*TableA7!$P$91*TableC3!E64/TableC3!$C$91</f>
        <v>35.485263935971403</v>
      </c>
      <c r="Q66" s="1153">
        <f>1000*TableA7!$P$91*TableC3!F64/TableC3!$C$91</f>
        <v>0</v>
      </c>
      <c r="R66" s="1153">
        <f>1000*TableA7!$P$91*TableC3!G64/TableC3!$C$91</f>
        <v>601.58905175408415</v>
      </c>
      <c r="S66" s="1168">
        <f>1000*TableA7!$P$91*TableC3!H64/TableC3!$C$91</f>
        <v>1536.7429536841896</v>
      </c>
      <c r="T66" s="1168">
        <f>1000*TableA7!$P$91*TableC3!I64/TableC3!$C$91</f>
        <v>0</v>
      </c>
      <c r="U66" s="1168">
        <f>1000*TableA7!$P$91*TableC3!J64/TableC3!$C$91</f>
        <v>1862.3201808890965</v>
      </c>
      <c r="V66" s="1198">
        <f>1000*TableA7!$P$91*TableC3!K64/TableC3!$C$91</f>
        <v>13307.060347669525</v>
      </c>
      <c r="W66" s="1168">
        <f>1000*TableA7!$P$91*TableC3!L64/TableC3!$C$91</f>
        <v>0</v>
      </c>
      <c r="X66" s="1211">
        <f>1000*TableA7!$P$91*TableC3!M64/TableC3!$C$91</f>
        <v>13307.060347669525</v>
      </c>
    </row>
    <row r="67" spans="1:24" ht="14.25" hidden="1" customHeight="1" x14ac:dyDescent="0.2">
      <c r="A67" s="954"/>
      <c r="B67" s="1148" t="s">
        <v>85</v>
      </c>
      <c r="C67" s="1452">
        <f>1000*TableA7!$P$91*(TableC2!D65+TableC2!O65)/(TableC2!$D$91+TableC2!$O$91)</f>
        <v>0</v>
      </c>
      <c r="D67" s="1200">
        <f>1000*TableA7!$P$91*(TableC2!E65+TableC2!P65)/(TableC2!$D$91+TableC2!$O$91)</f>
        <v>0</v>
      </c>
      <c r="E67" s="1153">
        <f>1000*TableA7!$P$91*(TableC2!F65+TableC2!Q65)/(TableC2!$D$91+TableC2!$O$91)</f>
        <v>0</v>
      </c>
      <c r="F67" s="1153">
        <f>1000*TableA7!$P$91*(TableC2!G65+TableC2!R65)/(TableC2!$D$91+TableC2!$O$91)</f>
        <v>0</v>
      </c>
      <c r="G67" s="1153">
        <f>1000*TableA7!$P$91*(TableC2!H65+TableC2!S65)/(TableC2!$D$91+TableC2!$O$91)</f>
        <v>0</v>
      </c>
      <c r="H67" s="1168">
        <f>1000*TableA7!$P$91*(TableC2!I65+TableC2!T65)/(TableC2!$D$91+TableC2!$O$91)</f>
        <v>0</v>
      </c>
      <c r="I67" s="1168">
        <f>1000*TableA7!$P$91*(TableC2!J65+TableC2!U65)/(TableC2!$D$91+TableC2!$O$91)</f>
        <v>0</v>
      </c>
      <c r="J67" s="1168">
        <f>1000*TableA7!$P$91*(TableC2!K65+TableC2!V65)/(TableC2!$D$91+TableC2!$O$91)</f>
        <v>0</v>
      </c>
      <c r="K67" s="1198">
        <f>1000*TableA7!$P$91*(TableC2!L65+TableC2!W65)/(TableC2!$D$91+TableC2!$O$91)</f>
        <v>0</v>
      </c>
      <c r="L67" s="1168">
        <f>1000*TableA7!$P$91*(TableC2!M65+TableC2!X65)/(TableC2!$D$91+TableC2!$O$91)</f>
        <v>0</v>
      </c>
      <c r="M67" s="1229">
        <f>1000*TableA7!$P$91*(TableC2!N65+TableC2!Y65)/(TableC2!$D$91+TableC2!$O$91)</f>
        <v>0</v>
      </c>
      <c r="N67" s="1459">
        <f>1000*TableA7!$P$91*TableC3!C65/TableC3!$C$91</f>
        <v>35.17383298199519</v>
      </c>
      <c r="O67" s="1200">
        <f>1000*TableA7!$P$91*TableC3!D65/TableC3!$C$91</f>
        <v>-4.7572431964161108</v>
      </c>
      <c r="P67" s="1153">
        <f>1000*TableA7!$P$91*TableC3!E65/TableC3!$C$91</f>
        <v>-4.7572431964161108</v>
      </c>
      <c r="Q67" s="1153">
        <f>1000*TableA7!$P$91*TableC3!F65/TableC3!$C$91</f>
        <v>0</v>
      </c>
      <c r="R67" s="1153">
        <f>1000*TableA7!$P$91*TableC3!G65/TableC3!$C$91</f>
        <v>0</v>
      </c>
      <c r="S67" s="1168">
        <f>1000*TableA7!$P$91*TableC3!H65/TableC3!$C$91</f>
        <v>0</v>
      </c>
      <c r="T67" s="1168">
        <f>1000*TableA7!$P$91*TableC3!I65/TableC3!$C$91</f>
        <v>0</v>
      </c>
      <c r="U67" s="1168">
        <f>1000*TableA7!$P$91*TableC3!J65/TableC3!$C$91</f>
        <v>0</v>
      </c>
      <c r="V67" s="1198">
        <f>1000*TableA7!$P$91*TableC3!K65/TableC3!$C$91</f>
        <v>39.931076178411303</v>
      </c>
      <c r="W67" s="1168">
        <f>1000*TableA7!$P$91*TableC3!L65/TableC3!$C$91</f>
        <v>0</v>
      </c>
      <c r="X67" s="1211">
        <f>1000*TableA7!$P$91*TableC3!M65/TableC3!$C$91</f>
        <v>39.931076178411303</v>
      </c>
    </row>
    <row r="68" spans="1:24" ht="14.25" hidden="1" customHeight="1" x14ac:dyDescent="0.2">
      <c r="A68" s="954"/>
      <c r="B68" s="1148" t="str">
        <f>+TableA1!A67</f>
        <v>Cyprus</v>
      </c>
      <c r="C68" s="1452">
        <f>1000*TableA7!$P$91*(TableC2!D66+TableC2!O66)/(TableC2!$D$91+TableC2!$O$91)</f>
        <v>0</v>
      </c>
      <c r="D68" s="1200">
        <f>1000*TableA7!$P$91*(TableC2!E66+TableC2!P66)/(TableC2!$D$91+TableC2!$O$91)</f>
        <v>0</v>
      </c>
      <c r="E68" s="1153">
        <f>1000*TableA7!$P$91*(TableC2!F66+TableC2!Q66)/(TableC2!$D$91+TableC2!$O$91)</f>
        <v>0</v>
      </c>
      <c r="F68" s="1153">
        <f>1000*TableA7!$P$91*(TableC2!G66+TableC2!R66)/(TableC2!$D$91+TableC2!$O$91)</f>
        <v>0</v>
      </c>
      <c r="G68" s="1153">
        <f>1000*TableA7!$P$91*(TableC2!H66+TableC2!S66)/(TableC2!$D$91+TableC2!$O$91)</f>
        <v>0</v>
      </c>
      <c r="H68" s="1168">
        <f>1000*TableA7!$P$91*(TableC2!I66+TableC2!T66)/(TableC2!$D$91+TableC2!$O$91)</f>
        <v>0</v>
      </c>
      <c r="I68" s="1168">
        <f>1000*TableA7!$P$91*(TableC2!J66+TableC2!U66)/(TableC2!$D$91+TableC2!$O$91)</f>
        <v>0</v>
      </c>
      <c r="J68" s="1168">
        <f>1000*TableA7!$P$91*(TableC2!K66+TableC2!V66)/(TableC2!$D$91+TableC2!$O$91)</f>
        <v>0</v>
      </c>
      <c r="K68" s="1198">
        <f>1000*TableA7!$P$91*(TableC2!L66+TableC2!W66)/(TableC2!$D$91+TableC2!$O$91)</f>
        <v>0</v>
      </c>
      <c r="L68" s="1168">
        <f>1000*TableA7!$P$91*(TableC2!M66+TableC2!X66)/(TableC2!$D$91+TableC2!$O$91)</f>
        <v>0</v>
      </c>
      <c r="M68" s="1229">
        <f>1000*TableA7!$P$91*(TableC2!N66+TableC2!Y66)/(TableC2!$D$91+TableC2!$O$91)</f>
        <v>0</v>
      </c>
      <c r="N68" s="1459">
        <f>1000*TableA7!$P$91*TableC3!C66/TableC3!$C$91</f>
        <v>2214.006180353048</v>
      </c>
      <c r="O68" s="1200">
        <f>1000*TableA7!$P$91*TableC3!D66/TableC3!$C$91</f>
        <v>2035.4674076364563</v>
      </c>
      <c r="P68" s="1153">
        <f>1000*TableA7!$P$91*TableC3!E66/TableC3!$C$91</f>
        <v>155.83814635732864</v>
      </c>
      <c r="Q68" s="1153">
        <f>1000*TableA7!$P$91*TableC3!F66/TableC3!$C$91</f>
        <v>518.49663867267816</v>
      </c>
      <c r="R68" s="1153">
        <f>1000*TableA7!$P$91*TableC3!G66/TableC3!$C$91</f>
        <v>12.947331895337683</v>
      </c>
      <c r="S68" s="1168">
        <f>1000*TableA7!$P$91*TableC3!H66/TableC3!$C$91</f>
        <v>125.92239929610872</v>
      </c>
      <c r="T68" s="1168">
        <f>1000*TableA7!$P$91*TableC3!I66/TableC3!$C$91</f>
        <v>3.044032680940234</v>
      </c>
      <c r="U68" s="1168">
        <f>1000*TableA7!$P$91*TableC3!J66/TableC3!$C$91</f>
        <v>1219.2188587340631</v>
      </c>
      <c r="V68" s="1198">
        <f>1000*TableA7!$P$91*TableC3!K66/TableC3!$C$91</f>
        <v>178.53877271659169</v>
      </c>
      <c r="W68" s="1168">
        <f>1000*TableA7!$P$91*TableC3!L66/TableC3!$C$91</f>
        <v>0</v>
      </c>
      <c r="X68" s="1211">
        <f>1000*TableA7!$P$91*TableC3!M66/TableC3!$C$91</f>
        <v>178.53877271659169</v>
      </c>
    </row>
    <row r="69" spans="1:24" ht="14.25" hidden="1" customHeight="1" x14ac:dyDescent="0.2">
      <c r="A69" s="954"/>
      <c r="B69" s="1148" t="s">
        <v>87</v>
      </c>
      <c r="C69" s="1452">
        <f>1000*TableA7!$P$91*(TableC2!D67+TableC2!O67)/(TableC2!$D$91+TableC2!$O$91)</f>
        <v>0</v>
      </c>
      <c r="D69" s="1200">
        <f>1000*TableA7!$P$91*(TableC2!E67+TableC2!P67)/(TableC2!$D$91+TableC2!$O$91)</f>
        <v>0</v>
      </c>
      <c r="E69" s="1153">
        <f>1000*TableA7!$P$91*(TableC2!F67+TableC2!Q67)/(TableC2!$D$91+TableC2!$O$91)</f>
        <v>0</v>
      </c>
      <c r="F69" s="1153">
        <f>1000*TableA7!$P$91*(TableC2!G67+TableC2!R67)/(TableC2!$D$91+TableC2!$O$91)</f>
        <v>0</v>
      </c>
      <c r="G69" s="1153">
        <f>1000*TableA7!$P$91*(TableC2!H67+TableC2!S67)/(TableC2!$D$91+TableC2!$O$91)</f>
        <v>0</v>
      </c>
      <c r="H69" s="1168">
        <f>1000*TableA7!$P$91*(TableC2!I67+TableC2!T67)/(TableC2!$D$91+TableC2!$O$91)</f>
        <v>0</v>
      </c>
      <c r="I69" s="1168">
        <f>1000*TableA7!$P$91*(TableC2!J67+TableC2!U67)/(TableC2!$D$91+TableC2!$O$91)</f>
        <v>0</v>
      </c>
      <c r="J69" s="1168">
        <f>1000*TableA7!$P$91*(TableC2!K67+TableC2!V67)/(TableC2!$D$91+TableC2!$O$91)</f>
        <v>0</v>
      </c>
      <c r="K69" s="1198">
        <f>1000*TableA7!$P$91*(TableC2!L67+TableC2!W67)/(TableC2!$D$91+TableC2!$O$91)</f>
        <v>0</v>
      </c>
      <c r="L69" s="1168">
        <f>1000*TableA7!$P$91*(TableC2!M67+TableC2!X67)/(TableC2!$D$91+TableC2!$O$91)</f>
        <v>0</v>
      </c>
      <c r="M69" s="1229">
        <f>1000*TableA7!$P$91*(TableC2!N67+TableC2!Y67)/(TableC2!$D$91+TableC2!$O$91)</f>
        <v>0</v>
      </c>
      <c r="N69" s="1459">
        <f>1000*TableA7!$P$91*TableC3!C67/TableC3!$C$91</f>
        <v>1030.0509120990355</v>
      </c>
      <c r="O69" s="1200">
        <f>1000*TableA7!$P$91*TableC3!D67/TableC3!$C$91</f>
        <v>881.08186818656247</v>
      </c>
      <c r="P69" s="1153">
        <f>1000*TableA7!$P$91*TableC3!E67/TableC3!$C$91</f>
        <v>-4.7247078481723968</v>
      </c>
      <c r="Q69" s="1153">
        <f>1000*TableA7!$P$91*TableC3!F67/TableC3!$C$91</f>
        <v>0.88307377084193128</v>
      </c>
      <c r="R69" s="1153">
        <f>1000*TableA7!$P$91*TableC3!G67/TableC3!$C$91</f>
        <v>202.26083639376603</v>
      </c>
      <c r="S69" s="1168">
        <f>1000*TableA7!$P$91*TableC3!H67/TableC3!$C$91</f>
        <v>682.66266587012694</v>
      </c>
      <c r="T69" s="1168">
        <f>1000*TableA7!$P$91*TableC3!I67/TableC3!$C$91</f>
        <v>0</v>
      </c>
      <c r="U69" s="1168">
        <f>1000*TableA7!$P$91*TableC3!J67/TableC3!$C$91</f>
        <v>0</v>
      </c>
      <c r="V69" s="1198">
        <f>1000*TableA7!$P$91*TableC3!K67/TableC3!$C$91</f>
        <v>148.96904391247296</v>
      </c>
      <c r="W69" s="1168">
        <f>1000*TableA7!$P$91*TableC3!L67/TableC3!$C$91</f>
        <v>0</v>
      </c>
      <c r="X69" s="1211">
        <f>1000*TableA7!$P$91*TableC3!M67/TableC3!$C$91</f>
        <v>148.96904391247296</v>
      </c>
    </row>
    <row r="70" spans="1:24" ht="14.25" hidden="1" customHeight="1" x14ac:dyDescent="0.2">
      <c r="A70" s="954"/>
      <c r="B70" s="1148" t="str">
        <f>+TableA1!A69</f>
        <v>Grenada</v>
      </c>
      <c r="C70" s="1452">
        <f>1000*TableA7!$P$91*(TableC2!D68+TableC2!O68)/(TableC2!$D$91+TableC2!$O$91)</f>
        <v>0</v>
      </c>
      <c r="D70" s="1200">
        <f>1000*TableA7!$P$91*(TableC2!E68+TableC2!P68)/(TableC2!$D$91+TableC2!$O$91)</f>
        <v>0</v>
      </c>
      <c r="E70" s="1153">
        <f>1000*TableA7!$P$91*(TableC2!F68+TableC2!Q68)/(TableC2!$D$91+TableC2!$O$91)</f>
        <v>0</v>
      </c>
      <c r="F70" s="1153">
        <f>1000*TableA7!$P$91*(TableC2!G68+TableC2!R68)/(TableC2!$D$91+TableC2!$O$91)</f>
        <v>0</v>
      </c>
      <c r="G70" s="1153">
        <f>1000*TableA7!$P$91*(TableC2!H68+TableC2!S68)/(TableC2!$D$91+TableC2!$O$91)</f>
        <v>0</v>
      </c>
      <c r="H70" s="1168">
        <f>1000*TableA7!$P$91*(TableC2!I68+TableC2!T68)/(TableC2!$D$91+TableC2!$O$91)</f>
        <v>0</v>
      </c>
      <c r="I70" s="1168">
        <f>1000*TableA7!$P$91*(TableC2!J68+TableC2!U68)/(TableC2!$D$91+TableC2!$O$91)</f>
        <v>0</v>
      </c>
      <c r="J70" s="1168">
        <f>1000*TableA7!$P$91*(TableC2!K68+TableC2!V68)/(TableC2!$D$91+TableC2!$O$91)</f>
        <v>0</v>
      </c>
      <c r="K70" s="1198">
        <f>1000*TableA7!$P$91*(TableC2!L68+TableC2!W68)/(TableC2!$D$91+TableC2!$O$91)</f>
        <v>0</v>
      </c>
      <c r="L70" s="1168">
        <f>1000*TableA7!$P$91*(TableC2!M68+TableC2!X68)/(TableC2!$D$91+TableC2!$O$91)</f>
        <v>0</v>
      </c>
      <c r="M70" s="1229">
        <f>1000*TableA7!$P$91*(TableC2!N68+TableC2!Y68)/(TableC2!$D$91+TableC2!$O$91)</f>
        <v>0</v>
      </c>
      <c r="N70" s="1459">
        <f>1000*TableA7!$P$91*TableC3!C68/TableC3!$C$91</f>
        <v>1.2703666340431101</v>
      </c>
      <c r="O70" s="1200">
        <f>1000*TableA7!$P$91*TableC3!D68/TableC3!$C$91</f>
        <v>5.1830039407714794E-2</v>
      </c>
      <c r="P70" s="1153">
        <f>1000*TableA7!$P$91*TableC3!E68/TableC3!$C$91</f>
        <v>0</v>
      </c>
      <c r="Q70" s="1153">
        <f>1000*TableA7!$P$91*TableC3!F68/TableC3!$C$91</f>
        <v>5.1830039407714794E-2</v>
      </c>
      <c r="R70" s="1153">
        <f>1000*TableA7!$P$91*TableC3!G68/TableC3!$C$91</f>
        <v>0</v>
      </c>
      <c r="S70" s="1168">
        <f>1000*TableA7!$P$91*TableC3!H68/TableC3!$C$91</f>
        <v>0</v>
      </c>
      <c r="T70" s="1168">
        <f>1000*TableA7!$P$91*TableC3!I68/TableC3!$C$91</f>
        <v>0</v>
      </c>
      <c r="U70" s="1168">
        <f>1000*TableA7!$P$91*TableC3!J68/TableC3!$C$91</f>
        <v>0</v>
      </c>
      <c r="V70" s="1198">
        <f>1000*TableA7!$P$91*TableC3!K68/TableC3!$C$91</f>
        <v>1.2185365946353954</v>
      </c>
      <c r="W70" s="1168">
        <f>1000*TableA7!$P$91*TableC3!L68/TableC3!$C$91</f>
        <v>0</v>
      </c>
      <c r="X70" s="1211">
        <f>1000*TableA7!$P$91*TableC3!M68/TableC3!$C$91</f>
        <v>1.2185365946353954</v>
      </c>
    </row>
    <row r="71" spans="1:24" ht="14.25" hidden="1" customHeight="1" x14ac:dyDescent="0.2">
      <c r="A71" s="954"/>
      <c r="B71" s="1148" t="s">
        <v>89</v>
      </c>
      <c r="C71" s="1452">
        <f>1000*TableA7!$P$91*(TableC2!D69+TableC2!O69)/(TableC2!$D$91+TableC2!$O$91)</f>
        <v>0</v>
      </c>
      <c r="D71" s="1200">
        <f>1000*TableA7!$P$91*(TableC2!E69+TableC2!P69)/(TableC2!$D$91+TableC2!$O$91)</f>
        <v>0</v>
      </c>
      <c r="E71" s="1153">
        <f>1000*TableA7!$P$91*(TableC2!F69+TableC2!Q69)/(TableC2!$D$91+TableC2!$O$91)</f>
        <v>0</v>
      </c>
      <c r="F71" s="1153">
        <f>1000*TableA7!$P$91*(TableC2!G69+TableC2!R69)/(TableC2!$D$91+TableC2!$O$91)</f>
        <v>0</v>
      </c>
      <c r="G71" s="1153">
        <f>1000*TableA7!$P$91*(TableC2!H69+TableC2!S69)/(TableC2!$D$91+TableC2!$O$91)</f>
        <v>0</v>
      </c>
      <c r="H71" s="1168">
        <f>1000*TableA7!$P$91*(TableC2!I69+TableC2!T69)/(TableC2!$D$91+TableC2!$O$91)</f>
        <v>0</v>
      </c>
      <c r="I71" s="1168">
        <f>1000*TableA7!$P$91*(TableC2!J69+TableC2!U69)/(TableC2!$D$91+TableC2!$O$91)</f>
        <v>0</v>
      </c>
      <c r="J71" s="1168">
        <f>1000*TableA7!$P$91*(TableC2!K69+TableC2!V69)/(TableC2!$D$91+TableC2!$O$91)</f>
        <v>0</v>
      </c>
      <c r="K71" s="1198">
        <f>1000*TableA7!$P$91*(TableC2!L69+TableC2!W69)/(TableC2!$D$91+TableC2!$O$91)</f>
        <v>0</v>
      </c>
      <c r="L71" s="1168">
        <f>1000*TableA7!$P$91*(TableC2!M69+TableC2!X69)/(TableC2!$D$91+TableC2!$O$91)</f>
        <v>0</v>
      </c>
      <c r="M71" s="1229">
        <f>1000*TableA7!$P$91*(TableC2!N69+TableC2!Y69)/(TableC2!$D$91+TableC2!$O$91)</f>
        <v>0</v>
      </c>
      <c r="N71" s="1459">
        <f>1000*TableA7!$P$91*TableC3!C69/TableC3!$C$91</f>
        <v>291.14582108783492</v>
      </c>
      <c r="O71" s="1200">
        <f>1000*TableA7!$P$91*TableC3!D69/TableC3!$C$91</f>
        <v>235.10089649287249</v>
      </c>
      <c r="P71" s="1153">
        <f>1000*TableA7!$P$91*TableC3!E69/TableC3!$C$91</f>
        <v>-14.415888473988213</v>
      </c>
      <c r="Q71" s="1153">
        <f>1000*TableA7!$P$91*TableC3!F69/TableC3!$C$91</f>
        <v>10.979132823527676</v>
      </c>
      <c r="R71" s="1153">
        <f>1000*TableA7!$P$91*TableC3!G69/TableC3!$C$91</f>
        <v>0</v>
      </c>
      <c r="S71" s="1168">
        <f>1000*TableA7!$P$91*TableC3!H69/TableC3!$C$91</f>
        <v>238.53765214333305</v>
      </c>
      <c r="T71" s="1168">
        <f>1000*TableA7!$P$91*TableC3!I69/TableC3!$C$91</f>
        <v>0</v>
      </c>
      <c r="U71" s="1168">
        <f>1000*TableA7!$P$91*TableC3!J69/TableC3!$C$91</f>
        <v>0</v>
      </c>
      <c r="V71" s="1198">
        <f>1000*TableA7!$P$91*TableC3!K69/TableC3!$C$91</f>
        <v>56.044924594962403</v>
      </c>
      <c r="W71" s="1168">
        <f>1000*TableA7!$P$91*TableC3!L69/TableC3!$C$91</f>
        <v>0</v>
      </c>
      <c r="X71" s="1211">
        <f>1000*TableA7!$P$91*TableC3!M69/TableC3!$C$91</f>
        <v>56.044924594962403</v>
      </c>
    </row>
    <row r="72" spans="1:24" ht="14.25" hidden="1" customHeight="1" x14ac:dyDescent="0.2">
      <c r="A72" s="329" t="s">
        <v>90</v>
      </c>
      <c r="B72" s="1148" t="s">
        <v>154</v>
      </c>
      <c r="C72" s="1452">
        <f>1000*TableA7!$P$91*(TableC2!D70+TableC2!O70)/(TableC2!$D$91+TableC2!$O$91)</f>
        <v>0</v>
      </c>
      <c r="D72" s="1200">
        <f>1000*TableA7!$P$91*(TableC2!E70+TableC2!P70)/(TableC2!$D$91+TableC2!$O$91)</f>
        <v>0</v>
      </c>
      <c r="E72" s="1153">
        <f>1000*TableA7!$P$91*(TableC2!F70+TableC2!Q70)/(TableC2!$D$91+TableC2!$O$91)</f>
        <v>0</v>
      </c>
      <c r="F72" s="1153">
        <f>1000*TableA7!$P$91*(TableC2!G70+TableC2!R70)/(TableC2!$D$91+TableC2!$O$91)</f>
        <v>0</v>
      </c>
      <c r="G72" s="1153">
        <f>1000*TableA7!$P$91*(TableC2!H70+TableC2!S70)/(TableC2!$D$91+TableC2!$O$91)</f>
        <v>0</v>
      </c>
      <c r="H72" s="1168">
        <f>1000*TableA7!$P$91*(TableC2!I70+TableC2!T70)/(TableC2!$D$91+TableC2!$O$91)</f>
        <v>0</v>
      </c>
      <c r="I72" s="1168">
        <f>1000*TableA7!$P$91*(TableC2!J70+TableC2!U70)/(TableC2!$D$91+TableC2!$O$91)</f>
        <v>0</v>
      </c>
      <c r="J72" s="1168">
        <f>1000*TableA7!$P$91*(TableC2!K70+TableC2!V70)/(TableC2!$D$91+TableC2!$O$91)</f>
        <v>0</v>
      </c>
      <c r="K72" s="1198">
        <f>1000*TableA7!$P$91*(TableC2!L70+TableC2!W70)/(TableC2!$D$91+TableC2!$O$91)</f>
        <v>0</v>
      </c>
      <c r="L72" s="1168">
        <f>1000*TableA7!$P$91*(TableC2!M70+TableC2!X70)/(TableC2!$D$91+TableC2!$O$91)</f>
        <v>0</v>
      </c>
      <c r="M72" s="1229">
        <f>1000*TableA7!$P$91*(TableC2!N70+TableC2!Y70)/(TableC2!$D$91+TableC2!$O$91)</f>
        <v>0</v>
      </c>
      <c r="N72" s="1459">
        <f>1000*TableA7!$P$91*TableC3!C70/TableC3!$C$91</f>
        <v>994.46818349126033</v>
      </c>
      <c r="O72" s="1200">
        <f>1000*TableA7!$P$91*TableC3!D70/TableC3!$C$91</f>
        <v>925.39106048854103</v>
      </c>
      <c r="P72" s="1153">
        <f>1000*TableA7!$P$91*TableC3!E70/TableC3!$C$91</f>
        <v>0.57817418515492569</v>
      </c>
      <c r="Q72" s="1153">
        <f>1000*TableA7!$P$91*TableC3!F70/TableC3!$C$91</f>
        <v>1.3553656206114577</v>
      </c>
      <c r="R72" s="1153">
        <f>1000*TableA7!$P$91*TableC3!G70/TableC3!$C$91</f>
        <v>0</v>
      </c>
      <c r="S72" s="1168">
        <f>1000*TableA7!$P$91*TableC3!H70/TableC3!$C$91</f>
        <v>839.11040208204543</v>
      </c>
      <c r="T72" s="1168">
        <f>1000*TableA7!$P$91*TableC3!I70/TableC3!$C$91</f>
        <v>0</v>
      </c>
      <c r="U72" s="1168">
        <f>1000*TableA7!$P$91*TableC3!J70/TableC3!$C$91</f>
        <v>84.347118600729303</v>
      </c>
      <c r="V72" s="1198">
        <f>1000*TableA7!$P$91*TableC3!K70/TableC3!$C$91</f>
        <v>69.077123002719389</v>
      </c>
      <c r="W72" s="1168">
        <f>1000*TableA7!$P$91*TableC3!L70/TableC3!$C$91</f>
        <v>0</v>
      </c>
      <c r="X72" s="1211">
        <f>1000*TableA7!$P$91*TableC3!M70/TableC3!$C$91</f>
        <v>69.077123002719389</v>
      </c>
    </row>
    <row r="73" spans="1:24" ht="14.25" hidden="1" customHeight="1" x14ac:dyDescent="0.2">
      <c r="A73" s="329" t="s">
        <v>341</v>
      </c>
      <c r="B73" s="1148" t="s">
        <v>91</v>
      </c>
      <c r="C73" s="1452">
        <f>1000*TableA7!$P$91*(TableC2!D71+TableC2!O71)/(TableC2!$D$91+TableC2!$O$91)</f>
        <v>0</v>
      </c>
      <c r="D73" s="1200">
        <f>1000*TableA7!$P$91*(TableC2!E71+TableC2!P71)/(TableC2!$D$91+TableC2!$O$91)</f>
        <v>0</v>
      </c>
      <c r="E73" s="1153">
        <f>1000*TableA7!$P$91*(TableC2!F71+TableC2!Q71)/(TableC2!$D$91+TableC2!$O$91)</f>
        <v>0</v>
      </c>
      <c r="F73" s="1153">
        <f>1000*TableA7!$P$91*(TableC2!G71+TableC2!R71)/(TableC2!$D$91+TableC2!$O$91)</f>
        <v>0</v>
      </c>
      <c r="G73" s="1153">
        <f>1000*TableA7!$P$91*(TableC2!H71+TableC2!S71)/(TableC2!$D$91+TableC2!$O$91)</f>
        <v>0</v>
      </c>
      <c r="H73" s="1168">
        <f>1000*TableA7!$P$91*(TableC2!I71+TableC2!T71)/(TableC2!$D$91+TableC2!$O$91)</f>
        <v>0</v>
      </c>
      <c r="I73" s="1168">
        <f>1000*TableA7!$P$91*(TableC2!J71+TableC2!U71)/(TableC2!$D$91+TableC2!$O$91)</f>
        <v>0</v>
      </c>
      <c r="J73" s="1168">
        <f>1000*TableA7!$P$91*(TableC2!K71+TableC2!V71)/(TableC2!$D$91+TableC2!$O$91)</f>
        <v>0</v>
      </c>
      <c r="K73" s="1198">
        <f>1000*TableA7!$P$91*(TableC2!L71+TableC2!W71)/(TableC2!$D$91+TableC2!$O$91)</f>
        <v>0</v>
      </c>
      <c r="L73" s="1168">
        <f>1000*TableA7!$P$91*(TableC2!M71+TableC2!X71)/(TableC2!$D$91+TableC2!$O$91)</f>
        <v>0</v>
      </c>
      <c r="M73" s="1229">
        <f>1000*TableA7!$P$91*(TableC2!N71+TableC2!Y71)/(TableC2!$D$91+TableC2!$O$91)</f>
        <v>0</v>
      </c>
      <c r="N73" s="1459">
        <f>1000*TableA7!$P$91*TableC3!C71/TableC3!$C$91</f>
        <v>13604.580329620732</v>
      </c>
      <c r="O73" s="1200">
        <f>1000*TableA7!$P$91*TableC3!D71/TableC3!$C$91</f>
        <v>3130.2611736094477</v>
      </c>
      <c r="P73" s="1153">
        <f>1000*TableA7!$P$91*TableC3!E71/TableC3!$C$91</f>
        <v>1301.1263443189314</v>
      </c>
      <c r="Q73" s="1153">
        <f>1000*TableA7!$P$91*TableC3!F71/TableC3!$C$91</f>
        <v>3.140011509267894</v>
      </c>
      <c r="R73" s="1153">
        <f>1000*TableA7!$P$91*TableC3!G71/TableC3!$C$91</f>
        <v>18.034338772984906</v>
      </c>
      <c r="S73" s="1168">
        <f>1000*TableA7!$P$91*TableC3!H71/TableC3!$C$91</f>
        <v>511.99779616804352</v>
      </c>
      <c r="T73" s="1168">
        <f>1000*TableA7!$P$91*TableC3!I71/TableC3!$C$91</f>
        <v>0</v>
      </c>
      <c r="U73" s="1168">
        <f>1000*TableA7!$P$91*TableC3!J71/TableC3!$C$91</f>
        <v>1295.9626828402206</v>
      </c>
      <c r="V73" s="1198">
        <f>1000*TableA7!$P$91*TableC3!K71/TableC3!$C$91</f>
        <v>10474.319156011286</v>
      </c>
      <c r="W73" s="1168">
        <f>1000*TableA7!$P$91*TableC3!L71/TableC3!$C$91</f>
        <v>0</v>
      </c>
      <c r="X73" s="1211">
        <f>1000*TableA7!$P$91*TableC3!M71/TableC3!$C$91</f>
        <v>10474.319156011286</v>
      </c>
    </row>
    <row r="74" spans="1:24" ht="14.25" hidden="1" customHeight="1" x14ac:dyDescent="0.2">
      <c r="A74" s="954"/>
      <c r="B74" s="1148" t="s">
        <v>92</v>
      </c>
      <c r="C74" s="1452">
        <f>1000*TableA7!$P$91*(TableC2!D72+TableC2!O72)/(TableC2!$D$91+TableC2!$O$91)</f>
        <v>0</v>
      </c>
      <c r="D74" s="1200">
        <f>1000*TableA7!$P$91*(TableC2!E72+TableC2!P72)/(TableC2!$D$91+TableC2!$O$91)</f>
        <v>0</v>
      </c>
      <c r="E74" s="1153">
        <f>1000*TableA7!$P$91*(TableC2!F72+TableC2!Q72)/(TableC2!$D$91+TableC2!$O$91)</f>
        <v>0</v>
      </c>
      <c r="F74" s="1153">
        <f>1000*TableA7!$P$91*(TableC2!G72+TableC2!R72)/(TableC2!$D$91+TableC2!$O$91)</f>
        <v>0</v>
      </c>
      <c r="G74" s="1153">
        <f>1000*TableA7!$P$91*(TableC2!H72+TableC2!S72)/(TableC2!$D$91+TableC2!$O$91)</f>
        <v>0</v>
      </c>
      <c r="H74" s="1168">
        <f>1000*TableA7!$P$91*(TableC2!I72+TableC2!T72)/(TableC2!$D$91+TableC2!$O$91)</f>
        <v>0</v>
      </c>
      <c r="I74" s="1168">
        <f>1000*TableA7!$P$91*(TableC2!J72+TableC2!U72)/(TableC2!$D$91+TableC2!$O$91)</f>
        <v>0</v>
      </c>
      <c r="J74" s="1168">
        <f>1000*TableA7!$P$91*(TableC2!K72+TableC2!V72)/(TableC2!$D$91+TableC2!$O$91)</f>
        <v>0</v>
      </c>
      <c r="K74" s="1198">
        <f>1000*TableA7!$P$91*(TableC2!L72+TableC2!W72)/(TableC2!$D$91+TableC2!$O$91)</f>
        <v>0</v>
      </c>
      <c r="L74" s="1168">
        <f>1000*TableA7!$P$91*(TableC2!M72+TableC2!X72)/(TableC2!$D$91+TableC2!$O$91)</f>
        <v>0</v>
      </c>
      <c r="M74" s="1229">
        <f>1000*TableA7!$P$91*(TableC2!N72+TableC2!Y72)/(TableC2!$D$91+TableC2!$O$91)</f>
        <v>0</v>
      </c>
      <c r="N74" s="1459">
        <f>1000*TableA7!$P$91*TableC3!C72/TableC3!$C$91</f>
        <v>46.95633363227423</v>
      </c>
      <c r="O74" s="1200">
        <f>1000*TableA7!$P$91*TableC3!D72/TableC3!$C$91</f>
        <v>1.5613156932531289</v>
      </c>
      <c r="P74" s="1153">
        <f>1000*TableA7!$P$91*TableC3!E72/TableC3!$C$91</f>
        <v>0</v>
      </c>
      <c r="Q74" s="1153">
        <f>1000*TableA7!$P$91*TableC3!F72/TableC3!$C$91</f>
        <v>1.4312942885033053</v>
      </c>
      <c r="R74" s="1153">
        <f>1000*TableA7!$P$91*TableC3!G72/TableC3!$C$91</f>
        <v>0</v>
      </c>
      <c r="S74" s="1168">
        <f>1000*TableA7!$P$91*TableC3!H72/TableC3!$C$91</f>
        <v>0</v>
      </c>
      <c r="T74" s="1168">
        <f>1000*TableA7!$P$91*TableC3!I72/TableC3!$C$91</f>
        <v>0.1300214047498236</v>
      </c>
      <c r="U74" s="1168">
        <f>1000*TableA7!$P$91*TableC3!J72/TableC3!$C$91</f>
        <v>0</v>
      </c>
      <c r="V74" s="1198">
        <f>1000*TableA7!$P$91*TableC3!K72/TableC3!$C$91</f>
        <v>45.395017939021102</v>
      </c>
      <c r="W74" s="1168">
        <f>1000*TableA7!$P$91*TableC3!L72/TableC3!$C$91</f>
        <v>0</v>
      </c>
      <c r="X74" s="1211">
        <f>1000*TableA7!$P$91*TableC3!M72/TableC3!$C$91</f>
        <v>45.395017939021102</v>
      </c>
    </row>
    <row r="75" spans="1:24" ht="14.25" hidden="1" customHeight="1" x14ac:dyDescent="0.2">
      <c r="A75" s="954"/>
      <c r="B75" s="1148" t="s">
        <v>93</v>
      </c>
      <c r="C75" s="1452">
        <f>1000*TableA7!$P$91*(TableC2!D73+TableC2!O73)/(TableC2!$D$91+TableC2!$O$91)</f>
        <v>0</v>
      </c>
      <c r="D75" s="1200">
        <f>1000*TableA7!$P$91*(TableC2!E73+TableC2!P73)/(TableC2!$D$91+TableC2!$O$91)</f>
        <v>0</v>
      </c>
      <c r="E75" s="1153">
        <f>1000*TableA7!$P$91*(TableC2!F73+TableC2!Q73)/(TableC2!$D$91+TableC2!$O$91)</f>
        <v>0</v>
      </c>
      <c r="F75" s="1153">
        <f>1000*TableA7!$P$91*(TableC2!G73+TableC2!R73)/(TableC2!$D$91+TableC2!$O$91)</f>
        <v>0</v>
      </c>
      <c r="G75" s="1153">
        <f>1000*TableA7!$P$91*(TableC2!H73+TableC2!S73)/(TableC2!$D$91+TableC2!$O$91)</f>
        <v>0</v>
      </c>
      <c r="H75" s="1168">
        <f>1000*TableA7!$P$91*(TableC2!I73+TableC2!T73)/(TableC2!$D$91+TableC2!$O$91)</f>
        <v>0</v>
      </c>
      <c r="I75" s="1168">
        <f>1000*TableA7!$P$91*(TableC2!J73+TableC2!U73)/(TableC2!$D$91+TableC2!$O$91)</f>
        <v>0</v>
      </c>
      <c r="J75" s="1168">
        <f>1000*TableA7!$P$91*(TableC2!K73+TableC2!V73)/(TableC2!$D$91+TableC2!$O$91)</f>
        <v>0</v>
      </c>
      <c r="K75" s="1198">
        <f>1000*TableA7!$P$91*(TableC2!L73+TableC2!W73)/(TableC2!$D$91+TableC2!$O$91)</f>
        <v>0</v>
      </c>
      <c r="L75" s="1168">
        <f>1000*TableA7!$P$91*(TableC2!M73+TableC2!X73)/(TableC2!$D$91+TableC2!$O$91)</f>
        <v>0</v>
      </c>
      <c r="M75" s="1229">
        <f>1000*TableA7!$P$91*(TableC2!N73+TableC2!Y73)/(TableC2!$D$91+TableC2!$O$91)</f>
        <v>0</v>
      </c>
      <c r="N75" s="1459">
        <f>1000*TableA7!$P$91*TableC3!C73/TableC3!$C$91</f>
        <v>66.022287465158499</v>
      </c>
      <c r="O75" s="1200">
        <f>1000*TableA7!$P$91*TableC3!D73/TableC3!$C$91</f>
        <v>35.546919619245962</v>
      </c>
      <c r="P75" s="1153">
        <f>1000*TableA7!$P$91*TableC3!E73/TableC3!$C$91</f>
        <v>28.831776947976426</v>
      </c>
      <c r="Q75" s="1153">
        <f>1000*TableA7!$P$91*TableC3!F73/TableC3!$C$91</f>
        <v>6.7151426712695281</v>
      </c>
      <c r="R75" s="1153">
        <f>1000*TableA7!$P$91*TableC3!G73/TableC3!$C$91</f>
        <v>0</v>
      </c>
      <c r="S75" s="1168">
        <f>1000*TableA7!$P$91*TableC3!H73/TableC3!$C$91</f>
        <v>0</v>
      </c>
      <c r="T75" s="1168">
        <f>1000*TableA7!$P$91*TableC3!I73/TableC3!$C$91</f>
        <v>0</v>
      </c>
      <c r="U75" s="1168">
        <f>1000*TableA7!$P$91*TableC3!J73/TableC3!$C$91</f>
        <v>0</v>
      </c>
      <c r="V75" s="1198">
        <f>1000*TableA7!$P$91*TableC3!K73/TableC3!$C$91</f>
        <v>30.475367845912544</v>
      </c>
      <c r="W75" s="1168">
        <f>1000*TableA7!$P$91*TableC3!L73/TableC3!$C$91</f>
        <v>0</v>
      </c>
      <c r="X75" s="1211">
        <f>1000*TableA7!$P$91*TableC3!M73/TableC3!$C$91</f>
        <v>30.475367845912544</v>
      </c>
    </row>
    <row r="76" spans="1:24" ht="14.25" hidden="1" customHeight="1" x14ac:dyDescent="0.2">
      <c r="A76" s="954"/>
      <c r="B76" s="1148" t="s">
        <v>94</v>
      </c>
      <c r="C76" s="1452">
        <f>1000*TableA7!$P$91*(TableC2!D74+TableC2!O74)/(TableC2!$D$91+TableC2!$O$91)</f>
        <v>0</v>
      </c>
      <c r="D76" s="1200">
        <f>1000*TableA7!$P$91*(TableC2!E74+TableC2!P74)/(TableC2!$D$91+TableC2!$O$91)</f>
        <v>0</v>
      </c>
      <c r="E76" s="1153">
        <f>1000*TableA7!$P$91*(TableC2!F74+TableC2!Q74)/(TableC2!$D$91+TableC2!$O$91)</f>
        <v>0</v>
      </c>
      <c r="F76" s="1153">
        <f>1000*TableA7!$P$91*(TableC2!G74+TableC2!R74)/(TableC2!$D$91+TableC2!$O$91)</f>
        <v>0</v>
      </c>
      <c r="G76" s="1153">
        <f>1000*TableA7!$P$91*(TableC2!H74+TableC2!S74)/(TableC2!$D$91+TableC2!$O$91)</f>
        <v>0</v>
      </c>
      <c r="H76" s="1168">
        <f>1000*TableA7!$P$91*(TableC2!I74+TableC2!T74)/(TableC2!$D$91+TableC2!$O$91)</f>
        <v>0</v>
      </c>
      <c r="I76" s="1168">
        <f>1000*TableA7!$P$91*(TableC2!J74+TableC2!U74)/(TableC2!$D$91+TableC2!$O$91)</f>
        <v>0</v>
      </c>
      <c r="J76" s="1168">
        <f>1000*TableA7!$P$91*(TableC2!K74+TableC2!V74)/(TableC2!$D$91+TableC2!$O$91)</f>
        <v>0</v>
      </c>
      <c r="K76" s="1198">
        <f>1000*TableA7!$P$91*(TableC2!L74+TableC2!W74)/(TableC2!$D$91+TableC2!$O$91)</f>
        <v>0</v>
      </c>
      <c r="L76" s="1168">
        <f>1000*TableA7!$P$91*(TableC2!M74+TableC2!X74)/(TableC2!$D$91+TableC2!$O$91)</f>
        <v>0</v>
      </c>
      <c r="M76" s="1229">
        <f>1000*TableA7!$P$91*(TableC2!N74+TableC2!Y74)/(TableC2!$D$91+TableC2!$O$91)</f>
        <v>0</v>
      </c>
      <c r="N76" s="1459">
        <f>1000*TableA7!$P$91*TableC3!C74/TableC3!$C$91</f>
        <v>294.95312442733831</v>
      </c>
      <c r="O76" s="1200">
        <f>1000*TableA7!$P$91*TableC3!D74/TableC3!$C$91</f>
        <v>182.96436291668348</v>
      </c>
      <c r="P76" s="1153">
        <f>1000*TableA7!$P$91*TableC3!E74/TableC3!$C$91</f>
        <v>0</v>
      </c>
      <c r="Q76" s="1153">
        <f>1000*TableA7!$P$91*TableC3!F74/TableC3!$C$91</f>
        <v>0</v>
      </c>
      <c r="R76" s="1153">
        <f>1000*TableA7!$P$91*TableC3!G74/TableC3!$C$91</f>
        <v>0</v>
      </c>
      <c r="S76" s="1168">
        <f>1000*TableA7!$P$91*TableC3!H74/TableC3!$C$91</f>
        <v>182.96436291668348</v>
      </c>
      <c r="T76" s="1168">
        <f>1000*TableA7!$P$91*TableC3!I74/TableC3!$C$91</f>
        <v>0</v>
      </c>
      <c r="U76" s="1168">
        <f>1000*TableA7!$P$91*TableC3!J74/TableC3!$C$91</f>
        <v>0</v>
      </c>
      <c r="V76" s="1198">
        <f>1000*TableA7!$P$91*TableC3!K74/TableC3!$C$91</f>
        <v>111.98876151065484</v>
      </c>
      <c r="W76" s="1168">
        <f>1000*TableA7!$P$91*TableC3!L74/TableC3!$C$91</f>
        <v>0</v>
      </c>
      <c r="X76" s="1211">
        <f>1000*TableA7!$P$91*TableC3!M74/TableC3!$C$91</f>
        <v>111.98876151065484</v>
      </c>
    </row>
    <row r="77" spans="1:24" ht="14.25" hidden="1" customHeight="1" x14ac:dyDescent="0.2">
      <c r="A77" s="329" t="s">
        <v>342</v>
      </c>
      <c r="B77" s="1148" t="s">
        <v>95</v>
      </c>
      <c r="C77" s="1452">
        <f>1000*TableA7!$P$91*(TableC2!D75+TableC2!O75)/(TableC2!$D$91+TableC2!$O$91)</f>
        <v>0</v>
      </c>
      <c r="D77" s="1200">
        <f>1000*TableA7!$P$91*(TableC2!E75+TableC2!P75)/(TableC2!$D$91+TableC2!$O$91)</f>
        <v>0</v>
      </c>
      <c r="E77" s="1153">
        <f>1000*TableA7!$P$91*(TableC2!F75+TableC2!Q75)/(TableC2!$D$91+TableC2!$O$91)</f>
        <v>0</v>
      </c>
      <c r="F77" s="1153">
        <f>1000*TableA7!$P$91*(TableC2!G75+TableC2!R75)/(TableC2!$D$91+TableC2!$O$91)</f>
        <v>0</v>
      </c>
      <c r="G77" s="1153">
        <f>1000*TableA7!$P$91*(TableC2!H75+TableC2!S75)/(TableC2!$D$91+TableC2!$O$91)</f>
        <v>0</v>
      </c>
      <c r="H77" s="1168">
        <f>1000*TableA7!$P$91*(TableC2!I75+TableC2!T75)/(TableC2!$D$91+TableC2!$O$91)</f>
        <v>0</v>
      </c>
      <c r="I77" s="1168">
        <f>1000*TableA7!$P$91*(TableC2!J75+TableC2!U75)/(TableC2!$D$91+TableC2!$O$91)</f>
        <v>0</v>
      </c>
      <c r="J77" s="1168">
        <f>1000*TableA7!$P$91*(TableC2!K75+TableC2!V75)/(TableC2!$D$91+TableC2!$O$91)</f>
        <v>0</v>
      </c>
      <c r="K77" s="1198">
        <f>1000*TableA7!$P$91*(TableC2!L75+TableC2!W75)/(TableC2!$D$91+TableC2!$O$91)</f>
        <v>0</v>
      </c>
      <c r="L77" s="1168">
        <f>1000*TableA7!$P$91*(TableC2!M75+TableC2!X75)/(TableC2!$D$91+TableC2!$O$91)</f>
        <v>0</v>
      </c>
      <c r="M77" s="1229">
        <f>1000*TableA7!$P$91*(TableC2!N75+TableC2!Y75)/(TableC2!$D$91+TableC2!$O$91)</f>
        <v>0</v>
      </c>
      <c r="N77" s="1459">
        <f>1000*TableA7!$P$91*TableC3!C75/TableC3!$C$91</f>
        <v>812.76666003177377</v>
      </c>
      <c r="O77" s="1200">
        <f>1000*TableA7!$P$91*TableC3!D75/TableC3!$C$91</f>
        <v>0.13639600191341961</v>
      </c>
      <c r="P77" s="1153">
        <f>1000*TableA7!$P$91*TableC3!E75/TableC3!$C$91</f>
        <v>0</v>
      </c>
      <c r="Q77" s="1153">
        <f>1000*TableA7!$P$91*TableC3!F75/TableC3!$C$91</f>
        <v>0.13639600191341961</v>
      </c>
      <c r="R77" s="1153">
        <f>1000*TableA7!$P$91*TableC3!G75/TableC3!$C$91</f>
        <v>0</v>
      </c>
      <c r="S77" s="1168">
        <f>1000*TableA7!$P$91*TableC3!H75/TableC3!$C$91</f>
        <v>0</v>
      </c>
      <c r="T77" s="1168">
        <f>1000*TableA7!$P$91*TableC3!I75/TableC3!$C$91</f>
        <v>0</v>
      </c>
      <c r="U77" s="1168">
        <f>1000*TableA7!$P$91*TableC3!J75/TableC3!$C$91</f>
        <v>0</v>
      </c>
      <c r="V77" s="1198">
        <f>1000*TableA7!$P$91*TableC3!K75/TableC3!$C$91</f>
        <v>812.63026402986043</v>
      </c>
      <c r="W77" s="1168">
        <f>1000*TableA7!$P$91*TableC3!L75/TableC3!$C$91</f>
        <v>0</v>
      </c>
      <c r="X77" s="1211">
        <f>1000*TableA7!$P$91*TableC3!M75/TableC3!$C$91</f>
        <v>812.63026402986043</v>
      </c>
    </row>
    <row r="78" spans="1:24" ht="14.25" hidden="1" customHeight="1" x14ac:dyDescent="0.2">
      <c r="A78" s="954"/>
      <c r="B78" s="1148" t="s">
        <v>96</v>
      </c>
      <c r="C78" s="1452">
        <f>1000*TableA7!$P$91*(TableC2!D76+TableC2!O76)/(TableC2!$D$91+TableC2!$O$91)</f>
        <v>0</v>
      </c>
      <c r="D78" s="1200">
        <f>1000*TableA7!$P$91*(TableC2!E76+TableC2!P76)/(TableC2!$D$91+TableC2!$O$91)</f>
        <v>0</v>
      </c>
      <c r="E78" s="1153">
        <f>1000*TableA7!$P$91*(TableC2!F76+TableC2!Q76)/(TableC2!$D$91+TableC2!$O$91)</f>
        <v>0</v>
      </c>
      <c r="F78" s="1153">
        <f>1000*TableA7!$P$91*(TableC2!G76+TableC2!R76)/(TableC2!$D$91+TableC2!$O$91)</f>
        <v>0</v>
      </c>
      <c r="G78" s="1153">
        <f>1000*TableA7!$P$91*(TableC2!H76+TableC2!S76)/(TableC2!$D$91+TableC2!$O$91)</f>
        <v>0</v>
      </c>
      <c r="H78" s="1168">
        <f>1000*TableA7!$P$91*(TableC2!I76+TableC2!T76)/(TableC2!$D$91+TableC2!$O$91)</f>
        <v>0</v>
      </c>
      <c r="I78" s="1168">
        <f>1000*TableA7!$P$91*(TableC2!J76+TableC2!U76)/(TableC2!$D$91+TableC2!$O$91)</f>
        <v>0</v>
      </c>
      <c r="J78" s="1168">
        <f>1000*TableA7!$P$91*(TableC2!K76+TableC2!V76)/(TableC2!$D$91+TableC2!$O$91)</f>
        <v>0</v>
      </c>
      <c r="K78" s="1198">
        <f>1000*TableA7!$P$91*(TableC2!L76+TableC2!W76)/(TableC2!$D$91+TableC2!$O$91)</f>
        <v>0</v>
      </c>
      <c r="L78" s="1168">
        <f>1000*TableA7!$P$91*(TableC2!M76+TableC2!X76)/(TableC2!$D$91+TableC2!$O$91)</f>
        <v>0</v>
      </c>
      <c r="M78" s="634">
        <f>1000*TableA7!$P$91*(TableC2!N76+TableC2!Y76)/(TableC2!$D$91+TableC2!$O$91)</f>
        <v>0</v>
      </c>
      <c r="N78" s="1459">
        <f>1000*TableA7!$P$91*TableC3!C76/TableC3!$C$91</f>
        <v>641.33237716663587</v>
      </c>
      <c r="O78" s="1200">
        <f>1000*TableA7!$P$91*TableC3!D76/TableC3!$C$91</f>
        <v>639.19346927191225</v>
      </c>
      <c r="P78" s="1153">
        <f>1000*TableA7!$P$91*TableC3!E76/TableC3!$C$91</f>
        <v>126.51635725757681</v>
      </c>
      <c r="Q78" s="1153">
        <f>1000*TableA7!$P$91*TableC3!F76/TableC3!$C$91</f>
        <v>1.8534603864968E-2</v>
      </c>
      <c r="R78" s="1153">
        <f>1000*TableA7!$P$91*TableC3!G76/TableC3!$C$91</f>
        <v>65.029552988079089</v>
      </c>
      <c r="S78" s="1168">
        <f>1000*TableA7!$P$91*TableC3!H76/TableC3!$C$91</f>
        <v>98.858333045122791</v>
      </c>
      <c r="T78" s="1168">
        <f>1000*TableA7!$P$91*TableC3!I76/TableC3!$C$91</f>
        <v>348.77069137726852</v>
      </c>
      <c r="U78" s="1168">
        <f>1000*TableA7!$P$91*TableC3!J76/TableC3!$C$91</f>
        <v>0</v>
      </c>
      <c r="V78" s="1198">
        <f>1000*TableA7!$P$91*TableC3!K76/TableC3!$C$91</f>
        <v>2.1389078947235669</v>
      </c>
      <c r="W78" s="1168">
        <f>1000*TableA7!$P$91*TableC3!L76/TableC3!$C$91</f>
        <v>0</v>
      </c>
      <c r="X78" s="635">
        <f>1000*TableA7!$P$91*TableC3!M76/TableC3!$C$91</f>
        <v>2.1389078947235669</v>
      </c>
    </row>
    <row r="79" spans="1:24" ht="14.25" hidden="1" customHeight="1" x14ac:dyDescent="0.2">
      <c r="A79" s="329" t="s">
        <v>373</v>
      </c>
      <c r="B79" s="1148" t="s">
        <v>97</v>
      </c>
      <c r="C79" s="1452">
        <f>1000*TableA7!$P$91*(TableC2!D77+TableC2!O77)/(TableC2!$D$91+TableC2!$O$91)</f>
        <v>0</v>
      </c>
      <c r="D79" s="1200">
        <f>1000*TableA7!$P$91*(TableC2!E77+TableC2!P77)/(TableC2!$D$91+TableC2!$O$91)</f>
        <v>0</v>
      </c>
      <c r="E79" s="1153">
        <f>1000*TableA7!$P$91*(TableC2!F77+TableC2!Q77)/(TableC2!$D$91+TableC2!$O$91)</f>
        <v>0</v>
      </c>
      <c r="F79" s="1153">
        <f>1000*TableA7!$P$91*(TableC2!G77+TableC2!R77)/(TableC2!$D$91+TableC2!$O$91)</f>
        <v>0</v>
      </c>
      <c r="G79" s="1153">
        <f>1000*TableA7!$P$91*(TableC2!H77+TableC2!S77)/(TableC2!$D$91+TableC2!$O$91)</f>
        <v>0</v>
      </c>
      <c r="H79" s="1168">
        <f>1000*TableA7!$P$91*(TableC2!I77+TableC2!T77)/(TableC2!$D$91+TableC2!$O$91)</f>
        <v>0</v>
      </c>
      <c r="I79" s="1168">
        <f>1000*TableA7!$P$91*(TableC2!J77+TableC2!U77)/(TableC2!$D$91+TableC2!$O$91)</f>
        <v>0</v>
      </c>
      <c r="J79" s="1168">
        <f>1000*TableA7!$P$91*(TableC2!K77+TableC2!V77)/(TableC2!$D$91+TableC2!$O$91)</f>
        <v>0</v>
      </c>
      <c r="K79" s="1198">
        <f>1000*TableA7!$P$91*(TableC2!L77+TableC2!W77)/(TableC2!$D$91+TableC2!$O$91)</f>
        <v>0</v>
      </c>
      <c r="L79" s="1168">
        <f>1000*TableA7!$P$91*(TableC2!M77+TableC2!X77)/(TableC2!$D$91+TableC2!$O$91)</f>
        <v>0</v>
      </c>
      <c r="M79" s="1229">
        <f>1000*TableA7!$P$91*(TableC2!N77+TableC2!Y77)/(TableC2!$D$91+TableC2!$O$91)</f>
        <v>0</v>
      </c>
      <c r="N79" s="1459">
        <f>1000*TableA7!$P$91*TableC3!C77/TableC3!$C$91</f>
        <v>326.28514977470184</v>
      </c>
      <c r="O79" s="1200">
        <f>1000*TableA7!$P$91*TableC3!D77/TableC3!$C$91</f>
        <v>98.237965836923934</v>
      </c>
      <c r="P79" s="1153">
        <f>1000*TableA7!$P$91*TableC3!E77/TableC3!$C$91</f>
        <v>98.323752155919934</v>
      </c>
      <c r="Q79" s="1153">
        <f>1000*TableA7!$P$91*TableC3!F77/TableC3!$C$91</f>
        <v>-8.5786318996009983E-2</v>
      </c>
      <c r="R79" s="1153">
        <f>1000*TableA7!$P$91*TableC3!G77/TableC3!$C$91</f>
        <v>0</v>
      </c>
      <c r="S79" s="1168">
        <f>1000*TableA7!$P$91*TableC3!H77/TableC3!$C$91</f>
        <v>0</v>
      </c>
      <c r="T79" s="1168">
        <f>1000*TableA7!$P$91*TableC3!I77/TableC3!$C$91</f>
        <v>0</v>
      </c>
      <c r="U79" s="1168">
        <f>1000*TableA7!$P$91*TableC3!J77/TableC3!$C$91</f>
        <v>0</v>
      </c>
      <c r="V79" s="1198">
        <f>1000*TableA7!$P$91*TableC3!K77/TableC3!$C$91</f>
        <v>228.0471839377779</v>
      </c>
      <c r="W79" s="1168">
        <f>1000*TableA7!$P$91*TableC3!L77/TableC3!$C$91</f>
        <v>0</v>
      </c>
      <c r="X79" s="1211">
        <f>1000*TableA7!$P$91*TableC3!M77/TableC3!$C$91</f>
        <v>228.0471839377779</v>
      </c>
    </row>
    <row r="80" spans="1:24" ht="14.25" hidden="1" customHeight="1" x14ac:dyDescent="0.2">
      <c r="A80" s="954"/>
      <c r="B80" s="1148" t="str">
        <f>+TableA1!A79</f>
        <v>Monaco</v>
      </c>
      <c r="C80" s="1452">
        <f>1000*TableA7!$P$91*(TableC2!D78+TableC2!O78)/(TableC2!$D$91+TableC2!$O$91)</f>
        <v>0</v>
      </c>
      <c r="D80" s="1200">
        <f>1000*TableA7!$P$91*(TableC2!E78+TableC2!P78)/(TableC2!$D$91+TableC2!$O$91)</f>
        <v>0</v>
      </c>
      <c r="E80" s="1153">
        <f>1000*TableA7!$P$91*(TableC2!F78+TableC2!Q78)/(TableC2!$D$91+TableC2!$O$91)</f>
        <v>0</v>
      </c>
      <c r="F80" s="1153">
        <f>1000*TableA7!$P$91*(TableC2!G78+TableC2!R78)/(TableC2!$D$91+TableC2!$O$91)</f>
        <v>0</v>
      </c>
      <c r="G80" s="1153">
        <f>1000*TableA7!$P$91*(TableC2!H78+TableC2!S78)/(TableC2!$D$91+TableC2!$O$91)</f>
        <v>0</v>
      </c>
      <c r="H80" s="1168">
        <f>1000*TableA7!$P$91*(TableC2!I78+TableC2!T78)/(TableC2!$D$91+TableC2!$O$91)</f>
        <v>0</v>
      </c>
      <c r="I80" s="1168">
        <f>1000*TableA7!$P$91*(TableC2!J78+TableC2!U78)/(TableC2!$D$91+TableC2!$O$91)</f>
        <v>0</v>
      </c>
      <c r="J80" s="1168">
        <f>1000*TableA7!$P$91*(TableC2!K78+TableC2!V78)/(TableC2!$D$91+TableC2!$O$91)</f>
        <v>0</v>
      </c>
      <c r="K80" s="1198">
        <f>1000*TableA7!$P$91*(TableC2!L78+TableC2!W78)/(TableC2!$D$91+TableC2!$O$91)</f>
        <v>0</v>
      </c>
      <c r="L80" s="1168">
        <f>1000*TableA7!$P$91*(TableC2!M78+TableC2!X78)/(TableC2!$D$91+TableC2!$O$91)</f>
        <v>0</v>
      </c>
      <c r="M80" s="1229">
        <f>1000*TableA7!$P$91*(TableC2!N78+TableC2!Y78)/(TableC2!$D$91+TableC2!$O$91)</f>
        <v>0</v>
      </c>
      <c r="N80" s="1459">
        <f>1000*TableA7!$P$91*TableC3!C78/TableC3!$C$91</f>
        <v>0.6701641778232591</v>
      </c>
      <c r="O80" s="1200">
        <f>1000*TableA7!$P$91*TableC3!D78/TableC3!$C$91</f>
        <v>0</v>
      </c>
      <c r="P80" s="1153">
        <f>1000*TableA7!$P$91*TableC3!E78/TableC3!$C$91</f>
        <v>0</v>
      </c>
      <c r="Q80" s="1153">
        <f>1000*TableA7!$P$91*TableC3!F78/TableC3!$C$91</f>
        <v>0</v>
      </c>
      <c r="R80" s="1153">
        <f>1000*TableA7!$P$91*TableC3!G78/TableC3!$C$91</f>
        <v>0</v>
      </c>
      <c r="S80" s="1168">
        <f>1000*TableA7!$P$91*TableC3!H78/TableC3!$C$91</f>
        <v>0</v>
      </c>
      <c r="T80" s="1168">
        <f>1000*TableA7!$P$91*TableC3!I78/TableC3!$C$91</f>
        <v>0</v>
      </c>
      <c r="U80" s="1168">
        <f>1000*TableA7!$P$91*TableC3!J78/TableC3!$C$91</f>
        <v>0</v>
      </c>
      <c r="V80" s="1198">
        <f>1000*TableA7!$P$91*TableC3!K78/TableC3!$C$91</f>
        <v>0.6701641778232591</v>
      </c>
      <c r="W80" s="1168">
        <f>1000*TableA7!$P$91*TableC3!L78/TableC3!$C$91</f>
        <v>0</v>
      </c>
      <c r="X80" s="1211">
        <f>1000*TableA7!$P$91*TableC3!M78/TableC3!$C$91</f>
        <v>0.6701641778232591</v>
      </c>
    </row>
    <row r="81" spans="1:24" ht="14.25" hidden="1" customHeight="1" x14ac:dyDescent="0.2">
      <c r="A81" s="954"/>
      <c r="B81" s="1148" t="s">
        <v>99</v>
      </c>
      <c r="C81" s="1452">
        <f>1000*TableA7!$P$91*(TableC2!D79+TableC2!O79)/(TableC2!$D$91+TableC2!$O$91)</f>
        <v>0</v>
      </c>
      <c r="D81" s="1200">
        <f>1000*TableA7!$P$91*(TableC2!E79+TableC2!P79)/(TableC2!$D$91+TableC2!$O$91)</f>
        <v>0</v>
      </c>
      <c r="E81" s="1153">
        <f>1000*TableA7!$P$91*(TableC2!F79+TableC2!Q79)/(TableC2!$D$91+TableC2!$O$91)</f>
        <v>0</v>
      </c>
      <c r="F81" s="1153">
        <f>1000*TableA7!$P$91*(TableC2!G79+TableC2!R79)/(TableC2!$D$91+TableC2!$O$91)</f>
        <v>0</v>
      </c>
      <c r="G81" s="1153">
        <f>1000*TableA7!$P$91*(TableC2!H79+TableC2!S79)/(TableC2!$D$91+TableC2!$O$91)</f>
        <v>0</v>
      </c>
      <c r="H81" s="1168">
        <f>1000*TableA7!$P$91*(TableC2!I79+TableC2!T79)/(TableC2!$D$91+TableC2!$O$91)</f>
        <v>0</v>
      </c>
      <c r="I81" s="1168">
        <f>1000*TableA7!$P$91*(TableC2!J79+TableC2!U79)/(TableC2!$D$91+TableC2!$O$91)</f>
        <v>0</v>
      </c>
      <c r="J81" s="1168">
        <f>1000*TableA7!$P$91*(TableC2!K79+TableC2!V79)/(TableC2!$D$91+TableC2!$O$91)</f>
        <v>0</v>
      </c>
      <c r="K81" s="1198">
        <f>1000*TableA7!$P$91*(TableC2!L79+TableC2!W79)/(TableC2!$D$91+TableC2!$O$91)</f>
        <v>0</v>
      </c>
      <c r="L81" s="1168">
        <f>1000*TableA7!$P$91*(TableC2!M79+TableC2!X79)/(TableC2!$D$91+TableC2!$O$91)</f>
        <v>0</v>
      </c>
      <c r="M81" s="1229">
        <f>1000*TableA7!$P$91*(TableC2!N79+TableC2!Y79)/(TableC2!$D$91+TableC2!$O$91)</f>
        <v>0</v>
      </c>
      <c r="N81" s="1459">
        <f>1000*TableA7!$P$91*TableC3!C79/TableC3!$C$91</f>
        <v>9.6804546550809096</v>
      </c>
      <c r="O81" s="1200">
        <f>1000*TableA7!$P$91*TableC3!D79/TableC3!$C$91</f>
        <v>0</v>
      </c>
      <c r="P81" s="1153">
        <f>1000*TableA7!$P$91*TableC3!E79/TableC3!$C$91</f>
        <v>0</v>
      </c>
      <c r="Q81" s="1153">
        <f>1000*TableA7!$P$91*TableC3!F79/TableC3!$C$91</f>
        <v>0</v>
      </c>
      <c r="R81" s="1153">
        <f>1000*TableA7!$P$91*TableC3!G79/TableC3!$C$91</f>
        <v>0</v>
      </c>
      <c r="S81" s="1168">
        <f>1000*TableA7!$P$91*TableC3!H79/TableC3!$C$91</f>
        <v>0</v>
      </c>
      <c r="T81" s="1168">
        <f>1000*TableA7!$P$91*TableC3!I79/TableC3!$C$91</f>
        <v>0</v>
      </c>
      <c r="U81" s="1168">
        <f>1000*TableA7!$P$91*TableC3!J79/TableC3!$C$91</f>
        <v>0</v>
      </c>
      <c r="V81" s="1198">
        <f>1000*TableA7!$P$91*TableC3!K79/TableC3!$C$91</f>
        <v>9.6804546550809096</v>
      </c>
      <c r="W81" s="1168">
        <f>1000*TableA7!$P$91*TableC3!L79/TableC3!$C$91</f>
        <v>0</v>
      </c>
      <c r="X81" s="1211">
        <f>1000*TableA7!$P$91*TableC3!M79/TableC3!$C$91</f>
        <v>9.6804546550809096</v>
      </c>
    </row>
    <row r="82" spans="1:24" ht="14.25" hidden="1" customHeight="1" x14ac:dyDescent="0.2">
      <c r="A82" s="954"/>
      <c r="B82" s="1148" t="s">
        <v>100</v>
      </c>
      <c r="C82" s="1452">
        <f>1000*TableA7!$P$91*(TableC2!D80+TableC2!O80)/(TableC2!$D$91+TableC2!$O$91)</f>
        <v>0</v>
      </c>
      <c r="D82" s="1200">
        <f>1000*TableA7!$P$91*(TableC2!E80+TableC2!P80)/(TableC2!$D$91+TableC2!$O$91)</f>
        <v>0</v>
      </c>
      <c r="E82" s="1153">
        <f>1000*TableA7!$P$91*(TableC2!F80+TableC2!Q80)/(TableC2!$D$91+TableC2!$O$91)</f>
        <v>0</v>
      </c>
      <c r="F82" s="1153">
        <f>1000*TableA7!$P$91*(TableC2!G80+TableC2!R80)/(TableC2!$D$91+TableC2!$O$91)</f>
        <v>0</v>
      </c>
      <c r="G82" s="1153">
        <f>1000*TableA7!$P$91*(TableC2!H80+TableC2!S80)/(TableC2!$D$91+TableC2!$O$91)</f>
        <v>0</v>
      </c>
      <c r="H82" s="1168">
        <f>1000*TableA7!$P$91*(TableC2!I80+TableC2!T80)/(TableC2!$D$91+TableC2!$O$91)</f>
        <v>0</v>
      </c>
      <c r="I82" s="1168">
        <f>1000*TableA7!$P$91*(TableC2!J80+TableC2!U80)/(TableC2!$D$91+TableC2!$O$91)</f>
        <v>0</v>
      </c>
      <c r="J82" s="1168">
        <f>1000*TableA7!$P$91*(TableC2!K80+TableC2!V80)/(TableC2!$D$91+TableC2!$O$91)</f>
        <v>0</v>
      </c>
      <c r="K82" s="1198">
        <f>1000*TableA7!$P$91*(TableC2!L80+TableC2!W80)/(TableC2!$D$91+TableC2!$O$91)</f>
        <v>0</v>
      </c>
      <c r="L82" s="1168">
        <f>1000*TableA7!$P$91*(TableC2!M80+TableC2!X80)/(TableC2!$D$91+TableC2!$O$91)</f>
        <v>0</v>
      </c>
      <c r="M82" s="1229">
        <f>1000*TableA7!$P$91*(TableC2!N80+TableC2!Y80)/(TableC2!$D$91+TableC2!$O$91)</f>
        <v>0</v>
      </c>
      <c r="N82" s="1459">
        <f>1000*TableA7!$P$91*TableC3!C80/TableC3!$C$91</f>
        <v>960.55840091503774</v>
      </c>
      <c r="O82" s="1200">
        <f>1000*TableA7!$P$91*TableC3!D80/TableC3!$C$91</f>
        <v>1.8472285571699145</v>
      </c>
      <c r="P82" s="1153">
        <f>1000*TableA7!$P$91*TableC3!E80/TableC3!$C$91</f>
        <v>-0.24396118955980259</v>
      </c>
      <c r="Q82" s="1153">
        <f>1000*TableA7!$P$91*TableC3!F80/TableC3!$C$91</f>
        <v>2.0911897467297171</v>
      </c>
      <c r="R82" s="1153">
        <f>1000*TableA7!$P$91*TableC3!G80/TableC3!$C$91</f>
        <v>0</v>
      </c>
      <c r="S82" s="1168">
        <f>1000*TableA7!$P$91*TableC3!H80/TableC3!$C$91</f>
        <v>0</v>
      </c>
      <c r="T82" s="1168">
        <f>1000*TableA7!$P$91*TableC3!I80/TableC3!$C$91</f>
        <v>0</v>
      </c>
      <c r="U82" s="1168">
        <f>1000*TableA7!$P$91*TableC3!J80/TableC3!$C$91</f>
        <v>0</v>
      </c>
      <c r="V82" s="1198">
        <f>1000*TableA7!$P$91*TableC3!K80/TableC3!$C$91</f>
        <v>958.71117235786801</v>
      </c>
      <c r="W82" s="1168">
        <f>1000*TableA7!$P$91*TableC3!L80/TableC3!$C$91</f>
        <v>0</v>
      </c>
      <c r="X82" s="1211">
        <f>1000*TableA7!$P$91*TableC3!M80/TableC3!$C$91</f>
        <v>958.71117235786801</v>
      </c>
    </row>
    <row r="83" spans="1:24" ht="14.25" hidden="1" customHeight="1" x14ac:dyDescent="0.2">
      <c r="A83" s="954"/>
      <c r="B83" s="1148" t="str">
        <f>+TableA1!A82</f>
        <v>Seychelles</v>
      </c>
      <c r="C83" s="1452">
        <f>1000*TableA7!$P$91*(TableC2!D81+TableC2!O81)/(TableC2!$D$91+TableC2!$O$91)</f>
        <v>0</v>
      </c>
      <c r="D83" s="1200">
        <f>1000*TableA7!$P$91*(TableC2!E81+TableC2!P81)/(TableC2!$D$91+TableC2!$O$91)</f>
        <v>0</v>
      </c>
      <c r="E83" s="1153">
        <f>1000*TableA7!$P$91*(TableC2!F81+TableC2!Q81)/(TableC2!$D$91+TableC2!$O$91)</f>
        <v>0</v>
      </c>
      <c r="F83" s="1153">
        <f>1000*TableA7!$P$91*(TableC2!G81+TableC2!R81)/(TableC2!$D$91+TableC2!$O$91)</f>
        <v>0</v>
      </c>
      <c r="G83" s="1153">
        <f>1000*TableA7!$P$91*(TableC2!H81+TableC2!S81)/(TableC2!$D$91+TableC2!$O$91)</f>
        <v>0</v>
      </c>
      <c r="H83" s="1168">
        <f>1000*TableA7!$P$91*(TableC2!I81+TableC2!T81)/(TableC2!$D$91+TableC2!$O$91)</f>
        <v>0</v>
      </c>
      <c r="I83" s="1168">
        <f>1000*TableA7!$P$91*(TableC2!J81+TableC2!U81)/(TableC2!$D$91+TableC2!$O$91)</f>
        <v>0</v>
      </c>
      <c r="J83" s="1168">
        <f>1000*TableA7!$P$91*(TableC2!K81+TableC2!V81)/(TableC2!$D$91+TableC2!$O$91)</f>
        <v>0</v>
      </c>
      <c r="K83" s="1198">
        <f>1000*TableA7!$P$91*(TableC2!L81+TableC2!W81)/(TableC2!$D$91+TableC2!$O$91)</f>
        <v>0</v>
      </c>
      <c r="L83" s="1168">
        <f>1000*TableA7!$P$91*(TableC2!M81+TableC2!X81)/(TableC2!$D$91+TableC2!$O$91)</f>
        <v>0</v>
      </c>
      <c r="M83" s="1229">
        <f>1000*TableA7!$P$91*(TableC2!N81+TableC2!Y81)/(TableC2!$D$91+TableC2!$O$91)</f>
        <v>0</v>
      </c>
      <c r="N83" s="1459">
        <f>1000*TableA7!$P$91*TableC3!C81/TableC3!$C$91</f>
        <v>45.509516321954692</v>
      </c>
      <c r="O83" s="1200">
        <f>1000*TableA7!$P$91*TableC3!D81/TableC3!$C$91</f>
        <v>8.6095600665294286E-2</v>
      </c>
      <c r="P83" s="1153">
        <f>1000*TableA7!$P$91*TableC3!E81/TableC3!$C$91</f>
        <v>0</v>
      </c>
      <c r="Q83" s="1153">
        <f>1000*TableA7!$P$91*TableC3!F81/TableC3!$C$91</f>
        <v>8.6095600665294286E-2</v>
      </c>
      <c r="R83" s="1153">
        <f>1000*TableA7!$P$91*TableC3!G81/TableC3!$C$91</f>
        <v>0</v>
      </c>
      <c r="S83" s="1168">
        <f>1000*TableA7!$P$91*TableC3!H81/TableC3!$C$91</f>
        <v>0</v>
      </c>
      <c r="T83" s="1168">
        <f>1000*TableA7!$P$91*TableC3!I81/TableC3!$C$91</f>
        <v>0</v>
      </c>
      <c r="U83" s="1168">
        <f>1000*TableA7!$P$91*TableC3!J81/TableC3!$C$91</f>
        <v>0</v>
      </c>
      <c r="V83" s="1198">
        <f>1000*TableA7!$P$91*TableC3!K81/TableC3!$C$91</f>
        <v>45.423420721289389</v>
      </c>
      <c r="W83" s="1168">
        <f>1000*TableA7!$P$91*TableC3!L81/TableC3!$C$91</f>
        <v>0</v>
      </c>
      <c r="X83" s="1211">
        <f>1000*TableA7!$P$91*TableC3!M81/TableC3!$C$91</f>
        <v>45.423420721289389</v>
      </c>
    </row>
    <row r="84" spans="1:24" hidden="1" x14ac:dyDescent="0.2">
      <c r="A84" s="954"/>
      <c r="B84" s="1148" t="s">
        <v>102</v>
      </c>
      <c r="C84" s="1452">
        <f>1000*TableA7!$P$91*(TableC2!D82+TableC2!O82)/(TableC2!$D$91+TableC2!$O$91)</f>
        <v>0</v>
      </c>
      <c r="D84" s="1200">
        <f>1000*TableA7!$P$91*(TableC2!E82+TableC2!P82)/(TableC2!$D$91+TableC2!$O$91)</f>
        <v>0</v>
      </c>
      <c r="E84" s="1153">
        <f>1000*TableA7!$P$91*(TableC2!F82+TableC2!Q82)/(TableC2!$D$91+TableC2!$O$91)</f>
        <v>0</v>
      </c>
      <c r="F84" s="1153">
        <f>1000*TableA7!$P$91*(TableC2!G82+TableC2!R82)/(TableC2!$D$91+TableC2!$O$91)</f>
        <v>0</v>
      </c>
      <c r="G84" s="1153">
        <f>1000*TableA7!$P$91*(TableC2!H82+TableC2!S82)/(TableC2!$D$91+TableC2!$O$91)</f>
        <v>0</v>
      </c>
      <c r="H84" s="1168">
        <f>1000*TableA7!$P$91*(TableC2!I82+TableC2!T82)/(TableC2!$D$91+TableC2!$O$91)</f>
        <v>0</v>
      </c>
      <c r="I84" s="1168">
        <f>1000*TableA7!$P$91*(TableC2!J82+TableC2!U82)/(TableC2!$D$91+TableC2!$O$91)</f>
        <v>0</v>
      </c>
      <c r="J84" s="1168">
        <f>1000*TableA7!$P$91*(TableC2!K82+TableC2!V82)/(TableC2!$D$91+TableC2!$O$91)</f>
        <v>0</v>
      </c>
      <c r="K84" s="1198">
        <f>1000*TableA7!$P$91*(TableC2!L82+TableC2!W82)/(TableC2!$D$91+TableC2!$O$91)</f>
        <v>0</v>
      </c>
      <c r="L84" s="1168">
        <f>1000*TableA7!$P$91*(TableC2!M82+TableC2!X82)/(TableC2!$D$91+TableC2!$O$91)</f>
        <v>0</v>
      </c>
      <c r="M84" s="1229">
        <f>1000*TableA7!$P$91*(TableC2!N82+TableC2!Y82)/(TableC2!$D$91+TableC2!$O$91)</f>
        <v>0</v>
      </c>
      <c r="N84" s="1459">
        <f>1000*TableA7!$P$91*TableC3!C82/TableC3!$C$91</f>
        <v>9233.5573283388803</v>
      </c>
      <c r="O84" s="1200">
        <f>1000*TableA7!$P$91*TableC3!D82/TableC3!$C$91</f>
        <v>919.28523448351496</v>
      </c>
      <c r="P84" s="1153">
        <f>1000*TableA7!$P$91*TableC3!E82/TableC3!$C$91</f>
        <v>-111.26108796590918</v>
      </c>
      <c r="Q84" s="1153">
        <f>1000*TableA7!$P$91*TableC3!F82/TableC3!$C$91</f>
        <v>0.53944880935275707</v>
      </c>
      <c r="R84" s="1153">
        <f>1000*TableA7!$P$91*TableC3!G82/TableC3!$C$91</f>
        <v>0</v>
      </c>
      <c r="S84" s="1168">
        <f>1000*TableA7!$P$91*TableC3!H82/TableC3!$C$91</f>
        <v>334.58351495364332</v>
      </c>
      <c r="T84" s="1168">
        <f>1000*TableA7!$P$91*TableC3!I82/TableC3!$C$91</f>
        <v>0</v>
      </c>
      <c r="U84" s="1168">
        <f>1000*TableA7!$P$91*TableC3!J82/TableC3!$C$91</f>
        <v>695.42335868642806</v>
      </c>
      <c r="V84" s="1198">
        <f>1000*TableA7!$P$91*TableC3!K82/TableC3!$C$91</f>
        <v>8314.2720938553648</v>
      </c>
      <c r="W84" s="1168">
        <f>1000*TableA7!$P$91*TableC3!L82/TableC3!$C$91</f>
        <v>0</v>
      </c>
      <c r="X84" s="1211">
        <f>1000*TableA7!$P$91*TableC3!M82/TableC3!$C$91</f>
        <v>8314.2720938553648</v>
      </c>
    </row>
    <row r="85" spans="1:24" hidden="1" x14ac:dyDescent="0.2">
      <c r="A85" s="954"/>
      <c r="B85" s="1148" t="str">
        <f>+TableA1!A84</f>
        <v>St. Kitts and Nevis</v>
      </c>
      <c r="C85" s="1452">
        <f>1000*TableA7!$P$91*(TableC2!D83+TableC2!O83)/(TableC2!$D$91+TableC2!$O$91)</f>
        <v>0</v>
      </c>
      <c r="D85" s="1200">
        <f>1000*TableA7!$P$91*(TableC2!E83+TableC2!P83)/(TableC2!$D$91+TableC2!$O$91)</f>
        <v>0</v>
      </c>
      <c r="E85" s="1153">
        <f>1000*TableA7!$P$91*(TableC2!F83+TableC2!Q83)/(TableC2!$D$91+TableC2!$O$91)</f>
        <v>0</v>
      </c>
      <c r="F85" s="1153">
        <f>1000*TableA7!$P$91*(TableC2!G83+TableC2!R83)/(TableC2!$D$91+TableC2!$O$91)</f>
        <v>0</v>
      </c>
      <c r="G85" s="1153">
        <f>1000*TableA7!$P$91*(TableC2!H83+TableC2!S83)/(TableC2!$D$91+TableC2!$O$91)</f>
        <v>0</v>
      </c>
      <c r="H85" s="1168">
        <f>1000*TableA7!$P$91*(TableC2!I83+TableC2!T83)/(TableC2!$D$91+TableC2!$O$91)</f>
        <v>0</v>
      </c>
      <c r="I85" s="1168">
        <f>1000*TableA7!$P$91*(TableC2!J83+TableC2!U83)/(TableC2!$D$91+TableC2!$O$91)</f>
        <v>0</v>
      </c>
      <c r="J85" s="1168">
        <f>1000*TableA7!$P$91*(TableC2!K83+TableC2!V83)/(TableC2!$D$91+TableC2!$O$91)</f>
        <v>0</v>
      </c>
      <c r="K85" s="1198">
        <f>1000*TableA7!$P$91*(TableC2!L83+TableC2!W83)/(TableC2!$D$91+TableC2!$O$91)</f>
        <v>0</v>
      </c>
      <c r="L85" s="1168">
        <f>1000*TableA7!$P$91*(TableC2!M83+TableC2!X83)/(TableC2!$D$91+TableC2!$O$91)</f>
        <v>0</v>
      </c>
      <c r="M85" s="1229">
        <f>1000*TableA7!$P$91*(TableC2!N83+TableC2!Y83)/(TableC2!$D$91+TableC2!$O$91)</f>
        <v>0</v>
      </c>
      <c r="N85" s="1459">
        <f>1000*TableA7!$P$91*TableC3!C83/TableC3!$C$91</f>
        <v>-3.0624530771837317E-2</v>
      </c>
      <c r="O85" s="1200">
        <f>1000*TableA7!$P$91*TableC3!D83/TableC3!$C$91</f>
        <v>2.4645560930034922E-3</v>
      </c>
      <c r="P85" s="1153">
        <f>1000*TableA7!$P$91*TableC3!E83/TableC3!$C$91</f>
        <v>0</v>
      </c>
      <c r="Q85" s="1153">
        <f>1000*TableA7!$P$91*TableC3!F83/TableC3!$C$91</f>
        <v>2.4645560930034922E-3</v>
      </c>
      <c r="R85" s="1153">
        <f>1000*TableA7!$P$91*TableC3!G83/TableC3!$C$91</f>
        <v>0</v>
      </c>
      <c r="S85" s="1168">
        <f>1000*TableA7!$P$91*TableC3!H83/TableC3!$C$91</f>
        <v>0</v>
      </c>
      <c r="T85" s="1168">
        <f>1000*TableA7!$P$91*TableC3!I83/TableC3!$C$91</f>
        <v>0</v>
      </c>
      <c r="U85" s="1168">
        <f>1000*TableA7!$P$91*TableC3!J83/TableC3!$C$91</f>
        <v>0</v>
      </c>
      <c r="V85" s="1198">
        <f>1000*TableA7!$P$91*TableC3!K83/TableC3!$C$91</f>
        <v>-3.3089086864840807E-2</v>
      </c>
      <c r="W85" s="1168">
        <f>1000*TableA7!$P$91*TableC3!L83/TableC3!$C$91</f>
        <v>0</v>
      </c>
      <c r="X85" s="1211">
        <f>1000*TableA7!$P$91*TableC3!M83/TableC3!$C$91</f>
        <v>-3.3089086864840807E-2</v>
      </c>
    </row>
    <row r="86" spans="1:24" hidden="1" x14ac:dyDescent="0.2">
      <c r="A86" s="954"/>
      <c r="B86" s="1148" t="str">
        <f>+TableA1!A85</f>
        <v>St. Lucia</v>
      </c>
      <c r="C86" s="1452">
        <f>1000*TableA7!$P$91*(TableC2!D84+TableC2!O84)/(TableC2!$D$91+TableC2!$O$91)</f>
        <v>0</v>
      </c>
      <c r="D86" s="1200">
        <f>1000*TableA7!$P$91*(TableC2!E84+TableC2!P84)/(TableC2!$D$91+TableC2!$O$91)</f>
        <v>0</v>
      </c>
      <c r="E86" s="1153">
        <f>1000*TableA7!$P$91*(TableC2!F84+TableC2!Q84)/(TableC2!$D$91+TableC2!$O$91)</f>
        <v>0</v>
      </c>
      <c r="F86" s="1153">
        <f>1000*TableA7!$P$91*(TableC2!G84+TableC2!R84)/(TableC2!$D$91+TableC2!$O$91)</f>
        <v>0</v>
      </c>
      <c r="G86" s="1153">
        <f>1000*TableA7!$P$91*(TableC2!H84+TableC2!S84)/(TableC2!$D$91+TableC2!$O$91)</f>
        <v>0</v>
      </c>
      <c r="H86" s="1168">
        <f>1000*TableA7!$P$91*(TableC2!I84+TableC2!T84)/(TableC2!$D$91+TableC2!$O$91)</f>
        <v>0</v>
      </c>
      <c r="I86" s="1168">
        <f>1000*TableA7!$P$91*(TableC2!J84+TableC2!U84)/(TableC2!$D$91+TableC2!$O$91)</f>
        <v>0</v>
      </c>
      <c r="J86" s="1168">
        <f>1000*TableA7!$P$91*(TableC2!K84+TableC2!V84)/(TableC2!$D$91+TableC2!$O$91)</f>
        <v>0</v>
      </c>
      <c r="K86" s="1198">
        <f>1000*TableA7!$P$91*(TableC2!L84+TableC2!W84)/(TableC2!$D$91+TableC2!$O$91)</f>
        <v>0</v>
      </c>
      <c r="L86" s="1168">
        <f>1000*TableA7!$P$91*(TableC2!M84+TableC2!X84)/(TableC2!$D$91+TableC2!$O$91)</f>
        <v>0</v>
      </c>
      <c r="M86" s="1229">
        <f>1000*TableA7!$P$91*(TableC2!N84+TableC2!Y84)/(TableC2!$D$91+TableC2!$O$91)</f>
        <v>0</v>
      </c>
      <c r="N86" s="1459">
        <f>1000*TableA7!$P$91*TableC3!C84/TableC3!$C$91</f>
        <v>-11.955246298263701</v>
      </c>
      <c r="O86" s="1200">
        <f>1000*TableA7!$P$91*TableC3!D84/TableC3!$C$91</f>
        <v>-0.33657358131131687</v>
      </c>
      <c r="P86" s="1153">
        <f>1000*TableA7!$P$91*TableC3!E84/TableC3!$C$91</f>
        <v>-0.3696381659997009</v>
      </c>
      <c r="Q86" s="1153">
        <f>1000*TableA7!$P$91*TableC3!F84/TableC3!$C$91</f>
        <v>3.3064584688384017E-2</v>
      </c>
      <c r="R86" s="1153">
        <f>1000*TableA7!$P$91*TableC3!G84/TableC3!$C$91</f>
        <v>0</v>
      </c>
      <c r="S86" s="1168">
        <f>1000*TableA7!$P$91*TableC3!H84/TableC3!$C$91</f>
        <v>0</v>
      </c>
      <c r="T86" s="1168">
        <f>1000*TableA7!$P$91*TableC3!I84/TableC3!$C$91</f>
        <v>0</v>
      </c>
      <c r="U86" s="1168">
        <f>1000*TableA7!$P$91*TableC3!J84/TableC3!$C$91</f>
        <v>0</v>
      </c>
      <c r="V86" s="1198">
        <f>1000*TableA7!$P$91*TableC3!K84/TableC3!$C$91</f>
        <v>-11.618672716952382</v>
      </c>
      <c r="W86" s="1168">
        <f>1000*TableA7!$P$91*TableC3!L84/TableC3!$C$91</f>
        <v>0</v>
      </c>
      <c r="X86" s="1211">
        <f>1000*TableA7!$P$91*TableC3!M84/TableC3!$C$91</f>
        <v>-11.618672716952382</v>
      </c>
    </row>
    <row r="87" spans="1:24" hidden="1" x14ac:dyDescent="0.2">
      <c r="A87" s="954"/>
      <c r="B87" s="1148" t="str">
        <f>+TableA1!A86</f>
        <v>St. Vincent and the Grenadines</v>
      </c>
      <c r="C87" s="1452">
        <f>1000*TableA7!$P$91*(TableC2!D85+TableC2!O85)/(TableC2!$D$91+TableC2!$O$91)</f>
        <v>0</v>
      </c>
      <c r="D87" s="1200">
        <f>1000*TableA7!$P$91*(TableC2!E85+TableC2!P85)/(TableC2!$D$91+TableC2!$O$91)</f>
        <v>0</v>
      </c>
      <c r="E87" s="1153">
        <f>1000*TableA7!$P$91*(TableC2!F85+TableC2!Q85)/(TableC2!$D$91+TableC2!$O$91)</f>
        <v>0</v>
      </c>
      <c r="F87" s="1153">
        <f>1000*TableA7!$P$91*(TableC2!G85+TableC2!R85)/(TableC2!$D$91+TableC2!$O$91)</f>
        <v>0</v>
      </c>
      <c r="G87" s="1153">
        <f>1000*TableA7!$P$91*(TableC2!H85+TableC2!S85)/(TableC2!$D$91+TableC2!$O$91)</f>
        <v>0</v>
      </c>
      <c r="H87" s="1168">
        <f>1000*TableA7!$P$91*(TableC2!I85+TableC2!T85)/(TableC2!$D$91+TableC2!$O$91)</f>
        <v>0</v>
      </c>
      <c r="I87" s="1168">
        <f>1000*TableA7!$P$91*(TableC2!J85+TableC2!U85)/(TableC2!$D$91+TableC2!$O$91)</f>
        <v>0</v>
      </c>
      <c r="J87" s="1168">
        <f>1000*TableA7!$P$91*(TableC2!K85+TableC2!V85)/(TableC2!$D$91+TableC2!$O$91)</f>
        <v>0</v>
      </c>
      <c r="K87" s="1198">
        <f>1000*TableA7!$P$91*(TableC2!L85+TableC2!W85)/(TableC2!$D$91+TableC2!$O$91)</f>
        <v>0</v>
      </c>
      <c r="L87" s="1168">
        <f>1000*TableA7!$P$91*(TableC2!M85+TableC2!X85)/(TableC2!$D$91+TableC2!$O$91)</f>
        <v>0</v>
      </c>
      <c r="M87" s="1229">
        <f>1000*TableA7!$P$91*(TableC2!N85+TableC2!Y85)/(TableC2!$D$91+TableC2!$O$91)</f>
        <v>0</v>
      </c>
      <c r="N87" s="1459">
        <f>1000*TableA7!$P$91*TableC3!C85/TableC3!$C$91</f>
        <v>2.8419343387101836</v>
      </c>
      <c r="O87" s="1200">
        <f>1000*TableA7!$P$91*TableC3!D85/TableC3!$C$91</f>
        <v>1.0022714416423105E-3</v>
      </c>
      <c r="P87" s="1153">
        <f>1000*TableA7!$P$91*TableC3!E85/TableC3!$C$91</f>
        <v>0</v>
      </c>
      <c r="Q87" s="1153">
        <f>1000*TableA7!$P$91*TableC3!F85/TableC3!$C$91</f>
        <v>1.0022714416423105E-3</v>
      </c>
      <c r="R87" s="1153">
        <f>1000*TableA7!$P$91*TableC3!G85/TableC3!$C$91</f>
        <v>0</v>
      </c>
      <c r="S87" s="1168">
        <f>1000*TableA7!$P$91*TableC3!H85/TableC3!$C$91</f>
        <v>0</v>
      </c>
      <c r="T87" s="1168">
        <f>1000*TableA7!$P$91*TableC3!I85/TableC3!$C$91</f>
        <v>0</v>
      </c>
      <c r="U87" s="1168">
        <f>1000*TableA7!$P$91*TableC3!J85/TableC3!$C$91</f>
        <v>0</v>
      </c>
      <c r="V87" s="1198">
        <f>1000*TableA7!$P$91*TableC3!K85/TableC3!$C$91</f>
        <v>2.840932067268541</v>
      </c>
      <c r="W87" s="1168">
        <f>1000*TableA7!$P$91*TableC3!L85/TableC3!$C$91</f>
        <v>0</v>
      </c>
      <c r="X87" s="1211">
        <f>1000*TableA7!$P$91*TableC3!M85/TableC3!$C$91</f>
        <v>2.840932067268541</v>
      </c>
    </row>
    <row r="88" spans="1:24" hidden="1" x14ac:dyDescent="0.2">
      <c r="A88" s="329" t="s">
        <v>374</v>
      </c>
      <c r="B88" s="1148" t="str">
        <f>+TableA1!A87</f>
        <v>Turks and Caicos</v>
      </c>
      <c r="C88" s="1452">
        <f>1000*TableA7!$P$91*(TableC2!D86+TableC2!O86)/(TableC2!$D$91+TableC2!$O$91)</f>
        <v>0</v>
      </c>
      <c r="D88" s="1200">
        <f>1000*TableA7!$P$91*(TableC2!E86+TableC2!P86)/(TableC2!$D$91+TableC2!$O$91)</f>
        <v>0</v>
      </c>
      <c r="E88" s="1153">
        <f>1000*TableA7!$P$91*(TableC2!F86+TableC2!Q86)/(TableC2!$D$91+TableC2!$O$91)</f>
        <v>0</v>
      </c>
      <c r="F88" s="1153">
        <f>1000*TableA7!$P$91*(TableC2!G86+TableC2!R86)/(TableC2!$D$91+TableC2!$O$91)</f>
        <v>0</v>
      </c>
      <c r="G88" s="1153">
        <f>1000*TableA7!$P$91*(TableC2!H86+TableC2!S86)/(TableC2!$D$91+TableC2!$O$91)</f>
        <v>0</v>
      </c>
      <c r="H88" s="1168">
        <f>1000*TableA7!$P$91*(TableC2!I86+TableC2!T86)/(TableC2!$D$91+TableC2!$O$91)</f>
        <v>0</v>
      </c>
      <c r="I88" s="1168">
        <f>1000*TableA7!$P$91*(TableC2!J86+TableC2!U86)/(TableC2!$D$91+TableC2!$O$91)</f>
        <v>0</v>
      </c>
      <c r="J88" s="1168">
        <f>1000*TableA7!$P$91*(TableC2!K86+TableC2!V86)/(TableC2!$D$91+TableC2!$O$91)</f>
        <v>0</v>
      </c>
      <c r="K88" s="1198">
        <f>1000*TableA7!$P$91*(TableC2!L86+TableC2!W86)/(TableC2!$D$91+TableC2!$O$91)</f>
        <v>0</v>
      </c>
      <c r="L88" s="1168">
        <f>1000*TableA7!$P$91*(TableC2!M86+TableC2!X86)/(TableC2!$D$91+TableC2!$O$91)</f>
        <v>0</v>
      </c>
      <c r="M88" s="1229">
        <f>1000*TableA7!$P$91*(TableC2!N86+TableC2!Y86)/(TableC2!$D$91+TableC2!$O$91)</f>
        <v>0</v>
      </c>
      <c r="N88" s="1459">
        <f>1000*TableA7!$P$91*TableC3!C86/TableC3!$C$91</f>
        <v>0.39878143799435534</v>
      </c>
      <c r="O88" s="1200">
        <f>1000*TableA7!$P$91*TableC3!D86/TableC3!$C$91</f>
        <v>3.919939303612981E-3</v>
      </c>
      <c r="P88" s="1153">
        <f>1000*TableA7!$P$91*TableC3!E86/TableC3!$C$91</f>
        <v>0</v>
      </c>
      <c r="Q88" s="1153">
        <f>1000*TableA7!$P$91*TableC3!F86/TableC3!$C$91</f>
        <v>3.919939303612981E-3</v>
      </c>
      <c r="R88" s="1153">
        <f>1000*TableA7!$P$91*TableC3!G86/TableC3!$C$91</f>
        <v>0</v>
      </c>
      <c r="S88" s="1168">
        <f>1000*TableA7!$P$91*TableC3!H86/TableC3!$C$91</f>
        <v>0</v>
      </c>
      <c r="T88" s="1168">
        <f>1000*TableA7!$P$91*TableC3!I86/TableC3!$C$91</f>
        <v>0</v>
      </c>
      <c r="U88" s="1168">
        <f>1000*TableA7!$P$91*TableC3!J86/TableC3!$C$91</f>
        <v>0</v>
      </c>
      <c r="V88" s="1198">
        <f>1000*TableA7!$P$91*TableC3!K86/TableC3!$C$91</f>
        <v>0.39486149869074239</v>
      </c>
      <c r="W88" s="1168">
        <f>1000*TableA7!$P$91*TableC3!L86/TableC3!$C$91</f>
        <v>0</v>
      </c>
      <c r="X88" s="1211">
        <f>1000*TableA7!$P$91*TableC3!M86/TableC3!$C$91</f>
        <v>0.39486149869074239</v>
      </c>
    </row>
    <row r="89" spans="1:24" hidden="1" x14ac:dyDescent="0.2">
      <c r="A89" s="954"/>
      <c r="B89" s="1148" t="str">
        <f>+TableA1!A88</f>
        <v>Panama</v>
      </c>
      <c r="C89" s="1452">
        <f>1000*TableA7!$P$91*(TableC2!D87+TableC2!O87)/(TableC2!$D$91+TableC2!$O$91)</f>
        <v>0</v>
      </c>
      <c r="D89" s="1200">
        <f>1000*TableA7!$P$91*(TableC2!E87+TableC2!P87)/(TableC2!$D$91+TableC2!$O$91)</f>
        <v>0</v>
      </c>
      <c r="E89" s="1153">
        <f>1000*TableA7!$P$91*(TableC2!F87+TableC2!Q87)/(TableC2!$D$91+TableC2!$O$91)</f>
        <v>0</v>
      </c>
      <c r="F89" s="1153">
        <f>1000*TableA7!$P$91*(TableC2!G87+TableC2!R87)/(TableC2!$D$91+TableC2!$O$91)</f>
        <v>0</v>
      </c>
      <c r="G89" s="1153">
        <f>1000*TableA7!$P$91*(TableC2!H87+TableC2!S87)/(TableC2!$D$91+TableC2!$O$91)</f>
        <v>0</v>
      </c>
      <c r="H89" s="1168">
        <f>1000*TableA7!$P$91*(TableC2!I87+TableC2!T87)/(TableC2!$D$91+TableC2!$O$91)</f>
        <v>0</v>
      </c>
      <c r="I89" s="1168">
        <f>1000*TableA7!$P$91*(TableC2!J87+TableC2!U87)/(TableC2!$D$91+TableC2!$O$91)</f>
        <v>0</v>
      </c>
      <c r="J89" s="1168">
        <f>1000*TableA7!$P$91*(TableC2!K87+TableC2!V87)/(TableC2!$D$91+TableC2!$O$91)</f>
        <v>0</v>
      </c>
      <c r="K89" s="1198">
        <f>1000*TableA7!$P$91*(TableC2!L87+TableC2!W87)/(TableC2!$D$91+TableC2!$O$91)</f>
        <v>0</v>
      </c>
      <c r="L89" s="1168">
        <f>1000*TableA7!$P$91*(TableC2!M87+TableC2!X87)/(TableC2!$D$91+TableC2!$O$91)</f>
        <v>0</v>
      </c>
      <c r="M89" s="1229">
        <f>1000*TableA7!$P$91*(TableC2!N87+TableC2!Y87)/(TableC2!$D$91+TableC2!$O$91)</f>
        <v>0</v>
      </c>
      <c r="N89" s="1459">
        <f>1000*TableA7!$P$91*TableC3!C87/TableC3!$C$91</f>
        <v>571.71512965333045</v>
      </c>
      <c r="O89" s="1200">
        <f>1000*TableA7!$P$91*TableC3!D87/TableC3!$C$91</f>
        <v>-5.8404466756785327</v>
      </c>
      <c r="P89" s="1153">
        <f>1000*TableA7!$P$91*TableC3!E87/TableC3!$C$91</f>
        <v>-5.8636460843517675</v>
      </c>
      <c r="Q89" s="1153">
        <f>1000*TableA7!$P$91*TableC3!F87/TableC3!$C$91</f>
        <v>2.3199408673233588E-2</v>
      </c>
      <c r="R89" s="1153">
        <f>1000*TableA7!$P$91*TableC3!G87/TableC3!$C$91</f>
        <v>0</v>
      </c>
      <c r="S89" s="1168">
        <f>1000*TableA7!$P$91*TableC3!H87/TableC3!$C$91</f>
        <v>0</v>
      </c>
      <c r="T89" s="1168">
        <f>1000*TableA7!$P$91*TableC3!I87/TableC3!$C$91</f>
        <v>0</v>
      </c>
      <c r="U89" s="1168">
        <f>1000*TableA7!$P$91*TableC3!J87/TableC3!$C$91</f>
        <v>0</v>
      </c>
      <c r="V89" s="1198">
        <f>1000*TableA7!$P$91*TableC3!K87/TableC3!$C$91</f>
        <v>577.555576329009</v>
      </c>
      <c r="W89" s="1168">
        <f>1000*TableA7!$P$91*TableC3!L87/TableC3!$C$91</f>
        <v>0</v>
      </c>
      <c r="X89" s="1211">
        <f>1000*TableA7!$P$91*TableC3!M87/TableC3!$C$91</f>
        <v>577.555576329009</v>
      </c>
    </row>
    <row r="90" spans="1:24" hidden="1" x14ac:dyDescent="0.2">
      <c r="A90" s="954"/>
      <c r="B90" s="1148" t="s">
        <v>108</v>
      </c>
      <c r="C90" s="1452">
        <f>1000*TableA7!$P$91*(TableC2!D88+TableC2!O88)/(TableC2!$D$91+TableC2!$O$91)</f>
        <v>0</v>
      </c>
      <c r="D90" s="1200">
        <f>1000*TableA7!$P$91*(TableC2!E88+TableC2!P88)/(TableC2!$D$91+TableC2!$O$91)</f>
        <v>0</v>
      </c>
      <c r="E90" s="1153">
        <f>1000*TableA7!$P$91*(TableC2!F88+TableC2!Q88)/(TableC2!$D$91+TableC2!$O$91)</f>
        <v>0</v>
      </c>
      <c r="F90" s="1153">
        <f>1000*TableA7!$P$91*(TableC2!G88+TableC2!R88)/(TableC2!$D$91+TableC2!$O$91)</f>
        <v>0</v>
      </c>
      <c r="G90" s="1153">
        <f>1000*TableA7!$P$91*(TableC2!H88+TableC2!S88)/(TableC2!$D$91+TableC2!$O$91)</f>
        <v>0</v>
      </c>
      <c r="H90" s="1168">
        <f>1000*TableA7!$P$91*(TableC2!I88+TableC2!T88)/(TableC2!$D$91+TableC2!$O$91)</f>
        <v>0</v>
      </c>
      <c r="I90" s="1168">
        <f>1000*TableA7!$P$91*(TableC2!J88+TableC2!U88)/(TableC2!$D$91+TableC2!$O$91)</f>
        <v>0</v>
      </c>
      <c r="J90" s="1168">
        <f>1000*TableA7!$P$91*(TableC2!K88+TableC2!V88)/(TableC2!$D$91+TableC2!$O$91)</f>
        <v>0</v>
      </c>
      <c r="K90" s="1198">
        <f>1000*TableA7!$P$91*(TableC2!L88+TableC2!W88)/(TableC2!$D$91+TableC2!$O$91)</f>
        <v>0</v>
      </c>
      <c r="L90" s="1168">
        <f>1000*TableA7!$P$91*(TableC2!M88+TableC2!X88)/(TableC2!$D$91+TableC2!$O$91)</f>
        <v>0</v>
      </c>
      <c r="M90" s="1229">
        <f>1000*TableA7!$P$91*(TableC2!N88+TableC2!Y88)/(TableC2!$D$91+TableC2!$O$91)</f>
        <v>0</v>
      </c>
      <c r="N90" s="1459">
        <f>1000*TableA7!$P$91*TableC3!C88/TableC3!$C$91</f>
        <v>20.573737865888862</v>
      </c>
      <c r="O90" s="1200">
        <f>1000*TableA7!$P$91*TableC3!D88/TableC3!$C$91</f>
        <v>0</v>
      </c>
      <c r="P90" s="1153">
        <f>1000*TableA7!$P$91*TableC3!E88/TableC3!$C$91</f>
        <v>0</v>
      </c>
      <c r="Q90" s="1153">
        <f>1000*TableA7!$P$91*TableC3!F88/TableC3!$C$91</f>
        <v>0</v>
      </c>
      <c r="R90" s="1153">
        <f>1000*TableA7!$P$91*TableC3!G88/TableC3!$C$91</f>
        <v>0</v>
      </c>
      <c r="S90" s="1168">
        <f>1000*TableA7!$P$91*TableC3!H88/TableC3!$C$91</f>
        <v>0</v>
      </c>
      <c r="T90" s="1168">
        <f>1000*TableA7!$P$91*TableC3!I88/TableC3!$C$91</f>
        <v>0</v>
      </c>
      <c r="U90" s="1168">
        <f>1000*TableA7!$P$91*TableC3!J88/TableC3!$C$91</f>
        <v>0</v>
      </c>
      <c r="V90" s="1198">
        <f>1000*TableA7!$P$91*TableC3!K88/TableC3!$C$91</f>
        <v>20.573737865888862</v>
      </c>
      <c r="W90" s="1168">
        <f>1000*TableA7!$P$91*TableC3!L88/TableC3!$C$91</f>
        <v>0</v>
      </c>
      <c r="X90" s="1211">
        <f>1000*TableA7!$P$91*TableC3!M88/TableC3!$C$91</f>
        <v>20.573737865888862</v>
      </c>
    </row>
    <row r="91" spans="1:24" ht="40" customHeight="1" x14ac:dyDescent="0.2">
      <c r="A91" s="954"/>
      <c r="B91" s="1461" t="s">
        <v>155</v>
      </c>
      <c r="C91" s="1462">
        <f>1000*TableA7!$P$91*(TableC2!D89+TableC2!O89)/(TableC2!$D$91+TableC2!$O$91)</f>
        <v>78718.222161267098</v>
      </c>
      <c r="D91" s="1341">
        <f>1000*TableA7!$P$91*(TableC2!E89+TableC2!P89)/(TableC2!$D$91+TableC2!$O$91)</f>
        <v>32128.448563024544</v>
      </c>
      <c r="E91" s="1342">
        <f>1000*TableA7!$P$91*(TableC2!F89+TableC2!Q89)/(TableC2!$D$91+TableC2!$O$91)</f>
        <v>2456.8195224799219</v>
      </c>
      <c r="F91" s="1342">
        <f>1000*TableA7!$P$91*(TableC2!G89+TableC2!R89)/(TableC2!$D$91+TableC2!$O$91)</f>
        <v>643.35297746956837</v>
      </c>
      <c r="G91" s="1342">
        <f>1000*TableA7!$P$91*(TableC2!H89+TableC2!S89)/(TableC2!$D$91+TableC2!$O$91)</f>
        <v>17081.92437547115</v>
      </c>
      <c r="H91" s="1463">
        <f>1000*TableA7!$P$91*(TableC2!I89+TableC2!T89)/(TableC2!$D$91+TableC2!$O$91)</f>
        <v>3677.4371199912403</v>
      </c>
      <c r="I91" s="1463">
        <f>1000*TableA7!$P$91*(TableC2!J89+TableC2!U89)/(TableC2!$D$91+TableC2!$O$91)</f>
        <v>3100.7926635407334</v>
      </c>
      <c r="J91" s="1463">
        <f>1000*TableA7!$P$91*(TableC2!K89+TableC2!V89)/(TableC2!$D$91+TableC2!$O$91)</f>
        <v>5168.1219040719297</v>
      </c>
      <c r="K91" s="1464">
        <f>1000*TableA7!$P$91*(TableC2!L89+TableC2!W89)/(TableC2!$D$91+TableC2!$O$91)</f>
        <v>46589.773598242551</v>
      </c>
      <c r="L91" s="1465">
        <f>1000*TableA7!$P$91*(TableC2!M89+TableC2!X89)/(TableC2!$D$91+TableC2!$O$91)</f>
        <v>3824.9758160131223</v>
      </c>
      <c r="M91" s="1466">
        <f>1000*TableA7!$P$91*(TableC2!N89+TableC2!Y89)/(TableC2!$D$91+TableC2!$O$91)</f>
        <v>42764.518051625309</v>
      </c>
      <c r="N91" s="1467">
        <f>1000*TableA7!$P$91*TableC3!C89/TableC3!$C$91</f>
        <v>19924.194321217819</v>
      </c>
      <c r="O91" s="1341">
        <f>1000*TableA7!$P$91*TableC3!D89/TableC3!$C$91</f>
        <v>2481.041013123614</v>
      </c>
      <c r="P91" s="1342">
        <f>1000*TableA7!$P$91*TableC3!E89/TableC3!$C$91</f>
        <v>516.06991313591834</v>
      </c>
      <c r="Q91" s="1342">
        <f>1000*TableA7!$P$91*TableC3!F89/TableC3!$C$91</f>
        <v>48.035185488895884</v>
      </c>
      <c r="R91" s="1342">
        <f>1000*TableA7!$P$91*TableC3!G89/TableC3!$C$91</f>
        <v>15.894548048324211</v>
      </c>
      <c r="S91" s="1463">
        <f>1000*TableA7!$P$91*TableC3!H89/TableC3!$C$91</f>
        <v>1490.2721495788899</v>
      </c>
      <c r="T91" s="1463">
        <f>1000*TableA7!$P$91*TableC3!I89/TableC3!$C$91</f>
        <v>15.481920664578277</v>
      </c>
      <c r="U91" s="1463">
        <f>1000*TableA7!$P$91*TableC3!J89/TableC3!$C$91</f>
        <v>395.28729620700761</v>
      </c>
      <c r="V91" s="1464">
        <f>1000*TableA7!$P$91*TableC3!K89/TableC3!$C$91</f>
        <v>17443.153308094203</v>
      </c>
      <c r="W91" s="1465">
        <f>1000*TableA7!$P$91*TableC3!L89/TableC3!$C$91</f>
        <v>0</v>
      </c>
      <c r="X91" s="1468">
        <f>1000*TableA7!$P$91*TableC3!M89/TableC3!$C$91</f>
        <v>17443.15330809417</v>
      </c>
    </row>
    <row r="92" spans="1:24" ht="40" hidden="1" customHeight="1" x14ac:dyDescent="0.2">
      <c r="A92" s="954"/>
      <c r="B92" s="622"/>
      <c r="C92" s="1462"/>
      <c r="D92" s="304">
        <f>1000*TableA7!$P$91*(TableC2!E90+TableC2!P90)/(TableC2!$D$91+TableC2!$O$91)</f>
        <v>365238.93315114221</v>
      </c>
      <c r="E92" s="244">
        <f>1000*TableA7!$P$91*(TableC2!F90+TableC2!Q90)/(TableC2!$D$91+TableC2!$O$91)</f>
        <v>45844.245734219949</v>
      </c>
      <c r="F92" s="245">
        <f>1000*TableA7!$P$91*(TableC2!G90+TableC2!R90)/(TableC2!$D$91+TableC2!$O$91)</f>
        <v>2352.407244170844</v>
      </c>
      <c r="G92" s="245">
        <f>1000*TableA7!$P$91*(TableC2!H90+TableC2!S90)/(TableC2!$D$91+TableC2!$O$91)</f>
        <v>103151.35752398905</v>
      </c>
      <c r="H92" s="245">
        <f>1000*TableA7!$P$91*(TableC2!I90+TableC2!T90)/(TableC2!$D$91+TableC2!$O$91)</f>
        <v>105662.19970888982</v>
      </c>
      <c r="I92" s="245">
        <f>1000*TableA7!$P$91*(TableC2!J90+TableC2!U90)/(TableC2!$D$91+TableC2!$O$91)</f>
        <v>4443.316159951034</v>
      </c>
      <c r="J92" s="245">
        <f>1000*TableA7!$P$91*(TableC2!K90+TableC2!V90)/(TableC2!$D$91+TableC2!$O$91)</f>
        <v>103785.40677992148</v>
      </c>
      <c r="K92" s="304">
        <f>1000*TableA7!$P$91*(TableC2!L90+TableC2!W90)/(TableC2!$D$91+TableC2!$O$91)</f>
        <v>429517.45933133346</v>
      </c>
      <c r="L92" s="244">
        <f>1000*TableA7!$P$91*(TableC2!M90+TableC2!X90)/(TableC2!$D$91+TableC2!$O$91)</f>
        <v>81651.693762084658</v>
      </c>
      <c r="M92" s="623">
        <f>1000*TableA7!$P$91*(TableC2!N90+TableC2!Y90)/(TableC2!$D$91+TableC2!$O$91)</f>
        <v>347865.48583864461</v>
      </c>
      <c r="N92" s="1470">
        <f>1000*TableA7!$P$91*TableC3!C90/TableC3!$C$91</f>
        <v>868002.53217534442</v>
      </c>
      <c r="O92" s="304">
        <f>1000*TableA7!$P$91*TableC3!D90/TableC3!$C$91</f>
        <v>459297.79397170607</v>
      </c>
      <c r="P92" s="332">
        <f>1000*TableA7!$P$91*TableC3!E90/TableC3!$C$91</f>
        <v>71500.362708890883</v>
      </c>
      <c r="Q92" s="245">
        <f>1000*TableA7!$P$91*TableC3!F90/TableC3!$C$91</f>
        <v>3539.6243167895782</v>
      </c>
      <c r="R92" s="245">
        <f>1000*TableA7!$P$91*TableC3!G90/TableC3!$C$91</f>
        <v>93481.910458023936</v>
      </c>
      <c r="S92" s="245">
        <f>1000*TableA7!$P$91*TableC3!H90/TableC3!$C$91</f>
        <v>69133.518962590024</v>
      </c>
      <c r="T92" s="245">
        <f>1000*TableA7!$P$91*TableC3!I90/TableC3!$C$91</f>
        <v>493.08451550928419</v>
      </c>
      <c r="U92" s="623">
        <f>1000*TableA7!$P$91*TableC3!J90/TableC3!$C$91</f>
        <v>221149.29300990238</v>
      </c>
      <c r="V92" s="245">
        <f>1000*TableA7!$P$91*TableC3!K90/TableC3!$C$91</f>
        <v>408704.73820363841</v>
      </c>
      <c r="W92" s="332">
        <f>1000*TableA7!$P$91*TableC3!L90/TableC3!$C$91</f>
        <v>157092.40869758427</v>
      </c>
      <c r="X92" s="624">
        <f>1000*TableA7!$P$91*TableC3!M90/TableC3!$C$91</f>
        <v>251612.32950605408</v>
      </c>
    </row>
    <row r="93" spans="1:24" ht="40" customHeight="1" thickBot="1" x14ac:dyDescent="0.25">
      <c r="A93" s="954"/>
      <c r="B93" s="263" t="str">
        <f>+TableC3!B91</f>
        <v>Non-haven total</v>
      </c>
      <c r="C93" s="750">
        <f>1000*TableA7!$P$91*(TableC2!D91+TableC2!O91)/(TableC2!$D$91+TableC2!$O$91)</f>
        <v>616461.62984891725</v>
      </c>
      <c r="D93" s="326">
        <f>1000*TableA7!$P$91*(TableC2!E91+TableC2!P91)/(TableC2!$D$91+TableC2!$O$91)</f>
        <v>291090.05346102006</v>
      </c>
      <c r="E93" s="627">
        <f>1000*TableA7!$P$91*(TableC2!F91+TableC2!Q91)/(TableC2!$D$91+TableC2!$O$91)</f>
        <v>33765.495023400748</v>
      </c>
      <c r="F93" s="628">
        <f>1000*TableA7!$P$91*(TableC2!G91+TableC2!R91)/(TableC2!$D$91+TableC2!$O$91)</f>
        <v>2250.1600095749436</v>
      </c>
      <c r="G93" s="628">
        <f>1000*TableA7!$P$91*(TableC2!H91+TableC2!S91)/(TableC2!$D$91+TableC2!$O$91)</f>
        <v>88827.178117135452</v>
      </c>
      <c r="H93" s="628">
        <f>1000*TableA7!$P$91*(TableC2!I91+TableC2!T91)/(TableC2!$D$91+TableC2!$O$91)</f>
        <v>87677.932773085748</v>
      </c>
      <c r="I93" s="628">
        <f>1000*TableA7!$P$91*(TableC2!J91+TableC2!U91)/(TableC2!$D$91+TableC2!$O$91)</f>
        <v>4302.8044063658681</v>
      </c>
      <c r="J93" s="628">
        <f>1000*TableA7!$P$91*(TableC2!K91+TableC2!V91)/(TableC2!$D$91+TableC2!$O$91)</f>
        <v>74266.483131457338</v>
      </c>
      <c r="K93" s="326">
        <f>1000*TableA7!$P$91*(TableC2!L91+TableC2!W91)/(TableC2!$D$91+TableC2!$O$91)</f>
        <v>325371.57638789725</v>
      </c>
      <c r="L93" s="627">
        <f>1000*TableA7!$P$91*(TableC2!M91+TableC2!X91)/(TableC2!$D$91+TableC2!$O$91)</f>
        <v>50102.998963108526</v>
      </c>
      <c r="M93" s="629">
        <f>1000*TableA7!$P$91*(TableC2!N91+TableC2!Y91)/(TableC2!$D$91+TableC2!$O$91)</f>
        <v>275268.29769418464</v>
      </c>
      <c r="N93" s="626">
        <f>1000*TableA7!$P$91*TableC3!C91/TableC3!$C$91</f>
        <v>616461.62984891725</v>
      </c>
      <c r="O93" s="326">
        <f>1000*TableA7!$P$91*TableC3!D91/TableC3!$C$91</f>
        <v>330315.39864829625</v>
      </c>
      <c r="P93" s="627">
        <f>1000*TableA7!$P$91*TableC3!E91/TableC3!$C$91</f>
        <v>43540.778884011284</v>
      </c>
      <c r="Q93" s="628">
        <f>1000*TableA7!$P$91*TableC3!F91/TableC3!$C$91</f>
        <v>2396.4948511104612</v>
      </c>
      <c r="R93" s="628">
        <f>1000*TableA7!$P$91*TableC3!G91/TableC3!$C$91</f>
        <v>78897.468002116642</v>
      </c>
      <c r="S93" s="628">
        <f>1000*TableA7!$P$91*TableC3!H91/TableC3!$C$91</f>
        <v>47150.492455035346</v>
      </c>
      <c r="T93" s="628">
        <f>1000*TableA7!$P$91*TableC3!I91/TableC3!$C$91</f>
        <v>113.9596180394183</v>
      </c>
      <c r="U93" s="629">
        <f>1000*TableA7!$P$91*TableC3!J91/TableC3!$C$91</f>
        <v>158216.20483798312</v>
      </c>
      <c r="V93" s="628">
        <f>1000*TableA7!$P$91*TableC3!K91/TableC3!$C$91</f>
        <v>286146.23120062106</v>
      </c>
      <c r="W93" s="627">
        <f>1000*TableA7!$P$91*TableC3!L91/TableC3!$C$91</f>
        <v>131202.60740954758</v>
      </c>
      <c r="X93" s="630">
        <f>1000*TableA7!$P$91*TableC3!M91/TableC3!$C$91</f>
        <v>154943.62379107342</v>
      </c>
    </row>
    <row r="94" spans="1:24" s="2" customFormat="1" ht="17" thickTop="1" x14ac:dyDescent="0.2">
      <c r="D94" s="954"/>
      <c r="E94" s="954"/>
      <c r="F94" s="954"/>
      <c r="G94" s="954"/>
      <c r="H94" s="954"/>
      <c r="I94" s="954"/>
      <c r="J94" s="954"/>
      <c r="K94" s="954"/>
      <c r="L94" s="954"/>
      <c r="M94" s="954"/>
      <c r="O94" s="954"/>
      <c r="P94" s="954"/>
      <c r="Q94" s="954"/>
      <c r="R94" s="954"/>
      <c r="S94" s="954"/>
      <c r="T94" s="954"/>
      <c r="U94" s="954"/>
      <c r="V94" s="954"/>
      <c r="W94" s="954"/>
      <c r="X94" s="954"/>
    </row>
  </sheetData>
  <mergeCells count="9">
    <mergeCell ref="B5:X5"/>
    <mergeCell ref="C7:M7"/>
    <mergeCell ref="N7:X7"/>
    <mergeCell ref="D8:D9"/>
    <mergeCell ref="K8:K9"/>
    <mergeCell ref="O8:O9"/>
    <mergeCell ref="V8:V9"/>
    <mergeCell ref="C8:C9"/>
    <mergeCell ref="N8:N9"/>
  </mergeCells>
  <pageMargins left="0.7" right="0.7" top="0.75" bottom="0.75" header="0.3" footer="0.3"/>
  <pageSetup scale="35" orientation="landscape"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R97"/>
  <sheetViews>
    <sheetView workbookViewId="0">
      <pane xSplit="2" ySplit="10" topLeftCell="C43" activePane="bottomRight" state="frozen"/>
      <selection pane="topRight" activeCell="AR8" sqref="AR8"/>
      <selection pane="bottomLeft" activeCell="AR8" sqref="AR8"/>
      <selection pane="bottomRight" activeCell="I15" sqref="I15"/>
    </sheetView>
  </sheetViews>
  <sheetFormatPr baseColWidth="10" defaultColWidth="10.83203125" defaultRowHeight="16" x14ac:dyDescent="0.2"/>
  <cols>
    <col min="1" max="1" width="17.5" style="1" hidden="1" customWidth="1"/>
    <col min="2" max="2" width="19" style="1" customWidth="1"/>
    <col min="3" max="8" width="13" style="1" customWidth="1"/>
    <col min="9" max="11" width="19.6640625" style="1" customWidth="1"/>
    <col min="12" max="12" width="10.83203125" style="1"/>
    <col min="13" max="13" width="19.5" style="1" customWidth="1"/>
    <col min="14" max="14" width="13.6640625" style="1" customWidth="1"/>
    <col min="15" max="16384" width="10.83203125" style="1"/>
  </cols>
  <sheetData>
    <row r="2" spans="2:18" ht="17" thickBot="1" x14ac:dyDescent="0.25">
      <c r="B2" s="954"/>
      <c r="C2" s="954"/>
      <c r="D2" s="954"/>
      <c r="E2" s="954"/>
      <c r="F2" s="954"/>
      <c r="G2" s="954"/>
      <c r="H2" s="954"/>
      <c r="I2" s="954"/>
      <c r="J2" s="954"/>
      <c r="K2" s="954"/>
      <c r="L2" s="954"/>
      <c r="M2" s="954"/>
      <c r="N2" s="954"/>
      <c r="O2" s="954"/>
      <c r="P2" s="954"/>
      <c r="Q2" s="954"/>
      <c r="R2" s="954"/>
    </row>
    <row r="3" spans="2:18" ht="17" hidden="1" thickBot="1" x14ac:dyDescent="0.25">
      <c r="B3" s="954"/>
      <c r="C3" s="954"/>
      <c r="D3" s="954"/>
      <c r="E3" s="954"/>
      <c r="F3" s="954"/>
      <c r="G3" s="954"/>
      <c r="H3" s="954"/>
      <c r="I3" s="954"/>
      <c r="J3" s="954"/>
      <c r="K3" s="954"/>
      <c r="L3" s="954"/>
      <c r="M3" s="954"/>
      <c r="N3" s="954"/>
      <c r="O3" s="954"/>
      <c r="P3" s="954"/>
      <c r="Q3" s="954"/>
      <c r="R3" s="954"/>
    </row>
    <row r="4" spans="2:18" ht="32.25" customHeight="1" thickTop="1" x14ac:dyDescent="0.2">
      <c r="B4" s="1951" t="s">
        <v>653</v>
      </c>
      <c r="C4" s="1952"/>
      <c r="D4" s="1952"/>
      <c r="E4" s="1952"/>
      <c r="F4" s="1952"/>
      <c r="G4" s="1952"/>
      <c r="H4" s="1953"/>
      <c r="I4" s="620"/>
      <c r="J4" s="620"/>
      <c r="K4" s="620"/>
      <c r="L4" s="954"/>
      <c r="M4" s="954"/>
      <c r="N4" s="954"/>
      <c r="O4" s="954"/>
      <c r="P4" s="954"/>
      <c r="Q4" s="954"/>
      <c r="R4" s="954"/>
    </row>
    <row r="5" spans="2:18" ht="15" customHeight="1" x14ac:dyDescent="0.2">
      <c r="B5" s="4"/>
      <c r="C5" s="620"/>
      <c r="D5" s="620"/>
      <c r="E5" s="620"/>
      <c r="F5" s="620"/>
      <c r="G5" s="620"/>
      <c r="H5" s="5"/>
      <c r="I5" s="620"/>
      <c r="J5" s="620"/>
      <c r="K5" s="620"/>
      <c r="L5" s="954"/>
      <c r="M5" s="954"/>
      <c r="N5" s="954"/>
      <c r="O5" s="954"/>
      <c r="P5" s="954"/>
      <c r="Q5" s="954"/>
      <c r="R5" s="954"/>
    </row>
    <row r="6" spans="2:18" ht="13" customHeight="1" x14ac:dyDescent="0.2">
      <c r="B6" s="4"/>
      <c r="C6" s="160" t="s">
        <v>1</v>
      </c>
      <c r="D6" s="160" t="s">
        <v>2</v>
      </c>
      <c r="E6" s="160" t="s">
        <v>3</v>
      </c>
      <c r="F6" s="160" t="s">
        <v>4</v>
      </c>
      <c r="G6" s="160" t="s">
        <v>5</v>
      </c>
      <c r="H6" s="6" t="s">
        <v>6</v>
      </c>
      <c r="I6" s="620"/>
      <c r="J6" s="620"/>
      <c r="K6" s="620"/>
      <c r="L6" s="954"/>
      <c r="M6" s="954"/>
      <c r="N6" s="954"/>
      <c r="O6" s="954"/>
      <c r="P6" s="954"/>
      <c r="Q6" s="954"/>
      <c r="R6" s="954"/>
    </row>
    <row r="7" spans="2:18" ht="32.25" customHeight="1" x14ac:dyDescent="0.2">
      <c r="B7" s="4"/>
      <c r="C7" s="2285" t="s">
        <v>654</v>
      </c>
      <c r="D7" s="2286"/>
      <c r="E7" s="2286"/>
      <c r="F7" s="2286"/>
      <c r="G7" s="2286"/>
      <c r="H7" s="2287"/>
      <c r="I7" s="620"/>
      <c r="J7" s="620"/>
      <c r="K7" s="620"/>
      <c r="L7" s="954"/>
      <c r="M7" s="954"/>
      <c r="N7" s="954"/>
      <c r="O7" s="954"/>
      <c r="P7" s="954"/>
      <c r="Q7" s="954"/>
      <c r="R7" s="954"/>
    </row>
    <row r="8" spans="2:18" ht="21" customHeight="1" x14ac:dyDescent="0.2">
      <c r="B8" s="1148"/>
      <c r="C8" s="2115" t="s">
        <v>655</v>
      </c>
      <c r="D8" s="2116" t="s">
        <v>648</v>
      </c>
      <c r="E8" s="2116"/>
      <c r="F8" s="2284" t="s">
        <v>656</v>
      </c>
      <c r="G8" s="2116" t="s">
        <v>648</v>
      </c>
      <c r="H8" s="2192"/>
      <c r="I8" s="1037"/>
      <c r="J8" s="1037"/>
      <c r="K8" s="1037"/>
      <c r="L8" s="954"/>
      <c r="M8" s="954"/>
      <c r="N8" s="954"/>
      <c r="O8" s="954"/>
      <c r="P8" s="954"/>
      <c r="Q8" s="954"/>
      <c r="R8" s="954"/>
    </row>
    <row r="9" spans="2:18" ht="85" customHeight="1" x14ac:dyDescent="0.2">
      <c r="B9" s="1148"/>
      <c r="C9" s="2072" t="s">
        <v>627</v>
      </c>
      <c r="D9" s="1829" t="s">
        <v>628</v>
      </c>
      <c r="E9" s="1479" t="s">
        <v>629</v>
      </c>
      <c r="F9" s="2072" t="s">
        <v>627</v>
      </c>
      <c r="G9" s="1829" t="s">
        <v>628</v>
      </c>
      <c r="H9" s="1815" t="s">
        <v>629</v>
      </c>
      <c r="I9" s="1480"/>
      <c r="J9" s="1480"/>
      <c r="K9" s="1480"/>
      <c r="L9" s="954"/>
      <c r="M9" s="954"/>
      <c r="N9" s="954"/>
      <c r="O9" s="954"/>
      <c r="P9" s="954"/>
      <c r="Q9" s="954"/>
      <c r="R9" s="954"/>
    </row>
    <row r="10" spans="2:18" ht="33" customHeight="1" x14ac:dyDescent="0.2">
      <c r="B10" s="1148"/>
      <c r="C10" s="2028"/>
      <c r="D10" s="1836"/>
      <c r="E10" s="1481"/>
      <c r="F10" s="2028"/>
      <c r="G10" s="1836"/>
      <c r="H10" s="1856"/>
      <c r="I10" s="1480"/>
      <c r="J10" s="1480"/>
      <c r="K10" s="1480"/>
      <c r="L10" s="954"/>
      <c r="M10" s="954"/>
      <c r="N10" s="954"/>
      <c r="O10" s="954"/>
      <c r="P10" s="954"/>
      <c r="Q10" s="954"/>
      <c r="R10" s="954"/>
    </row>
    <row r="11" spans="2:18" ht="40" customHeight="1" x14ac:dyDescent="0.2">
      <c r="B11" s="8" t="s">
        <v>28</v>
      </c>
      <c r="C11" s="21">
        <f>+TableC4!C10/TableC4!$C$93</f>
        <v>0.70587402154876455</v>
      </c>
      <c r="D11" s="260">
        <f>+SUM(D12:D46)</f>
        <v>0.38087208506354664</v>
      </c>
      <c r="E11" s="426">
        <f>+SUM(E12:E46)</f>
        <v>0.32500193648521808</v>
      </c>
      <c r="F11" s="21">
        <f>+SUM(F12:F46)</f>
        <v>0.86505774372437672</v>
      </c>
      <c r="G11" s="260">
        <f>+SUM(G12:G46)</f>
        <v>0.52085086655175883</v>
      </c>
      <c r="H11" s="287">
        <f>+SUM(H12:H46)</f>
        <v>0.34420687717261789</v>
      </c>
      <c r="I11" s="246"/>
      <c r="J11" s="246"/>
      <c r="K11" s="246"/>
      <c r="L11" s="954"/>
      <c r="M11" s="954"/>
      <c r="N11" s="954"/>
      <c r="O11" s="954"/>
      <c r="P11" s="954"/>
      <c r="Q11" s="954"/>
      <c r="R11" s="954"/>
    </row>
    <row r="12" spans="2:18" x14ac:dyDescent="0.2">
      <c r="B12" s="1149" t="s">
        <v>29</v>
      </c>
      <c r="C12" s="119">
        <f>(TableC2!D9+TableC2!O9)/(TableC2!$D$91+TableC2!$O$91)</f>
        <v>2.1021737609983656E-2</v>
      </c>
      <c r="D12" s="1482">
        <f>(TableC2!E9+TableC2!P9)/(TableC2!$D$91+TableC2!$O$91)</f>
        <v>6.6750267731805852E-3</v>
      </c>
      <c r="E12" s="1483">
        <f>(TableC2!L9+TableC2!W9)/(TableC2!$D$91+TableC2!$O$91)</f>
        <v>1.4346710836803072E-2</v>
      </c>
      <c r="F12" s="119">
        <f>TableC3!C9/TableC3!$C$91</f>
        <v>2.8404206518584008E-3</v>
      </c>
      <c r="G12" s="1482">
        <f>TableC3!D9/TableC3!$C$91</f>
        <v>-2.5196647000411961E-4</v>
      </c>
      <c r="H12" s="1484">
        <f>TableC3!K9/TableC3!$C$91</f>
        <v>3.0923871218625203E-3</v>
      </c>
      <c r="I12" s="9"/>
      <c r="J12" s="954"/>
      <c r="K12" s="954"/>
      <c r="L12" s="954"/>
      <c r="M12" s="954"/>
      <c r="N12" s="954"/>
      <c r="O12" s="954"/>
      <c r="P12" s="954"/>
      <c r="Q12" s="954"/>
      <c r="R12" s="954"/>
    </row>
    <row r="13" spans="2:18" x14ac:dyDescent="0.2">
      <c r="B13" s="1149" t="s">
        <v>30</v>
      </c>
      <c r="C13" s="119">
        <f>(TableC2!D10+TableC2!O10)/(TableC2!$D$91+TableC2!$O$91)</f>
        <v>5.82264755250121E-3</v>
      </c>
      <c r="D13" s="1482">
        <f>(TableC2!E10+TableC2!P10)/(TableC2!$D$91+TableC2!$O$91)</f>
        <v>3.3670081433932872E-3</v>
      </c>
      <c r="E13" s="1483">
        <f>(TableC2!L10+TableC2!W10)/(TableC2!$D$91+TableC2!$O$91)</f>
        <v>2.4556394091079228E-3</v>
      </c>
      <c r="F13" s="119">
        <f>TableC3!C10/TableC3!$C$91</f>
        <v>3.6145624085180085E-3</v>
      </c>
      <c r="G13" s="1482">
        <f>TableC3!D10/TableC3!$C$91</f>
        <v>6.0140321530970813E-4</v>
      </c>
      <c r="H13" s="1484">
        <f>TableC3!K10/TableC3!$C$91</f>
        <v>3.0131591932083001E-3</v>
      </c>
      <c r="I13" s="9"/>
      <c r="J13" s="954"/>
      <c r="K13" s="954"/>
      <c r="L13" s="954"/>
      <c r="M13" s="954"/>
      <c r="N13" s="954"/>
      <c r="O13" s="954"/>
      <c r="P13" s="954"/>
      <c r="Q13" s="954"/>
      <c r="R13" s="954"/>
    </row>
    <row r="14" spans="2:18" x14ac:dyDescent="0.2">
      <c r="B14" s="1149" t="s">
        <v>31</v>
      </c>
      <c r="C14" s="119"/>
      <c r="D14" s="1482"/>
      <c r="E14" s="1483"/>
      <c r="F14" s="119"/>
      <c r="G14" s="1482"/>
      <c r="H14" s="1484"/>
      <c r="I14" s="9"/>
      <c r="J14" s="954"/>
      <c r="K14" s="954"/>
      <c r="L14" s="954"/>
      <c r="M14" s="954"/>
      <c r="N14" s="954"/>
      <c r="O14" s="954"/>
      <c r="P14" s="1075"/>
      <c r="Q14" s="954"/>
      <c r="R14" s="954"/>
    </row>
    <row r="15" spans="2:18" x14ac:dyDescent="0.2">
      <c r="B15" s="1149" t="s">
        <v>32</v>
      </c>
      <c r="C15" s="119">
        <f>(TableC2!D12+TableC2!O12)/(TableC2!$D$91+TableC2!$O$91)</f>
        <v>3.0684925593354808E-2</v>
      </c>
      <c r="D15" s="1482">
        <f>(TableC2!E12+TableC2!P12)/(TableC2!$D$91+TableC2!$O$91)</f>
        <v>5.4133122782757366E-3</v>
      </c>
      <c r="E15" s="1483">
        <f>(TableC2!L12+TableC2!W12)/(TableC2!$D$91+TableC2!$O$91)</f>
        <v>2.5271613315079069E-2</v>
      </c>
      <c r="F15" s="119">
        <f>TableC3!C12/TableC3!$C$91</f>
        <v>2.6650346645084155E-2</v>
      </c>
      <c r="G15" s="1482">
        <f>TableC3!D12/TableC3!$C$91</f>
        <v>6.9912959887628153E-3</v>
      </c>
      <c r="H15" s="1484">
        <f>TableC3!K12/TableC3!$C$91</f>
        <v>1.9659050656321338E-2</v>
      </c>
      <c r="I15" s="9"/>
      <c r="J15" s="954"/>
      <c r="K15" s="954"/>
      <c r="L15" s="954"/>
      <c r="M15" s="954"/>
      <c r="N15" s="954"/>
      <c r="O15" s="954"/>
      <c r="P15" s="1075"/>
      <c r="Q15" s="954"/>
      <c r="R15" s="954"/>
    </row>
    <row r="16" spans="2:18" x14ac:dyDescent="0.2">
      <c r="B16" s="1149" t="s">
        <v>33</v>
      </c>
      <c r="C16" s="119">
        <f>(TableC2!D13+TableC2!O13)/(TableC2!$D$91+TableC2!$O$91)</f>
        <v>8.4058992865969403E-3</v>
      </c>
      <c r="D16" s="1482">
        <f>(TableC2!E13+TableC2!P13)/(TableC2!$D$91+TableC2!$O$91)</f>
        <v>1.6353969920800094E-3</v>
      </c>
      <c r="E16" s="1483">
        <f>(TableC2!L13+TableC2!W13)/(TableC2!$D$91+TableC2!$O$91)</f>
        <v>6.7705022945169302E-3</v>
      </c>
      <c r="F16" s="119">
        <f>TableC3!C13/TableC3!$C$91</f>
        <v>-1.6942126680622059E-4</v>
      </c>
      <c r="G16" s="1482">
        <f>TableC3!D13/TableC3!$C$91</f>
        <v>-1.9748978475139494E-4</v>
      </c>
      <c r="H16" s="1484">
        <f>TableC3!K13/TableC3!$C$91</f>
        <v>2.8068517945174332E-5</v>
      </c>
      <c r="I16" s="9"/>
      <c r="J16" s="954"/>
      <c r="K16" s="954"/>
      <c r="L16" s="954"/>
      <c r="M16" s="954"/>
      <c r="N16" s="954"/>
      <c r="O16" s="954"/>
      <c r="P16" s="1019"/>
      <c r="Q16" s="954"/>
      <c r="R16" s="1019"/>
    </row>
    <row r="17" spans="1:11" x14ac:dyDescent="0.2">
      <c r="A17" s="954"/>
      <c r="B17" s="1149" t="s">
        <v>34</v>
      </c>
      <c r="C17" s="119">
        <f>(TableC2!D14+TableC2!O14)/(TableC2!$D$91+TableC2!$O$91)</f>
        <v>2.8560228364121493E-3</v>
      </c>
      <c r="D17" s="1482">
        <f>(TableC2!E14+TableC2!P14)/(TableC2!$D$91+TableC2!$O$91)</f>
        <v>2.2860542786128542E-3</v>
      </c>
      <c r="E17" s="1483">
        <f>(TableC2!L14+TableC2!W14)/(TableC2!$D$91+TableC2!$O$91)</f>
        <v>5.6996855779929581E-4</v>
      </c>
      <c r="F17" s="119">
        <f>TableC3!C14/TableC3!$C$91</f>
        <v>7.6599920805821666E-4</v>
      </c>
      <c r="G17" s="1482">
        <f>TableC3!D14/TableC3!$C$91</f>
        <v>7.6578137957773165E-4</v>
      </c>
      <c r="H17" s="1484">
        <f>TableC3!K14/TableC3!$C$91</f>
        <v>2.178284804850922E-7</v>
      </c>
      <c r="I17" s="9"/>
      <c r="J17" s="954"/>
      <c r="K17" s="954"/>
    </row>
    <row r="18" spans="1:11" x14ac:dyDescent="0.2">
      <c r="A18" s="954"/>
      <c r="B18" s="1149" t="s">
        <v>35</v>
      </c>
      <c r="C18" s="119">
        <f>(TableC2!D15+TableC2!O15)/(TableC2!$D$91+TableC2!$O$91)</f>
        <v>4.8044615088280365E-3</v>
      </c>
      <c r="D18" s="1482">
        <f>(TableC2!E15+TableC2!P15)/(TableC2!$D$91+TableC2!$O$91)</f>
        <v>3.7822125941102767E-3</v>
      </c>
      <c r="E18" s="1483">
        <f>(TableC2!L15+TableC2!W15)/(TableC2!$D$91+TableC2!$O$91)</f>
        <v>1.0222489147177602E-3</v>
      </c>
      <c r="F18" s="119">
        <f>TableC3!C15/TableC3!$C$91</f>
        <v>5.8962721771943895E-3</v>
      </c>
      <c r="G18" s="1482">
        <f>TableC3!D15/TableC3!$C$91</f>
        <v>3.43131694936655E-3</v>
      </c>
      <c r="H18" s="1484">
        <f>TableC3!K15/TableC3!$C$91</f>
        <v>2.4649552278278399E-3</v>
      </c>
      <c r="I18" s="9"/>
      <c r="J18" s="954"/>
      <c r="K18" s="954"/>
    </row>
    <row r="19" spans="1:11" x14ac:dyDescent="0.2">
      <c r="A19" s="954"/>
      <c r="B19" s="1088" t="s">
        <v>36</v>
      </c>
      <c r="C19" s="119">
        <f>(TableC2!D16+TableC2!O16)/(TableC2!$D$91+TableC2!$O$91)</f>
        <v>3.9531008102053458E-4</v>
      </c>
      <c r="D19" s="1482">
        <f>(TableC2!E16+TableC2!P16)/(TableC2!$D$91+TableC2!$O$91)</f>
        <v>2.8345998339088485E-4</v>
      </c>
      <c r="E19" s="1483">
        <f>(TableC2!L16+TableC2!W16)/(TableC2!$D$91+TableC2!$O$91)</f>
        <v>1.1185009762964971E-4</v>
      </c>
      <c r="F19" s="119">
        <f>TableC3!C16/TableC3!$C$91</f>
        <v>-6.5788442055548207E-6</v>
      </c>
      <c r="G19" s="1482">
        <f>TableC3!D16/TableC3!$C$91</f>
        <v>-6.5788442055548207E-6</v>
      </c>
      <c r="H19" s="1484">
        <f>TableC3!K16/TableC3!$C$91</f>
        <v>0</v>
      </c>
      <c r="I19" s="9"/>
      <c r="J19" s="9"/>
      <c r="K19" s="9"/>
    </row>
    <row r="20" spans="1:11" x14ac:dyDescent="0.2">
      <c r="A20" s="954"/>
      <c r="B20" s="1149" t="s">
        <v>37</v>
      </c>
      <c r="C20" s="119">
        <f>(TableC2!D17+TableC2!O17)/(TableC2!$D$91+TableC2!$O$91)</f>
        <v>4.4039551436498578E-3</v>
      </c>
      <c r="D20" s="1482">
        <f>(TableC2!E17+TableC2!P17)/(TableC2!$D$91+TableC2!$O$91)</f>
        <v>2.8302274286766856E-3</v>
      </c>
      <c r="E20" s="1483">
        <f>(TableC2!L17+TableC2!W17)/(TableC2!$D$91+TableC2!$O$91)</f>
        <v>1.5737277149731727E-3</v>
      </c>
      <c r="F20" s="119">
        <f>TableC3!C17/TableC3!$C$91</f>
        <v>3.6656033683078785E-3</v>
      </c>
      <c r="G20" s="1482">
        <f>TableC3!D17/TableC3!$C$91</f>
        <v>3.3101657497969189E-3</v>
      </c>
      <c r="H20" s="1484">
        <f>TableC3!K17/TableC3!$C$91</f>
        <v>3.5543761851095952E-4</v>
      </c>
      <c r="I20" s="9"/>
      <c r="J20" s="9"/>
      <c r="K20" s="9"/>
    </row>
    <row r="21" spans="1:11" x14ac:dyDescent="0.2">
      <c r="A21" s="954"/>
      <c r="B21" s="1088" t="s">
        <v>38</v>
      </c>
      <c r="C21" s="119">
        <f>(TableC2!D18+TableC2!O18)/(TableC2!$D$91+TableC2!$O$91)</f>
        <v>5.2045623496965038E-2</v>
      </c>
      <c r="D21" s="1482">
        <f>(TableC2!E18+TableC2!P18)/(TableC2!$D$91+TableC2!$O$91)</f>
        <v>3.9249564185540896E-2</v>
      </c>
      <c r="E21" s="1483">
        <f>(TableC2!L18+TableC2!W18)/(TableC2!$D$91+TableC2!$O$91)</f>
        <v>1.2796059311424142E-2</v>
      </c>
      <c r="F21" s="119">
        <f>TableC3!C18/TableC3!$C$91</f>
        <v>0.10441825619376749</v>
      </c>
      <c r="G21" s="1482">
        <f>TableC3!D18/TableC3!$C$91</f>
        <v>8.2532164381501433E-2</v>
      </c>
      <c r="H21" s="1484">
        <f>TableC3!K18/TableC3!$C$91</f>
        <v>2.1886091812266056E-2</v>
      </c>
      <c r="I21" s="9"/>
      <c r="J21" s="9"/>
      <c r="K21" s="9"/>
    </row>
    <row r="22" spans="1:11" x14ac:dyDescent="0.2">
      <c r="A22" s="954"/>
      <c r="B22" s="1149" t="s">
        <v>39</v>
      </c>
      <c r="C22" s="119">
        <f>(TableC2!D19+TableC2!O19)/(TableC2!$D$91+TableC2!$O$91)</f>
        <v>8.9063675549600485E-2</v>
      </c>
      <c r="D22" s="1482">
        <f>(TableC2!E19+TableC2!P19)/(TableC2!$D$91+TableC2!$O$91)</f>
        <v>6.7456966852832936E-2</v>
      </c>
      <c r="E22" s="1483">
        <f>(TableC2!L19+TableC2!W19)/(TableC2!$D$91+TableC2!$O$91)</f>
        <v>2.1606708696767545E-2</v>
      </c>
      <c r="F22" s="119">
        <f>TableC3!C19/TableC3!$C$91</f>
        <v>5.7823145865388073E-2</v>
      </c>
      <c r="G22" s="1482">
        <f>TableC3!D19/TableC3!$C$91</f>
        <v>4.1156945290732022E-2</v>
      </c>
      <c r="H22" s="1484">
        <f>TableC3!K19/TableC3!$C$91</f>
        <v>1.6666200574656051E-2</v>
      </c>
      <c r="I22" s="9"/>
      <c r="J22" s="9"/>
      <c r="K22" s="9"/>
    </row>
    <row r="23" spans="1:11" x14ac:dyDescent="0.2">
      <c r="A23" s="954"/>
      <c r="B23" s="1149" t="s">
        <v>40</v>
      </c>
      <c r="C23" s="119">
        <f>(TableC2!D20+TableC2!O20)/(TableC2!$D$91+TableC2!$O$91)</f>
        <v>1.6976116752829837E-3</v>
      </c>
      <c r="D23" s="1482">
        <f>(TableC2!E20+TableC2!P20)/(TableC2!$D$91+TableC2!$O$91)</f>
        <v>1.4823105108580754E-3</v>
      </c>
      <c r="E23" s="1483">
        <f>(TableC2!L20+TableC2!W20)/(TableC2!$D$91+TableC2!$O$91)</f>
        <v>2.1530116442490836E-4</v>
      </c>
      <c r="F23" s="119">
        <f>TableC3!C20/TableC3!$C$91</f>
        <v>7.1306011159063653E-4</v>
      </c>
      <c r="G23" s="1482">
        <f>TableC3!D20/TableC3!$C$91</f>
        <v>7.1176275979277384E-4</v>
      </c>
      <c r="H23" s="1484">
        <f>TableC3!K20/TableC3!$C$91</f>
        <v>1.2973517978626554E-6</v>
      </c>
      <c r="I23" s="9"/>
      <c r="J23" s="9"/>
      <c r="K23" s="9"/>
    </row>
    <row r="24" spans="1:11" x14ac:dyDescent="0.2">
      <c r="A24" s="954"/>
      <c r="B24" s="1149" t="s">
        <v>41</v>
      </c>
      <c r="C24" s="119">
        <f>(TableC2!D21+TableC2!O21)/(TableC2!$D$91+TableC2!$O$91)</f>
        <v>3.8848955685644531E-3</v>
      </c>
      <c r="D24" s="1482">
        <f>(TableC2!E21+TableC2!P21)/(TableC2!$D$91+TableC2!$O$91)</f>
        <v>2.7405788962712643E-3</v>
      </c>
      <c r="E24" s="1483">
        <f>(TableC2!L21+TableC2!W21)/(TableC2!$D$91+TableC2!$O$91)</f>
        <v>1.1443166722931886E-3</v>
      </c>
      <c r="F24" s="119">
        <f>TableC3!C21/TableC3!$C$91</f>
        <v>8.1136048608404672E-4</v>
      </c>
      <c r="G24" s="1482">
        <f>TableC3!D21/TableC3!$C$91</f>
        <v>8.00066392350301E-4</v>
      </c>
      <c r="H24" s="1484">
        <f>TableC3!K21/TableC3!$C$91</f>
        <v>1.1294093733745736E-5</v>
      </c>
      <c r="I24" s="9"/>
      <c r="J24" s="9"/>
      <c r="K24" s="9"/>
    </row>
    <row r="25" spans="1:11" x14ac:dyDescent="0.2">
      <c r="A25" s="954"/>
      <c r="B25" s="1149" t="s">
        <v>42</v>
      </c>
      <c r="C25" s="119">
        <f>(TableC2!D22+TableC2!O22)/(TableC2!$D$91+TableC2!$O$91)</f>
        <v>7.1009571555630366E-4</v>
      </c>
      <c r="D25" s="1482">
        <f>(TableC2!E22+TableC2!P22)/(TableC2!$D$91+TableC2!$O$91)</f>
        <v>5.4771874682887532E-4</v>
      </c>
      <c r="E25" s="1483">
        <f>(TableC2!L22+TableC2!W22)/(TableC2!$D$91+TableC2!$O$91)</f>
        <v>1.6237696872742832E-4</v>
      </c>
      <c r="F25" s="119">
        <f>TableC3!C22/TableC3!$C$91</f>
        <v>2.2230156226074102E-5</v>
      </c>
      <c r="G25" s="1482">
        <f>TableC3!D22/TableC3!$C$91</f>
        <v>2.1116591630353685E-5</v>
      </c>
      <c r="H25" s="1484">
        <f>TableC3!K22/TableC3!$C$91</f>
        <v>1.1135645957204155E-6</v>
      </c>
      <c r="I25" s="9"/>
      <c r="J25" s="9"/>
      <c r="K25" s="9"/>
    </row>
    <row r="26" spans="1:11" x14ac:dyDescent="0.2">
      <c r="A26" s="954"/>
      <c r="B26" s="1149" t="s">
        <v>43</v>
      </c>
      <c r="C26" s="119"/>
      <c r="D26" s="1482"/>
      <c r="E26" s="1483"/>
      <c r="F26" s="119"/>
      <c r="G26" s="1482"/>
      <c r="H26" s="1484"/>
      <c r="I26" s="9"/>
      <c r="J26" s="9"/>
      <c r="K26" s="9"/>
    </row>
    <row r="27" spans="1:11" x14ac:dyDescent="0.2">
      <c r="A27" s="954"/>
      <c r="B27" s="1149" t="s">
        <v>44</v>
      </c>
      <c r="C27" s="119">
        <f>(TableC2!D24+TableC2!O24)/(TableC2!$D$91+TableC2!$O$91)</f>
        <v>1.1041373656270896E-3</v>
      </c>
      <c r="D27" s="1482">
        <f>(TableC2!E24+TableC2!P24)/(TableC2!$D$91+TableC2!$O$91)</f>
        <v>4.5064974340900858E-4</v>
      </c>
      <c r="E27" s="1483">
        <f>(TableC2!L24+TableC2!W24)/(TableC2!$D$91+TableC2!$O$91)</f>
        <v>6.5348762221808122E-4</v>
      </c>
      <c r="F27" s="119">
        <f>TableC3!C24/TableC3!$C$91</f>
        <v>8.6645707578461952E-4</v>
      </c>
      <c r="G27" s="1482">
        <f>TableC3!D24/TableC3!$C$91</f>
        <v>1.0725485471853397E-4</v>
      </c>
      <c r="H27" s="1484">
        <f>TableC3!K24/TableC3!$C$91</f>
        <v>7.5920222106608552E-4</v>
      </c>
      <c r="I27" s="9"/>
      <c r="J27" s="9"/>
      <c r="K27" s="9"/>
    </row>
    <row r="28" spans="1:11" x14ac:dyDescent="0.2">
      <c r="A28" s="954"/>
      <c r="B28" s="1149" t="s">
        <v>45</v>
      </c>
      <c r="C28" s="119">
        <f>(TableC2!D25+TableC2!O25)/(TableC2!$D$91+TableC2!$O$91)</f>
        <v>3.682708195005676E-2</v>
      </c>
      <c r="D28" s="1482">
        <f>(TableC2!E25+TableC2!P25)/(TableC2!$D$91+TableC2!$O$91)</f>
        <v>3.1556258652291218E-2</v>
      </c>
      <c r="E28" s="1483">
        <f>(TableC2!L25+TableC2!W25)/(TableC2!$D$91+TableC2!$O$91)</f>
        <v>5.2708232977655379E-3</v>
      </c>
      <c r="F28" s="119">
        <f>TableC3!C25/TableC3!$C$91</f>
        <v>6.0726364144830826E-3</v>
      </c>
      <c r="G28" s="1482">
        <f>TableC3!D25/TableC3!$C$91</f>
        <v>4.0889015586713954E-3</v>
      </c>
      <c r="H28" s="1484">
        <f>TableC3!K25/TableC3!$C$91</f>
        <v>1.9837348558116867E-3</v>
      </c>
      <c r="I28" s="9"/>
      <c r="J28" s="9"/>
      <c r="K28" s="9"/>
    </row>
    <row r="29" spans="1:11" x14ac:dyDescent="0.2">
      <c r="A29" s="954"/>
      <c r="B29" s="1149" t="s">
        <v>46</v>
      </c>
      <c r="C29" s="119">
        <f>(TableC2!D26+TableC2!O26)/(TableC2!$D$91+TableC2!$O$91)</f>
        <v>1.3876571305089987E-2</v>
      </c>
      <c r="D29" s="1482">
        <f>(TableC2!E26+TableC2!P26)/(TableC2!$D$91+TableC2!$O$91)</f>
        <v>7.3709554940593605E-3</v>
      </c>
      <c r="E29" s="1483">
        <f>(TableC2!L26+TableC2!W26)/(TableC2!$D$91+TableC2!$O$91)</f>
        <v>6.5056158110306265E-3</v>
      </c>
      <c r="F29" s="119">
        <f>TableC3!C26/TableC3!$C$91</f>
        <v>3.1301650078711656E-2</v>
      </c>
      <c r="G29" s="1482">
        <f>TableC3!D26/TableC3!$C$91</f>
        <v>1.377043049053416E-2</v>
      </c>
      <c r="H29" s="1484">
        <f>TableC3!K26/TableC3!$C$91</f>
        <v>1.7531219588177497E-2</v>
      </c>
      <c r="I29" s="9"/>
      <c r="J29" s="9"/>
      <c r="K29" s="9"/>
    </row>
    <row r="30" spans="1:11" x14ac:dyDescent="0.2">
      <c r="A30" s="954" t="s">
        <v>308</v>
      </c>
      <c r="B30" s="1149" t="s">
        <v>47</v>
      </c>
      <c r="C30" s="119">
        <f>(TableC2!D27+TableC2!O27)/(TableC2!$D$91+TableC2!$O$91)</f>
        <v>7.8425511361631256E-3</v>
      </c>
      <c r="D30" s="1482">
        <f>(TableC2!E27+TableC2!P27)/(TableC2!$D$91+TableC2!$O$91)</f>
        <v>1.877390591860687E-3</v>
      </c>
      <c r="E30" s="1483">
        <f>(TableC2!L27+TableC2!W27)/(TableC2!$D$91+TableC2!$O$91)</f>
        <v>5.9651605443024379E-3</v>
      </c>
      <c r="F30" s="119">
        <f>TableC3!C27/TableC3!$C$91</f>
        <v>2.5393428097699022E-3</v>
      </c>
      <c r="G30" s="1482">
        <f>TableC3!D27/TableC3!$C$91</f>
        <v>1.2649280154906743E-3</v>
      </c>
      <c r="H30" s="1484">
        <f>TableC3!K27/TableC3!$C$91</f>
        <v>1.2744147942792281E-3</v>
      </c>
      <c r="I30" s="9"/>
      <c r="J30" s="9"/>
      <c r="K30" s="9"/>
    </row>
    <row r="31" spans="1:11" x14ac:dyDescent="0.2">
      <c r="A31" s="954"/>
      <c r="B31" s="1148" t="s">
        <v>48</v>
      </c>
      <c r="C31" s="119">
        <f>(TableC2!D28+TableC2!O28)/(TableC2!$D$91+TableC2!$O$91)</f>
        <v>3.2602023798818466E-4</v>
      </c>
      <c r="D31" s="1482">
        <f>(TableC2!E28+TableC2!P28)/(TableC2!$D$91+TableC2!$O$91)</f>
        <v>2.2825175041912686E-4</v>
      </c>
      <c r="E31" s="1483">
        <f>(TableC2!L28+TableC2!W28)/(TableC2!$D$91+TableC2!$O$91)</f>
        <v>9.7768487569057844E-5</v>
      </c>
      <c r="F31" s="119">
        <f>TableC3!C28/TableC3!$C$91</f>
        <v>-2.1049007270863145E-6</v>
      </c>
      <c r="G31" s="1482">
        <f>TableC3!D28/TableC3!$C$91</f>
        <v>-2.2427443755588904E-6</v>
      </c>
      <c r="H31" s="1484">
        <f>TableC3!K28/TableC3!$C$91</f>
        <v>1.3784364847257572E-7</v>
      </c>
      <c r="I31" s="9"/>
      <c r="J31" s="9"/>
      <c r="K31" s="9"/>
    </row>
    <row r="32" spans="1:11" x14ac:dyDescent="0.2">
      <c r="A32" s="954"/>
      <c r="B32" s="1148" t="s">
        <v>49</v>
      </c>
      <c r="C32" s="119"/>
      <c r="D32" s="1482"/>
      <c r="E32" s="1483"/>
      <c r="F32" s="119"/>
      <c r="G32" s="1482"/>
      <c r="H32" s="1484"/>
      <c r="I32" s="9"/>
      <c r="J32" s="9"/>
      <c r="K32" s="9"/>
    </row>
    <row r="33" spans="1:11" x14ac:dyDescent="0.2">
      <c r="A33" s="954"/>
      <c r="B33" s="1148" t="s">
        <v>50</v>
      </c>
      <c r="C33" s="119">
        <f>(TableC2!D30+TableC2!O30)/(TableC2!$D$91+TableC2!$O$91)</f>
        <v>2.1243640995602324E-2</v>
      </c>
      <c r="D33" s="1482">
        <f>(TableC2!E30+TableC2!P30)/(TableC2!$D$91+TableC2!$O$91)</f>
        <v>6.5493995468567708E-3</v>
      </c>
      <c r="E33" s="1483">
        <f>(TableC2!L30+TableC2!W30)/(TableC2!$D$91+TableC2!$O$91)</f>
        <v>1.4694241448745555E-2</v>
      </c>
      <c r="F33" s="119">
        <f>TableC3!C30/TableC3!$C$91</f>
        <v>5.8976661446118392E-3</v>
      </c>
      <c r="G33" s="1482">
        <f>TableC3!D30/TableC3!$C$91</f>
        <v>4.8772930427810907E-3</v>
      </c>
      <c r="H33" s="1484">
        <f>TableC3!K30/TableC3!$C$91</f>
        <v>1.0203731018307491E-3</v>
      </c>
      <c r="I33" s="9"/>
      <c r="J33" s="9"/>
      <c r="K33" s="9"/>
    </row>
    <row r="34" spans="1:11" x14ac:dyDescent="0.2">
      <c r="A34" s="954"/>
      <c r="B34" s="1148" t="s">
        <v>51</v>
      </c>
      <c r="C34" s="119"/>
      <c r="D34" s="1482"/>
      <c r="E34" s="1483"/>
      <c r="F34" s="119"/>
      <c r="G34" s="1482"/>
      <c r="H34" s="1484"/>
      <c r="I34" s="9"/>
      <c r="J34" s="9"/>
      <c r="K34" s="9"/>
    </row>
    <row r="35" spans="1:11" x14ac:dyDescent="0.2">
      <c r="A35" s="954"/>
      <c r="B35" s="1148" t="s">
        <v>52</v>
      </c>
      <c r="C35" s="119">
        <f>(TableC2!D32+TableC2!O32)/(TableC2!$D$91+TableC2!$O$91)</f>
        <v>2.4712704271089023E-3</v>
      </c>
      <c r="D35" s="1482">
        <f>(TableC2!E32+TableC2!P32)/(TableC2!$D$91+TableC2!$O$91)</f>
        <v>8.1230099055695185E-4</v>
      </c>
      <c r="E35" s="1483">
        <f>(TableC2!L32+TableC2!W32)/(TableC2!$D$91+TableC2!$O$91)</f>
        <v>1.6589694365519499E-3</v>
      </c>
      <c r="F35" s="119">
        <f>TableC3!C32/TableC3!$C$91</f>
        <v>1.077429398093936E-3</v>
      </c>
      <c r="G35" s="1482">
        <f>TableC3!D32/TableC3!$C$91</f>
        <v>-1.7600926495356614E-4</v>
      </c>
      <c r="H35" s="1484">
        <f>TableC3!K32/TableC3!$C$91</f>
        <v>1.2534386630475021E-3</v>
      </c>
      <c r="I35" s="9"/>
      <c r="J35" s="9"/>
      <c r="K35" s="9"/>
    </row>
    <row r="36" spans="1:11" x14ac:dyDescent="0.2">
      <c r="A36" s="954"/>
      <c r="B36" s="1148" t="s">
        <v>53</v>
      </c>
      <c r="C36" s="119">
        <f>(TableC2!D33+TableC2!O33)/(TableC2!$D$91+TableC2!$O$91)</f>
        <v>8.4606477579900353E-3</v>
      </c>
      <c r="D36" s="1482">
        <f>(TableC2!E33+TableC2!P33)/(TableC2!$D$91+TableC2!$O$91)</f>
        <v>4.7751731912853692E-3</v>
      </c>
      <c r="E36" s="1483">
        <f>(TableC2!L33+TableC2!W33)/(TableC2!$D$91+TableC2!$O$91)</f>
        <v>3.6854745667046647E-3</v>
      </c>
      <c r="F36" s="119">
        <f>TableC3!C33/TableC3!$C$91</f>
        <v>8.8116191446949432E-3</v>
      </c>
      <c r="G36" s="1482">
        <f>TableC3!D33/TableC3!$C$91</f>
        <v>6.2282428164049239E-3</v>
      </c>
      <c r="H36" s="1484">
        <f>TableC3!K33/TableC3!$C$91</f>
        <v>2.5833763282900189E-3</v>
      </c>
      <c r="I36" s="9"/>
      <c r="J36" s="9"/>
      <c r="K36" s="9"/>
    </row>
    <row r="37" spans="1:11" x14ac:dyDescent="0.2">
      <c r="A37" s="954"/>
      <c r="B37" s="1148" t="s">
        <v>54</v>
      </c>
      <c r="C37" s="119">
        <f>(TableC2!D34+TableC2!O34)/(TableC2!$D$91+TableC2!$O$91)</f>
        <v>5.9952902423293514E-3</v>
      </c>
      <c r="D37" s="1482">
        <f>(TableC2!E34+TableC2!P34)/(TableC2!$D$91+TableC2!$O$91)</f>
        <v>4.1537261335864752E-3</v>
      </c>
      <c r="E37" s="1483">
        <f>(TableC2!L34+TableC2!W34)/(TableC2!$D$91+TableC2!$O$91)</f>
        <v>1.8415641087428753E-3</v>
      </c>
      <c r="F37" s="119">
        <f>TableC3!C34/TableC3!$C$91</f>
        <v>-4.0991621296697991E-3</v>
      </c>
      <c r="G37" s="1482">
        <f>TableC3!D34/TableC3!$C$91</f>
        <v>-4.1021427542822925E-3</v>
      </c>
      <c r="H37" s="1484">
        <f>TableC3!K34/TableC3!$C$91</f>
        <v>2.9806246124936239E-6</v>
      </c>
      <c r="I37" s="9"/>
      <c r="J37" s="9"/>
      <c r="K37" s="9"/>
    </row>
    <row r="38" spans="1:11" x14ac:dyDescent="0.2">
      <c r="A38" s="954"/>
      <c r="B38" s="1148" t="s">
        <v>55</v>
      </c>
      <c r="C38" s="119">
        <f>(TableC2!D35+TableC2!O35)/(TableC2!$D$91+TableC2!$O$91)</f>
        <v>4.2795563651134329E-3</v>
      </c>
      <c r="D38" s="1482">
        <f>(TableC2!E35+TableC2!P35)/(TableC2!$D$91+TableC2!$O$91)</f>
        <v>3.8232602558087698E-3</v>
      </c>
      <c r="E38" s="1483">
        <f>(TableC2!L35+TableC2!W35)/(TableC2!$D$91+TableC2!$O$91)</f>
        <v>4.5629610930466268E-4</v>
      </c>
      <c r="F38" s="119">
        <f>TableC3!C35/TableC3!$C$91</f>
        <v>4.5096719166581585E-4</v>
      </c>
      <c r="G38" s="1482">
        <f>TableC3!D35/TableC3!$C$91</f>
        <v>5.1514052295589449E-6</v>
      </c>
      <c r="H38" s="1484">
        <f>TableC3!K35/TableC3!$C$91</f>
        <v>4.458157864362569E-4</v>
      </c>
      <c r="I38" s="9"/>
      <c r="J38" s="9"/>
      <c r="K38" s="9"/>
    </row>
    <row r="39" spans="1:11" x14ac:dyDescent="0.2">
      <c r="A39" s="954" t="s">
        <v>336</v>
      </c>
      <c r="B39" s="1148" t="s">
        <v>56</v>
      </c>
      <c r="C39" s="119">
        <f>(TableC2!D36+TableC2!O36)/(TableC2!$D$91+TableC2!$O$91)</f>
        <v>1.0330141075741322E-3</v>
      </c>
      <c r="D39" s="1482">
        <f>(TableC2!E36+TableC2!P36)/(TableC2!$D$91+TableC2!$O$91)</f>
        <v>8.6841688287720418E-4</v>
      </c>
      <c r="E39" s="1483">
        <f>(TableC2!L36+TableC2!W36)/(TableC2!$D$91+TableC2!$O$91)</f>
        <v>1.6459722469692808E-4</v>
      </c>
      <c r="F39" s="119">
        <f>TableC3!C36/TableC3!$C$91</f>
        <v>1.4587367164912179E-4</v>
      </c>
      <c r="G39" s="1482">
        <f>TableC3!D36/TableC3!$C$91</f>
        <v>1.4012277340320144E-4</v>
      </c>
      <c r="H39" s="1484">
        <f>TableC3!K36/TableC3!$C$91</f>
        <v>5.7508982459203629E-6</v>
      </c>
      <c r="I39" s="9"/>
      <c r="J39" s="9"/>
      <c r="K39" s="9"/>
    </row>
    <row r="40" spans="1:11" x14ac:dyDescent="0.2">
      <c r="A40" s="954"/>
      <c r="B40" s="1148" t="s">
        <v>57</v>
      </c>
      <c r="C40" s="119">
        <f>(TableC2!D37+TableC2!O37)/(TableC2!$D$91+TableC2!$O$91)</f>
        <v>3.654712624260153E-4</v>
      </c>
      <c r="D40" s="1482">
        <f>(TableC2!E37+TableC2!P37)/(TableC2!$D$91+TableC2!$O$91)</f>
        <v>1.8671176507977259E-4</v>
      </c>
      <c r="E40" s="1483">
        <f>(TableC2!L37+TableC2!W37)/(TableC2!$D$91+TableC2!$O$91)</f>
        <v>1.7875949734624271E-4</v>
      </c>
      <c r="F40" s="119">
        <f>TableC3!C37/TableC3!$C$91</f>
        <v>-1.1446836980557663E-5</v>
      </c>
      <c r="G40" s="1482">
        <f>TableC3!D37/TableC3!$C$91</f>
        <v>-1.2300149141209749E-5</v>
      </c>
      <c r="H40" s="1484">
        <f>TableC3!K37/TableC3!$C$91</f>
        <v>8.5331216065208515E-7</v>
      </c>
      <c r="I40" s="9"/>
      <c r="J40" s="9"/>
      <c r="K40" s="9"/>
    </row>
    <row r="41" spans="1:11" x14ac:dyDescent="0.2">
      <c r="A41" s="954"/>
      <c r="B41" s="1148" t="s">
        <v>58</v>
      </c>
      <c r="C41" s="119">
        <f>(TableC2!D38+TableC2!O38)/(TableC2!$D$91+TableC2!$O$91)</f>
        <v>2.3297591975226153E-2</v>
      </c>
      <c r="D41" s="1482">
        <f>(TableC2!E38+TableC2!P38)/(TableC2!$D$91+TableC2!$O$91)</f>
        <v>1.8340982873649415E-2</v>
      </c>
      <c r="E41" s="1483">
        <f>(TableC2!L38+TableC2!W38)/(TableC2!$D$91+TableC2!$O$91)</f>
        <v>4.9566091015767338E-3</v>
      </c>
      <c r="F41" s="119">
        <f>TableC3!C38/TableC3!$C$91</f>
        <v>5.0284979279168118E-3</v>
      </c>
      <c r="G41" s="1482">
        <f>TableC3!D38/TableC3!$C$91</f>
        <v>1.7890199695092034E-3</v>
      </c>
      <c r="H41" s="1484">
        <f>TableC3!K38/TableC3!$C$91</f>
        <v>3.2394779584076078E-3</v>
      </c>
      <c r="I41" s="9"/>
      <c r="J41" s="9"/>
      <c r="K41" s="9"/>
    </row>
    <row r="42" spans="1:11" s="25" customFormat="1" x14ac:dyDescent="0.2">
      <c r="A42" s="1109"/>
      <c r="B42" s="1074" t="s">
        <v>59</v>
      </c>
      <c r="C42" s="119">
        <f>(TableC2!D39+TableC2!O39)/(TableC2!$D$91+TableC2!$O$91)</f>
        <v>1.3855022996481142E-2</v>
      </c>
      <c r="D42" s="1482">
        <f>(TableC2!E39+TableC2!P39)/(TableC2!$D$91+TableC2!$O$91)</f>
        <v>1.0822004319987177E-2</v>
      </c>
      <c r="E42" s="1483">
        <f>(TableC2!L39+TableC2!W39)/(TableC2!$D$91+TableC2!$O$91)</f>
        <v>3.0330186764939652E-3</v>
      </c>
      <c r="F42" s="119">
        <f>TableC3!C39/TableC3!$C$91</f>
        <v>1.5382207518861577E-2</v>
      </c>
      <c r="G42" s="1482">
        <f>TableC3!D39/TableC3!$C$91</f>
        <v>1.0928225256139026E-2</v>
      </c>
      <c r="H42" s="1484">
        <f>TableC3!K39/TableC3!$C$91</f>
        <v>4.4539822627225499E-3</v>
      </c>
      <c r="I42" s="9"/>
      <c r="J42" s="9"/>
      <c r="K42" s="9"/>
    </row>
    <row r="43" spans="1:11" x14ac:dyDescent="0.2">
      <c r="A43" s="954"/>
      <c r="B43" s="1148" t="s">
        <v>60</v>
      </c>
      <c r="C43" s="119"/>
      <c r="D43" s="1482"/>
      <c r="E43" s="1483"/>
      <c r="F43" s="119"/>
      <c r="G43" s="1482"/>
      <c r="H43" s="1484"/>
      <c r="I43" s="9"/>
      <c r="J43" s="9"/>
      <c r="K43" s="9"/>
    </row>
    <row r="44" spans="1:11" x14ac:dyDescent="0.2">
      <c r="A44" s="954"/>
      <c r="B44" s="1148" t="s">
        <v>61</v>
      </c>
      <c r="C44" s="119">
        <f>(TableC2!D41+TableC2!O41)/(TableC2!$D$91+TableC2!$O$91)</f>
        <v>8.0710502968516559E-3</v>
      </c>
      <c r="D44" s="1482">
        <f>(TableC2!E41+TableC2!P41)/(TableC2!$D$91+TableC2!$O$91)</f>
        <v>2.6221025158661578E-3</v>
      </c>
      <c r="E44" s="1483">
        <f>(TableC2!L41+TableC2!W41)/(TableC2!$D$91+TableC2!$O$91)</f>
        <v>5.4489477809854976E-3</v>
      </c>
      <c r="F44" s="119">
        <f>TableC3!C41/TableC3!$C$91</f>
        <v>7.5929868107591164E-4</v>
      </c>
      <c r="G44" s="1482">
        <f>TableC3!D41/TableC3!$C$91</f>
        <v>7.2760750836909944E-4</v>
      </c>
      <c r="H44" s="1484">
        <f>TableC3!K41/TableC3!$C$91</f>
        <v>3.1691172706812175E-5</v>
      </c>
      <c r="I44" s="9"/>
      <c r="J44" s="9"/>
      <c r="K44" s="9"/>
    </row>
    <row r="45" spans="1:11" x14ac:dyDescent="0.2">
      <c r="A45" s="954"/>
      <c r="B45" s="1148" t="s">
        <v>62</v>
      </c>
      <c r="C45" s="119">
        <f>(TableC2!D42+TableC2!O42)/(TableC2!$D$91+TableC2!$O$91)</f>
        <v>9.9764361162460416E-2</v>
      </c>
      <c r="D45" s="1482">
        <f>(TableC2!E42+TableC2!P42)/(TableC2!$D$91+TableC2!$O$91)</f>
        <v>7.8748241297624449E-2</v>
      </c>
      <c r="E45" s="1483">
        <f>(TableC2!L42+TableC2!W42)/(TableC2!$D$91+TableC2!$O$91)</f>
        <v>2.1016119864835987E-2</v>
      </c>
      <c r="F45" s="119">
        <f>TableC3!C42/TableC3!$C$91</f>
        <v>8.8359920842053602E-2</v>
      </c>
      <c r="G45" s="1482">
        <f>TableC3!D42/TableC3!$C$91</f>
        <v>6.293229063488158E-2</v>
      </c>
      <c r="H45" s="1484">
        <f>TableC3!K42/TableC3!$C$91</f>
        <v>2.5427630207172022E-2</v>
      </c>
      <c r="I45" s="9"/>
      <c r="J45" s="9"/>
      <c r="K45" s="9"/>
    </row>
    <row r="46" spans="1:11" x14ac:dyDescent="0.2">
      <c r="A46" s="954"/>
      <c r="B46" s="1148" t="s">
        <v>63</v>
      </c>
      <c r="C46" s="119">
        <f>(TableC2!D43+TableC2!O43)/(TableC2!$D$91+TableC2!$O$91)</f>
        <v>0.23126388034635956</v>
      </c>
      <c r="D46" s="1482">
        <f>(TableC2!E43+TableC2!P43)/(TableC2!$D$91+TableC2!$O$91)</f>
        <v>6.993642139427636E-2</v>
      </c>
      <c r="E46" s="1483">
        <f>(TableC2!L43+TableC2!W43)/(TableC2!$D$91+TableC2!$O$91)</f>
        <v>0.1613274589520832</v>
      </c>
      <c r="F46" s="119">
        <f>TableC3!C43/TableC3!$C$91</f>
        <v>0.49543163353131575</v>
      </c>
      <c r="G46" s="1482">
        <f>TableC3!D43/TableC3!$C$91</f>
        <v>0.27841810953851953</v>
      </c>
      <c r="H46" s="1484">
        <f>TableC3!K43/TableC3!$C$91</f>
        <v>0.21701352399279628</v>
      </c>
      <c r="I46" s="9"/>
      <c r="J46" s="9"/>
      <c r="K46" s="9"/>
    </row>
    <row r="47" spans="1:11" ht="34" x14ac:dyDescent="0.2">
      <c r="A47" s="954"/>
      <c r="B47" s="7" t="s">
        <v>64</v>
      </c>
      <c r="C47" s="265">
        <f>(TableC2!D44+TableC2!O44)/(TableC2!$D$91+TableC2!$O$91)</f>
        <v>0.16643235025160288</v>
      </c>
      <c r="D47" s="266">
        <f>(TableC2!E44+TableC2!P44)/(TableC2!$D$91+TableC2!$O$91)</f>
        <v>3.9205325044625004E-2</v>
      </c>
      <c r="E47" s="427">
        <f>(TableC2!L44+TableC2!W44)/(TableC2!$D$91+TableC2!$O$91)</f>
        <v>0.12722702520697785</v>
      </c>
      <c r="F47" s="265">
        <f>TableC3!C44/TableC3!$C$91</f>
        <v>0.10262200574178083</v>
      </c>
      <c r="G47" s="266">
        <f>TableC3!D44/TableC3!$C$91</f>
        <v>1.0949235452186533E-2</v>
      </c>
      <c r="H47" s="684">
        <f>TableC3!K44/TableC3!$C$91</f>
        <v>9.1672770289594335E-2</v>
      </c>
      <c r="I47" s="266"/>
      <c r="J47" s="266"/>
      <c r="K47" s="266"/>
    </row>
    <row r="48" spans="1:11" x14ac:dyDescent="0.2">
      <c r="A48" s="954"/>
      <c r="B48" s="1149" t="s">
        <v>65</v>
      </c>
      <c r="C48" s="119">
        <f>(TableC2!D45+TableC2!O45)/(TableC2!$D$91+TableC2!$O$91)</f>
        <v>2.3054256625011073E-2</v>
      </c>
      <c r="D48" s="1482">
        <f>(TableC2!E45+TableC2!P45)/(TableC2!$D$91+TableC2!$O$91)</f>
        <v>8.5446161994909633E-3</v>
      </c>
      <c r="E48" s="1483">
        <f>(TableC2!L45+TableC2!W45)/(TableC2!$D$91+TableC2!$O$91)</f>
        <v>1.4509640425520109E-2</v>
      </c>
      <c r="F48" s="119">
        <f>TableC3!C45/TableC3!$C$91</f>
        <v>1.0991333484919354E-2</v>
      </c>
      <c r="G48" s="1482">
        <f>TableC3!D45/TableC3!$C$91</f>
        <v>1.0509729693381273E-2</v>
      </c>
      <c r="H48" s="1484">
        <f>TableC3!K45/TableC3!$C$91</f>
        <v>4.8160379153807954E-4</v>
      </c>
      <c r="I48" s="9"/>
      <c r="J48" s="9"/>
      <c r="K48" s="9"/>
    </row>
    <row r="49" spans="1:11" x14ac:dyDescent="0.2">
      <c r="A49" s="329" t="s">
        <v>337</v>
      </c>
      <c r="B49" s="1148" t="s">
        <v>66</v>
      </c>
      <c r="C49" s="119">
        <f>(TableC2!D46+TableC2!O46)/(TableC2!$D$91+TableC2!$O$91)</f>
        <v>9.8182603751241798E-2</v>
      </c>
      <c r="D49" s="1482">
        <f>(TableC2!E46+TableC2!P46)/(TableC2!$D$91+TableC2!$O$91)</f>
        <v>9.9433146494782784E-3</v>
      </c>
      <c r="E49" s="1483">
        <f>(TableC2!L46+TableC2!W46)/(TableC2!$D$91+TableC2!$O$91)</f>
        <v>8.8239289101763527E-2</v>
      </c>
      <c r="F49" s="119">
        <f>TableC3!C46/TableC3!$C$91</f>
        <v>7.3836598592048192E-2</v>
      </c>
      <c r="G49" s="1482">
        <f>TableC3!D46/TableC3!$C$91</f>
        <v>1.0430444107014237E-5</v>
      </c>
      <c r="H49" s="1484">
        <f>TableC3!K46/TableC3!$C$91</f>
        <v>7.3826168147941185E-2</v>
      </c>
      <c r="I49" s="9"/>
      <c r="J49" s="9"/>
      <c r="K49" s="9"/>
    </row>
    <row r="50" spans="1:11" x14ac:dyDescent="0.2">
      <c r="A50" s="954"/>
      <c r="B50" s="1148" t="s">
        <v>67</v>
      </c>
      <c r="C50" s="119">
        <f>(TableC2!D47+TableC2!O47)/(TableC2!$D$91+TableC2!$O$91)</f>
        <v>2.2768934375925862E-3</v>
      </c>
      <c r="D50" s="1482">
        <f>(TableC2!E47+TableC2!P47)/(TableC2!$D$91+TableC2!$O$91)</f>
        <v>9.293059680468256E-4</v>
      </c>
      <c r="E50" s="1483">
        <f>(TableC2!L47+TableC2!W47)/(TableC2!$D$91+TableC2!$O$91)</f>
        <v>1.3475874695457607E-3</v>
      </c>
      <c r="F50" s="119">
        <f>TableC3!C47/TableC3!$C$91</f>
        <v>1.6204842415862718E-3</v>
      </c>
      <c r="G50" s="1482">
        <f>TableC3!D47/TableC3!$C$91</f>
        <v>-4.78172516929098E-6</v>
      </c>
      <c r="H50" s="1484">
        <f>TableC3!K47/TableC3!$C$91</f>
        <v>1.6252659667555626E-3</v>
      </c>
      <c r="I50" s="9"/>
      <c r="J50" s="9"/>
      <c r="K50" s="9"/>
    </row>
    <row r="51" spans="1:11" x14ac:dyDescent="0.2">
      <c r="A51" s="954"/>
      <c r="B51" s="1148" t="s">
        <v>68</v>
      </c>
      <c r="C51" s="119">
        <f>(TableC2!D48+TableC2!O48)/(TableC2!$D$91+TableC2!$O$91)</f>
        <v>1.7154676584601677E-3</v>
      </c>
      <c r="D51" s="1482">
        <f>(TableC2!E48+TableC2!P48)/(TableC2!$D$91+TableC2!$O$91)</f>
        <v>7.0016203072021093E-4</v>
      </c>
      <c r="E51" s="1483">
        <f>(TableC2!L48+TableC2!W48)/(TableC2!$D$91+TableC2!$O$91)</f>
        <v>1.0153056277399568E-3</v>
      </c>
      <c r="F51" s="119">
        <f>TableC3!C48/TableC3!$C$91</f>
        <v>1.9337494602380704E-4</v>
      </c>
      <c r="G51" s="1482">
        <f>TableC3!D48/TableC3!$C$91</f>
        <v>-2.3947692119236731E-6</v>
      </c>
      <c r="H51" s="1484">
        <f>TableC3!K48/TableC3!$C$91</f>
        <v>1.9576971523573071E-4</v>
      </c>
      <c r="I51" s="9"/>
      <c r="J51" s="9"/>
      <c r="K51" s="9"/>
    </row>
    <row r="52" spans="1:11" x14ac:dyDescent="0.2">
      <c r="A52" s="954"/>
      <c r="B52" s="1148" t="s">
        <v>69</v>
      </c>
      <c r="C52" s="119">
        <f>(TableC2!D49+TableC2!O49)/(TableC2!$D$91+TableC2!$O$91)</f>
        <v>1.5372244726840623E-2</v>
      </c>
      <c r="D52" s="1482">
        <f>(TableC2!E49+TableC2!P49)/(TableC2!$D$91+TableC2!$O$91)</f>
        <v>4.4807843565392684E-3</v>
      </c>
      <c r="E52" s="1483">
        <f>(TableC2!L49+TableC2!W49)/(TableC2!$D$91+TableC2!$O$91)</f>
        <v>1.0891460370301352E-2</v>
      </c>
      <c r="F52" s="119">
        <f>TableC3!C49/TableC3!$C$91</f>
        <v>7.5865478311569054E-3</v>
      </c>
      <c r="G52" s="1482">
        <f>TableC3!D49/TableC3!$C$91</f>
        <v>4.6757525458261219E-5</v>
      </c>
      <c r="H52" s="1484">
        <f>TableC3!K49/TableC3!$C$91</f>
        <v>7.5397903056986446E-3</v>
      </c>
      <c r="I52" s="9"/>
      <c r="J52" s="9"/>
      <c r="K52" s="9"/>
    </row>
    <row r="53" spans="1:11" x14ac:dyDescent="0.2">
      <c r="A53" s="329" t="s">
        <v>338</v>
      </c>
      <c r="B53" s="1148" t="s">
        <v>70</v>
      </c>
      <c r="C53" s="119">
        <f>(TableC2!D50+TableC2!O50)/(TableC2!$D$91+TableC2!$O$91)</f>
        <v>1.9211421726663545E-2</v>
      </c>
      <c r="D53" s="1482">
        <f>(TableC2!E50+TableC2!P50)/(TableC2!$D$91+TableC2!$O$91)</f>
        <v>1.1790460593000592E-2</v>
      </c>
      <c r="E53" s="1483">
        <f>(TableC2!L50+TableC2!W50)/(TableC2!$D$91+TableC2!$O$91)</f>
        <v>7.4209611336629559E-3</v>
      </c>
      <c r="F53" s="119">
        <f>TableC3!C50/TableC3!$C$91</f>
        <v>1.224641513658766E-3</v>
      </c>
      <c r="G53" s="1482">
        <f>TableC3!D50/TableC3!$C$91</f>
        <v>1.1645414876082E-3</v>
      </c>
      <c r="H53" s="1484">
        <f>TableC3!K50/TableC3!$C$91</f>
        <v>6.0100026050566073E-5</v>
      </c>
      <c r="I53" s="9"/>
      <c r="J53" s="9"/>
      <c r="K53" s="9"/>
    </row>
    <row r="54" spans="1:11" x14ac:dyDescent="0.2">
      <c r="A54" s="954"/>
      <c r="B54" s="1148" t="s">
        <v>71</v>
      </c>
      <c r="C54" s="119">
        <f>(TableC2!D51+TableC2!O51)/(TableC2!$D$91+TableC2!$O$91)</f>
        <v>6.6194623257930692E-3</v>
      </c>
      <c r="D54" s="1482">
        <f>(TableC2!E51+TableC2!P51)/(TableC2!$D$91+TableC2!$O$91)</f>
        <v>2.8166812473488672E-3</v>
      </c>
      <c r="E54" s="1483">
        <f>(TableC2!L51+TableC2!W51)/(TableC2!$D$91+TableC2!$O$91)</f>
        <v>3.802781078444202E-3</v>
      </c>
      <c r="F54" s="119">
        <f>TableC3!C51/TableC3!$C$91</f>
        <v>7.1690251323875643E-3</v>
      </c>
      <c r="G54" s="1482">
        <f>TableC3!D51/TableC3!$C$91</f>
        <v>-7.7504720398700237E-4</v>
      </c>
      <c r="H54" s="1484">
        <f>TableC3!K51/TableC3!$C$91</f>
        <v>7.944072336374567E-3</v>
      </c>
      <c r="I54" s="9"/>
      <c r="J54" s="9"/>
      <c r="K54" s="9"/>
    </row>
    <row r="55" spans="1:11" ht="40" hidden="1" customHeight="1" x14ac:dyDescent="0.2">
      <c r="A55" s="954"/>
      <c r="B55" s="7" t="s">
        <v>72</v>
      </c>
      <c r="C55" s="157"/>
      <c r="D55" s="246"/>
      <c r="E55" s="427"/>
      <c r="F55" s="157"/>
      <c r="G55" s="246"/>
      <c r="H55" s="684"/>
      <c r="I55" s="266"/>
      <c r="J55" s="266"/>
      <c r="K55" s="266"/>
    </row>
    <row r="56" spans="1:11" ht="14.25" hidden="1" customHeight="1" x14ac:dyDescent="0.2">
      <c r="A56" s="954"/>
      <c r="B56" s="1148" t="s">
        <v>73</v>
      </c>
      <c r="C56" s="1485"/>
      <c r="D56" s="246"/>
      <c r="E56" s="1486"/>
      <c r="F56" s="1485"/>
      <c r="G56" s="246"/>
      <c r="H56" s="1158"/>
      <c r="I56" s="1178"/>
      <c r="J56" s="1178"/>
      <c r="K56" s="1178"/>
    </row>
    <row r="57" spans="1:11" ht="14.25" hidden="1" customHeight="1" x14ac:dyDescent="0.2">
      <c r="A57" s="954"/>
      <c r="B57" s="1148" t="s">
        <v>74</v>
      </c>
      <c r="C57" s="1485"/>
      <c r="D57" s="246"/>
      <c r="E57" s="1486"/>
      <c r="F57" s="1485"/>
      <c r="G57" s="246"/>
      <c r="H57" s="1158"/>
      <c r="I57" s="1178"/>
      <c r="J57" s="1178"/>
      <c r="K57" s="1178"/>
    </row>
    <row r="58" spans="1:11" ht="14.25" hidden="1" customHeight="1" x14ac:dyDescent="0.2">
      <c r="A58" s="954"/>
      <c r="B58" s="1148" t="str">
        <f>+TableA1!A56</f>
        <v>Antigua and Barbuda</v>
      </c>
      <c r="C58" s="1485"/>
      <c r="D58" s="246"/>
      <c r="E58" s="1486"/>
      <c r="F58" s="1485"/>
      <c r="G58" s="246"/>
      <c r="H58" s="1158"/>
      <c r="I58" s="1178"/>
      <c r="J58" s="1178"/>
      <c r="K58" s="1178"/>
    </row>
    <row r="59" spans="1:11" ht="14.25" hidden="1" customHeight="1" x14ac:dyDescent="0.2">
      <c r="A59" s="954"/>
      <c r="B59" s="1148" t="s">
        <v>76</v>
      </c>
      <c r="C59" s="1485"/>
      <c r="D59" s="246"/>
      <c r="E59" s="1486"/>
      <c r="F59" s="1485"/>
      <c r="G59" s="246"/>
      <c r="H59" s="1158"/>
      <c r="I59" s="1178"/>
      <c r="J59" s="1178"/>
      <c r="K59" s="1178"/>
    </row>
    <row r="60" spans="1:11" ht="14.25" hidden="1" customHeight="1" x14ac:dyDescent="0.2">
      <c r="A60" s="329" t="s">
        <v>77</v>
      </c>
      <c r="B60" s="1148" t="s">
        <v>152</v>
      </c>
      <c r="C60" s="1485"/>
      <c r="D60" s="246"/>
      <c r="E60" s="1486"/>
      <c r="F60" s="1485"/>
      <c r="G60" s="246"/>
      <c r="H60" s="1158"/>
      <c r="I60" s="1178"/>
      <c r="J60" s="1178"/>
      <c r="K60" s="1178"/>
    </row>
    <row r="61" spans="1:11" ht="14.25" hidden="1" customHeight="1" x14ac:dyDescent="0.2">
      <c r="A61" s="329" t="s">
        <v>340</v>
      </c>
      <c r="B61" s="1148" t="s">
        <v>78</v>
      </c>
      <c r="C61" s="1485"/>
      <c r="D61" s="246"/>
      <c r="E61" s="1486"/>
      <c r="F61" s="1485"/>
      <c r="G61" s="246"/>
      <c r="H61" s="1158"/>
      <c r="I61" s="1178"/>
      <c r="J61" s="1178"/>
      <c r="K61" s="1178"/>
    </row>
    <row r="62" spans="1:11" ht="14.25" hidden="1" customHeight="1" x14ac:dyDescent="0.2">
      <c r="A62" s="954"/>
      <c r="B62" s="1148" t="str">
        <f>+TableA1!A60</f>
        <v>Barbados</v>
      </c>
      <c r="C62" s="1485"/>
      <c r="D62" s="246"/>
      <c r="E62" s="1486"/>
      <c r="F62" s="1485"/>
      <c r="G62" s="246"/>
      <c r="H62" s="1158"/>
      <c r="I62" s="1178"/>
      <c r="J62" s="1178"/>
      <c r="K62" s="1178"/>
    </row>
    <row r="63" spans="1:11" ht="14.25" hidden="1" customHeight="1" x14ac:dyDescent="0.2">
      <c r="A63" s="954"/>
      <c r="B63" s="1148" t="s">
        <v>80</v>
      </c>
      <c r="C63" s="1485"/>
      <c r="D63" s="246"/>
      <c r="E63" s="1486"/>
      <c r="F63" s="1485"/>
      <c r="G63" s="246"/>
      <c r="H63" s="1158"/>
      <c r="I63" s="1178"/>
      <c r="J63" s="1178"/>
      <c r="K63" s="1178"/>
    </row>
    <row r="64" spans="1:11" ht="14.25" hidden="1" customHeight="1" x14ac:dyDescent="0.2">
      <c r="A64" s="954"/>
      <c r="B64" s="1148" t="s">
        <v>81</v>
      </c>
      <c r="C64" s="1485"/>
      <c r="D64" s="246"/>
      <c r="E64" s="1486"/>
      <c r="F64" s="1485"/>
      <c r="G64" s="246"/>
      <c r="H64" s="1158"/>
      <c r="I64" s="1178"/>
      <c r="J64" s="1178"/>
      <c r="K64" s="1178"/>
    </row>
    <row r="65" spans="1:11" ht="14.25" hidden="1" customHeight="1" x14ac:dyDescent="0.2">
      <c r="A65" s="329" t="s">
        <v>645</v>
      </c>
      <c r="B65" s="1148" t="s">
        <v>82</v>
      </c>
      <c r="C65" s="1485"/>
      <c r="D65" s="246"/>
      <c r="E65" s="1486"/>
      <c r="F65" s="1485"/>
      <c r="G65" s="246"/>
      <c r="H65" s="1158"/>
      <c r="I65" s="1178"/>
      <c r="J65" s="1178"/>
      <c r="K65" s="1178"/>
    </row>
    <row r="66" spans="1:11" ht="14.25" hidden="1" customHeight="1" x14ac:dyDescent="0.2">
      <c r="A66" s="329" t="s">
        <v>372</v>
      </c>
      <c r="B66" s="1148" t="s">
        <v>153</v>
      </c>
      <c r="C66" s="1485"/>
      <c r="D66" s="246"/>
      <c r="E66" s="1486"/>
      <c r="F66" s="1485"/>
      <c r="G66" s="246"/>
      <c r="H66" s="1158"/>
      <c r="I66" s="1178"/>
      <c r="J66" s="1178"/>
      <c r="K66" s="1178"/>
    </row>
    <row r="67" spans="1:11" ht="14.25" hidden="1" customHeight="1" x14ac:dyDescent="0.2">
      <c r="A67" s="954"/>
      <c r="B67" s="113" t="s">
        <v>84</v>
      </c>
      <c r="C67" s="638"/>
      <c r="D67" s="246"/>
      <c r="E67" s="1486"/>
      <c r="F67" s="638"/>
      <c r="G67" s="246"/>
      <c r="H67" s="1158"/>
      <c r="I67" s="1178"/>
      <c r="J67" s="1178"/>
      <c r="K67" s="1178"/>
    </row>
    <row r="68" spans="1:11" ht="14.25" hidden="1" customHeight="1" x14ac:dyDescent="0.2">
      <c r="A68" s="954"/>
      <c r="B68" s="1148" t="s">
        <v>85</v>
      </c>
      <c r="C68" s="1485"/>
      <c r="D68" s="246"/>
      <c r="E68" s="1486"/>
      <c r="F68" s="1485"/>
      <c r="G68" s="246"/>
      <c r="H68" s="1158"/>
      <c r="I68" s="1178"/>
      <c r="J68" s="1178"/>
      <c r="K68" s="1178"/>
    </row>
    <row r="69" spans="1:11" ht="14.25" hidden="1" customHeight="1" x14ac:dyDescent="0.2">
      <c r="A69" s="954"/>
      <c r="B69" s="1148" t="str">
        <f>+TableA1!A67</f>
        <v>Cyprus</v>
      </c>
      <c r="C69" s="1485"/>
      <c r="D69" s="246"/>
      <c r="E69" s="1486"/>
      <c r="F69" s="1485"/>
      <c r="G69" s="246"/>
      <c r="H69" s="1158"/>
      <c r="I69" s="1178"/>
      <c r="J69" s="1178"/>
      <c r="K69" s="1178"/>
    </row>
    <row r="70" spans="1:11" ht="14.25" hidden="1" customHeight="1" x14ac:dyDescent="0.2">
      <c r="A70" s="954"/>
      <c r="B70" s="1148" t="s">
        <v>87</v>
      </c>
      <c r="C70" s="1485"/>
      <c r="D70" s="246"/>
      <c r="E70" s="1486"/>
      <c r="F70" s="1485"/>
      <c r="G70" s="246"/>
      <c r="H70" s="1158"/>
      <c r="I70" s="1178"/>
      <c r="J70" s="1178"/>
      <c r="K70" s="1178"/>
    </row>
    <row r="71" spans="1:11" ht="14.25" hidden="1" customHeight="1" x14ac:dyDescent="0.2">
      <c r="A71" s="954"/>
      <c r="B71" s="1148" t="str">
        <f>+TableA1!A69</f>
        <v>Grenada</v>
      </c>
      <c r="C71" s="1485"/>
      <c r="D71" s="246"/>
      <c r="E71" s="1486"/>
      <c r="F71" s="1485"/>
      <c r="G71" s="246"/>
      <c r="H71" s="1158"/>
      <c r="I71" s="1178"/>
      <c r="J71" s="1178"/>
      <c r="K71" s="1178"/>
    </row>
    <row r="72" spans="1:11" ht="14.25" hidden="1" customHeight="1" x14ac:dyDescent="0.2">
      <c r="A72" s="954"/>
      <c r="B72" s="1148" t="s">
        <v>89</v>
      </c>
      <c r="C72" s="1485"/>
      <c r="D72" s="246"/>
      <c r="E72" s="1486"/>
      <c r="F72" s="1485"/>
      <c r="G72" s="246"/>
      <c r="H72" s="1158"/>
      <c r="I72" s="1178"/>
      <c r="J72" s="1178"/>
      <c r="K72" s="1178"/>
    </row>
    <row r="73" spans="1:11" ht="14.25" hidden="1" customHeight="1" x14ac:dyDescent="0.2">
      <c r="A73" s="329" t="s">
        <v>90</v>
      </c>
      <c r="B73" s="1148" t="s">
        <v>154</v>
      </c>
      <c r="C73" s="1485"/>
      <c r="D73" s="246"/>
      <c r="E73" s="1486"/>
      <c r="F73" s="1485"/>
      <c r="G73" s="246"/>
      <c r="H73" s="1158"/>
      <c r="I73" s="1178"/>
      <c r="J73" s="1178"/>
      <c r="K73" s="1178"/>
    </row>
    <row r="74" spans="1:11" ht="14.25" hidden="1" customHeight="1" x14ac:dyDescent="0.2">
      <c r="A74" s="329" t="s">
        <v>341</v>
      </c>
      <c r="B74" s="1148" t="s">
        <v>91</v>
      </c>
      <c r="C74" s="1485"/>
      <c r="D74" s="246"/>
      <c r="E74" s="1486"/>
      <c r="F74" s="1485"/>
      <c r="G74" s="246"/>
      <c r="H74" s="1158"/>
      <c r="I74" s="1178"/>
      <c r="J74" s="1178"/>
      <c r="K74" s="1178"/>
    </row>
    <row r="75" spans="1:11" ht="14.25" hidden="1" customHeight="1" x14ac:dyDescent="0.2">
      <c r="A75" s="954"/>
      <c r="B75" s="1148" t="s">
        <v>92</v>
      </c>
      <c r="C75" s="1485"/>
      <c r="D75" s="246"/>
      <c r="E75" s="1486"/>
      <c r="F75" s="1485"/>
      <c r="G75" s="246"/>
      <c r="H75" s="1158"/>
      <c r="I75" s="1178"/>
      <c r="J75" s="1178"/>
      <c r="K75" s="1178"/>
    </row>
    <row r="76" spans="1:11" ht="14.25" hidden="1" customHeight="1" x14ac:dyDescent="0.2">
      <c r="A76" s="954"/>
      <c r="B76" s="1148" t="s">
        <v>93</v>
      </c>
      <c r="C76" s="1485"/>
      <c r="D76" s="246"/>
      <c r="E76" s="1486"/>
      <c r="F76" s="1485"/>
      <c r="G76" s="246"/>
      <c r="H76" s="1158"/>
      <c r="I76" s="1178"/>
      <c r="J76" s="1178"/>
      <c r="K76" s="1487"/>
    </row>
    <row r="77" spans="1:11" ht="14.25" hidden="1" customHeight="1" x14ac:dyDescent="0.2">
      <c r="A77" s="954"/>
      <c r="B77" s="1148" t="s">
        <v>94</v>
      </c>
      <c r="C77" s="1485"/>
      <c r="D77" s="246"/>
      <c r="E77" s="1486"/>
      <c r="F77" s="1485"/>
      <c r="G77" s="246"/>
      <c r="H77" s="1158"/>
      <c r="I77" s="1178"/>
      <c r="J77" s="1178"/>
      <c r="K77" s="1178"/>
    </row>
    <row r="78" spans="1:11" ht="14.25" hidden="1" customHeight="1" x14ac:dyDescent="0.2">
      <c r="A78" s="329" t="s">
        <v>342</v>
      </c>
      <c r="B78" s="1148" t="s">
        <v>95</v>
      </c>
      <c r="C78" s="1485"/>
      <c r="D78" s="246"/>
      <c r="E78" s="1486"/>
      <c r="F78" s="1485"/>
      <c r="G78" s="246"/>
      <c r="H78" s="1158"/>
      <c r="I78" s="1178"/>
      <c r="J78" s="1178"/>
      <c r="K78" s="1178"/>
    </row>
    <row r="79" spans="1:11" ht="14.25" hidden="1" customHeight="1" x14ac:dyDescent="0.2">
      <c r="A79" s="954"/>
      <c r="B79" s="1148" t="s">
        <v>96</v>
      </c>
      <c r="C79" s="1485"/>
      <c r="D79" s="246"/>
      <c r="E79" s="1486"/>
      <c r="F79" s="1485"/>
      <c r="G79" s="246"/>
      <c r="H79" s="1158"/>
      <c r="I79" s="1178"/>
      <c r="J79" s="1178"/>
      <c r="K79" s="1178"/>
    </row>
    <row r="80" spans="1:11" ht="14.25" hidden="1" customHeight="1" x14ac:dyDescent="0.2">
      <c r="A80" s="329" t="s">
        <v>373</v>
      </c>
      <c r="B80" s="1148" t="s">
        <v>97</v>
      </c>
      <c r="C80" s="1485"/>
      <c r="D80" s="246"/>
      <c r="E80" s="1486"/>
      <c r="F80" s="1485"/>
      <c r="G80" s="246"/>
      <c r="H80" s="1158"/>
      <c r="I80" s="1178"/>
      <c r="J80" s="1178"/>
      <c r="K80" s="1178"/>
    </row>
    <row r="81" spans="1:11" ht="14.25" hidden="1" customHeight="1" x14ac:dyDescent="0.2">
      <c r="A81" s="954"/>
      <c r="B81" s="1148" t="str">
        <f>+TableA1!A79</f>
        <v>Monaco</v>
      </c>
      <c r="C81" s="1485"/>
      <c r="D81" s="246"/>
      <c r="E81" s="1486"/>
      <c r="F81" s="1485"/>
      <c r="G81" s="246"/>
      <c r="H81" s="1158"/>
      <c r="I81" s="1178"/>
      <c r="J81" s="1178"/>
      <c r="K81" s="1178"/>
    </row>
    <row r="82" spans="1:11" ht="14.25" hidden="1" customHeight="1" x14ac:dyDescent="0.2">
      <c r="A82" s="954"/>
      <c r="B82" s="1148" t="s">
        <v>99</v>
      </c>
      <c r="C82" s="1485"/>
      <c r="D82" s="246"/>
      <c r="E82" s="1486"/>
      <c r="F82" s="1485"/>
      <c r="G82" s="246"/>
      <c r="H82" s="1158"/>
      <c r="I82" s="1178"/>
      <c r="J82" s="1178"/>
      <c r="K82" s="1178"/>
    </row>
    <row r="83" spans="1:11" ht="14.25" hidden="1" customHeight="1" x14ac:dyDescent="0.2">
      <c r="A83" s="954"/>
      <c r="B83" s="1148" t="s">
        <v>100</v>
      </c>
      <c r="C83" s="1485"/>
      <c r="D83" s="246"/>
      <c r="E83" s="1486"/>
      <c r="F83" s="1485"/>
      <c r="G83" s="246"/>
      <c r="H83" s="1158"/>
      <c r="I83" s="1178"/>
      <c r="J83" s="1178"/>
      <c r="K83" s="1178"/>
    </row>
    <row r="84" spans="1:11" ht="14.25" hidden="1" customHeight="1" x14ac:dyDescent="0.2">
      <c r="A84" s="954"/>
      <c r="B84" s="1148" t="str">
        <f>+TableA1!A82</f>
        <v>Seychelles</v>
      </c>
      <c r="C84" s="1485"/>
      <c r="D84" s="246"/>
      <c r="E84" s="1486"/>
      <c r="F84" s="1485"/>
      <c r="G84" s="246"/>
      <c r="H84" s="1158"/>
      <c r="I84" s="1178"/>
      <c r="J84" s="1178"/>
      <c r="K84" s="1178"/>
    </row>
    <row r="85" spans="1:11" hidden="1" x14ac:dyDescent="0.2">
      <c r="A85" s="954"/>
      <c r="B85" s="1148" t="s">
        <v>102</v>
      </c>
      <c r="C85" s="1485"/>
      <c r="D85" s="246"/>
      <c r="E85" s="1486"/>
      <c r="F85" s="1485"/>
      <c r="G85" s="246"/>
      <c r="H85" s="1158"/>
      <c r="I85" s="1178"/>
      <c r="J85" s="1178"/>
      <c r="K85" s="1178"/>
    </row>
    <row r="86" spans="1:11" hidden="1" x14ac:dyDescent="0.2">
      <c r="A86" s="954"/>
      <c r="B86" s="1148" t="str">
        <f>+TableA1!A84</f>
        <v>St. Kitts and Nevis</v>
      </c>
      <c r="C86" s="1485"/>
      <c r="D86" s="246"/>
      <c r="E86" s="1486"/>
      <c r="F86" s="1485"/>
      <c r="G86" s="246"/>
      <c r="H86" s="1158"/>
      <c r="I86" s="1178"/>
      <c r="J86" s="1178"/>
      <c r="K86" s="1178"/>
    </row>
    <row r="87" spans="1:11" hidden="1" x14ac:dyDescent="0.2">
      <c r="A87" s="954"/>
      <c r="B87" s="1148" t="str">
        <f>+TableA1!A85</f>
        <v>St. Lucia</v>
      </c>
      <c r="C87" s="1485"/>
      <c r="D87" s="246"/>
      <c r="E87" s="1486"/>
      <c r="F87" s="1485"/>
      <c r="G87" s="246"/>
      <c r="H87" s="1158"/>
      <c r="I87" s="1178"/>
      <c r="J87" s="1178"/>
      <c r="K87" s="1178"/>
    </row>
    <row r="88" spans="1:11" hidden="1" x14ac:dyDescent="0.2">
      <c r="A88" s="954"/>
      <c r="B88" s="1148" t="str">
        <f>+TableA1!A86</f>
        <v>St. Vincent and the Grenadines</v>
      </c>
      <c r="C88" s="1485"/>
      <c r="D88" s="246"/>
      <c r="E88" s="1486"/>
      <c r="F88" s="1485"/>
      <c r="G88" s="246"/>
      <c r="H88" s="1158"/>
      <c r="I88" s="1178"/>
      <c r="J88" s="1178"/>
      <c r="K88" s="1178"/>
    </row>
    <row r="89" spans="1:11" hidden="1" x14ac:dyDescent="0.2">
      <c r="A89" s="329" t="s">
        <v>374</v>
      </c>
      <c r="B89" s="1148" t="str">
        <f>+TableA1!A87</f>
        <v>Turks and Caicos</v>
      </c>
      <c r="C89" s="1485"/>
      <c r="D89" s="246"/>
      <c r="E89" s="1486"/>
      <c r="F89" s="1485"/>
      <c r="G89" s="246"/>
      <c r="H89" s="1158"/>
      <c r="I89" s="1178"/>
      <c r="J89" s="1178"/>
      <c r="K89" s="1178"/>
    </row>
    <row r="90" spans="1:11" hidden="1" x14ac:dyDescent="0.2">
      <c r="A90" s="954"/>
      <c r="B90" s="1148" t="str">
        <f>+TableA1!A88</f>
        <v>Panama</v>
      </c>
      <c r="C90" s="1485"/>
      <c r="D90" s="246"/>
      <c r="E90" s="1486"/>
      <c r="F90" s="1485"/>
      <c r="G90" s="246"/>
      <c r="H90" s="1158"/>
      <c r="I90" s="1178"/>
      <c r="J90" s="1178"/>
      <c r="K90" s="1178"/>
    </row>
    <row r="91" spans="1:11" hidden="1" x14ac:dyDescent="0.2">
      <c r="A91" s="954"/>
      <c r="B91" s="1148" t="s">
        <v>108</v>
      </c>
      <c r="C91" s="1485"/>
      <c r="D91" s="246"/>
      <c r="E91" s="1486"/>
      <c r="F91" s="1485"/>
      <c r="G91" s="246"/>
      <c r="H91" s="1158"/>
      <c r="I91" s="1178"/>
      <c r="J91" s="1178"/>
      <c r="K91" s="1178"/>
    </row>
    <row r="92" spans="1:11" ht="40" customHeight="1" x14ac:dyDescent="0.2">
      <c r="A92" s="954"/>
      <c r="B92" s="1461" t="s">
        <v>155</v>
      </c>
      <c r="C92" s="1488">
        <f>(TableC2!D89+TableC2!O89)/(TableC2!$D$91+TableC2!$O$91)</f>
        <v>0.12769362819963248</v>
      </c>
      <c r="D92" s="1489">
        <f>(TableC2!E89+TableC2!P89)/(TableC2!$D$91+TableC2!$O$91)</f>
        <v>5.2117515523064435E-2</v>
      </c>
      <c r="E92" s="1490">
        <f>(TableC2!L89+TableC2!W89)/(TableC2!$D$91+TableC2!$O$91)</f>
        <v>7.5576112676568039E-2</v>
      </c>
      <c r="F92" s="1488">
        <f>TableC3!C89/TableC3!$C$91</f>
        <v>3.2320250533842396E-2</v>
      </c>
      <c r="G92" s="1489">
        <f>TableC3!D89/TableC3!$C$91</f>
        <v>4.0246479147966899E-3</v>
      </c>
      <c r="H92" s="1491">
        <f>TableC3!K89/TableC3!$C$91</f>
        <v>2.82956026190457E-2</v>
      </c>
      <c r="I92" s="266"/>
      <c r="J92" s="266"/>
      <c r="K92" s="266"/>
    </row>
    <row r="93" spans="1:11" ht="40" hidden="1" customHeight="1" x14ac:dyDescent="0.2">
      <c r="A93" s="954"/>
      <c r="B93" s="622"/>
      <c r="C93" s="265"/>
      <c r="D93" s="266"/>
      <c r="E93" s="266"/>
      <c r="F93" s="265"/>
      <c r="G93" s="266"/>
      <c r="H93" s="684"/>
      <c r="I93" s="266"/>
      <c r="J93" s="266"/>
      <c r="K93" s="266"/>
    </row>
    <row r="94" spans="1:11" ht="40" customHeight="1" thickBot="1" x14ac:dyDescent="0.25">
      <c r="A94" s="954"/>
      <c r="B94" s="263" t="str">
        <f>+TableC3!B91</f>
        <v>Non-haven total</v>
      </c>
      <c r="C94" s="282">
        <f>(TableC2!D91+TableC2!O91)/(TableC2!$D$91+TableC2!$O$91)</f>
        <v>1</v>
      </c>
      <c r="D94" s="289">
        <f>(TableC2!E91+TableC2!P91)/(TableC2!$D$91+TableC2!$O$91)</f>
        <v>0.47219492563123605</v>
      </c>
      <c r="E94" s="289">
        <f>(TableC2!L91+TableC2!W91)/(TableC2!$D$91+TableC2!$O$91)</f>
        <v>0.527805074368764</v>
      </c>
      <c r="F94" s="282">
        <f>TableC3!C91/TableC3!$C$91</f>
        <v>1</v>
      </c>
      <c r="G94" s="289">
        <f>TableC3!D91/TableC3!$C$91</f>
        <v>0.53582474991874207</v>
      </c>
      <c r="H94" s="685">
        <f>TableC3!K91/TableC3!$C$91</f>
        <v>0.46417525008125793</v>
      </c>
      <c r="I94" s="246"/>
      <c r="J94" s="246"/>
      <c r="K94" s="246"/>
    </row>
    <row r="95" spans="1:11" s="2" customFormat="1" ht="17" thickTop="1" x14ac:dyDescent="0.2">
      <c r="D95" s="954"/>
      <c r="E95" s="954"/>
      <c r="G95" s="954"/>
      <c r="H95" s="954"/>
      <c r="I95" s="954"/>
      <c r="J95" s="954"/>
      <c r="K95" s="954"/>
    </row>
    <row r="97" spans="2:11" s="2" customFormat="1" x14ac:dyDescent="0.2">
      <c r="B97" s="954"/>
      <c r="C97" s="954"/>
      <c r="D97" s="954"/>
      <c r="E97" s="954"/>
      <c r="F97" s="954"/>
      <c r="G97" s="954"/>
      <c r="H97" s="954"/>
      <c r="I97" s="954"/>
      <c r="J97" s="954"/>
      <c r="K97" s="954"/>
    </row>
  </sheetData>
  <mergeCells count="6">
    <mergeCell ref="B4:H4"/>
    <mergeCell ref="C8:E8"/>
    <mergeCell ref="F8:H8"/>
    <mergeCell ref="C9:C10"/>
    <mergeCell ref="F9:F10"/>
    <mergeCell ref="C7:H7"/>
  </mergeCells>
  <pageMargins left="0.7" right="0.7" top="0.75" bottom="0.75" header="0.3" footer="0.3"/>
  <pageSetup scale="6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3:S98"/>
  <sheetViews>
    <sheetView zoomScaleNormal="100" zoomScalePageLayoutView="70" workbookViewId="0">
      <pane xSplit="2" ySplit="11" topLeftCell="C13" activePane="bottomRight" state="frozen"/>
      <selection pane="topRight" activeCell="AR8" sqref="AR8"/>
      <selection pane="bottomLeft" activeCell="AR8" sqref="AR8"/>
      <selection pane="bottomRight" activeCell="D13" sqref="D13"/>
    </sheetView>
  </sheetViews>
  <sheetFormatPr baseColWidth="10" defaultColWidth="10.83203125" defaultRowHeight="16" x14ac:dyDescent="0.2"/>
  <cols>
    <col min="1" max="1" width="17.5" style="1" hidden="1" customWidth="1"/>
    <col min="2" max="2" width="19" style="1" customWidth="1"/>
    <col min="3" max="9" width="12.83203125" style="1" customWidth="1"/>
    <col min="10" max="12" width="19.6640625" style="1" customWidth="1"/>
    <col min="13" max="13" width="10.83203125" style="1"/>
    <col min="14" max="14" width="19.5" style="1" customWidth="1"/>
    <col min="15" max="15" width="13.6640625" style="1" customWidth="1"/>
    <col min="16" max="16384" width="10.83203125" style="1"/>
  </cols>
  <sheetData>
    <row r="3" spans="2:17" ht="17" thickBot="1" x14ac:dyDescent="0.25">
      <c r="B3" s="954"/>
      <c r="C3" s="954"/>
      <c r="D3" s="954"/>
      <c r="E3" s="954"/>
      <c r="F3" s="954"/>
      <c r="G3" s="954"/>
      <c r="H3" s="954"/>
      <c r="I3" s="954"/>
      <c r="J3" s="954"/>
      <c r="K3" s="954"/>
      <c r="L3" s="954"/>
      <c r="M3" s="954"/>
      <c r="N3" s="954"/>
      <c r="O3" s="954"/>
      <c r="P3" s="954"/>
      <c r="Q3" s="954"/>
    </row>
    <row r="4" spans="2:17" ht="17" hidden="1" thickBot="1" x14ac:dyDescent="0.25">
      <c r="B4" s="954"/>
      <c r="C4" s="954"/>
      <c r="D4" s="954"/>
      <c r="E4" s="954"/>
      <c r="F4" s="954"/>
      <c r="G4" s="954"/>
      <c r="H4" s="954"/>
      <c r="I4" s="954"/>
      <c r="J4" s="954"/>
      <c r="K4" s="954"/>
      <c r="L4" s="954"/>
      <c r="M4" s="954"/>
      <c r="N4" s="954"/>
      <c r="O4" s="954"/>
      <c r="P4" s="954"/>
      <c r="Q4" s="954"/>
    </row>
    <row r="5" spans="2:17" ht="32.25" customHeight="1" x14ac:dyDescent="0.2">
      <c r="B5" s="2090" t="s">
        <v>657</v>
      </c>
      <c r="C5" s="2091"/>
      <c r="D5" s="2091"/>
      <c r="E5" s="2091"/>
      <c r="F5" s="2091"/>
      <c r="G5" s="2091"/>
      <c r="H5" s="2091"/>
      <c r="I5" s="2092"/>
      <c r="J5" s="620"/>
      <c r="K5" s="620"/>
      <c r="L5" s="620"/>
      <c r="M5" s="954"/>
      <c r="N5" s="954"/>
      <c r="O5" s="954"/>
      <c r="P5" s="954"/>
      <c r="Q5" s="954"/>
    </row>
    <row r="6" spans="2:17" ht="21" customHeight="1" x14ac:dyDescent="0.2">
      <c r="B6" s="118"/>
      <c r="C6" s="620"/>
      <c r="D6" s="620"/>
      <c r="E6" s="620"/>
      <c r="F6" s="620"/>
      <c r="G6" s="620"/>
      <c r="H6" s="620"/>
      <c r="I6" s="686"/>
      <c r="J6" s="620"/>
      <c r="K6" s="620"/>
      <c r="L6" s="620"/>
      <c r="M6" s="954"/>
      <c r="N6" s="954"/>
      <c r="O6" s="954"/>
      <c r="P6" s="954"/>
      <c r="Q6" s="954"/>
    </row>
    <row r="7" spans="2:17" ht="16.5" customHeight="1" x14ac:dyDescent="0.2">
      <c r="B7" s="118"/>
      <c r="C7" s="160" t="s">
        <v>1</v>
      </c>
      <c r="D7" s="160" t="s">
        <v>2</v>
      </c>
      <c r="E7" s="160" t="s">
        <v>3</v>
      </c>
      <c r="F7" s="160" t="s">
        <v>4</v>
      </c>
      <c r="G7" s="160" t="s">
        <v>5</v>
      </c>
      <c r="H7" s="160" t="s">
        <v>6</v>
      </c>
      <c r="I7" s="793" t="s">
        <v>7</v>
      </c>
      <c r="J7" s="620"/>
      <c r="K7" s="620"/>
      <c r="L7" s="620"/>
      <c r="M7" s="954"/>
      <c r="N7" s="954"/>
      <c r="O7" s="954"/>
      <c r="P7" s="954"/>
      <c r="Q7" s="954"/>
    </row>
    <row r="8" spans="2:17" ht="32.25" customHeight="1" x14ac:dyDescent="0.2">
      <c r="B8" s="118"/>
      <c r="C8" s="2291" t="s">
        <v>658</v>
      </c>
      <c r="D8" s="2288" t="s">
        <v>659</v>
      </c>
      <c r="E8" s="2286"/>
      <c r="F8" s="2286"/>
      <c r="G8" s="2286"/>
      <c r="H8" s="2286"/>
      <c r="I8" s="2289"/>
      <c r="J8" s="620"/>
      <c r="K8" s="620"/>
      <c r="L8" s="620"/>
      <c r="M8" s="954"/>
      <c r="N8" s="954"/>
      <c r="O8" s="954"/>
      <c r="P8" s="954"/>
      <c r="Q8" s="954"/>
    </row>
    <row r="9" spans="2:17" ht="21" customHeight="1" x14ac:dyDescent="0.2">
      <c r="B9" s="955"/>
      <c r="C9" s="2292"/>
      <c r="D9" s="2116" t="s">
        <v>655</v>
      </c>
      <c r="E9" s="2116"/>
      <c r="F9" s="2116"/>
      <c r="G9" s="2115" t="s">
        <v>656</v>
      </c>
      <c r="H9" s="2116" t="s">
        <v>648</v>
      </c>
      <c r="I9" s="2117"/>
      <c r="J9" s="1037"/>
      <c r="K9" s="1037"/>
      <c r="L9" s="1037"/>
      <c r="M9" s="954"/>
      <c r="N9" s="954"/>
      <c r="O9" s="954"/>
      <c r="P9" s="954"/>
      <c r="Q9" s="954"/>
    </row>
    <row r="10" spans="2:17" ht="85" customHeight="1" x14ac:dyDescent="0.2">
      <c r="B10" s="955"/>
      <c r="C10" s="2292"/>
      <c r="D10" s="2290" t="s">
        <v>627</v>
      </c>
      <c r="E10" s="1829" t="s">
        <v>628</v>
      </c>
      <c r="F10" s="1479" t="s">
        <v>629</v>
      </c>
      <c r="G10" s="2072" t="s">
        <v>627</v>
      </c>
      <c r="H10" s="1829" t="s">
        <v>628</v>
      </c>
      <c r="I10" s="1845" t="s">
        <v>629</v>
      </c>
      <c r="J10" s="1480"/>
      <c r="K10" s="1480"/>
      <c r="L10" s="1480"/>
      <c r="M10" s="954"/>
      <c r="N10" s="954"/>
      <c r="O10" s="954"/>
      <c r="P10" s="954"/>
      <c r="Q10" s="954"/>
    </row>
    <row r="11" spans="2:17" ht="21" customHeight="1" x14ac:dyDescent="0.2">
      <c r="B11" s="955"/>
      <c r="C11" s="2293"/>
      <c r="D11" s="2105"/>
      <c r="E11" s="1847"/>
      <c r="F11" s="1492"/>
      <c r="G11" s="2028"/>
      <c r="H11" s="1847"/>
      <c r="I11" s="1846"/>
      <c r="J11" s="1480"/>
      <c r="K11" s="1480"/>
      <c r="L11" s="1480"/>
      <c r="M11" s="954"/>
      <c r="N11" s="954"/>
      <c r="O11" s="954"/>
      <c r="P11" s="954"/>
      <c r="Q11" s="954"/>
    </row>
    <row r="12" spans="2:17" ht="40" customHeight="1" x14ac:dyDescent="0.2">
      <c r="B12" s="107" t="s">
        <v>28</v>
      </c>
      <c r="C12" s="640">
        <f>+SUM(C13:C47)</f>
        <v>5813.7273350245077</v>
      </c>
      <c r="D12" s="21">
        <f>TableC4!C10/(C12*1000)</f>
        <v>7.4847722419050605E-2</v>
      </c>
      <c r="E12" s="1493">
        <f>+TableC4!D10/(TableC4c!$C12*1000)</f>
        <v>4.0385971476118374E-2</v>
      </c>
      <c r="F12" s="1494">
        <f>+D12-E12</f>
        <v>3.4461750942932232E-2</v>
      </c>
      <c r="G12" s="21">
        <f>TableC4!N10/(C12*1000)</f>
        <v>9.1726851962435241E-2</v>
      </c>
      <c r="H12" s="1493">
        <f>+TableC4!O10/(TableC4c!$C12*1000)</f>
        <v>5.5228695052201772E-2</v>
      </c>
      <c r="I12" s="1495">
        <f>+G12-H12</f>
        <v>3.6498156910233469E-2</v>
      </c>
      <c r="J12" s="246"/>
      <c r="K12" s="246"/>
      <c r="L12" s="246"/>
      <c r="M12" s="954"/>
      <c r="N12" s="954"/>
      <c r="O12" s="954"/>
      <c r="P12" s="954"/>
      <c r="Q12" s="954"/>
    </row>
    <row r="13" spans="2:17" ht="14.25" customHeight="1" x14ac:dyDescent="0.2">
      <c r="B13" s="933" t="s">
        <v>29</v>
      </c>
      <c r="C13" s="1496">
        <f>+TableA2!F10</f>
        <v>178.84741076861815</v>
      </c>
      <c r="D13" s="119">
        <f>TableC4!C11/(C13*1000)</f>
        <v>7.2458944603187428E-2</v>
      </c>
      <c r="E13" s="1482">
        <f>+TableC4!D11/(TableC4c!$C13*1000)</f>
        <v>2.3007869480445912E-2</v>
      </c>
      <c r="F13" s="1483">
        <f t="shared" ref="F13:F76" si="0">+D13-E13</f>
        <v>4.9451075122741515E-2</v>
      </c>
      <c r="G13" s="119">
        <f>TableC4!N11/(C13*1000)</f>
        <v>9.7905266672633235E-3</v>
      </c>
      <c r="H13" s="1482">
        <f>+TableC4!O11/(TableC4c!$C13*1000)</f>
        <v>-8.6849264464315527E-4</v>
      </c>
      <c r="I13" s="1497">
        <f t="shared" ref="I13:I76" si="1">+G13-H13</f>
        <v>1.0659019311906479E-2</v>
      </c>
      <c r="J13" s="9"/>
      <c r="K13" s="246"/>
      <c r="L13" s="246"/>
      <c r="M13" s="954"/>
      <c r="N13" s="954"/>
      <c r="O13" s="954"/>
      <c r="P13" s="954"/>
      <c r="Q13" s="954"/>
    </row>
    <row r="14" spans="2:17" ht="14.25" customHeight="1" x14ac:dyDescent="0.2">
      <c r="B14" s="933" t="s">
        <v>30</v>
      </c>
      <c r="C14" s="1496">
        <f>+TableA2!F11</f>
        <v>47.957043627358011</v>
      </c>
      <c r="D14" s="119">
        <f>TableC4!C12/(C14*1000)</f>
        <v>7.4846957375892961E-2</v>
      </c>
      <c r="E14" s="1482">
        <f>+TableC4!D12/(TableC4c!$C14*1000)</f>
        <v>4.3281052600304973E-2</v>
      </c>
      <c r="F14" s="1483">
        <f t="shared" si="0"/>
        <v>3.1565904775587988E-2</v>
      </c>
      <c r="G14" s="119">
        <f>TableC4!N12/(C14*1000)</f>
        <v>4.6463227609687303E-2</v>
      </c>
      <c r="H14" s="1482">
        <f>+TableC4!O12/(TableC4c!$C14*1000)</f>
        <v>7.7307101994649454E-3</v>
      </c>
      <c r="I14" s="1497">
        <f t="shared" si="1"/>
        <v>3.8732517410222357E-2</v>
      </c>
      <c r="J14" s="9"/>
      <c r="K14" s="246"/>
      <c r="L14" s="246"/>
      <c r="M14" s="954"/>
      <c r="N14" s="954"/>
      <c r="O14" s="954"/>
      <c r="P14" s="954"/>
      <c r="Q14" s="954"/>
    </row>
    <row r="15" spans="2:17" ht="14.25" customHeight="1" x14ac:dyDescent="0.2">
      <c r="B15" s="933" t="s">
        <v>31</v>
      </c>
      <c r="C15" s="1496"/>
      <c r="D15" s="119"/>
      <c r="E15" s="1482"/>
      <c r="F15" s="1483"/>
      <c r="G15" s="119"/>
      <c r="H15" s="1482"/>
      <c r="I15" s="1497"/>
      <c r="J15" s="9"/>
      <c r="K15" s="246"/>
      <c r="L15" s="246"/>
      <c r="M15" s="954"/>
      <c r="N15" s="954"/>
      <c r="O15" s="954"/>
      <c r="P15" s="954"/>
      <c r="Q15" s="1075"/>
    </row>
    <row r="16" spans="2:17" ht="14.25" customHeight="1" x14ac:dyDescent="0.2">
      <c r="B16" s="933" t="s">
        <v>32</v>
      </c>
      <c r="C16" s="1496">
        <f>+TableA2!F13</f>
        <v>142.9569900038934</v>
      </c>
      <c r="D16" s="119">
        <f>TableC4!C14/(C16*1000)</f>
        <v>0.13232007222981604</v>
      </c>
      <c r="E16" s="1482">
        <f>+TableC4!D14/(TableC4c!$C16*1000)</f>
        <v>2.3343379780562886E-2</v>
      </c>
      <c r="F16" s="1483">
        <f t="shared" si="0"/>
        <v>0.10897669244925315</v>
      </c>
      <c r="G16" s="119">
        <f>TableC4!N14/(C16*1000)</f>
        <v>0.11492209040229349</v>
      </c>
      <c r="H16" s="1482">
        <f>+TableC4!O14/(TableC4c!$C16*1000)</f>
        <v>3.0147988705354976E-2</v>
      </c>
      <c r="I16" s="1497">
        <f t="shared" si="1"/>
        <v>8.4774101696938525E-2</v>
      </c>
      <c r="J16" s="9"/>
      <c r="K16" s="246"/>
      <c r="L16" s="246"/>
      <c r="M16" s="954"/>
      <c r="N16" s="954"/>
      <c r="O16" s="954"/>
      <c r="P16" s="954"/>
      <c r="Q16" s="1075"/>
    </row>
    <row r="17" spans="1:19" ht="14.25" customHeight="1" x14ac:dyDescent="0.2">
      <c r="A17" s="954"/>
      <c r="B17" s="933" t="s">
        <v>33</v>
      </c>
      <c r="C17" s="1496">
        <f>+TableA2!F14</f>
        <v>67.542484958596845</v>
      </c>
      <c r="D17" s="119">
        <f>TableC4!C15/(C17*1000)</f>
        <v>7.6720813244254851E-2</v>
      </c>
      <c r="E17" s="1482">
        <f>+TableC4!D15/(TableC4c!$C17*1000)</f>
        <v>1.4926301509422632E-2</v>
      </c>
      <c r="F17" s="1483">
        <f t="shared" si="0"/>
        <v>6.1794511734832219E-2</v>
      </c>
      <c r="G17" s="119">
        <f>TableC4!N15/(C17*1000)</f>
        <v>-1.5463113376781026E-3</v>
      </c>
      <c r="H17" s="1482">
        <f>+TableC4!O15/(TableC4c!$C17*1000)</f>
        <v>-1.8024932701393155E-3</v>
      </c>
      <c r="I17" s="1497">
        <f t="shared" si="1"/>
        <v>2.5618193246121292E-4</v>
      </c>
      <c r="J17" s="9"/>
      <c r="K17" s="246"/>
      <c r="L17" s="246"/>
      <c r="M17" s="954"/>
      <c r="N17" s="954"/>
      <c r="O17" s="954"/>
      <c r="P17" s="954"/>
      <c r="Q17" s="1019"/>
      <c r="R17" s="954"/>
      <c r="S17" s="1019"/>
    </row>
    <row r="18" spans="1:19" ht="14.25" customHeight="1" x14ac:dyDescent="0.2">
      <c r="A18" s="954"/>
      <c r="B18" s="933" t="s">
        <v>34</v>
      </c>
      <c r="C18" s="1496">
        <f>+TableA2!F15</f>
        <v>33.577437877940952</v>
      </c>
      <c r="D18" s="119">
        <f>TableC4!C16/(C18*1000)</f>
        <v>5.2434867097975471E-2</v>
      </c>
      <c r="E18" s="1482">
        <f>+TableC4!D16/(TableC4c!$C18*1000)</f>
        <v>4.1970586071506132E-2</v>
      </c>
      <c r="F18" s="1483">
        <f t="shared" si="0"/>
        <v>1.0464281026469339E-2</v>
      </c>
      <c r="G18" s="119">
        <f>TableC4!N16/(C18*1000)</f>
        <v>1.4063286245338298E-2</v>
      </c>
      <c r="H18" s="1482">
        <f>+TableC4!O16/(TableC4c!$C18*1000)</f>
        <v>1.4059287045024221E-2</v>
      </c>
      <c r="I18" s="1497">
        <f t="shared" si="1"/>
        <v>3.9992003140771476E-6</v>
      </c>
      <c r="J18" s="9"/>
      <c r="K18" s="246"/>
      <c r="L18" s="246"/>
      <c r="M18" s="954"/>
      <c r="N18" s="954"/>
      <c r="O18" s="954"/>
      <c r="P18" s="954"/>
      <c r="Q18" s="954"/>
      <c r="R18" s="954"/>
      <c r="S18" s="954"/>
    </row>
    <row r="19" spans="1:19" ht="14.25" customHeight="1" x14ac:dyDescent="0.2">
      <c r="A19" s="954"/>
      <c r="B19" s="933" t="s">
        <v>35</v>
      </c>
      <c r="C19" s="1496">
        <f>+TableA2!F16</f>
        <v>51.69259919912686</v>
      </c>
      <c r="D19" s="119">
        <f>TableC4!C17/(C19*1000)</f>
        <v>5.7295748679020701E-2</v>
      </c>
      <c r="E19" s="1482">
        <f>+TableC4!D17/(TableC4c!$C19*1000)</f>
        <v>4.5104888829805748E-2</v>
      </c>
      <c r="F19" s="1483">
        <f t="shared" si="0"/>
        <v>1.2190859849214954E-2</v>
      </c>
      <c r="G19" s="119">
        <f>TableC4!N17/(C19*1000)</f>
        <v>7.0316169291163688E-2</v>
      </c>
      <c r="H19" s="1482">
        <f>+TableC4!O17/(TableC4c!$C19*1000)</f>
        <v>4.0920272377606565E-2</v>
      </c>
      <c r="I19" s="1497">
        <f t="shared" si="1"/>
        <v>2.9395896913557124E-2</v>
      </c>
      <c r="J19" s="9"/>
      <c r="K19" s="246"/>
      <c r="L19" s="246"/>
      <c r="M19" s="954"/>
      <c r="N19" s="954"/>
      <c r="O19" s="954"/>
      <c r="P19" s="954"/>
      <c r="Q19" s="954"/>
      <c r="R19" s="954"/>
      <c r="S19" s="954"/>
    </row>
    <row r="20" spans="1:19" ht="14.25" customHeight="1" x14ac:dyDescent="0.2">
      <c r="A20" s="954"/>
      <c r="B20" s="1498" t="s">
        <v>36</v>
      </c>
      <c r="C20" s="1496">
        <f>+TableA2!F17</f>
        <v>4.0797019715879275</v>
      </c>
      <c r="D20" s="119">
        <f>TableC4!C18/(C20*1000)</f>
        <v>5.9733161524731265E-2</v>
      </c>
      <c r="E20" s="1482">
        <f>+TableC4!D18/(TableC4c!$C20*1000)</f>
        <v>4.2832100132568655E-2</v>
      </c>
      <c r="F20" s="1483">
        <f t="shared" si="0"/>
        <v>1.690106139216261E-2</v>
      </c>
      <c r="G20" s="119">
        <f>TableC4!N18/(C20*1000)</f>
        <v>-9.9409345332641583E-4</v>
      </c>
      <c r="H20" s="1482">
        <f>+TableC4!O18/(TableC4c!$C20*1000)</f>
        <v>-9.9409345332641583E-4</v>
      </c>
      <c r="I20" s="1497">
        <f t="shared" si="1"/>
        <v>0</v>
      </c>
      <c r="J20" s="9"/>
      <c r="K20" s="246"/>
      <c r="L20" s="246"/>
      <c r="M20" s="954"/>
      <c r="N20" s="954"/>
      <c r="O20" s="954"/>
      <c r="P20" s="954"/>
      <c r="Q20" s="954"/>
      <c r="R20" s="954"/>
      <c r="S20" s="954"/>
    </row>
    <row r="21" spans="1:19" ht="14.25" customHeight="1" x14ac:dyDescent="0.2">
      <c r="A21" s="954"/>
      <c r="B21" s="933" t="s">
        <v>37</v>
      </c>
      <c r="C21" s="1496">
        <f>+TableA2!F18</f>
        <v>25.094852932206081</v>
      </c>
      <c r="D21" s="119">
        <f>TableC4!C19/(C21*1000)</f>
        <v>0.10818431066203703</v>
      </c>
      <c r="E21" s="1482">
        <f>+TableC4!D19/(TableC4c!$C21*1000)</f>
        <v>6.9525277483734646E-2</v>
      </c>
      <c r="F21" s="1483">
        <f t="shared" si="0"/>
        <v>3.8659033178302382E-2</v>
      </c>
      <c r="G21" s="119">
        <f>TableC4!N19/(C21*1000)</f>
        <v>9.0046506066856047E-2</v>
      </c>
      <c r="H21" s="1482">
        <f>+TableC4!O19/(TableC4c!$C21*1000)</f>
        <v>8.1315087946621567E-2</v>
      </c>
      <c r="I21" s="1497">
        <f t="shared" si="1"/>
        <v>8.7314181202344798E-3</v>
      </c>
      <c r="J21" s="9"/>
      <c r="K21" s="246"/>
      <c r="L21" s="246"/>
      <c r="M21" s="954"/>
      <c r="N21" s="954"/>
      <c r="O21" s="954"/>
      <c r="P21" s="954"/>
      <c r="Q21" s="954"/>
      <c r="R21" s="954"/>
      <c r="S21" s="954"/>
    </row>
    <row r="22" spans="1:19" ht="14.25" customHeight="1" x14ac:dyDescent="0.2">
      <c r="A22" s="954"/>
      <c r="B22" s="1498" t="s">
        <v>38</v>
      </c>
      <c r="C22" s="1496">
        <f>+TableA2!F19</f>
        <v>187.65852722592464</v>
      </c>
      <c r="D22" s="119">
        <f>TableC4!C20/(C22*1000)</f>
        <v>0.17097080725149064</v>
      </c>
      <c r="E22" s="1482">
        <f>+TableC4!D20/(TableC4c!$C22*1000)</f>
        <v>0.12893552276230175</v>
      </c>
      <c r="F22" s="1483">
        <f t="shared" si="0"/>
        <v>4.203528448918889E-2</v>
      </c>
      <c r="G22" s="119">
        <f>TableC4!N20/(C22*1000)</f>
        <v>0.34301584559328852</v>
      </c>
      <c r="H22" s="1482">
        <f>+TableC4!O20/(TableC4c!$C22*1000)</f>
        <v>0.27111964119981879</v>
      </c>
      <c r="I22" s="1497">
        <f t="shared" si="1"/>
        <v>7.189620439346972E-2</v>
      </c>
      <c r="J22" s="9"/>
      <c r="K22" s="9"/>
      <c r="L22" s="9"/>
      <c r="M22" s="954"/>
      <c r="N22" s="954"/>
      <c r="O22" s="954"/>
      <c r="P22" s="954"/>
      <c r="Q22" s="954"/>
      <c r="R22" s="954"/>
      <c r="S22" s="954"/>
    </row>
    <row r="23" spans="1:19" ht="14.25" customHeight="1" x14ac:dyDescent="0.2">
      <c r="A23" s="954"/>
      <c r="B23" s="933" t="s">
        <v>39</v>
      </c>
      <c r="C23" s="1496">
        <f>+TableA2!F20</f>
        <v>553.04943443142031</v>
      </c>
      <c r="D23" s="119">
        <f>TableC4!C21/(C23*1000)</f>
        <v>9.9275643679281572E-2</v>
      </c>
      <c r="E23" s="1482">
        <f>+TableC4!D21/(TableC4c!$C23*1000)</f>
        <v>7.519152745091251E-2</v>
      </c>
      <c r="F23" s="1483">
        <f t="shared" si="0"/>
        <v>2.4084116228369062E-2</v>
      </c>
      <c r="G23" s="119">
        <f>TableC4!N21/(C23*1000)</f>
        <v>6.4453100435434924E-2</v>
      </c>
      <c r="H23" s="1482">
        <f>+TableC4!O21/(TableC4c!$C23*1000)</f>
        <v>4.5875966946085985E-2</v>
      </c>
      <c r="I23" s="1497">
        <f t="shared" si="1"/>
        <v>1.8577133489348939E-2</v>
      </c>
      <c r="J23" s="9"/>
      <c r="K23" s="9"/>
      <c r="L23" s="9"/>
      <c r="M23" s="954"/>
      <c r="N23" s="954"/>
      <c r="O23" s="954"/>
      <c r="P23" s="954"/>
      <c r="Q23" s="954"/>
      <c r="R23" s="954"/>
      <c r="S23" s="954"/>
    </row>
    <row r="24" spans="1:19" ht="14.25" customHeight="1" x14ac:dyDescent="0.2">
      <c r="A24" s="954"/>
      <c r="B24" s="933" t="s">
        <v>40</v>
      </c>
      <c r="C24" s="1496">
        <f>+TableA2!F21</f>
        <v>22.607784095761257</v>
      </c>
      <c r="D24" s="119">
        <f>TableC4!C22/(C24*1000)</f>
        <v>4.6289917479869699E-2</v>
      </c>
      <c r="E24" s="1482">
        <f>+TableC4!D22/(TableC4c!$C24*1000)</f>
        <v>4.0419156056832502E-2</v>
      </c>
      <c r="F24" s="1483">
        <f t="shared" si="0"/>
        <v>5.8707614230371977E-3</v>
      </c>
      <c r="G24" s="119">
        <f>TableC4!N22/(C24*1000)</f>
        <v>1.9443488875755435E-2</v>
      </c>
      <c r="H24" s="1482">
        <f>+TableC4!O22/(TableC4c!$C24*1000)</f>
        <v>1.9408113113123845E-2</v>
      </c>
      <c r="I24" s="1497">
        <f t="shared" si="1"/>
        <v>3.5375762631590507E-5</v>
      </c>
      <c r="J24" s="9"/>
      <c r="K24" s="9"/>
      <c r="L24" s="9"/>
      <c r="M24" s="954"/>
      <c r="N24" s="954"/>
      <c r="O24" s="954"/>
      <c r="P24" s="954"/>
      <c r="Q24" s="954"/>
      <c r="R24" s="954"/>
      <c r="S24" s="954"/>
    </row>
    <row r="25" spans="1:19" ht="14.25" customHeight="1" x14ac:dyDescent="0.2">
      <c r="A25" s="954"/>
      <c r="B25" s="933" t="s">
        <v>41</v>
      </c>
      <c r="C25" s="1496">
        <f>+TableA2!F22</f>
        <v>20.668289583202817</v>
      </c>
      <c r="D25" s="119">
        <f>TableC4!C23/(C25*1000)</f>
        <v>0.11587262914762006</v>
      </c>
      <c r="E25" s="1482">
        <f>+TableC4!D23/(TableC4c!$C25*1000)</f>
        <v>8.1741729344549194E-2</v>
      </c>
      <c r="F25" s="1483">
        <f t="shared" si="0"/>
        <v>3.4130899803070866E-2</v>
      </c>
      <c r="G25" s="119">
        <f>TableC4!N23/(C25*1000)</f>
        <v>2.4199999987075511E-2</v>
      </c>
      <c r="H25" s="1482">
        <f>+TableC4!O23/(TableC4c!$C25*1000)</f>
        <v>2.3863137306555027E-2</v>
      </c>
      <c r="I25" s="1497">
        <f t="shared" si="1"/>
        <v>3.3686268052048399E-4</v>
      </c>
      <c r="J25" s="9"/>
      <c r="K25" s="9"/>
      <c r="L25" s="9"/>
      <c r="M25" s="954"/>
      <c r="N25" s="954"/>
      <c r="O25" s="954"/>
      <c r="P25" s="954"/>
      <c r="Q25" s="954"/>
      <c r="R25" s="954"/>
      <c r="S25" s="954"/>
    </row>
    <row r="26" spans="1:19" ht="14.25" customHeight="1" x14ac:dyDescent="0.2">
      <c r="A26" s="954"/>
      <c r="B26" s="933" t="s">
        <v>42</v>
      </c>
      <c r="C26" s="1496">
        <f>+TableA2!F23</f>
        <v>2.1489969781260903</v>
      </c>
      <c r="D26" s="119">
        <f>TableC4!C24/(C26*1000)</f>
        <v>0.20369817483051286</v>
      </c>
      <c r="E26" s="1482">
        <f>+TableC4!D24/(TableC4c!$C26*1000)</f>
        <v>0.15711869062903999</v>
      </c>
      <c r="F26" s="1483">
        <f t="shared" si="0"/>
        <v>4.657948420147287E-2</v>
      </c>
      <c r="G26" s="119">
        <f>TableC4!N24/(C26*1000)</f>
        <v>6.3769463049089615E-3</v>
      </c>
      <c r="H26" s="1482">
        <f>+TableC4!O24/(TableC4c!$C26*1000)</f>
        <v>6.0575089801443386E-3</v>
      </c>
      <c r="I26" s="1497">
        <f t="shared" si="1"/>
        <v>3.1943732476462285E-4</v>
      </c>
      <c r="J26" s="9"/>
      <c r="K26" s="9"/>
      <c r="L26" s="9"/>
      <c r="M26" s="954"/>
      <c r="N26" s="954"/>
      <c r="O26" s="954"/>
      <c r="P26" s="954"/>
      <c r="Q26" s="954"/>
      <c r="R26" s="954"/>
      <c r="S26" s="954"/>
    </row>
    <row r="27" spans="1:19" ht="14.25" customHeight="1" x14ac:dyDescent="0.2">
      <c r="A27" s="954"/>
      <c r="B27" s="933" t="s">
        <v>43</v>
      </c>
      <c r="C27" s="1496"/>
      <c r="D27" s="119"/>
      <c r="E27" s="1482"/>
      <c r="F27" s="1483"/>
      <c r="G27" s="119"/>
      <c r="H27" s="1482"/>
      <c r="I27" s="1497"/>
      <c r="J27" s="9"/>
      <c r="K27" s="9"/>
      <c r="L27" s="9"/>
      <c r="M27" s="954"/>
      <c r="N27" s="954"/>
      <c r="O27" s="954"/>
      <c r="P27" s="954"/>
      <c r="Q27" s="954"/>
      <c r="R27" s="954"/>
      <c r="S27" s="954"/>
    </row>
    <row r="28" spans="1:19" ht="14.25" customHeight="1" x14ac:dyDescent="0.2">
      <c r="A28" s="954"/>
      <c r="B28" s="933" t="s">
        <v>44</v>
      </c>
      <c r="C28" s="1496">
        <f>+TableA2!F25</f>
        <v>53.821062621875072</v>
      </c>
      <c r="D28" s="119">
        <f>TableC4!C26/(C28*1000)</f>
        <v>1.264669047457488E-2</v>
      </c>
      <c r="E28" s="1482">
        <f>+TableC4!D26/(TableC4c!$C28*1000)</f>
        <v>5.1617017907037979E-3</v>
      </c>
      <c r="F28" s="1483">
        <f t="shared" si="0"/>
        <v>7.4849886838710819E-3</v>
      </c>
      <c r="G28" s="119">
        <f>TableC4!N26/(C28*1000)</f>
        <v>9.9243217266992076E-3</v>
      </c>
      <c r="H28" s="1482">
        <f>+TableC4!O26/(TableC4c!$C28*1000)</f>
        <v>1.2284874977946463E-3</v>
      </c>
      <c r="I28" s="1497">
        <f t="shared" si="1"/>
        <v>8.6958342289045615E-3</v>
      </c>
      <c r="J28" s="9"/>
      <c r="K28" s="9"/>
      <c r="L28" s="9"/>
      <c r="M28" s="954"/>
      <c r="N28" s="954"/>
      <c r="O28" s="954"/>
      <c r="P28" s="954"/>
      <c r="Q28" s="954"/>
      <c r="R28" s="954"/>
      <c r="S28" s="954"/>
    </row>
    <row r="29" spans="1:19" ht="14.25" customHeight="1" x14ac:dyDescent="0.2">
      <c r="A29" s="954"/>
      <c r="B29" s="933" t="s">
        <v>45</v>
      </c>
      <c r="C29" s="1496">
        <f>+TableA2!F26</f>
        <v>211.89440797463348</v>
      </c>
      <c r="D29" s="119">
        <f>TableC4!C27/(C29*1000)</f>
        <v>0.10714054787245454</v>
      </c>
      <c r="E29" s="1482">
        <f>+TableC4!D27/(TableC4c!$C29*1000)</f>
        <v>9.1806210586993134E-2</v>
      </c>
      <c r="F29" s="1483">
        <f t="shared" si="0"/>
        <v>1.5334337285461408E-2</v>
      </c>
      <c r="G29" s="119">
        <f>TableC4!N27/(C29*1000)</f>
        <v>1.7667041699374521E-2</v>
      </c>
      <c r="H29" s="1482">
        <f>+TableC4!O27/(TableC4c!$C29*1000)</f>
        <v>1.1895787827737774E-2</v>
      </c>
      <c r="I29" s="1497">
        <f t="shared" si="1"/>
        <v>5.7712538716367476E-3</v>
      </c>
      <c r="J29" s="9"/>
      <c r="K29" s="9"/>
      <c r="L29" s="9"/>
      <c r="M29" s="954"/>
      <c r="N29" s="954"/>
      <c r="O29" s="954"/>
      <c r="P29" s="954"/>
      <c r="Q29" s="954"/>
      <c r="R29" s="954"/>
      <c r="S29" s="954"/>
    </row>
    <row r="30" spans="1:19" ht="14.25" customHeight="1" x14ac:dyDescent="0.2">
      <c r="A30" s="954"/>
      <c r="B30" s="933" t="s">
        <v>46</v>
      </c>
      <c r="C30" s="1496">
        <f>+TableA2!F27</f>
        <v>634.13536380108962</v>
      </c>
      <c r="D30" s="119">
        <f>TableC4!C28/(C30*1000)</f>
        <v>1.3489822917577826E-2</v>
      </c>
      <c r="E30" s="1482">
        <f>+TableC4!D28/(TableC4c!$C30*1000)</f>
        <v>7.1655225316167069E-3</v>
      </c>
      <c r="F30" s="1483">
        <f t="shared" si="0"/>
        <v>6.3243003859611195E-3</v>
      </c>
      <c r="G30" s="119">
        <f>TableC4!N28/(C30*1000)</f>
        <v>3.042925426650038E-2</v>
      </c>
      <c r="H30" s="1482">
        <f>+TableC4!O28/(TableC4c!$C30*1000)</f>
        <v>1.3386640311355755E-2</v>
      </c>
      <c r="I30" s="1497">
        <f t="shared" si="1"/>
        <v>1.7042613955144625E-2</v>
      </c>
      <c r="J30" s="9"/>
      <c r="K30" s="9"/>
      <c r="L30" s="9"/>
      <c r="M30" s="954"/>
      <c r="N30" s="954"/>
      <c r="O30" s="954"/>
      <c r="P30" s="954"/>
      <c r="Q30" s="954"/>
      <c r="R30" s="954"/>
      <c r="S30" s="954"/>
    </row>
    <row r="31" spans="1:19" ht="14.25" customHeight="1" x14ac:dyDescent="0.2">
      <c r="A31" s="954" t="s">
        <v>308</v>
      </c>
      <c r="B31" s="933" t="s">
        <v>47</v>
      </c>
      <c r="C31" s="1496">
        <f>+TableA2!F28</f>
        <v>248.21706968304588</v>
      </c>
      <c r="D31" s="119">
        <f>TableC4!C29/(C31*1000)</f>
        <v>1.9477435060151389E-2</v>
      </c>
      <c r="E31" s="1482">
        <f>+TableC4!D29/(TableC4c!$C31*1000)</f>
        <v>4.6626094877330387E-3</v>
      </c>
      <c r="F31" s="1483">
        <f t="shared" si="0"/>
        <v>1.4814825572418349E-2</v>
      </c>
      <c r="G31" s="119">
        <f>TableC4!N29/(C31*1000)</f>
        <v>6.3066065893646554E-3</v>
      </c>
      <c r="H31" s="1482">
        <f>+TableC4!O29/(TableC4c!$C31*1000)</f>
        <v>3.1415228093162819E-3</v>
      </c>
      <c r="I31" s="1497">
        <f t="shared" si="1"/>
        <v>3.1650837800483735E-3</v>
      </c>
      <c r="J31" s="9"/>
      <c r="K31" s="9"/>
      <c r="L31" s="9"/>
      <c r="M31" s="954"/>
      <c r="N31" s="954"/>
      <c r="O31" s="954"/>
      <c r="P31" s="954"/>
      <c r="Q31" s="954"/>
      <c r="R31" s="954"/>
      <c r="S31" s="954"/>
    </row>
    <row r="32" spans="1:19" ht="14.25" customHeight="1" x14ac:dyDescent="0.2">
      <c r="A32" s="954"/>
      <c r="B32" s="955" t="s">
        <v>48</v>
      </c>
      <c r="C32" s="1496">
        <f>+TableA2!F29</f>
        <v>4.1858751479217755</v>
      </c>
      <c r="D32" s="119">
        <f>TableC4!C30/(C32*1000)</f>
        <v>4.8013607709659296E-2</v>
      </c>
      <c r="E32" s="1482">
        <f>+TableC4!D30/(TableC4c!$C32*1000)</f>
        <v>3.3615060437027819E-2</v>
      </c>
      <c r="F32" s="1483">
        <f t="shared" si="0"/>
        <v>1.4398547272631478E-2</v>
      </c>
      <c r="G32" s="119">
        <f>TableC4!N30/(C32*1000)</f>
        <v>-3.099926507683906E-4</v>
      </c>
      <c r="H32" s="1482">
        <f>+TableC4!O30/(TableC4c!$C32*1000)</f>
        <v>-3.302931416332255E-4</v>
      </c>
      <c r="I32" s="1497">
        <f t="shared" si="1"/>
        <v>2.0300490864834896E-5</v>
      </c>
      <c r="J32" s="9"/>
      <c r="K32" s="9"/>
      <c r="L32" s="9"/>
      <c r="M32" s="954"/>
      <c r="N32" s="954"/>
      <c r="O32" s="954"/>
      <c r="P32" s="954"/>
      <c r="Q32" s="954"/>
      <c r="R32" s="954"/>
      <c r="S32" s="954"/>
    </row>
    <row r="33" spans="1:12" ht="14.25" customHeight="1" x14ac:dyDescent="0.2">
      <c r="A33" s="954"/>
      <c r="B33" s="955" t="s">
        <v>49</v>
      </c>
      <c r="C33" s="1208"/>
      <c r="D33" s="119"/>
      <c r="E33" s="1482"/>
      <c r="F33" s="1483"/>
      <c r="G33" s="119"/>
      <c r="H33" s="1482"/>
      <c r="I33" s="1497"/>
      <c r="J33" s="9"/>
      <c r="K33" s="9"/>
      <c r="L33" s="9"/>
    </row>
    <row r="34" spans="1:12" ht="14.25" customHeight="1" x14ac:dyDescent="0.2">
      <c r="A34" s="954"/>
      <c r="B34" s="955" t="s">
        <v>50</v>
      </c>
      <c r="C34" s="1496">
        <f>+TableA2!F31</f>
        <v>325.04468785135941</v>
      </c>
      <c r="D34" s="119">
        <f>TableC4!C32/(C34*1000)</f>
        <v>4.0289504925128755E-2</v>
      </c>
      <c r="E34" s="1482">
        <f>+TableC4!D32/(TableC4c!$C34*1000)</f>
        <v>1.2421225973191057E-2</v>
      </c>
      <c r="F34" s="1483">
        <f t="shared" si="0"/>
        <v>2.7868278951937699E-2</v>
      </c>
      <c r="G34" s="119">
        <f>TableC4!N32/(C34*1000)</f>
        <v>1.1185184744427409E-2</v>
      </c>
      <c r="H34" s="1482">
        <f>+TableC4!O32/(TableC4c!$C34*1000)</f>
        <v>9.2500020175027165E-3</v>
      </c>
      <c r="I34" s="1497">
        <f t="shared" si="1"/>
        <v>1.9351827269246929E-3</v>
      </c>
      <c r="J34" s="9"/>
      <c r="K34" s="9"/>
      <c r="L34" s="9"/>
    </row>
    <row r="35" spans="1:12" ht="14.25" customHeight="1" x14ac:dyDescent="0.2">
      <c r="A35" s="954"/>
      <c r="B35" s="955" t="s">
        <v>51</v>
      </c>
      <c r="C35" s="1208"/>
      <c r="D35" s="119"/>
      <c r="E35" s="1482"/>
      <c r="F35" s="1483"/>
      <c r="G35" s="119"/>
      <c r="H35" s="1482"/>
      <c r="I35" s="1497"/>
      <c r="J35" s="9"/>
      <c r="K35" s="9"/>
      <c r="L35" s="9"/>
    </row>
    <row r="36" spans="1:12" ht="14.25" customHeight="1" x14ac:dyDescent="0.2">
      <c r="A36" s="954"/>
      <c r="B36" s="955" t="s">
        <v>52</v>
      </c>
      <c r="C36" s="1496">
        <f>+TableA2!F33</f>
        <v>43.62366684525152</v>
      </c>
      <c r="D36" s="119">
        <f>TableC4!C34/(C36*1000)</f>
        <v>3.4922405782557731E-2</v>
      </c>
      <c r="E36" s="1482">
        <f>+TableC4!D34/(TableC4c!$C36*1000)</f>
        <v>1.1478915661605733E-2</v>
      </c>
      <c r="F36" s="1483">
        <f t="shared" si="0"/>
        <v>2.3443490120951996E-2</v>
      </c>
      <c r="G36" s="119">
        <f>TableC4!N34/(C36*1000)</f>
        <v>1.5225539960963272E-2</v>
      </c>
      <c r="H36" s="1482">
        <f>+TableC4!O34/(TableC4c!$C36*1000)</f>
        <v>-2.4872498390995749E-3</v>
      </c>
      <c r="I36" s="1497">
        <f t="shared" si="1"/>
        <v>1.7712789800062849E-2</v>
      </c>
      <c r="J36" s="9"/>
      <c r="K36" s="9"/>
      <c r="L36" s="9"/>
    </row>
    <row r="37" spans="1:12" ht="14.25" customHeight="1" x14ac:dyDescent="0.2">
      <c r="A37" s="954"/>
      <c r="B37" s="955" t="s">
        <v>53</v>
      </c>
      <c r="C37" s="1496">
        <f>+TableA2!F34</f>
        <v>76.129871814410606</v>
      </c>
      <c r="D37" s="119">
        <f>TableC4!C35/(C37*1000)</f>
        <v>6.851009442368261E-2</v>
      </c>
      <c r="E37" s="1482">
        <f>+TableC4!D35/(TableC4c!$C37*1000)</f>
        <v>3.8666964466810248E-2</v>
      </c>
      <c r="F37" s="1483">
        <f t="shared" si="0"/>
        <v>2.9843129956872362E-2</v>
      </c>
      <c r="G37" s="119">
        <f>TableC4!N35/(C37*1000)</f>
        <v>7.1352085194478679E-2</v>
      </c>
      <c r="H37" s="1482">
        <f>+TableC4!O35/(TableC4c!$C37*1000)</f>
        <v>5.0433195619397027E-2</v>
      </c>
      <c r="I37" s="1497">
        <f t="shared" si="1"/>
        <v>2.0918889575081652E-2</v>
      </c>
      <c r="J37" s="9"/>
      <c r="K37" s="9"/>
      <c r="L37" s="9"/>
    </row>
    <row r="38" spans="1:12" ht="14.25" customHeight="1" x14ac:dyDescent="0.2">
      <c r="A38" s="954"/>
      <c r="B38" s="955" t="s">
        <v>54</v>
      </c>
      <c r="C38" s="1496">
        <f>+TableA2!F35</f>
        <v>87.784586815227485</v>
      </c>
      <c r="D38" s="119">
        <f>TableC4!C36/(C38*1000)</f>
        <v>4.2101541150758842E-2</v>
      </c>
      <c r="E38" s="1482">
        <f>+TableC4!D36/(TableC4c!$C38*1000)</f>
        <v>2.9169275326731796E-2</v>
      </c>
      <c r="F38" s="1483">
        <f t="shared" si="0"/>
        <v>1.2932265824027046E-2</v>
      </c>
      <c r="G38" s="119">
        <f>TableC4!N36/(C38*1000)</f>
        <v>-2.8786103109308743E-2</v>
      </c>
      <c r="H38" s="1482">
        <f>+TableC4!O36/(TableC4c!$C38*1000)</f>
        <v>-2.8807034354453781E-2</v>
      </c>
      <c r="I38" s="1497">
        <f t="shared" si="1"/>
        <v>2.0931245145038024E-5</v>
      </c>
      <c r="J38" s="9"/>
      <c r="K38" s="9"/>
      <c r="L38" s="9"/>
    </row>
    <row r="39" spans="1:12" ht="14.25" customHeight="1" x14ac:dyDescent="0.2">
      <c r="A39" s="954"/>
      <c r="B39" s="955" t="s">
        <v>55</v>
      </c>
      <c r="C39" s="1496">
        <f>+TableA2!F36</f>
        <v>26.618072907828797</v>
      </c>
      <c r="D39" s="119">
        <f>TableC4!C37/(C39*1000)</f>
        <v>9.9112445179763697E-2</v>
      </c>
      <c r="E39" s="1482">
        <f>+TableC4!D37/(TableC4c!$C39*1000)</f>
        <v>8.8544849087826449E-2</v>
      </c>
      <c r="F39" s="1483">
        <f t="shared" si="0"/>
        <v>1.0567596091937248E-2</v>
      </c>
      <c r="G39" s="119">
        <f>TableC4!N37/(C39*1000)</f>
        <v>1.0444180949738572E-2</v>
      </c>
      <c r="H39" s="1482">
        <f>+TableC4!O37/(TableC4c!$C39*1000)</f>
        <v>1.1930404108601477E-4</v>
      </c>
      <c r="I39" s="1497">
        <f t="shared" si="1"/>
        <v>1.0324876908652556E-2</v>
      </c>
      <c r="J39" s="9"/>
      <c r="K39" s="9"/>
      <c r="L39" s="9"/>
    </row>
    <row r="40" spans="1:12" ht="14.25" customHeight="1" x14ac:dyDescent="0.2">
      <c r="A40" s="954" t="s">
        <v>336</v>
      </c>
      <c r="B40" s="955" t="s">
        <v>56</v>
      </c>
      <c r="C40" s="1496">
        <f>+TableA2!F37</f>
        <v>11.604550057172386</v>
      </c>
      <c r="D40" s="119">
        <f>TableC4!C38/(C40*1000)</f>
        <v>5.4876195740004671E-2</v>
      </c>
      <c r="E40" s="1482">
        <f>+TableC4!D38/(TableC4c!$C40*1000)</f>
        <v>4.6132394997591329E-2</v>
      </c>
      <c r="F40" s="1483">
        <f t="shared" si="0"/>
        <v>8.7438007424133421E-3</v>
      </c>
      <c r="G40" s="119">
        <f>TableC4!N38/(C40*1000)</f>
        <v>7.749160539083845E-3</v>
      </c>
      <c r="H40" s="1482">
        <f>+TableC4!O38/(TableC4c!$C40*1000)</f>
        <v>7.4436589825125771E-3</v>
      </c>
      <c r="I40" s="1497">
        <f t="shared" si="1"/>
        <v>3.0550155657126793E-4</v>
      </c>
      <c r="J40" s="9"/>
      <c r="K40" s="9"/>
      <c r="L40" s="9"/>
    </row>
    <row r="41" spans="1:12" ht="14.25" customHeight="1" x14ac:dyDescent="0.2">
      <c r="A41" s="954"/>
      <c r="B41" s="955" t="s">
        <v>57</v>
      </c>
      <c r="C41" s="1496">
        <f>+TableA2!F38</f>
        <v>3.417758487410429</v>
      </c>
      <c r="D41" s="119">
        <f>TableC4!C39/(C41*1000)</f>
        <v>6.5920108435978911E-2</v>
      </c>
      <c r="E41" s="1482">
        <f>+TableC4!D39/(TableC4c!$C41*1000)</f>
        <v>3.3677230101842086E-2</v>
      </c>
      <c r="F41" s="1483">
        <f t="shared" si="0"/>
        <v>3.2242878334136825E-2</v>
      </c>
      <c r="G41" s="119">
        <f>TableC4!N39/(C41*1000)</f>
        <v>-2.0646677662107243E-3</v>
      </c>
      <c r="H41" s="1482">
        <f>+TableC4!O39/(TableC4c!$C41*1000)</f>
        <v>-2.2185798133208911E-3</v>
      </c>
      <c r="I41" s="1497">
        <f t="shared" si="1"/>
        <v>1.5391204711016687E-4</v>
      </c>
      <c r="J41" s="9"/>
      <c r="K41" s="9"/>
      <c r="L41" s="9"/>
    </row>
    <row r="42" spans="1:12" ht="14.25" customHeight="1" x14ac:dyDescent="0.2">
      <c r="A42" s="954"/>
      <c r="B42" s="955" t="s">
        <v>58</v>
      </c>
      <c r="C42" s="1496">
        <f>+TableA2!F39</f>
        <v>158.95366208289389</v>
      </c>
      <c r="D42" s="119">
        <f>TableC4!C40/(C42*1000)</f>
        <v>9.0353825966671894E-2</v>
      </c>
      <c r="E42" s="1482">
        <f>+TableC4!D40/(TableC4c!$C42*1000)</f>
        <v>7.1130869507269878E-2</v>
      </c>
      <c r="F42" s="1483">
        <f t="shared" si="0"/>
        <v>1.9222956459402016E-2</v>
      </c>
      <c r="G42" s="119">
        <f>TableC4!N40/(C42*1000)</f>
        <v>1.9501759114671571E-2</v>
      </c>
      <c r="H42" s="1482">
        <f>+TableC4!O40/(TableC4c!$C42*1000)</f>
        <v>6.9382620808117286E-3</v>
      </c>
      <c r="I42" s="1497">
        <f t="shared" si="1"/>
        <v>1.2563497033859842E-2</v>
      </c>
      <c r="J42" s="9"/>
      <c r="K42" s="9"/>
      <c r="L42" s="9"/>
    </row>
    <row r="43" spans="1:12" s="25" customFormat="1" ht="14.25" customHeight="1" x14ac:dyDescent="0.2">
      <c r="A43" s="1109"/>
      <c r="B43" s="1231" t="s">
        <v>59</v>
      </c>
      <c r="C43" s="1496">
        <f>+TableA2!F40</f>
        <v>63.367762356160583</v>
      </c>
      <c r="D43" s="119">
        <f>TableC4!C41/(C43*1000)</f>
        <v>0.13478604483458828</v>
      </c>
      <c r="E43" s="1482">
        <f>+TableC4!D41/(TableC4c!$C43*1000)</f>
        <v>0.10527988007269021</v>
      </c>
      <c r="F43" s="1483">
        <f t="shared" si="0"/>
        <v>2.9506164761898074E-2</v>
      </c>
      <c r="G43" s="119">
        <f>TableC4!N41/(C43*1000)</f>
        <v>0.14964297878240906</v>
      </c>
      <c r="H43" s="1482">
        <f>+TableC4!O41/(TableC4c!$C43*1000)</f>
        <v>0.10631323092791226</v>
      </c>
      <c r="I43" s="1497">
        <f t="shared" si="1"/>
        <v>4.3329747854496808E-2</v>
      </c>
      <c r="J43" s="9"/>
      <c r="K43" s="9"/>
      <c r="L43" s="9"/>
    </row>
    <row r="44" spans="1:12" ht="14.25" customHeight="1" x14ac:dyDescent="0.2">
      <c r="A44" s="954"/>
      <c r="B44" s="955" t="s">
        <v>60</v>
      </c>
      <c r="C44" s="1208"/>
      <c r="D44" s="119"/>
      <c r="E44" s="1482"/>
      <c r="F44" s="1483"/>
      <c r="G44" s="119"/>
      <c r="H44" s="1482"/>
      <c r="I44" s="1497"/>
      <c r="J44" s="9"/>
      <c r="K44" s="9"/>
      <c r="L44" s="9"/>
    </row>
    <row r="45" spans="1:12" ht="14.25" customHeight="1" x14ac:dyDescent="0.2">
      <c r="A45" s="954"/>
      <c r="B45" s="955" t="s">
        <v>61</v>
      </c>
      <c r="C45" s="1496">
        <f>+TableA2!F42</f>
        <v>212.59949330572061</v>
      </c>
      <c r="D45" s="119">
        <f>TableC4!C43/(C45*1000)</f>
        <v>2.3403126429068864E-2</v>
      </c>
      <c r="E45" s="1482">
        <f>+TableC4!D43/(TableC4c!$C45*1000)</f>
        <v>7.6031488383528668E-3</v>
      </c>
      <c r="F45" s="1483">
        <f t="shared" si="0"/>
        <v>1.5799977590715997E-2</v>
      </c>
      <c r="G45" s="119">
        <f>TableC4!N43/(C45*1000)</f>
        <v>2.2016915242835844E-3</v>
      </c>
      <c r="H45" s="1482">
        <f>+TableC4!O43/(TableC4c!$C45*1000)</f>
        <v>2.1097985866528656E-3</v>
      </c>
      <c r="I45" s="1497">
        <f t="shared" si="1"/>
        <v>9.1892937630718829E-5</v>
      </c>
      <c r="J45" s="9"/>
      <c r="K45" s="9"/>
      <c r="L45" s="9"/>
    </row>
    <row r="46" spans="1:12" ht="14.25" customHeight="1" x14ac:dyDescent="0.2">
      <c r="A46" s="954"/>
      <c r="B46" s="955" t="s">
        <v>62</v>
      </c>
      <c r="C46" s="1496">
        <f>+TableA2!F43</f>
        <v>425.05098961874262</v>
      </c>
      <c r="D46" s="119">
        <f>TableC4!C44/(C46*1000)</f>
        <v>0.14469064226438044</v>
      </c>
      <c r="E46" s="1482">
        <f>+TableC4!D44/(TableC4c!$C46*1000)</f>
        <v>0.11421046030645161</v>
      </c>
      <c r="F46" s="1483">
        <f t="shared" si="0"/>
        <v>3.0480181957928829E-2</v>
      </c>
      <c r="G46" s="119">
        <f>TableC4!N44/(C46*1000)</f>
        <v>0.12815050934117811</v>
      </c>
      <c r="H46" s="1482">
        <f>+TableC4!O44/(TableC4c!$C46*1000)</f>
        <v>9.1272208281888839E-2</v>
      </c>
      <c r="I46" s="1497">
        <f t="shared" si="1"/>
        <v>3.687830105928927E-2</v>
      </c>
      <c r="J46" s="9"/>
      <c r="K46" s="9"/>
      <c r="L46" s="9"/>
    </row>
    <row r="47" spans="1:12" ht="14.25" customHeight="1" x14ac:dyDescent="0.2">
      <c r="A47" s="954"/>
      <c r="B47" s="955" t="s">
        <v>63</v>
      </c>
      <c r="C47" s="1496">
        <f>+TableA2!F44</f>
        <v>1889.3969000000002</v>
      </c>
      <c r="D47" s="119">
        <f>TableC4!C45/(C47*1000)</f>
        <v>7.5455458090093075E-2</v>
      </c>
      <c r="E47" s="1482">
        <f>+TableC4!D45/(TableC4c!$C47*1000)</f>
        <v>2.2818456153133465E-2</v>
      </c>
      <c r="F47" s="1483">
        <f t="shared" si="0"/>
        <v>5.263700193695961E-2</v>
      </c>
      <c r="G47" s="119">
        <f>TableC4!N45/(C47*1000)</f>
        <v>0.1616466038900701</v>
      </c>
      <c r="H47" s="1482">
        <f>+TableC4!O45/(TableC4c!$C47*1000)</f>
        <v>9.0840670684687874E-2</v>
      </c>
      <c r="I47" s="1497">
        <f t="shared" si="1"/>
        <v>7.0805933205382227E-2</v>
      </c>
      <c r="J47" s="9"/>
      <c r="K47" s="9"/>
      <c r="L47" s="9"/>
    </row>
    <row r="48" spans="1:12" ht="40" customHeight="1" x14ac:dyDescent="0.2">
      <c r="A48" s="954"/>
      <c r="B48" s="1810" t="s">
        <v>64</v>
      </c>
      <c r="C48" s="1499">
        <f>SUM(C49:C55)</f>
        <v>3157.101545061153</v>
      </c>
      <c r="D48" s="265">
        <f>TableC4!C46/(C48*1000)</f>
        <v>3.2497896070587624E-2</v>
      </c>
      <c r="E48" s="266">
        <f>+TableC4!D46/(TableC4c!$C48*1000)</f>
        <v>7.6553060555098369E-3</v>
      </c>
      <c r="F48" s="427">
        <f t="shared" si="0"/>
        <v>2.4842590015077787E-2</v>
      </c>
      <c r="G48" s="265">
        <f>TableC4!N46/(C48*1000)</f>
        <v>2.0038167292055778E-2</v>
      </c>
      <c r="H48" s="266">
        <f>+TableC4!O46/(TableC4c!$C48*1000)</f>
        <v>2.1379684612975328E-3</v>
      </c>
      <c r="I48" s="641">
        <f t="shared" si="1"/>
        <v>1.7900198830758246E-2</v>
      </c>
      <c r="J48" s="266"/>
      <c r="K48" s="266"/>
      <c r="L48" s="266"/>
    </row>
    <row r="49" spans="1:12" x14ac:dyDescent="0.2">
      <c r="A49" s="954"/>
      <c r="B49" s="933" t="s">
        <v>65</v>
      </c>
      <c r="C49" s="1496">
        <f>+TableA2!F46</f>
        <v>274.33569999999997</v>
      </c>
      <c r="D49" s="119">
        <f>TableC4!C47/(C49*1000)</f>
        <v>5.180537791475745E-2</v>
      </c>
      <c r="E49" s="1482">
        <f>+TableC4!D47/(TableC4c!$C49*1000)</f>
        <v>1.9200665566937374E-2</v>
      </c>
      <c r="F49" s="1483">
        <f t="shared" si="0"/>
        <v>3.2604712347820072E-2</v>
      </c>
      <c r="G49" s="119">
        <f>TableC4!N47/(C49*1000)</f>
        <v>2.4698700731717985E-2</v>
      </c>
      <c r="H49" s="1482">
        <f>+TableC4!O47/(TableC4c!$C49*1000)</f>
        <v>2.3616485554207426E-2</v>
      </c>
      <c r="I49" s="1497">
        <f t="shared" si="1"/>
        <v>1.0822151775105593E-3</v>
      </c>
      <c r="J49" s="9"/>
      <c r="K49" s="9"/>
      <c r="L49" s="9"/>
    </row>
    <row r="50" spans="1:12" x14ac:dyDescent="0.2">
      <c r="A50" s="329" t="s">
        <v>337</v>
      </c>
      <c r="B50" s="955" t="s">
        <v>66</v>
      </c>
      <c r="C50" s="1496">
        <f>+TableA2!F47</f>
        <v>2068.7040725409047</v>
      </c>
      <c r="D50" s="119">
        <f>TableC4!C48/(C50*1000)</f>
        <v>2.9257837664987803E-2</v>
      </c>
      <c r="E50" s="1482">
        <f>+TableC4!D48/(TableC4c!$C50*1000)</f>
        <v>2.9630492037409535E-3</v>
      </c>
      <c r="F50" s="1483">
        <f t="shared" si="0"/>
        <v>2.6294788461246849E-2</v>
      </c>
      <c r="G50" s="119">
        <f>TableC4!N48/(C50*1000)</f>
        <v>2.2002871514941763E-2</v>
      </c>
      <c r="H50" s="1482">
        <f>+TableC4!O48/(TableC4c!$C50*1000)</f>
        <v>3.1082109131057896E-6</v>
      </c>
      <c r="I50" s="1497">
        <f t="shared" si="1"/>
        <v>2.1999763304028658E-2</v>
      </c>
      <c r="J50" s="9"/>
      <c r="K50" s="9"/>
      <c r="L50" s="9"/>
    </row>
    <row r="51" spans="1:12" x14ac:dyDescent="0.2">
      <c r="A51" s="954"/>
      <c r="B51" s="955" t="s">
        <v>67</v>
      </c>
      <c r="C51" s="1496">
        <f>+TableA2!F48</f>
        <v>58.600733808963028</v>
      </c>
      <c r="D51" s="119">
        <f>TableC4!C49/(C51*1000)</f>
        <v>2.3952216095217999E-2</v>
      </c>
      <c r="E51" s="1482">
        <f>+TableC4!D49/(TableC4c!$C51*1000)</f>
        <v>9.7760119106708055E-3</v>
      </c>
      <c r="F51" s="1483">
        <f t="shared" si="0"/>
        <v>1.4176204184547193E-2</v>
      </c>
      <c r="G51" s="119">
        <f>TableC4!N49/(C51*1000)</f>
        <v>1.7046993984228348E-2</v>
      </c>
      <c r="H51" s="1482">
        <f>+TableC4!O49/(TableC4c!$C51*1000)</f>
        <v>-5.0302272680753466E-5</v>
      </c>
      <c r="I51" s="1497">
        <f t="shared" si="1"/>
        <v>1.7097296256909103E-2</v>
      </c>
      <c r="J51" s="9"/>
      <c r="K51" s="9"/>
      <c r="L51" s="9"/>
    </row>
    <row r="52" spans="1:12" x14ac:dyDescent="0.2">
      <c r="A52" s="954"/>
      <c r="B52" s="955" t="s">
        <v>68</v>
      </c>
      <c r="C52" s="1496">
        <f>+TableA2!F49</f>
        <v>13.202740172271037</v>
      </c>
      <c r="D52" s="119">
        <f>TableC4!C50/(C52*1000)</f>
        <v>8.0098523101174837E-2</v>
      </c>
      <c r="E52" s="1482">
        <f>+TableC4!D50/(TableC4c!$C52*1000)</f>
        <v>3.2691927659276532E-2</v>
      </c>
      <c r="F52" s="1483">
        <f t="shared" si="0"/>
        <v>4.7406595441898305E-2</v>
      </c>
      <c r="G52" s="119">
        <f>TableC4!N50/(C52*1000)</f>
        <v>9.0290525180635427E-3</v>
      </c>
      <c r="H52" s="1482">
        <f>+TableC4!O50/(TableC4c!$C52*1000)</f>
        <v>-1.1181643448494339E-4</v>
      </c>
      <c r="I52" s="1497">
        <f t="shared" si="1"/>
        <v>9.1408689525484862E-3</v>
      </c>
      <c r="J52" s="9"/>
      <c r="K52" s="9"/>
      <c r="L52" s="9"/>
    </row>
    <row r="53" spans="1:12" ht="14.25" customHeight="1" x14ac:dyDescent="0.2">
      <c r="A53" s="954"/>
      <c r="B53" s="955" t="s">
        <v>69</v>
      </c>
      <c r="C53" s="1496">
        <f>+TableA2!F50</f>
        <v>376.12710693199818</v>
      </c>
      <c r="D53" s="119">
        <f>TableC4!C51/(C53*1000)</f>
        <v>2.5194671865162534E-2</v>
      </c>
      <c r="E53" s="1482">
        <f>+TableC4!D51/(TableC4c!$C53*1000)</f>
        <v>7.3438781106864677E-3</v>
      </c>
      <c r="F53" s="1483">
        <f t="shared" si="0"/>
        <v>1.7850793754476065E-2</v>
      </c>
      <c r="G53" s="119">
        <f>TableC4!N51/(C53*1000)</f>
        <v>1.2434136106460677E-2</v>
      </c>
      <c r="H53" s="1482">
        <f>+TableC4!O51/(TableC4c!$C53*1000)</f>
        <v>7.6634254273285382E-5</v>
      </c>
      <c r="I53" s="1497">
        <f t="shared" si="1"/>
        <v>1.2357501852187392E-2</v>
      </c>
      <c r="J53" s="9"/>
      <c r="K53" s="9"/>
      <c r="L53" s="9"/>
    </row>
    <row r="54" spans="1:12" ht="14.25" customHeight="1" x14ac:dyDescent="0.2">
      <c r="A54" s="329" t="s">
        <v>338</v>
      </c>
      <c r="B54" s="955" t="s">
        <v>70</v>
      </c>
      <c r="C54" s="1496">
        <f>+TableA2!F51</f>
        <v>289.6640115913587</v>
      </c>
      <c r="D54" s="119">
        <f>TableC4!C52/(C54*1000)</f>
        <v>4.0885660197378881E-2</v>
      </c>
      <c r="E54" s="1482">
        <f>+TableC4!D52/(TableC4c!$C54*1000)</f>
        <v>2.5092404520325327E-2</v>
      </c>
      <c r="F54" s="1483">
        <f t="shared" si="0"/>
        <v>1.5793255677053555E-2</v>
      </c>
      <c r="G54" s="119">
        <f>TableC4!N52/(C54*1000)</f>
        <v>2.6062764902799189E-3</v>
      </c>
      <c r="H54" s="1482">
        <f>+TableC4!O52/(TableC4c!$C54*1000)</f>
        <v>2.4783718886362683E-3</v>
      </c>
      <c r="I54" s="1497">
        <f t="shared" si="1"/>
        <v>1.2790460164365056E-4</v>
      </c>
      <c r="J54" s="9"/>
      <c r="K54" s="9"/>
      <c r="L54" s="9"/>
    </row>
    <row r="55" spans="1:12" ht="14.25" customHeight="1" x14ac:dyDescent="0.2">
      <c r="A55" s="954"/>
      <c r="B55" s="955" t="s">
        <v>71</v>
      </c>
      <c r="C55" s="1496">
        <f>+TableA2!F52</f>
        <v>76.467180015656993</v>
      </c>
      <c r="D55" s="119">
        <f>TableC4!C53/(C55*1000)</f>
        <v>5.3364653087067809E-2</v>
      </c>
      <c r="E55" s="1482">
        <f>+TableC4!D53/(TableC4c!$C55*1000)</f>
        <v>2.2707466290113394E-2</v>
      </c>
      <c r="F55" s="1483">
        <f t="shared" si="0"/>
        <v>3.0657186796954415E-2</v>
      </c>
      <c r="G55" s="119">
        <f>TableC4!N53/(C55*1000)</f>
        <v>5.7795107870260029E-2</v>
      </c>
      <c r="H55" s="1482">
        <f>+TableC4!O53/(TableC4c!$C55*1000)</f>
        <v>-6.2482605280048875E-3</v>
      </c>
      <c r="I55" s="1497">
        <f t="shared" si="1"/>
        <v>6.404336839826491E-2</v>
      </c>
      <c r="J55" s="9"/>
      <c r="K55" s="9"/>
      <c r="L55" s="9"/>
    </row>
    <row r="56" spans="1:12" ht="40" hidden="1" customHeight="1" x14ac:dyDescent="0.2">
      <c r="A56" s="954"/>
      <c r="B56" s="1810" t="s">
        <v>72</v>
      </c>
      <c r="C56" s="299"/>
      <c r="D56" s="157" t="e">
        <f>TableC4!C54/(C56*1000)</f>
        <v>#DIV/0!</v>
      </c>
      <c r="E56" s="1500" t="e">
        <f>+TableC4!D54/(TableC4c!$C56*1000)</f>
        <v>#DIV/0!</v>
      </c>
      <c r="F56" s="1501" t="e">
        <f t="shared" si="0"/>
        <v>#DIV/0!</v>
      </c>
      <c r="G56" s="157" t="e">
        <f>TableC4!N54/(C56*1000)</f>
        <v>#DIV/0!</v>
      </c>
      <c r="H56" s="1500" t="e">
        <f>+TableC4!O54/(TableC4c!$C56*1000)</f>
        <v>#DIV/0!</v>
      </c>
      <c r="I56" s="1502" t="e">
        <f t="shared" si="1"/>
        <v>#DIV/0!</v>
      </c>
      <c r="J56" s="266"/>
      <c r="K56" s="266"/>
      <c r="L56" s="266"/>
    </row>
    <row r="57" spans="1:12" ht="14.25" hidden="1" customHeight="1" x14ac:dyDescent="0.2">
      <c r="A57" s="954"/>
      <c r="B57" s="955" t="s">
        <v>73</v>
      </c>
      <c r="C57" s="1208"/>
      <c r="D57" s="1485" t="e">
        <f>TableC4!C55/(C57*1000)</f>
        <v>#DIV/0!</v>
      </c>
      <c r="E57" s="1500" t="e">
        <f>+TableC4!D55/(TableC4c!$C57*1000)</f>
        <v>#DIV/0!</v>
      </c>
      <c r="F57" s="1483" t="e">
        <f t="shared" si="0"/>
        <v>#DIV/0!</v>
      </c>
      <c r="G57" s="1485" t="e">
        <f>TableC4!N55/(C57*1000)</f>
        <v>#DIV/0!</v>
      </c>
      <c r="H57" s="1500" t="e">
        <f>+TableC4!O55/(TableC4c!$C57*1000)</f>
        <v>#DIV/0!</v>
      </c>
      <c r="I57" s="1497" t="e">
        <f t="shared" si="1"/>
        <v>#DIV/0!</v>
      </c>
      <c r="J57" s="1178"/>
      <c r="K57" s="1178"/>
      <c r="L57" s="1178"/>
    </row>
    <row r="58" spans="1:12" ht="14.25" hidden="1" customHeight="1" x14ac:dyDescent="0.2">
      <c r="A58" s="954"/>
      <c r="B58" s="955" t="s">
        <v>74</v>
      </c>
      <c r="C58" s="1208"/>
      <c r="D58" s="1485" t="e">
        <f>TableC4!C56/(C58*1000)</f>
        <v>#DIV/0!</v>
      </c>
      <c r="E58" s="1500" t="e">
        <f>+TableC4!D56/(TableC4c!$C58*1000)</f>
        <v>#DIV/0!</v>
      </c>
      <c r="F58" s="1483" t="e">
        <f t="shared" si="0"/>
        <v>#DIV/0!</v>
      </c>
      <c r="G58" s="1485" t="e">
        <f>TableC4!N56/(C58*1000)</f>
        <v>#DIV/0!</v>
      </c>
      <c r="H58" s="1500" t="e">
        <f>+TableC4!O56/(TableC4c!$C58*1000)</f>
        <v>#DIV/0!</v>
      </c>
      <c r="I58" s="1497" t="e">
        <f t="shared" si="1"/>
        <v>#DIV/0!</v>
      </c>
      <c r="J58" s="1178"/>
      <c r="K58" s="1178"/>
      <c r="L58" s="1178"/>
    </row>
    <row r="59" spans="1:12" ht="14.25" hidden="1" customHeight="1" x14ac:dyDescent="0.2">
      <c r="A59" s="954"/>
      <c r="B59" s="955" t="str">
        <f>+TableA1!A56</f>
        <v>Antigua and Barbuda</v>
      </c>
      <c r="C59" s="1208"/>
      <c r="D59" s="1485" t="e">
        <f>TableC4!C57/(C59*1000)</f>
        <v>#DIV/0!</v>
      </c>
      <c r="E59" s="1500" t="e">
        <f>+TableC4!D57/(TableC4c!$C59*1000)</f>
        <v>#DIV/0!</v>
      </c>
      <c r="F59" s="1483" t="e">
        <f t="shared" si="0"/>
        <v>#DIV/0!</v>
      </c>
      <c r="G59" s="1485" t="e">
        <f>TableC4!N57/(C59*1000)</f>
        <v>#DIV/0!</v>
      </c>
      <c r="H59" s="1500" t="e">
        <f>+TableC4!O57/(TableC4c!$C59*1000)</f>
        <v>#DIV/0!</v>
      </c>
      <c r="I59" s="1497" t="e">
        <f t="shared" si="1"/>
        <v>#DIV/0!</v>
      </c>
      <c r="J59" s="1178"/>
      <c r="K59" s="1178"/>
      <c r="L59" s="1178"/>
    </row>
    <row r="60" spans="1:12" ht="14.25" hidden="1" customHeight="1" x14ac:dyDescent="0.2">
      <c r="A60" s="954"/>
      <c r="B60" s="955" t="s">
        <v>76</v>
      </c>
      <c r="C60" s="1208"/>
      <c r="D60" s="1485" t="e">
        <f>TableC4!C58/(C60*1000)</f>
        <v>#DIV/0!</v>
      </c>
      <c r="E60" s="1500" t="e">
        <f>+TableC4!D58/(TableC4c!$C60*1000)</f>
        <v>#DIV/0!</v>
      </c>
      <c r="F60" s="1483" t="e">
        <f t="shared" si="0"/>
        <v>#DIV/0!</v>
      </c>
      <c r="G60" s="1485" t="e">
        <f>TableC4!N58/(C60*1000)</f>
        <v>#DIV/0!</v>
      </c>
      <c r="H60" s="1500" t="e">
        <f>+TableC4!O58/(TableC4c!$C60*1000)</f>
        <v>#DIV/0!</v>
      </c>
      <c r="I60" s="1497" t="e">
        <f t="shared" si="1"/>
        <v>#DIV/0!</v>
      </c>
      <c r="J60" s="1178"/>
      <c r="K60" s="1178"/>
      <c r="L60" s="1178"/>
    </row>
    <row r="61" spans="1:12" ht="14.25" hidden="1" customHeight="1" x14ac:dyDescent="0.2">
      <c r="A61" s="329" t="s">
        <v>77</v>
      </c>
      <c r="B61" s="955" t="s">
        <v>152</v>
      </c>
      <c r="C61" s="1208"/>
      <c r="D61" s="1485" t="e">
        <f>TableC4!C59/(C61*1000)</f>
        <v>#DIV/0!</v>
      </c>
      <c r="E61" s="1500" t="e">
        <f>+TableC4!D59/(TableC4c!$C61*1000)</f>
        <v>#DIV/0!</v>
      </c>
      <c r="F61" s="1483" t="e">
        <f t="shared" si="0"/>
        <v>#DIV/0!</v>
      </c>
      <c r="G61" s="1485" t="e">
        <f>TableC4!N59/(C61*1000)</f>
        <v>#DIV/0!</v>
      </c>
      <c r="H61" s="1500" t="e">
        <f>+TableC4!O59/(TableC4c!$C61*1000)</f>
        <v>#DIV/0!</v>
      </c>
      <c r="I61" s="1497" t="e">
        <f t="shared" si="1"/>
        <v>#DIV/0!</v>
      </c>
      <c r="J61" s="1178"/>
      <c r="K61" s="1178"/>
      <c r="L61" s="1178"/>
    </row>
    <row r="62" spans="1:12" ht="14.25" hidden="1" customHeight="1" x14ac:dyDescent="0.2">
      <c r="A62" s="329" t="s">
        <v>340</v>
      </c>
      <c r="B62" s="955" t="s">
        <v>78</v>
      </c>
      <c r="C62" s="1208"/>
      <c r="D62" s="1485" t="e">
        <f>TableC4!C60/(C62*1000)</f>
        <v>#DIV/0!</v>
      </c>
      <c r="E62" s="1500" t="e">
        <f>+TableC4!D60/(TableC4c!$C62*1000)</f>
        <v>#DIV/0!</v>
      </c>
      <c r="F62" s="1483" t="e">
        <f t="shared" si="0"/>
        <v>#DIV/0!</v>
      </c>
      <c r="G62" s="1485" t="e">
        <f>TableC4!N60/(C62*1000)</f>
        <v>#DIV/0!</v>
      </c>
      <c r="H62" s="1500" t="e">
        <f>+TableC4!O60/(TableC4c!$C62*1000)</f>
        <v>#DIV/0!</v>
      </c>
      <c r="I62" s="1497" t="e">
        <f t="shared" si="1"/>
        <v>#DIV/0!</v>
      </c>
      <c r="J62" s="1178"/>
      <c r="K62" s="1178"/>
      <c r="L62" s="1178"/>
    </row>
    <row r="63" spans="1:12" ht="14.25" hidden="1" customHeight="1" x14ac:dyDescent="0.2">
      <c r="A63" s="954"/>
      <c r="B63" s="955" t="str">
        <f>+TableA1!A60</f>
        <v>Barbados</v>
      </c>
      <c r="C63" s="1208"/>
      <c r="D63" s="1485" t="e">
        <f>TableC4!C61/(C63*1000)</f>
        <v>#DIV/0!</v>
      </c>
      <c r="E63" s="1500" t="e">
        <f>+TableC4!D61/(TableC4c!$C63*1000)</f>
        <v>#DIV/0!</v>
      </c>
      <c r="F63" s="1483" t="e">
        <f t="shared" si="0"/>
        <v>#DIV/0!</v>
      </c>
      <c r="G63" s="1485" t="e">
        <f>TableC4!N61/(C63*1000)</f>
        <v>#DIV/0!</v>
      </c>
      <c r="H63" s="1500" t="e">
        <f>+TableC4!O61/(TableC4c!$C63*1000)</f>
        <v>#DIV/0!</v>
      </c>
      <c r="I63" s="1497" t="e">
        <f t="shared" si="1"/>
        <v>#DIV/0!</v>
      </c>
      <c r="J63" s="1178"/>
      <c r="K63" s="1178"/>
      <c r="L63" s="1178"/>
    </row>
    <row r="64" spans="1:12" ht="14.25" hidden="1" customHeight="1" x14ac:dyDescent="0.2">
      <c r="A64" s="954"/>
      <c r="B64" s="955" t="s">
        <v>80</v>
      </c>
      <c r="C64" s="1208"/>
      <c r="D64" s="1485" t="e">
        <f>TableC4!C62/(C64*1000)</f>
        <v>#DIV/0!</v>
      </c>
      <c r="E64" s="1500" t="e">
        <f>+TableC4!D62/(TableC4c!$C64*1000)</f>
        <v>#DIV/0!</v>
      </c>
      <c r="F64" s="1483" t="e">
        <f t="shared" si="0"/>
        <v>#DIV/0!</v>
      </c>
      <c r="G64" s="1485" t="e">
        <f>TableC4!N62/(C64*1000)</f>
        <v>#DIV/0!</v>
      </c>
      <c r="H64" s="1500" t="e">
        <f>+TableC4!O62/(TableC4c!$C64*1000)</f>
        <v>#DIV/0!</v>
      </c>
      <c r="I64" s="1497" t="e">
        <f t="shared" si="1"/>
        <v>#DIV/0!</v>
      </c>
      <c r="J64" s="1178"/>
      <c r="K64" s="1178"/>
      <c r="L64" s="1178"/>
    </row>
    <row r="65" spans="1:12" ht="14.25" hidden="1" customHeight="1" x14ac:dyDescent="0.2">
      <c r="A65" s="954"/>
      <c r="B65" s="955" t="s">
        <v>81</v>
      </c>
      <c r="C65" s="1208"/>
      <c r="D65" s="1485" t="e">
        <f>TableC4!C63/(C65*1000)</f>
        <v>#DIV/0!</v>
      </c>
      <c r="E65" s="1500" t="e">
        <f>+TableC4!D63/(TableC4c!$C65*1000)</f>
        <v>#DIV/0!</v>
      </c>
      <c r="F65" s="1483" t="e">
        <f t="shared" si="0"/>
        <v>#DIV/0!</v>
      </c>
      <c r="G65" s="1485" t="e">
        <f>TableC4!N63/(C65*1000)</f>
        <v>#DIV/0!</v>
      </c>
      <c r="H65" s="1500" t="e">
        <f>+TableC4!O63/(TableC4c!$C65*1000)</f>
        <v>#DIV/0!</v>
      </c>
      <c r="I65" s="1497" t="e">
        <f t="shared" si="1"/>
        <v>#DIV/0!</v>
      </c>
      <c r="J65" s="1178"/>
      <c r="K65" s="1178"/>
      <c r="L65" s="1178"/>
    </row>
    <row r="66" spans="1:12" ht="14.25" hidden="1" customHeight="1" x14ac:dyDescent="0.2">
      <c r="A66" s="329" t="s">
        <v>645</v>
      </c>
      <c r="B66" s="955" t="s">
        <v>82</v>
      </c>
      <c r="C66" s="1208"/>
      <c r="D66" s="1485" t="e">
        <f>TableC4!C64/(C66*1000)</f>
        <v>#DIV/0!</v>
      </c>
      <c r="E66" s="1500" t="e">
        <f>+TableC4!D64/(TableC4c!$C66*1000)</f>
        <v>#DIV/0!</v>
      </c>
      <c r="F66" s="1483" t="e">
        <f t="shared" si="0"/>
        <v>#DIV/0!</v>
      </c>
      <c r="G66" s="1485" t="e">
        <f>TableC4!N64/(C66*1000)</f>
        <v>#DIV/0!</v>
      </c>
      <c r="H66" s="1500" t="e">
        <f>+TableC4!O64/(TableC4c!$C66*1000)</f>
        <v>#DIV/0!</v>
      </c>
      <c r="I66" s="1497" t="e">
        <f t="shared" si="1"/>
        <v>#DIV/0!</v>
      </c>
      <c r="J66" s="1178"/>
      <c r="K66" s="1178"/>
      <c r="L66" s="1178"/>
    </row>
    <row r="67" spans="1:12" ht="14.25" hidden="1" customHeight="1" x14ac:dyDescent="0.2">
      <c r="A67" s="329" t="s">
        <v>372</v>
      </c>
      <c r="B67" s="955" t="s">
        <v>153</v>
      </c>
      <c r="C67" s="1208"/>
      <c r="D67" s="1485" t="e">
        <f>TableC4!C65/(C67*1000)</f>
        <v>#DIV/0!</v>
      </c>
      <c r="E67" s="1500" t="e">
        <f>+TableC4!D65/(TableC4c!$C67*1000)</f>
        <v>#DIV/0!</v>
      </c>
      <c r="F67" s="1483" t="e">
        <f t="shared" si="0"/>
        <v>#DIV/0!</v>
      </c>
      <c r="G67" s="1485" t="e">
        <f>TableC4!N65/(C67*1000)</f>
        <v>#DIV/0!</v>
      </c>
      <c r="H67" s="1500" t="e">
        <f>+TableC4!O65/(TableC4c!$C67*1000)</f>
        <v>#DIV/0!</v>
      </c>
      <c r="I67" s="1497" t="e">
        <f t="shared" si="1"/>
        <v>#DIV/0!</v>
      </c>
      <c r="J67" s="1178"/>
      <c r="K67" s="1178"/>
      <c r="L67" s="1178"/>
    </row>
    <row r="68" spans="1:12" ht="14.25" hidden="1" customHeight="1" x14ac:dyDescent="0.2">
      <c r="A68" s="954"/>
      <c r="B68" s="123" t="s">
        <v>84</v>
      </c>
      <c r="C68" s="643"/>
      <c r="D68" s="638" t="e">
        <f>TableC4!C66/(C68*1000)</f>
        <v>#DIV/0!</v>
      </c>
      <c r="E68" s="1500" t="e">
        <f>+TableC4!D66/(TableC4c!$C68*1000)</f>
        <v>#DIV/0!</v>
      </c>
      <c r="F68" s="1483" t="e">
        <f t="shared" si="0"/>
        <v>#DIV/0!</v>
      </c>
      <c r="G68" s="638" t="e">
        <f>TableC4!N66/(C68*1000)</f>
        <v>#DIV/0!</v>
      </c>
      <c r="H68" s="1500" t="e">
        <f>+TableC4!O66/(TableC4c!$C68*1000)</f>
        <v>#DIV/0!</v>
      </c>
      <c r="I68" s="1497" t="e">
        <f t="shared" si="1"/>
        <v>#DIV/0!</v>
      </c>
      <c r="J68" s="1178"/>
      <c r="K68" s="1178"/>
      <c r="L68" s="1178"/>
    </row>
    <row r="69" spans="1:12" ht="14.25" hidden="1" customHeight="1" x14ac:dyDescent="0.2">
      <c r="A69" s="954"/>
      <c r="B69" s="955" t="s">
        <v>85</v>
      </c>
      <c r="C69" s="1208"/>
      <c r="D69" s="1485" t="e">
        <f>TableC4!C67/(C69*1000)</f>
        <v>#DIV/0!</v>
      </c>
      <c r="E69" s="1500" t="e">
        <f>+TableC4!D67/(TableC4c!$C69*1000)</f>
        <v>#DIV/0!</v>
      </c>
      <c r="F69" s="1483" t="e">
        <f t="shared" si="0"/>
        <v>#DIV/0!</v>
      </c>
      <c r="G69" s="1485" t="e">
        <f>TableC4!N67/(C69*1000)</f>
        <v>#DIV/0!</v>
      </c>
      <c r="H69" s="1500" t="e">
        <f>+TableC4!O67/(TableC4c!$C69*1000)</f>
        <v>#DIV/0!</v>
      </c>
      <c r="I69" s="1497" t="e">
        <f t="shared" si="1"/>
        <v>#DIV/0!</v>
      </c>
      <c r="J69" s="1178"/>
      <c r="K69" s="1178"/>
      <c r="L69" s="1178"/>
    </row>
    <row r="70" spans="1:12" ht="14.25" hidden="1" customHeight="1" x14ac:dyDescent="0.2">
      <c r="A70" s="954"/>
      <c r="B70" s="955" t="str">
        <f>+TableA1!A67</f>
        <v>Cyprus</v>
      </c>
      <c r="C70" s="1208"/>
      <c r="D70" s="1485" t="e">
        <f>TableC4!C68/(C70*1000)</f>
        <v>#DIV/0!</v>
      </c>
      <c r="E70" s="1500" t="e">
        <f>+TableC4!D68/(TableC4c!$C70*1000)</f>
        <v>#DIV/0!</v>
      </c>
      <c r="F70" s="1483" t="e">
        <f t="shared" si="0"/>
        <v>#DIV/0!</v>
      </c>
      <c r="G70" s="1485" t="e">
        <f>TableC4!N68/(C70*1000)</f>
        <v>#DIV/0!</v>
      </c>
      <c r="H70" s="1500" t="e">
        <f>+TableC4!O68/(TableC4c!$C70*1000)</f>
        <v>#DIV/0!</v>
      </c>
      <c r="I70" s="1497" t="e">
        <f t="shared" si="1"/>
        <v>#DIV/0!</v>
      </c>
      <c r="J70" s="1178"/>
      <c r="K70" s="1178"/>
      <c r="L70" s="1178"/>
    </row>
    <row r="71" spans="1:12" ht="14.25" hidden="1" customHeight="1" x14ac:dyDescent="0.2">
      <c r="A71" s="954"/>
      <c r="B71" s="955" t="s">
        <v>87</v>
      </c>
      <c r="C71" s="1208"/>
      <c r="D71" s="1485" t="e">
        <f>TableC4!C69/(C71*1000)</f>
        <v>#DIV/0!</v>
      </c>
      <c r="E71" s="1500" t="e">
        <f>+TableC4!D69/(TableC4c!$C71*1000)</f>
        <v>#DIV/0!</v>
      </c>
      <c r="F71" s="1483" t="e">
        <f t="shared" si="0"/>
        <v>#DIV/0!</v>
      </c>
      <c r="G71" s="1485" t="e">
        <f>TableC4!N69/(C71*1000)</f>
        <v>#DIV/0!</v>
      </c>
      <c r="H71" s="1500" t="e">
        <f>+TableC4!O69/(TableC4c!$C71*1000)</f>
        <v>#DIV/0!</v>
      </c>
      <c r="I71" s="1497" t="e">
        <f t="shared" si="1"/>
        <v>#DIV/0!</v>
      </c>
      <c r="J71" s="1178"/>
      <c r="K71" s="1178"/>
      <c r="L71" s="1178"/>
    </row>
    <row r="72" spans="1:12" ht="14.25" hidden="1" customHeight="1" x14ac:dyDescent="0.2">
      <c r="A72" s="954"/>
      <c r="B72" s="955" t="str">
        <f>+TableA1!A69</f>
        <v>Grenada</v>
      </c>
      <c r="C72" s="1208"/>
      <c r="D72" s="1485" t="e">
        <f>TableC4!C70/(C72*1000)</f>
        <v>#DIV/0!</v>
      </c>
      <c r="E72" s="1500" t="e">
        <f>+TableC4!D70/(TableC4c!$C72*1000)</f>
        <v>#DIV/0!</v>
      </c>
      <c r="F72" s="1483" t="e">
        <f t="shared" si="0"/>
        <v>#DIV/0!</v>
      </c>
      <c r="G72" s="1485" t="e">
        <f>TableC4!N70/(C72*1000)</f>
        <v>#DIV/0!</v>
      </c>
      <c r="H72" s="1500" t="e">
        <f>+TableC4!O70/(TableC4c!$C72*1000)</f>
        <v>#DIV/0!</v>
      </c>
      <c r="I72" s="1497" t="e">
        <f t="shared" si="1"/>
        <v>#DIV/0!</v>
      </c>
      <c r="J72" s="1178"/>
      <c r="K72" s="1178"/>
      <c r="L72" s="1178"/>
    </row>
    <row r="73" spans="1:12" ht="14.25" hidden="1" customHeight="1" x14ac:dyDescent="0.2">
      <c r="A73" s="954"/>
      <c r="B73" s="955" t="s">
        <v>89</v>
      </c>
      <c r="C73" s="1208"/>
      <c r="D73" s="1485" t="e">
        <f>TableC4!C71/(C73*1000)</f>
        <v>#DIV/0!</v>
      </c>
      <c r="E73" s="1500" t="e">
        <f>+TableC4!D71/(TableC4c!$C73*1000)</f>
        <v>#DIV/0!</v>
      </c>
      <c r="F73" s="1483" t="e">
        <f t="shared" si="0"/>
        <v>#DIV/0!</v>
      </c>
      <c r="G73" s="1485" t="e">
        <f>TableC4!N71/(C73*1000)</f>
        <v>#DIV/0!</v>
      </c>
      <c r="H73" s="1500" t="e">
        <f>+TableC4!O71/(TableC4c!$C73*1000)</f>
        <v>#DIV/0!</v>
      </c>
      <c r="I73" s="1497" t="e">
        <f t="shared" si="1"/>
        <v>#DIV/0!</v>
      </c>
      <c r="J73" s="1178"/>
      <c r="K73" s="1178"/>
      <c r="L73" s="1178"/>
    </row>
    <row r="74" spans="1:12" ht="14.25" hidden="1" customHeight="1" x14ac:dyDescent="0.2">
      <c r="A74" s="329" t="s">
        <v>90</v>
      </c>
      <c r="B74" s="955" t="s">
        <v>154</v>
      </c>
      <c r="C74" s="1208"/>
      <c r="D74" s="1485" t="e">
        <f>TableC4!C72/(C74*1000)</f>
        <v>#DIV/0!</v>
      </c>
      <c r="E74" s="1500" t="e">
        <f>+TableC4!D72/(TableC4c!$C74*1000)</f>
        <v>#DIV/0!</v>
      </c>
      <c r="F74" s="1483" t="e">
        <f t="shared" si="0"/>
        <v>#DIV/0!</v>
      </c>
      <c r="G74" s="1485" t="e">
        <f>TableC4!N72/(C74*1000)</f>
        <v>#DIV/0!</v>
      </c>
      <c r="H74" s="1500" t="e">
        <f>+TableC4!O72/(TableC4c!$C74*1000)</f>
        <v>#DIV/0!</v>
      </c>
      <c r="I74" s="1497" t="e">
        <f t="shared" si="1"/>
        <v>#DIV/0!</v>
      </c>
      <c r="J74" s="1178"/>
      <c r="K74" s="1178"/>
      <c r="L74"/>
    </row>
    <row r="75" spans="1:12" ht="14.25" hidden="1" customHeight="1" x14ac:dyDescent="0.2">
      <c r="A75" s="329" t="s">
        <v>341</v>
      </c>
      <c r="B75" s="955" t="s">
        <v>91</v>
      </c>
      <c r="C75" s="1208"/>
      <c r="D75" s="1485" t="e">
        <f>TableC4!C73/(C75*1000)</f>
        <v>#DIV/0!</v>
      </c>
      <c r="E75" s="1500" t="e">
        <f>+TableC4!D73/(TableC4c!$C75*1000)</f>
        <v>#DIV/0!</v>
      </c>
      <c r="F75" s="1483" t="e">
        <f t="shared" si="0"/>
        <v>#DIV/0!</v>
      </c>
      <c r="G75" s="1485" t="e">
        <f>TableC4!N73/(C75*1000)</f>
        <v>#DIV/0!</v>
      </c>
      <c r="H75" s="1500" t="e">
        <f>+TableC4!O73/(TableC4c!$C75*1000)</f>
        <v>#DIV/0!</v>
      </c>
      <c r="I75" s="1497" t="e">
        <f t="shared" si="1"/>
        <v>#DIV/0!</v>
      </c>
      <c r="J75" s="1178"/>
      <c r="K75" s="1178"/>
      <c r="L75"/>
    </row>
    <row r="76" spans="1:12" ht="14.25" hidden="1" customHeight="1" x14ac:dyDescent="0.2">
      <c r="A76" s="954"/>
      <c r="B76" s="955" t="s">
        <v>92</v>
      </c>
      <c r="C76" s="1208"/>
      <c r="D76" s="1485" t="e">
        <f>TableC4!C74/(C76*1000)</f>
        <v>#DIV/0!</v>
      </c>
      <c r="E76" s="1500" t="e">
        <f>+TableC4!D74/(TableC4c!$C76*1000)</f>
        <v>#DIV/0!</v>
      </c>
      <c r="F76" s="1483" t="e">
        <f t="shared" si="0"/>
        <v>#DIV/0!</v>
      </c>
      <c r="G76" s="1485" t="e">
        <f>TableC4!N74/(C76*1000)</f>
        <v>#DIV/0!</v>
      </c>
      <c r="H76" s="1500" t="e">
        <f>+TableC4!O74/(TableC4c!$C76*1000)</f>
        <v>#DIV/0!</v>
      </c>
      <c r="I76" s="1497" t="e">
        <f t="shared" si="1"/>
        <v>#DIV/0!</v>
      </c>
      <c r="J76" s="1178"/>
      <c r="K76" s="1178"/>
      <c r="L76"/>
    </row>
    <row r="77" spans="1:12" ht="14.25" hidden="1" customHeight="1" x14ac:dyDescent="0.2">
      <c r="A77" s="954"/>
      <c r="B77" s="955" t="s">
        <v>93</v>
      </c>
      <c r="C77" s="1208"/>
      <c r="D77" s="1485" t="e">
        <f>TableC4!C75/(C77*1000)</f>
        <v>#DIV/0!</v>
      </c>
      <c r="E77" s="1500" t="e">
        <f>+TableC4!D75/(TableC4c!$C77*1000)</f>
        <v>#DIV/0!</v>
      </c>
      <c r="F77" s="1483" t="e">
        <f t="shared" ref="F77:F95" si="2">+D77-E77</f>
        <v>#DIV/0!</v>
      </c>
      <c r="G77" s="1485" t="e">
        <f>TableC4!N75/(C77*1000)</f>
        <v>#DIV/0!</v>
      </c>
      <c r="H77" s="1500" t="e">
        <f>+TableC4!O75/(TableC4c!$C77*1000)</f>
        <v>#DIV/0!</v>
      </c>
      <c r="I77" s="1497" t="e">
        <f t="shared" ref="I77:I95" si="3">+G77-H77</f>
        <v>#DIV/0!</v>
      </c>
      <c r="J77" s="1178"/>
      <c r="K77" s="1178"/>
      <c r="L77"/>
    </row>
    <row r="78" spans="1:12" ht="14.25" hidden="1" customHeight="1" x14ac:dyDescent="0.2">
      <c r="A78" s="954"/>
      <c r="B78" s="955" t="s">
        <v>94</v>
      </c>
      <c r="C78" s="1208"/>
      <c r="D78" s="1485" t="e">
        <f>TableC4!C76/(C78*1000)</f>
        <v>#DIV/0!</v>
      </c>
      <c r="E78" s="1500" t="e">
        <f>+TableC4!D76/(TableC4c!$C78*1000)</f>
        <v>#DIV/0!</v>
      </c>
      <c r="F78" s="1483" t="e">
        <f t="shared" si="2"/>
        <v>#DIV/0!</v>
      </c>
      <c r="G78" s="1485" t="e">
        <f>TableC4!N76/(C78*1000)</f>
        <v>#DIV/0!</v>
      </c>
      <c r="H78" s="1500" t="e">
        <f>+TableC4!O76/(TableC4c!$C78*1000)</f>
        <v>#DIV/0!</v>
      </c>
      <c r="I78" s="1497" t="e">
        <f t="shared" si="3"/>
        <v>#DIV/0!</v>
      </c>
      <c r="J78" s="1178"/>
      <c r="K78" s="1178"/>
      <c r="L78"/>
    </row>
    <row r="79" spans="1:12" ht="14.25" hidden="1" customHeight="1" x14ac:dyDescent="0.2">
      <c r="A79" s="329" t="s">
        <v>342</v>
      </c>
      <c r="B79" s="955" t="s">
        <v>95</v>
      </c>
      <c r="C79" s="1208"/>
      <c r="D79" s="1485" t="e">
        <f>TableC4!C77/(C79*1000)</f>
        <v>#DIV/0!</v>
      </c>
      <c r="E79" s="1500" t="e">
        <f>+TableC4!D77/(TableC4c!$C79*1000)</f>
        <v>#DIV/0!</v>
      </c>
      <c r="F79" s="1483" t="e">
        <f t="shared" si="2"/>
        <v>#DIV/0!</v>
      </c>
      <c r="G79" s="1485" t="e">
        <f>TableC4!N77/(C79*1000)</f>
        <v>#DIV/0!</v>
      </c>
      <c r="H79" s="1500" t="e">
        <f>+TableC4!O77/(TableC4c!$C79*1000)</f>
        <v>#DIV/0!</v>
      </c>
      <c r="I79" s="1497" t="e">
        <f t="shared" si="3"/>
        <v>#DIV/0!</v>
      </c>
      <c r="J79" s="1178"/>
      <c r="K79" s="1178"/>
      <c r="L79"/>
    </row>
    <row r="80" spans="1:12" ht="14.25" hidden="1" customHeight="1" x14ac:dyDescent="0.2">
      <c r="A80" s="954"/>
      <c r="B80" s="955" t="s">
        <v>96</v>
      </c>
      <c r="C80" s="1208"/>
      <c r="D80" s="1485" t="e">
        <f>TableC4!C78/(C80*1000)</f>
        <v>#DIV/0!</v>
      </c>
      <c r="E80" s="1500" t="e">
        <f>+TableC4!D78/(TableC4c!$C80*1000)</f>
        <v>#DIV/0!</v>
      </c>
      <c r="F80" s="1483" t="e">
        <f t="shared" si="2"/>
        <v>#DIV/0!</v>
      </c>
      <c r="G80" s="1485" t="e">
        <f>TableC4!N78/(C80*1000)</f>
        <v>#DIV/0!</v>
      </c>
      <c r="H80" s="1500" t="e">
        <f>+TableC4!O78/(TableC4c!$C80*1000)</f>
        <v>#DIV/0!</v>
      </c>
      <c r="I80" s="1497" t="e">
        <f t="shared" si="3"/>
        <v>#DIV/0!</v>
      </c>
      <c r="J80" s="1178"/>
      <c r="K80" s="1178"/>
      <c r="L80" s="1178"/>
    </row>
    <row r="81" spans="1:12" ht="14.25" hidden="1" customHeight="1" x14ac:dyDescent="0.2">
      <c r="A81" s="329" t="s">
        <v>373</v>
      </c>
      <c r="B81" s="955" t="s">
        <v>97</v>
      </c>
      <c r="C81" s="1208"/>
      <c r="D81" s="1485" t="e">
        <f>TableC4!C79/(C81*1000)</f>
        <v>#DIV/0!</v>
      </c>
      <c r="E81" s="1500" t="e">
        <f>+TableC4!D79/(TableC4c!$C81*1000)</f>
        <v>#DIV/0!</v>
      </c>
      <c r="F81" s="1483" t="e">
        <f t="shared" si="2"/>
        <v>#DIV/0!</v>
      </c>
      <c r="G81" s="1485" t="e">
        <f>TableC4!N79/(C81*1000)</f>
        <v>#DIV/0!</v>
      </c>
      <c r="H81" s="1500" t="e">
        <f>+TableC4!O79/(TableC4c!$C81*1000)</f>
        <v>#DIV/0!</v>
      </c>
      <c r="I81" s="1497" t="e">
        <f t="shared" si="3"/>
        <v>#DIV/0!</v>
      </c>
      <c r="J81" s="1178"/>
      <c r="K81" s="1178"/>
      <c r="L81" s="1178"/>
    </row>
    <row r="82" spans="1:12" ht="14.25" hidden="1" customHeight="1" x14ac:dyDescent="0.2">
      <c r="A82" s="954"/>
      <c r="B82" s="955" t="str">
        <f>+TableA1!A79</f>
        <v>Monaco</v>
      </c>
      <c r="C82" s="1208"/>
      <c r="D82" s="1485" t="e">
        <f>TableC4!C80/(C82*1000)</f>
        <v>#DIV/0!</v>
      </c>
      <c r="E82" s="1500" t="e">
        <f>+TableC4!D80/(TableC4c!$C82*1000)</f>
        <v>#DIV/0!</v>
      </c>
      <c r="F82" s="1483" t="e">
        <f t="shared" si="2"/>
        <v>#DIV/0!</v>
      </c>
      <c r="G82" s="1485" t="e">
        <f>TableC4!N80/(C82*1000)</f>
        <v>#DIV/0!</v>
      </c>
      <c r="H82" s="1500" t="e">
        <f>+TableC4!O80/(TableC4c!$C82*1000)</f>
        <v>#DIV/0!</v>
      </c>
      <c r="I82" s="1497" t="e">
        <f t="shared" si="3"/>
        <v>#DIV/0!</v>
      </c>
      <c r="J82" s="1178"/>
      <c r="K82" s="1178"/>
      <c r="L82" s="1178"/>
    </row>
    <row r="83" spans="1:12" ht="14.25" hidden="1" customHeight="1" x14ac:dyDescent="0.2">
      <c r="A83" s="954"/>
      <c r="B83" s="955" t="s">
        <v>99</v>
      </c>
      <c r="C83" s="1208"/>
      <c r="D83" s="1485" t="e">
        <f>TableC4!C81/(C83*1000)</f>
        <v>#DIV/0!</v>
      </c>
      <c r="E83" s="1500" t="e">
        <f>+TableC4!D81/(TableC4c!$C83*1000)</f>
        <v>#DIV/0!</v>
      </c>
      <c r="F83" s="1483" t="e">
        <f t="shared" si="2"/>
        <v>#DIV/0!</v>
      </c>
      <c r="G83" s="1485" t="e">
        <f>TableC4!N81/(C83*1000)</f>
        <v>#DIV/0!</v>
      </c>
      <c r="H83" s="1500" t="e">
        <f>+TableC4!O81/(TableC4c!$C83*1000)</f>
        <v>#DIV/0!</v>
      </c>
      <c r="I83" s="1497" t="e">
        <f t="shared" si="3"/>
        <v>#DIV/0!</v>
      </c>
      <c r="J83" s="1178"/>
      <c r="K83" s="1178"/>
      <c r="L83" s="1178"/>
    </row>
    <row r="84" spans="1:12" ht="14.25" hidden="1" customHeight="1" x14ac:dyDescent="0.2">
      <c r="A84" s="954"/>
      <c r="B84" s="955" t="s">
        <v>100</v>
      </c>
      <c r="C84" s="1208"/>
      <c r="D84" s="1485" t="e">
        <f>TableC4!C82/(C84*1000)</f>
        <v>#DIV/0!</v>
      </c>
      <c r="E84" s="1500" t="e">
        <f>+TableC4!D82/(TableC4c!$C84*1000)</f>
        <v>#DIV/0!</v>
      </c>
      <c r="F84" s="1483" t="e">
        <f t="shared" si="2"/>
        <v>#DIV/0!</v>
      </c>
      <c r="G84" s="1485" t="e">
        <f>TableC4!N82/(C84*1000)</f>
        <v>#DIV/0!</v>
      </c>
      <c r="H84" s="1500" t="e">
        <f>+TableC4!O82/(TableC4c!$C84*1000)</f>
        <v>#DIV/0!</v>
      </c>
      <c r="I84" s="1497" t="e">
        <f t="shared" si="3"/>
        <v>#DIV/0!</v>
      </c>
      <c r="J84" s="1178"/>
      <c r="K84" s="1178"/>
      <c r="L84" s="1178"/>
    </row>
    <row r="85" spans="1:12" ht="14.25" hidden="1" customHeight="1" x14ac:dyDescent="0.2">
      <c r="A85" s="954"/>
      <c r="B85" s="955" t="str">
        <f>+TableA1!A82</f>
        <v>Seychelles</v>
      </c>
      <c r="C85" s="1208"/>
      <c r="D85" s="1485" t="e">
        <f>TableC4!C83/(C85*1000)</f>
        <v>#DIV/0!</v>
      </c>
      <c r="E85" s="1500" t="e">
        <f>+TableC4!D83/(TableC4c!$C85*1000)</f>
        <v>#DIV/0!</v>
      </c>
      <c r="F85" s="1483" t="e">
        <f t="shared" si="2"/>
        <v>#DIV/0!</v>
      </c>
      <c r="G85" s="1485" t="e">
        <f>TableC4!N83/(C85*1000)</f>
        <v>#DIV/0!</v>
      </c>
      <c r="H85" s="1500" t="e">
        <f>+TableC4!O83/(TableC4c!$C85*1000)</f>
        <v>#DIV/0!</v>
      </c>
      <c r="I85" s="1497" t="e">
        <f t="shared" si="3"/>
        <v>#DIV/0!</v>
      </c>
      <c r="J85" s="1178"/>
      <c r="K85" s="1178"/>
      <c r="L85" s="1178"/>
    </row>
    <row r="86" spans="1:12" hidden="1" x14ac:dyDescent="0.2">
      <c r="A86" s="954"/>
      <c r="B86" s="955" t="s">
        <v>102</v>
      </c>
      <c r="C86" s="1208"/>
      <c r="D86" s="1485" t="e">
        <f>TableC4!C84/(C86*1000)</f>
        <v>#DIV/0!</v>
      </c>
      <c r="E86" s="1500" t="e">
        <f>+TableC4!D84/(TableC4c!$C86*1000)</f>
        <v>#DIV/0!</v>
      </c>
      <c r="F86" s="1483" t="e">
        <f t="shared" si="2"/>
        <v>#DIV/0!</v>
      </c>
      <c r="G86" s="1485" t="e">
        <f>TableC4!N84/(C86*1000)</f>
        <v>#DIV/0!</v>
      </c>
      <c r="H86" s="1500" t="e">
        <f>+TableC4!O84/(TableC4c!$C86*1000)</f>
        <v>#DIV/0!</v>
      </c>
      <c r="I86" s="1497" t="e">
        <f t="shared" si="3"/>
        <v>#DIV/0!</v>
      </c>
      <c r="J86" s="1178"/>
      <c r="K86" s="1178"/>
      <c r="L86" s="1178"/>
    </row>
    <row r="87" spans="1:12" hidden="1" x14ac:dyDescent="0.2">
      <c r="A87" s="954"/>
      <c r="B87" s="955" t="str">
        <f>+TableA1!A84</f>
        <v>St. Kitts and Nevis</v>
      </c>
      <c r="C87" s="1208"/>
      <c r="D87" s="1485" t="e">
        <f>TableC4!C85/(C87*1000)</f>
        <v>#DIV/0!</v>
      </c>
      <c r="E87" s="1500" t="e">
        <f>+TableC4!D85/(TableC4c!$C87*1000)</f>
        <v>#DIV/0!</v>
      </c>
      <c r="F87" s="1483" t="e">
        <f t="shared" si="2"/>
        <v>#DIV/0!</v>
      </c>
      <c r="G87" s="1485" t="e">
        <f>TableC4!N85/(C87*1000)</f>
        <v>#DIV/0!</v>
      </c>
      <c r="H87" s="1500" t="e">
        <f>+TableC4!O85/(TableC4c!$C87*1000)</f>
        <v>#DIV/0!</v>
      </c>
      <c r="I87" s="1497" t="e">
        <f t="shared" si="3"/>
        <v>#DIV/0!</v>
      </c>
      <c r="J87" s="1178"/>
      <c r="K87" s="1178"/>
      <c r="L87" s="1178"/>
    </row>
    <row r="88" spans="1:12" hidden="1" x14ac:dyDescent="0.2">
      <c r="A88" s="954"/>
      <c r="B88" s="955" t="str">
        <f>+TableA1!A85</f>
        <v>St. Lucia</v>
      </c>
      <c r="C88" s="1208"/>
      <c r="D88" s="1485" t="e">
        <f>TableC4!C86/(C88*1000)</f>
        <v>#DIV/0!</v>
      </c>
      <c r="E88" s="1500" t="e">
        <f>+TableC4!D86/(TableC4c!$C88*1000)</f>
        <v>#DIV/0!</v>
      </c>
      <c r="F88" s="1483" t="e">
        <f t="shared" si="2"/>
        <v>#DIV/0!</v>
      </c>
      <c r="G88" s="1485" t="e">
        <f>TableC4!N86/(C88*1000)</f>
        <v>#DIV/0!</v>
      </c>
      <c r="H88" s="1500" t="e">
        <f>+TableC4!O86/(TableC4c!$C88*1000)</f>
        <v>#DIV/0!</v>
      </c>
      <c r="I88" s="1497" t="e">
        <f t="shared" si="3"/>
        <v>#DIV/0!</v>
      </c>
      <c r="J88" s="1178"/>
      <c r="K88" s="1178"/>
      <c r="L88" s="1178"/>
    </row>
    <row r="89" spans="1:12" hidden="1" x14ac:dyDescent="0.2">
      <c r="A89" s="954"/>
      <c r="B89" s="955" t="str">
        <f>+TableA1!A86</f>
        <v>St. Vincent and the Grenadines</v>
      </c>
      <c r="C89" s="1208"/>
      <c r="D89" s="1485" t="e">
        <f>TableC4!C87/(C89*1000)</f>
        <v>#DIV/0!</v>
      </c>
      <c r="E89" s="1500" t="e">
        <f>+TableC4!D87/(TableC4c!$C89*1000)</f>
        <v>#DIV/0!</v>
      </c>
      <c r="F89" s="1483" t="e">
        <f t="shared" si="2"/>
        <v>#DIV/0!</v>
      </c>
      <c r="G89" s="1485" t="e">
        <f>TableC4!N87/(C89*1000)</f>
        <v>#DIV/0!</v>
      </c>
      <c r="H89" s="1500" t="e">
        <f>+TableC4!O87/(TableC4c!$C89*1000)</f>
        <v>#DIV/0!</v>
      </c>
      <c r="I89" s="1497" t="e">
        <f t="shared" si="3"/>
        <v>#DIV/0!</v>
      </c>
      <c r="J89" s="1178"/>
      <c r="K89" s="1178"/>
      <c r="L89" s="1178"/>
    </row>
    <row r="90" spans="1:12" hidden="1" x14ac:dyDescent="0.2">
      <c r="A90" s="329" t="s">
        <v>374</v>
      </c>
      <c r="B90" s="955" t="str">
        <f>+TableA1!A87</f>
        <v>Turks and Caicos</v>
      </c>
      <c r="C90" s="1208"/>
      <c r="D90" s="1485" t="e">
        <f>TableC4!C88/(C90*1000)</f>
        <v>#DIV/0!</v>
      </c>
      <c r="E90" s="1500" t="e">
        <f>+TableC4!D88/(TableC4c!$C90*1000)</f>
        <v>#DIV/0!</v>
      </c>
      <c r="F90" s="1483" t="e">
        <f t="shared" si="2"/>
        <v>#DIV/0!</v>
      </c>
      <c r="G90" s="1485" t="e">
        <f>TableC4!N88/(C90*1000)</f>
        <v>#DIV/0!</v>
      </c>
      <c r="H90" s="1500" t="e">
        <f>+TableC4!O88/(TableC4c!$C90*1000)</f>
        <v>#DIV/0!</v>
      </c>
      <c r="I90" s="1497" t="e">
        <f t="shared" si="3"/>
        <v>#DIV/0!</v>
      </c>
      <c r="J90" s="1178"/>
      <c r="K90" s="1178"/>
      <c r="L90" s="1178"/>
    </row>
    <row r="91" spans="1:12" hidden="1" x14ac:dyDescent="0.2">
      <c r="A91" s="954"/>
      <c r="B91" s="955" t="str">
        <f>+TableA1!A88</f>
        <v>Panama</v>
      </c>
      <c r="C91" s="1208"/>
      <c r="D91" s="1485" t="e">
        <f>TableC4!C89/(C91*1000)</f>
        <v>#DIV/0!</v>
      </c>
      <c r="E91" s="1500" t="e">
        <f>+TableC4!D89/(TableC4c!$C91*1000)</f>
        <v>#DIV/0!</v>
      </c>
      <c r="F91" s="1483" t="e">
        <f t="shared" si="2"/>
        <v>#DIV/0!</v>
      </c>
      <c r="G91" s="1485" t="e">
        <f>TableC4!N89/(C91*1000)</f>
        <v>#DIV/0!</v>
      </c>
      <c r="H91" s="1500" t="e">
        <f>+TableC4!O89/(TableC4c!$C91*1000)</f>
        <v>#DIV/0!</v>
      </c>
      <c r="I91" s="1497" t="e">
        <f t="shared" si="3"/>
        <v>#DIV/0!</v>
      </c>
      <c r="J91" s="1178"/>
      <c r="K91" s="1178"/>
      <c r="L91" s="1178"/>
    </row>
    <row r="92" spans="1:12" hidden="1" x14ac:dyDescent="0.2">
      <c r="A92" s="954"/>
      <c r="B92" s="955" t="s">
        <v>108</v>
      </c>
      <c r="C92" s="1208"/>
      <c r="D92" s="1485" t="e">
        <f>TableC4!C90/(C92*1000)</f>
        <v>#DIV/0!</v>
      </c>
      <c r="E92" s="1500" t="e">
        <f>+TableC4!D90/(TableC4c!$C92*1000)</f>
        <v>#DIV/0!</v>
      </c>
      <c r="F92" s="1483" t="e">
        <f t="shared" si="2"/>
        <v>#DIV/0!</v>
      </c>
      <c r="G92" s="1485" t="e">
        <f>TableC4!N90/(C92*1000)</f>
        <v>#DIV/0!</v>
      </c>
      <c r="H92" s="1500" t="e">
        <f>+TableC4!O90/(TableC4c!$C92*1000)</f>
        <v>#DIV/0!</v>
      </c>
      <c r="I92" s="1497" t="e">
        <f t="shared" si="3"/>
        <v>#DIV/0!</v>
      </c>
      <c r="J92" s="1178"/>
      <c r="K92" s="1178"/>
      <c r="L92" s="1178"/>
    </row>
    <row r="93" spans="1:12" ht="40" customHeight="1" x14ac:dyDescent="0.2">
      <c r="A93" s="954"/>
      <c r="B93" s="1503" t="s">
        <v>155</v>
      </c>
      <c r="C93" s="1504">
        <f>+TableA2!F90</f>
        <v>1423.1461018568671</v>
      </c>
      <c r="D93" s="1488">
        <f>TableC4!C91/(C93*1000)</f>
        <v>5.5312818591540636E-2</v>
      </c>
      <c r="E93" s="1489">
        <f>+TableC4!D91/(TableC4c!$C93*1000)</f>
        <v>2.2575650188764569E-2</v>
      </c>
      <c r="F93" s="1490">
        <f t="shared" si="2"/>
        <v>3.2737168402776066E-2</v>
      </c>
      <c r="G93" s="1488">
        <f>TableC4!N91/(C93*1000)</f>
        <v>1.40001046239887E-2</v>
      </c>
      <c r="H93" s="1489">
        <f>+TableC4!O91/(TableC4c!$C93*1000)</f>
        <v>1.7433494775318189E-3</v>
      </c>
      <c r="I93" s="1505">
        <f t="shared" si="3"/>
        <v>1.2256755146456881E-2</v>
      </c>
      <c r="J93" s="266"/>
      <c r="K93" s="266"/>
      <c r="L93" s="266"/>
    </row>
    <row r="94" spans="1:12" ht="40" hidden="1" customHeight="1" x14ac:dyDescent="0.2">
      <c r="A94" s="954"/>
      <c r="B94" s="310"/>
      <c r="C94" s="304"/>
      <c r="D94" s="265" t="e">
        <f>TableC4!C92/(C94*1000)</f>
        <v>#DIV/0!</v>
      </c>
      <c r="E94" s="266" t="e">
        <f>+TableC4!D92/(TableC4c!$C94*1000)</f>
        <v>#DIV/0!</v>
      </c>
      <c r="F94" s="266" t="e">
        <f t="shared" si="2"/>
        <v>#DIV/0!</v>
      </c>
      <c r="G94" s="265" t="e">
        <f>TableC4!N92/(C94*1000)</f>
        <v>#DIV/0!</v>
      </c>
      <c r="H94" s="266" t="e">
        <f>+TableC4!O92/(TableC4c!$C94*1000)</f>
        <v>#DIV/0!</v>
      </c>
      <c r="I94" s="641" t="e">
        <f t="shared" si="3"/>
        <v>#DIV/0!</v>
      </c>
      <c r="J94" s="266"/>
      <c r="K94" s="266"/>
      <c r="L94" s="266"/>
    </row>
    <row r="95" spans="1:12" ht="40" customHeight="1" thickBot="1" x14ac:dyDescent="0.25">
      <c r="A95" s="954"/>
      <c r="B95" s="330" t="str">
        <f>+TableC3!B91</f>
        <v>Non-haven total</v>
      </c>
      <c r="C95" s="619">
        <f>+C93+C12+C48</f>
        <v>10393.974981942527</v>
      </c>
      <c r="D95" s="524">
        <f>TableC4!C93/(C95*1000)</f>
        <v>5.9309516418877016E-2</v>
      </c>
      <c r="E95" s="424">
        <f>+TableC4!D93/(TableC4c!$C95*1000)</f>
        <v>2.8005652694636209E-2</v>
      </c>
      <c r="F95" s="424">
        <f t="shared" si="2"/>
        <v>3.1303863724240807E-2</v>
      </c>
      <c r="G95" s="524">
        <f>TableC4!N93/(C95*1000)</f>
        <v>5.9309516418877016E-2</v>
      </c>
      <c r="H95" s="424">
        <f>+TableC4!O93/(TableC4c!$C95*1000)</f>
        <v>3.1779506802946306E-2</v>
      </c>
      <c r="I95" s="428">
        <f t="shared" si="3"/>
        <v>2.753000961593071E-2</v>
      </c>
      <c r="J95" s="246"/>
      <c r="K95" s="246"/>
      <c r="L95" s="246"/>
    </row>
    <row r="96" spans="1:12" s="2" customFormat="1" x14ac:dyDescent="0.2">
      <c r="E96" s="954"/>
      <c r="F96" s="954"/>
      <c r="H96" s="954"/>
      <c r="I96" s="954"/>
      <c r="J96" s="954"/>
      <c r="K96" s="954"/>
      <c r="L96" s="954"/>
    </row>
    <row r="98" spans="2:12" s="2" customFormat="1" x14ac:dyDescent="0.2">
      <c r="B98" s="954"/>
      <c r="C98" s="954"/>
      <c r="D98" s="954"/>
      <c r="E98" s="954"/>
      <c r="F98" s="954"/>
      <c r="G98" s="954"/>
      <c r="H98" s="954"/>
      <c r="I98" s="954"/>
      <c r="J98" s="954"/>
      <c r="K98" s="954"/>
      <c r="L98" s="954"/>
    </row>
  </sheetData>
  <mergeCells count="7">
    <mergeCell ref="G9:I9"/>
    <mergeCell ref="B5:I5"/>
    <mergeCell ref="D8:I8"/>
    <mergeCell ref="D10:D11"/>
    <mergeCell ref="G10:G11"/>
    <mergeCell ref="D9:F9"/>
    <mergeCell ref="C8:C11"/>
  </mergeCells>
  <pageMargins left="0.7" right="0.7" top="0.75" bottom="0.75" header="0.3" footer="0.3"/>
  <pageSetup scale="72"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V95"/>
  <sheetViews>
    <sheetView workbookViewId="0">
      <pane xSplit="2" ySplit="9" topLeftCell="C14" activePane="bottomRight" state="frozen"/>
      <selection pane="topRight" activeCell="AR8" sqref="AR8"/>
      <selection pane="bottomLeft" activeCell="AR8" sqref="AR8"/>
      <selection pane="bottomRight" activeCell="D20" sqref="D20"/>
    </sheetView>
  </sheetViews>
  <sheetFormatPr baseColWidth="10" defaultColWidth="10.83203125" defaultRowHeight="16" x14ac:dyDescent="0.2"/>
  <cols>
    <col min="1" max="1" width="17.5" style="1" hidden="1" customWidth="1"/>
    <col min="2" max="2" width="19" style="1" customWidth="1"/>
    <col min="3" max="16" width="11.83203125" style="1" customWidth="1"/>
    <col min="17" max="22" width="19.6640625" style="1" customWidth="1"/>
    <col min="23" max="16384" width="10.83203125" style="1"/>
  </cols>
  <sheetData>
    <row r="2" spans="2:22" ht="17" thickBot="1" x14ac:dyDescent="0.25">
      <c r="B2" s="954"/>
      <c r="C2" s="954"/>
      <c r="D2" s="954"/>
      <c r="E2" s="954"/>
      <c r="F2" s="954"/>
      <c r="G2" s="954"/>
      <c r="H2" s="954"/>
      <c r="I2" s="954"/>
      <c r="J2" s="954"/>
      <c r="K2" s="954"/>
      <c r="L2" s="954"/>
      <c r="M2" s="954"/>
      <c r="N2" s="954"/>
      <c r="O2" s="954"/>
      <c r="P2" s="954"/>
      <c r="Q2" s="954"/>
      <c r="R2" s="954"/>
      <c r="S2" s="954"/>
      <c r="T2" s="954"/>
      <c r="U2" s="954"/>
      <c r="V2" s="954"/>
    </row>
    <row r="3" spans="2:22" ht="15.75" hidden="1" customHeight="1" thickBot="1" x14ac:dyDescent="0.25">
      <c r="B3" s="954"/>
      <c r="C3" s="954"/>
      <c r="D3" s="954"/>
      <c r="E3" s="954"/>
      <c r="F3" s="954"/>
      <c r="G3" s="954"/>
      <c r="H3" s="954"/>
      <c r="I3" s="954"/>
      <c r="J3" s="954"/>
      <c r="K3" s="954"/>
      <c r="L3" s="954"/>
      <c r="M3" s="954"/>
      <c r="N3" s="954"/>
      <c r="O3" s="954"/>
      <c r="P3" s="954"/>
      <c r="Q3" s="954"/>
      <c r="R3" s="954"/>
      <c r="S3" s="954"/>
      <c r="T3" s="954"/>
      <c r="U3" s="954"/>
      <c r="V3" s="954"/>
    </row>
    <row r="4" spans="2:22" ht="32.25" customHeight="1" thickTop="1" x14ac:dyDescent="0.2">
      <c r="B4" s="1951" t="s">
        <v>660</v>
      </c>
      <c r="C4" s="1952"/>
      <c r="D4" s="1952"/>
      <c r="E4" s="1952"/>
      <c r="F4" s="1952"/>
      <c r="G4" s="1952"/>
      <c r="H4" s="1952"/>
      <c r="I4" s="1952"/>
      <c r="J4" s="1952"/>
      <c r="K4" s="1952"/>
      <c r="L4" s="1952"/>
      <c r="M4" s="1952"/>
      <c r="N4" s="1952"/>
      <c r="O4" s="1952"/>
      <c r="P4" s="1953"/>
      <c r="Q4" s="620"/>
      <c r="R4" s="620"/>
      <c r="S4" s="620"/>
      <c r="T4" s="620"/>
      <c r="U4" s="620"/>
      <c r="V4" s="620"/>
    </row>
    <row r="5" spans="2:22" ht="20" x14ac:dyDescent="0.2">
      <c r="B5" s="4"/>
      <c r="C5" s="160" t="s">
        <v>1</v>
      </c>
      <c r="D5" s="160" t="s">
        <v>2</v>
      </c>
      <c r="E5" s="160" t="s">
        <v>3</v>
      </c>
      <c r="F5" s="160" t="s">
        <v>4</v>
      </c>
      <c r="G5" s="160" t="s">
        <v>5</v>
      </c>
      <c r="H5" s="160" t="s">
        <v>6</v>
      </c>
      <c r="I5" s="160" t="s">
        <v>7</v>
      </c>
      <c r="J5" s="160" t="s">
        <v>8</v>
      </c>
      <c r="K5" s="160" t="s">
        <v>9</v>
      </c>
      <c r="L5" s="160" t="s">
        <v>10</v>
      </c>
      <c r="M5" s="160" t="s">
        <v>11</v>
      </c>
      <c r="N5" s="160" t="s">
        <v>12</v>
      </c>
      <c r="O5" s="160" t="s">
        <v>13</v>
      </c>
      <c r="P5" s="6" t="s">
        <v>177</v>
      </c>
      <c r="Q5" s="620"/>
      <c r="R5" s="620"/>
      <c r="S5" s="620"/>
      <c r="T5" s="620"/>
      <c r="U5" s="620"/>
      <c r="V5" s="620"/>
    </row>
    <row r="6" spans="2:22" ht="26.25" customHeight="1" x14ac:dyDescent="0.2">
      <c r="B6" s="4"/>
      <c r="C6" s="2295" t="s">
        <v>661</v>
      </c>
      <c r="D6" s="2298" t="s">
        <v>662</v>
      </c>
      <c r="E6" s="2115" t="s">
        <v>663</v>
      </c>
      <c r="F6" s="2116"/>
      <c r="G6" s="2116"/>
      <c r="H6" s="2116"/>
      <c r="I6" s="2116"/>
      <c r="J6" s="2117"/>
      <c r="K6" s="2116" t="s">
        <v>664</v>
      </c>
      <c r="L6" s="2116"/>
      <c r="M6" s="2116"/>
      <c r="N6" s="2116"/>
      <c r="O6" s="2116"/>
      <c r="P6" s="2192"/>
      <c r="Q6" s="620"/>
      <c r="R6" s="620"/>
      <c r="S6" s="620"/>
      <c r="T6" s="620"/>
      <c r="U6" s="620"/>
      <c r="V6" s="620"/>
    </row>
    <row r="7" spans="2:22" ht="21" customHeight="1" x14ac:dyDescent="0.2">
      <c r="B7" s="1148"/>
      <c r="C7" s="2296"/>
      <c r="D7" s="2299"/>
      <c r="E7" s="2171" t="s">
        <v>655</v>
      </c>
      <c r="F7" s="2047"/>
      <c r="G7" s="2047"/>
      <c r="H7" s="2294" t="s">
        <v>656</v>
      </c>
      <c r="I7" s="2047" t="s">
        <v>648</v>
      </c>
      <c r="J7" s="2048"/>
      <c r="K7" s="2294" t="s">
        <v>655</v>
      </c>
      <c r="L7" s="2047"/>
      <c r="M7" s="2047"/>
      <c r="N7" s="2294" t="s">
        <v>656</v>
      </c>
      <c r="O7" s="2047" t="s">
        <v>648</v>
      </c>
      <c r="P7" s="2073"/>
      <c r="Q7" s="1037"/>
      <c r="R7" s="1037"/>
      <c r="S7" s="1037"/>
      <c r="T7" s="1037"/>
      <c r="U7" s="1037"/>
      <c r="V7" s="1037"/>
    </row>
    <row r="8" spans="2:22" ht="85" customHeight="1" x14ac:dyDescent="0.2">
      <c r="B8" s="1148"/>
      <c r="C8" s="2296"/>
      <c r="D8" s="2299"/>
      <c r="E8" s="2072" t="s">
        <v>627</v>
      </c>
      <c r="F8" s="1829" t="s">
        <v>628</v>
      </c>
      <c r="G8" s="1479" t="s">
        <v>629</v>
      </c>
      <c r="H8" s="2072" t="s">
        <v>627</v>
      </c>
      <c r="I8" s="1829" t="s">
        <v>628</v>
      </c>
      <c r="J8" s="1845" t="s">
        <v>629</v>
      </c>
      <c r="K8" s="2072" t="s">
        <v>627</v>
      </c>
      <c r="L8" s="1829" t="s">
        <v>628</v>
      </c>
      <c r="M8" s="1479" t="s">
        <v>629</v>
      </c>
      <c r="N8" s="2072" t="s">
        <v>627</v>
      </c>
      <c r="O8" s="1829" t="s">
        <v>628</v>
      </c>
      <c r="P8" s="1815" t="s">
        <v>629</v>
      </c>
      <c r="Q8" s="1480"/>
      <c r="R8" s="1480"/>
      <c r="S8" s="1480"/>
      <c r="T8" s="1480"/>
      <c r="U8" s="1480"/>
      <c r="V8" s="1480"/>
    </row>
    <row r="9" spans="2:22" ht="13.5" customHeight="1" x14ac:dyDescent="0.2">
      <c r="B9" s="1148"/>
      <c r="C9" s="2297"/>
      <c r="D9" s="2300"/>
      <c r="E9" s="2028"/>
      <c r="F9" s="1836"/>
      <c r="G9" s="1481"/>
      <c r="H9" s="2028"/>
      <c r="I9" s="1836"/>
      <c r="J9" s="1506"/>
      <c r="K9" s="2028"/>
      <c r="L9" s="1836"/>
      <c r="M9" s="1481"/>
      <c r="N9" s="2028"/>
      <c r="O9" s="1836"/>
      <c r="P9" s="1856"/>
      <c r="Q9" s="1480"/>
      <c r="R9" s="1480"/>
      <c r="S9" s="1480"/>
      <c r="T9" s="1480"/>
      <c r="U9" s="1480"/>
      <c r="V9" s="1480"/>
    </row>
    <row r="10" spans="2:22" ht="40" customHeight="1" x14ac:dyDescent="0.2">
      <c r="B10" s="8" t="s">
        <v>28</v>
      </c>
      <c r="C10" s="647">
        <f>+SUM(C11:C45)</f>
        <v>1127.4155729148408</v>
      </c>
      <c r="D10" s="649"/>
      <c r="E10" s="644">
        <f>F10+G10</f>
        <v>135.29200400789469</v>
      </c>
      <c r="F10" s="646">
        <f>+SUM(F11:F45)</f>
        <v>68.314903681171444</v>
      </c>
      <c r="G10" s="429">
        <f>+SUM(G11:G45)</f>
        <v>66.977100326723246</v>
      </c>
      <c r="H10" s="644">
        <f>I10+J10</f>
        <v>185.69430920450685</v>
      </c>
      <c r="I10" s="646">
        <f>+SUM(I11:I45)</f>
        <v>110.45333930824007</v>
      </c>
      <c r="J10" s="431">
        <f>+SUM(J11:J45)</f>
        <v>75.240969896266762</v>
      </c>
      <c r="K10" s="21">
        <f t="shared" ref="K10:P10" si="0">+E10/$C10</f>
        <v>0.12000189394058862</v>
      </c>
      <c r="L10" s="260">
        <f t="shared" si="0"/>
        <v>6.059425230800107E-2</v>
      </c>
      <c r="M10" s="426">
        <f t="shared" si="0"/>
        <v>5.9407641632587556E-2</v>
      </c>
      <c r="N10" s="21">
        <f t="shared" si="0"/>
        <v>0.1647079512343522</v>
      </c>
      <c r="O10" s="426">
        <f t="shared" si="0"/>
        <v>9.7970386396803083E-2</v>
      </c>
      <c r="P10" s="287">
        <f t="shared" si="0"/>
        <v>6.6737564837549113E-2</v>
      </c>
      <c r="Q10" s="246"/>
      <c r="R10" s="246"/>
      <c r="S10" s="246"/>
      <c r="T10" s="246"/>
      <c r="U10" s="246"/>
      <c r="V10" s="246"/>
    </row>
    <row r="11" spans="2:22" x14ac:dyDescent="0.2">
      <c r="B11" s="1149" t="s">
        <v>29</v>
      </c>
      <c r="C11" s="1496">
        <f>+TableA3!H10</f>
        <v>53.085816886912227</v>
      </c>
      <c r="D11" s="1507">
        <v>0.3</v>
      </c>
      <c r="E11" s="1508">
        <f>D11*TableC4!C11/(1000)</f>
        <v>3.8877283887920422</v>
      </c>
      <c r="F11" s="1509">
        <f>+D11*TableC4!D11/(1000)</f>
        <v>1.2344693651640188</v>
      </c>
      <c r="G11" s="1510">
        <f>+E11-F11</f>
        <v>2.6532590236280233</v>
      </c>
      <c r="H11" s="1508">
        <f>D11*TableC4!N11/(1000)</f>
        <v>0.52530310335034602</v>
      </c>
      <c r="I11" s="1509">
        <f>+D11*TableC4!O11/(1000)</f>
        <v>-4.6598298229805366E-2</v>
      </c>
      <c r="J11" s="1511">
        <f>+H11-I11</f>
        <v>0.57190140158015135</v>
      </c>
      <c r="K11" s="1177">
        <f t="shared" ref="K11:K53" si="1">+E11/$C11</f>
        <v>7.3234785047652198E-2</v>
      </c>
      <c r="L11" s="1178">
        <f t="shared" ref="L11:L53" si="2">+F11/$C11</f>
        <v>2.3254221891202825E-2</v>
      </c>
      <c r="M11" s="1486">
        <f t="shared" ref="M11:M53" si="3">+G11/$C11</f>
        <v>4.9980563156449373E-2</v>
      </c>
      <c r="N11" s="1177">
        <f t="shared" ref="N11:N53" si="4">+H11/$C11</f>
        <v>9.8953568797743082E-3</v>
      </c>
      <c r="O11" s="1486">
        <f t="shared" ref="O11:O53" si="5">+I11/$C11</f>
        <v>-8.7779186536910401E-4</v>
      </c>
      <c r="P11" s="1158">
        <f t="shared" ref="P11:P53" si="6">+J11/$C11</f>
        <v>1.077314874514341E-2</v>
      </c>
      <c r="Q11" s="9"/>
      <c r="R11" s="9"/>
      <c r="S11" s="9"/>
      <c r="T11" s="9"/>
      <c r="U11" s="9"/>
      <c r="V11" s="9"/>
    </row>
    <row r="12" spans="2:22" x14ac:dyDescent="0.2">
      <c r="B12" s="1149" t="s">
        <v>30</v>
      </c>
      <c r="C12" s="1496">
        <f>+TableA3!H11</f>
        <v>8.4946481984874556</v>
      </c>
      <c r="D12" s="1507">
        <v>0.25</v>
      </c>
      <c r="E12" s="1508">
        <f>D12*TableC4!C12/(1000)</f>
        <v>0.89735970006267607</v>
      </c>
      <c r="F12" s="1509">
        <f>+D12*TableC4!D12/(1000)</f>
        <v>0.51890783194770063</v>
      </c>
      <c r="G12" s="1510">
        <f t="shared" ref="G12:G45" si="7">+E12-F12</f>
        <v>0.37845186811497544</v>
      </c>
      <c r="H12" s="1508">
        <f>D12*TableC4!N12/(1000)</f>
        <v>0.55705975838640986</v>
      </c>
      <c r="I12" s="1509">
        <f>+D12*TableC4!O12/(1000)</f>
        <v>9.2685501576550491E-2</v>
      </c>
      <c r="J12" s="1511">
        <f t="shared" ref="J12:J45" si="8">+H12-I12</f>
        <v>0.46437425680985939</v>
      </c>
      <c r="K12" s="1177">
        <f t="shared" si="1"/>
        <v>0.10563824176055445</v>
      </c>
      <c r="L12" s="1178">
        <f t="shared" si="2"/>
        <v>6.1086441701034375E-2</v>
      </c>
      <c r="M12" s="1486">
        <f t="shared" si="3"/>
        <v>4.4551800059520065E-2</v>
      </c>
      <c r="N12" s="1177">
        <f t="shared" si="4"/>
        <v>6.5577731457507463E-2</v>
      </c>
      <c r="O12" s="1486">
        <f t="shared" si="5"/>
        <v>1.0911046509619307E-2</v>
      </c>
      <c r="P12" s="1158">
        <f t="shared" si="6"/>
        <v>5.466668494788815E-2</v>
      </c>
      <c r="Q12" s="9"/>
      <c r="R12" s="9"/>
      <c r="S12" s="9"/>
      <c r="T12" s="9"/>
      <c r="U12" s="9"/>
      <c r="V12" s="9"/>
    </row>
    <row r="13" spans="2:22" x14ac:dyDescent="0.2">
      <c r="B13" s="1149" t="s">
        <v>31</v>
      </c>
      <c r="C13" s="1496"/>
      <c r="D13" s="1512"/>
      <c r="E13" s="1508"/>
      <c r="F13" s="1509"/>
      <c r="G13" s="1510"/>
      <c r="H13" s="1508"/>
      <c r="I13" s="1509"/>
      <c r="J13" s="1511"/>
      <c r="K13" s="1177"/>
      <c r="L13" s="1178"/>
      <c r="M13" s="1486"/>
      <c r="N13" s="1177"/>
      <c r="O13" s="1486"/>
      <c r="P13" s="1158"/>
      <c r="Q13" s="954"/>
      <c r="R13" s="954"/>
      <c r="S13" s="954"/>
      <c r="T13" s="1513"/>
      <c r="U13" s="1513"/>
      <c r="V13" s="1513"/>
    </row>
    <row r="14" spans="2:22" x14ac:dyDescent="0.2">
      <c r="B14" s="1149" t="s">
        <v>32</v>
      </c>
      <c r="C14" s="1496">
        <f>+TableA3!H13</f>
        <v>49.479398763816377</v>
      </c>
      <c r="D14" s="1507">
        <v>0.26500000000000001</v>
      </c>
      <c r="E14" s="1508">
        <f>D14*TableC4!C14/(1000)</f>
        <v>5.0127609994141498</v>
      </c>
      <c r="F14" s="1509">
        <f>+D14*TableC4!D14/(1000)</f>
        <v>0.88433131713595925</v>
      </c>
      <c r="G14" s="1510">
        <f t="shared" si="7"/>
        <v>4.1284296822781901</v>
      </c>
      <c r="H14" s="1508">
        <f>D14*TableC4!N14/(1000)</f>
        <v>4.35366277414981</v>
      </c>
      <c r="I14" s="1509">
        <f>+D14*TableC4!O14/(1000)</f>
        <v>1.1421144157970644</v>
      </c>
      <c r="J14" s="1511">
        <f t="shared" si="8"/>
        <v>3.2115483583527453</v>
      </c>
      <c r="K14" s="1177">
        <f t="shared" si="1"/>
        <v>0.10131006286761744</v>
      </c>
      <c r="L14" s="1178">
        <f t="shared" si="2"/>
        <v>1.78727175194105E-2</v>
      </c>
      <c r="M14" s="1486">
        <f t="shared" si="3"/>
        <v>8.3437345348206932E-2</v>
      </c>
      <c r="N14" s="1177">
        <f t="shared" si="4"/>
        <v>8.7989403325846094E-2</v>
      </c>
      <c r="O14" s="1486">
        <f t="shared" si="5"/>
        <v>2.3082625180002741E-2</v>
      </c>
      <c r="P14" s="1158">
        <f t="shared" si="6"/>
        <v>6.490677814584335E-2</v>
      </c>
      <c r="Q14" s="954"/>
      <c r="R14" s="954"/>
      <c r="S14" s="954"/>
      <c r="T14" s="1513"/>
      <c r="U14" s="1513"/>
      <c r="V14" s="1513"/>
    </row>
    <row r="15" spans="2:22" x14ac:dyDescent="0.2">
      <c r="B15" s="1149" t="s">
        <v>33</v>
      </c>
      <c r="C15" s="1496">
        <f>+TableA3!H14</f>
        <v>10.455405560058267</v>
      </c>
      <c r="D15" s="1507">
        <v>0.24</v>
      </c>
      <c r="E15" s="1508">
        <f>D15*TableC4!C15/(1000)</f>
        <v>1.2436594498947362</v>
      </c>
      <c r="F15" s="1509">
        <f>+D15*TableC4!D15/(1000)</f>
        <v>0.24195827884503829</v>
      </c>
      <c r="G15" s="1510">
        <f t="shared" si="7"/>
        <v>1.0017011710496979</v>
      </c>
      <c r="H15" s="1508">
        <f>D15*TableC4!N15/(1000)</f>
        <v>-2.5066010463943442E-2</v>
      </c>
      <c r="I15" s="1509">
        <f>+D15*TableC4!O15/(1000)</f>
        <v>-2.9218769900725621E-2</v>
      </c>
      <c r="J15" s="1511">
        <f t="shared" si="8"/>
        <v>4.1527594367821788E-3</v>
      </c>
      <c r="K15" s="1177">
        <f t="shared" si="1"/>
        <v>0.11894894394587266</v>
      </c>
      <c r="L15" s="1178">
        <f t="shared" si="2"/>
        <v>2.3141931458820413E-2</v>
      </c>
      <c r="M15" s="1486">
        <f t="shared" si="3"/>
        <v>9.5807012487052243E-2</v>
      </c>
      <c r="N15" s="1177">
        <f t="shared" si="4"/>
        <v>-2.3974211540583944E-3</v>
      </c>
      <c r="O15" s="1486">
        <f t="shared" si="5"/>
        <v>-2.7946089449028305E-3</v>
      </c>
      <c r="P15" s="1158">
        <f t="shared" si="6"/>
        <v>3.9718779084443623E-4</v>
      </c>
      <c r="Q15" s="954"/>
      <c r="R15" s="954"/>
      <c r="S15" s="954"/>
      <c r="T15" s="1514"/>
      <c r="U15" s="1514"/>
      <c r="V15" s="1514"/>
    </row>
    <row r="16" spans="2:22" x14ac:dyDescent="0.2">
      <c r="B16" s="1149" t="s">
        <v>34</v>
      </c>
      <c r="C16" s="1496">
        <f>+TableA3!H15</f>
        <v>6.7113169165099862</v>
      </c>
      <c r="D16" s="1507">
        <v>0.19</v>
      </c>
      <c r="E16" s="1508">
        <f>D16*TableC4!C16/(1000)</f>
        <v>0.33451941359786869</v>
      </c>
      <c r="F16" s="1509">
        <f>+D16*TableC4!D16/(1000)</f>
        <v>0.2677603018381865</v>
      </c>
      <c r="G16" s="1510">
        <f t="shared" si="7"/>
        <v>6.6759111759682188E-2</v>
      </c>
      <c r="H16" s="1508">
        <f>D16*TableC4!N16/(1000)</f>
        <v>8.971973284988416E-2</v>
      </c>
      <c r="I16" s="1509">
        <f>+D16*TableC4!O16/(1000)</f>
        <v>8.9694219098863756E-2</v>
      </c>
      <c r="J16" s="1511">
        <f t="shared" si="8"/>
        <v>2.551375102040343E-5</v>
      </c>
      <c r="K16" s="1177">
        <f t="shared" si="1"/>
        <v>4.9844079449585167E-2</v>
      </c>
      <c r="L16" s="1178">
        <f t="shared" si="2"/>
        <v>3.9896834729930622E-2</v>
      </c>
      <c r="M16" s="1486">
        <f t="shared" si="3"/>
        <v>9.9472447196545452E-3</v>
      </c>
      <c r="N16" s="1177">
        <f t="shared" si="4"/>
        <v>1.336842440403487E-2</v>
      </c>
      <c r="O16" s="1486">
        <f t="shared" si="5"/>
        <v>1.3364622802748895E-2</v>
      </c>
      <c r="P16" s="1158">
        <f t="shared" si="6"/>
        <v>3.801601285976981E-6</v>
      </c>
      <c r="Q16" s="954"/>
      <c r="R16" s="954"/>
      <c r="S16" s="954"/>
      <c r="T16" s="1514"/>
      <c r="U16" s="1514"/>
      <c r="V16" s="1514"/>
    </row>
    <row r="17" spans="1:22" x14ac:dyDescent="0.2">
      <c r="A17" s="954"/>
      <c r="B17" s="1149" t="s">
        <v>35</v>
      </c>
      <c r="C17" s="1496">
        <f>+TableA3!H16</f>
        <v>7.7284100389615968</v>
      </c>
      <c r="D17" s="1507">
        <v>0.22</v>
      </c>
      <c r="E17" s="1508">
        <f>D17*TableC4!C17/(1000)</f>
        <v>0.65158855790127423</v>
      </c>
      <c r="F17" s="1509">
        <f>+D17*TableC4!D17/(1000)</f>
        <v>0.512949566844071</v>
      </c>
      <c r="G17" s="1510">
        <f t="shared" si="7"/>
        <v>0.13863899105720323</v>
      </c>
      <c r="H17" s="1508">
        <f>D17*TableC4!N17/(1000)</f>
        <v>0.79966162240493699</v>
      </c>
      <c r="I17" s="1509">
        <f>+D17*TableC4!O17/(1000)</f>
        <v>0.46536055260963799</v>
      </c>
      <c r="J17" s="1511">
        <f t="shared" si="8"/>
        <v>0.334301069795299</v>
      </c>
      <c r="K17" s="1177">
        <f t="shared" si="1"/>
        <v>8.4310816146709378E-2</v>
      </c>
      <c r="L17" s="1178">
        <f t="shared" si="2"/>
        <v>6.6371939927891282E-2</v>
      </c>
      <c r="M17" s="1486">
        <f t="shared" si="3"/>
        <v>1.7938876218818098E-2</v>
      </c>
      <c r="N17" s="1177">
        <f t="shared" si="4"/>
        <v>0.1034703927940631</v>
      </c>
      <c r="O17" s="1486">
        <f t="shared" si="5"/>
        <v>6.0214267910682011E-2</v>
      </c>
      <c r="P17" s="1158">
        <f t="shared" si="6"/>
        <v>4.3256124883381097E-2</v>
      </c>
      <c r="Q17" s="9"/>
      <c r="R17" s="9"/>
      <c r="S17" s="9"/>
      <c r="T17" s="9"/>
      <c r="U17" s="9"/>
      <c r="V17" s="9"/>
    </row>
    <row r="18" spans="1:22" x14ac:dyDescent="0.2">
      <c r="A18" s="954"/>
      <c r="B18" s="1088" t="s">
        <v>36</v>
      </c>
      <c r="C18" s="1496">
        <f>+TableA3!H17</f>
        <v>0.47056592348104992</v>
      </c>
      <c r="D18" s="1507">
        <v>0.2</v>
      </c>
      <c r="E18" s="1508">
        <f>D18*TableC4!C18/(1000)</f>
        <v>4.8738699368325256E-2</v>
      </c>
      <c r="F18" s="1509">
        <f>+D18*TableC4!D18/(1000)</f>
        <v>3.4948440671618376E-2</v>
      </c>
      <c r="G18" s="1510">
        <f t="shared" si="7"/>
        <v>1.3790258696706879E-2</v>
      </c>
      <c r="H18" s="1508">
        <f>D18*TableC4!N18/(1000)</f>
        <v>-8.1112100429568603E-4</v>
      </c>
      <c r="I18" s="1509">
        <f>+D18*TableC4!O18/(1000)</f>
        <v>-8.1112100429568603E-4</v>
      </c>
      <c r="J18" s="1511">
        <f t="shared" si="8"/>
        <v>0</v>
      </c>
      <c r="K18" s="1177">
        <f t="shared" si="1"/>
        <v>0.10357464690128163</v>
      </c>
      <c r="L18" s="1178">
        <f t="shared" si="2"/>
        <v>7.4268957711779104E-2</v>
      </c>
      <c r="M18" s="1486">
        <f t="shared" si="3"/>
        <v>2.9305689189502531E-2</v>
      </c>
      <c r="N18" s="1177">
        <f t="shared" si="4"/>
        <v>-1.7237138598888591E-3</v>
      </c>
      <c r="O18" s="1486">
        <f t="shared" si="5"/>
        <v>-1.7237138598888591E-3</v>
      </c>
      <c r="P18" s="1158">
        <f t="shared" si="6"/>
        <v>0</v>
      </c>
      <c r="Q18" s="9"/>
      <c r="R18" s="9"/>
      <c r="S18" s="9"/>
      <c r="T18" s="9"/>
      <c r="U18" s="9"/>
      <c r="V18" s="9"/>
    </row>
    <row r="19" spans="1:22" x14ac:dyDescent="0.2">
      <c r="A19" s="954"/>
      <c r="B19" s="1149" t="s">
        <v>37</v>
      </c>
      <c r="C19" s="1496">
        <f>+TableA3!H18</f>
        <v>5.0429264278402366</v>
      </c>
      <c r="D19" s="1507">
        <v>0.2</v>
      </c>
      <c r="E19" s="1508">
        <f>D19*TableC4!C19/(1000)</f>
        <v>0.5429738731271827</v>
      </c>
      <c r="F19" s="1509">
        <f>+D19*TableC4!D19/(1000)</f>
        <v>0.34894532270502798</v>
      </c>
      <c r="G19" s="1510">
        <f t="shared" si="7"/>
        <v>0.19402855042215472</v>
      </c>
      <c r="H19" s="1508">
        <f>D19*TableC4!N19/(1000)</f>
        <v>0.45194076536135114</v>
      </c>
      <c r="I19" s="1509">
        <f>+D19*TableC4!O19/(1000)</f>
        <v>0.40811803463797436</v>
      </c>
      <c r="J19" s="1511">
        <f t="shared" si="8"/>
        <v>4.3822730723376779E-2</v>
      </c>
      <c r="K19" s="1177">
        <f t="shared" si="1"/>
        <v>0.10767039354958928</v>
      </c>
      <c r="L19" s="1178">
        <f t="shared" si="2"/>
        <v>6.9195005657552849E-2</v>
      </c>
      <c r="M19" s="1486">
        <f t="shared" si="3"/>
        <v>3.8475387892036424E-2</v>
      </c>
      <c r="N19" s="1177">
        <f t="shared" si="4"/>
        <v>8.9618750506916756E-2</v>
      </c>
      <c r="O19" s="1486">
        <f t="shared" si="5"/>
        <v>8.0928809983206798E-2</v>
      </c>
      <c r="P19" s="1158">
        <f t="shared" si="6"/>
        <v>8.6899405237099592E-3</v>
      </c>
      <c r="Q19" s="9"/>
      <c r="R19" s="9"/>
      <c r="S19" s="9"/>
      <c r="T19" s="9"/>
      <c r="U19" s="9"/>
      <c r="V19" s="9"/>
    </row>
    <row r="20" spans="1:22" x14ac:dyDescent="0.2">
      <c r="A20" s="954"/>
      <c r="B20" s="1088" t="s">
        <v>38</v>
      </c>
      <c r="C20" s="1496">
        <f>+TableA3!H19</f>
        <v>50.926955756000886</v>
      </c>
      <c r="D20" s="1880">
        <v>0.33329999999999999</v>
      </c>
      <c r="E20" s="1508">
        <f>D20*TableC4!C20/(1000)</f>
        <v>10.693640491484475</v>
      </c>
      <c r="F20" s="1509">
        <f>+D20*TableC4!D20/(1000)</f>
        <v>8.0644769078824545</v>
      </c>
      <c r="G20" s="1510">
        <f t="shared" si="7"/>
        <v>2.6291635836020202</v>
      </c>
      <c r="H20" s="1508">
        <f>D20*TableC4!N20/(1000)</f>
        <v>21.454470471450595</v>
      </c>
      <c r="I20" s="1509">
        <f>+D20*TableC4!O20/(1000)</f>
        <v>16.957608259440718</v>
      </c>
      <c r="J20" s="1511">
        <f t="shared" si="8"/>
        <v>4.4968622120098765</v>
      </c>
      <c r="K20" s="1177">
        <f t="shared" si="1"/>
        <v>0.20997996704769475</v>
      </c>
      <c r="L20" s="1178">
        <f t="shared" si="2"/>
        <v>0.15835379885105721</v>
      </c>
      <c r="M20" s="1486">
        <f t="shared" si="3"/>
        <v>5.162616819663754E-2</v>
      </c>
      <c r="N20" s="1177">
        <f t="shared" si="4"/>
        <v>0.42127926464409854</v>
      </c>
      <c r="O20" s="1486">
        <f t="shared" si="5"/>
        <v>0.33297902864422735</v>
      </c>
      <c r="P20" s="1158">
        <f t="shared" si="6"/>
        <v>8.8300235999871191E-2</v>
      </c>
      <c r="Q20" s="9"/>
      <c r="R20" s="9"/>
      <c r="S20" s="9"/>
      <c r="T20" s="9"/>
      <c r="U20" s="9"/>
      <c r="V20" s="9"/>
    </row>
    <row r="21" spans="1:22" x14ac:dyDescent="0.2">
      <c r="A21" s="954"/>
      <c r="B21" s="1149" t="s">
        <v>39</v>
      </c>
      <c r="C21" s="1496">
        <f>+TableA3!H20</f>
        <v>58.451143946880144</v>
      </c>
      <c r="D21" s="1507">
        <v>0.29719999999999996</v>
      </c>
      <c r="E21" s="1508">
        <f>D21*TableC4!C21/(1000)</f>
        <v>16.317569428841562</v>
      </c>
      <c r="F21" s="1509">
        <f>+D21*TableC4!D21/(1000)</f>
        <v>12.3589525503824</v>
      </c>
      <c r="G21" s="1510">
        <f t="shared" si="7"/>
        <v>3.9586168784591624</v>
      </c>
      <c r="H21" s="1508">
        <f>D21*TableC4!N21/(1000)</f>
        <v>10.59391712086977</v>
      </c>
      <c r="I21" s="1509">
        <f>+D21*TableC4!O21/(1000)</f>
        <v>7.540462574852338</v>
      </c>
      <c r="J21" s="1511">
        <f t="shared" si="8"/>
        <v>3.0534545460174325</v>
      </c>
      <c r="K21" s="1177">
        <f t="shared" si="1"/>
        <v>0.27916595513803488</v>
      </c>
      <c r="L21" s="1178">
        <f t="shared" si="2"/>
        <v>0.21144073008415543</v>
      </c>
      <c r="M21" s="1486">
        <f t="shared" si="3"/>
        <v>6.772522505387947E-2</v>
      </c>
      <c r="N21" s="1177">
        <f t="shared" si="4"/>
        <v>0.18124396556716535</v>
      </c>
      <c r="O21" s="1486">
        <f t="shared" si="5"/>
        <v>0.12900453379843241</v>
      </c>
      <c r="P21" s="1158">
        <f t="shared" si="6"/>
        <v>5.2239431768732934E-2</v>
      </c>
      <c r="Q21" s="9"/>
      <c r="R21" s="9"/>
      <c r="S21" s="9"/>
      <c r="T21" s="9"/>
      <c r="U21" s="9"/>
      <c r="V21" s="9"/>
    </row>
    <row r="22" spans="1:22" x14ac:dyDescent="0.2">
      <c r="A22" s="954"/>
      <c r="B22" s="1149" t="s">
        <v>40</v>
      </c>
      <c r="C22" s="1496">
        <f>+TableA3!H21</f>
        <v>4.2144535794574223</v>
      </c>
      <c r="D22" s="1507">
        <v>0.28999999999999998</v>
      </c>
      <c r="E22" s="1508">
        <f>D22*TableC4!C22/(1000)</f>
        <v>0.30348861345669476</v>
      </c>
      <c r="F22" s="1509">
        <f>+D22*TableC4!D22/(1000)</f>
        <v>0.26499839050506757</v>
      </c>
      <c r="G22" s="1510">
        <f t="shared" si="7"/>
        <v>3.8490222951627184E-2</v>
      </c>
      <c r="H22" s="1508">
        <f>D22*TableC4!N22/(1000)</f>
        <v>0.12747651758571021</v>
      </c>
      <c r="I22" s="1509">
        <f>+D22*TableC4!O22/(1000)</f>
        <v>0.12724458498060884</v>
      </c>
      <c r="J22" s="1511">
        <f t="shared" si="8"/>
        <v>2.3193260510137592E-4</v>
      </c>
      <c r="K22" s="1177">
        <f t="shared" si="1"/>
        <v>7.2011378873881565E-2</v>
      </c>
      <c r="L22" s="1178">
        <f t="shared" si="2"/>
        <v>6.2878469416949662E-2</v>
      </c>
      <c r="M22" s="1486">
        <f t="shared" si="3"/>
        <v>9.1329094569318984E-3</v>
      </c>
      <c r="N22" s="1177">
        <f t="shared" si="4"/>
        <v>3.0247460360477339E-2</v>
      </c>
      <c r="O22" s="1486">
        <f t="shared" si="5"/>
        <v>3.0192427697113364E-2</v>
      </c>
      <c r="P22" s="1158">
        <f t="shared" si="6"/>
        <v>5.503266336397408E-5</v>
      </c>
      <c r="Q22" s="9"/>
      <c r="R22" s="9"/>
      <c r="S22" s="9"/>
      <c r="T22" s="9"/>
      <c r="U22" s="9"/>
      <c r="V22" s="9"/>
    </row>
    <row r="23" spans="1:22" x14ac:dyDescent="0.2">
      <c r="A23" s="954"/>
      <c r="B23" s="1149" t="s">
        <v>41</v>
      </c>
      <c r="C23" s="1496">
        <f>+TableA3!H22</f>
        <v>2.1963860274046167</v>
      </c>
      <c r="D23" s="1507">
        <v>0.19</v>
      </c>
      <c r="E23" s="1508">
        <f>D23*TableC4!C23/(1000)</f>
        <v>0.45502892025811503</v>
      </c>
      <c r="F23" s="1509">
        <f>+D23*TableC4!D23/(1000)</f>
        <v>0.32099772929373677</v>
      </c>
      <c r="G23" s="1510">
        <f t="shared" si="7"/>
        <v>0.13403119096437827</v>
      </c>
      <c r="H23" s="1508">
        <f>D23*TableC4!N23/(1000)</f>
        <v>9.5032795452812416E-2</v>
      </c>
      <c r="I23" s="1509">
        <f>+D23*TableC4!O23/(1000)</f>
        <v>9.3709944120965866E-2</v>
      </c>
      <c r="J23" s="1511">
        <f t="shared" si="8"/>
        <v>1.3228513318465501E-3</v>
      </c>
      <c r="K23" s="1177">
        <f t="shared" si="1"/>
        <v>0.20717165133116644</v>
      </c>
      <c r="L23" s="1178">
        <f t="shared" si="2"/>
        <v>0.14614813848230823</v>
      </c>
      <c r="M23" s="1486">
        <f t="shared" si="3"/>
        <v>6.1023512848858208E-2</v>
      </c>
      <c r="N23" s="1177">
        <f t="shared" si="4"/>
        <v>4.3267801865006832E-2</v>
      </c>
      <c r="O23" s="1486">
        <f t="shared" si="5"/>
        <v>4.26655164218556E-2</v>
      </c>
      <c r="P23" s="1158">
        <f t="shared" si="6"/>
        <v>6.0228544315122582E-4</v>
      </c>
      <c r="Q23" s="9"/>
      <c r="R23" s="9"/>
      <c r="S23" s="9"/>
      <c r="T23" s="9"/>
      <c r="U23" s="9"/>
      <c r="V23" s="9"/>
    </row>
    <row r="24" spans="1:22" x14ac:dyDescent="0.2">
      <c r="A24" s="954"/>
      <c r="B24" s="1149" t="s">
        <v>42</v>
      </c>
      <c r="C24" s="1496">
        <f>+TableA3!H23</f>
        <v>0.3983029700639128</v>
      </c>
      <c r="D24" s="1507">
        <v>0.2</v>
      </c>
      <c r="E24" s="1508">
        <f>D24*TableC4!C24/(1000)</f>
        <v>8.7549352432114438E-2</v>
      </c>
      <c r="F24" s="1509">
        <f>+D24*TableC4!D24/(1000)</f>
        <v>6.752951827378699E-2</v>
      </c>
      <c r="G24" s="1510">
        <f t="shared" si="7"/>
        <v>2.0019834158327449E-2</v>
      </c>
      <c r="H24" s="1508">
        <f>D24*TableC4!N24/(1000)</f>
        <v>2.7408076677843392E-3</v>
      </c>
      <c r="I24" s="1509">
        <f>+D24*TableC4!O24/(1000)</f>
        <v>2.6035136986603678E-3</v>
      </c>
      <c r="J24" s="1511">
        <f t="shared" si="8"/>
        <v>1.3729396912397131E-4</v>
      </c>
      <c r="K24" s="1177">
        <f t="shared" si="1"/>
        <v>0.21980592416387462</v>
      </c>
      <c r="L24" s="1178">
        <f t="shared" si="2"/>
        <v>0.16954309495344969</v>
      </c>
      <c r="M24" s="1486">
        <f t="shared" si="3"/>
        <v>5.0262829210424943E-2</v>
      </c>
      <c r="N24" s="1177">
        <f t="shared" si="4"/>
        <v>6.8812132315873558E-3</v>
      </c>
      <c r="O24" s="1486">
        <f t="shared" si="5"/>
        <v>6.536515904570335E-3</v>
      </c>
      <c r="P24" s="1158">
        <f t="shared" si="6"/>
        <v>3.4469732701702108E-4</v>
      </c>
      <c r="Q24" s="9"/>
      <c r="R24" s="9"/>
      <c r="S24" s="9"/>
      <c r="T24" s="9"/>
      <c r="U24" s="9"/>
      <c r="V24" s="9"/>
    </row>
    <row r="25" spans="1:22" x14ac:dyDescent="0.2">
      <c r="A25" s="954"/>
      <c r="B25" s="1149" t="s">
        <v>43</v>
      </c>
      <c r="C25" s="1496"/>
      <c r="D25" s="1512"/>
      <c r="E25" s="1508"/>
      <c r="F25" s="1509"/>
      <c r="G25" s="1510"/>
      <c r="H25" s="1508"/>
      <c r="I25" s="1509"/>
      <c r="J25" s="1511"/>
      <c r="K25" s="1177"/>
      <c r="L25" s="1178"/>
      <c r="M25" s="1486"/>
      <c r="N25" s="1177"/>
      <c r="O25" s="1486"/>
      <c r="P25" s="1158"/>
      <c r="Q25" s="9"/>
      <c r="R25" s="9"/>
      <c r="S25" s="9"/>
      <c r="T25" s="9"/>
      <c r="U25" s="9"/>
      <c r="V25" s="9"/>
    </row>
    <row r="26" spans="1:22" x14ac:dyDescent="0.2">
      <c r="A26" s="954"/>
      <c r="B26" s="1149" t="s">
        <v>44</v>
      </c>
      <c r="C26" s="1496">
        <f>+TableA3!H25</f>
        <v>8.9214020772181364</v>
      </c>
      <c r="D26" s="1507">
        <v>0.25</v>
      </c>
      <c r="E26" s="1508">
        <f>D26*TableC4!C26/(1000)</f>
        <v>0.17016457999789139</v>
      </c>
      <c r="F26" s="1509">
        <f>+D26*TableC4!D26/(1000)</f>
        <v>6.945206882822845E-2</v>
      </c>
      <c r="G26" s="1510">
        <f t="shared" si="7"/>
        <v>0.10071251116966294</v>
      </c>
      <c r="H26" s="1508">
        <f>D26*TableC4!N26/(1000)</f>
        <v>0.13353438528307834</v>
      </c>
      <c r="I26" s="1509">
        <f>+D26*TableC4!O26/(1000)</f>
        <v>1.6529625637249069E-2</v>
      </c>
      <c r="J26" s="1511">
        <f t="shared" si="8"/>
        <v>0.11700475964582928</v>
      </c>
      <c r="K26" s="1177">
        <f t="shared" si="1"/>
        <v>1.9073748557127242E-2</v>
      </c>
      <c r="L26" s="1178">
        <f t="shared" si="2"/>
        <v>7.7848827154178585E-3</v>
      </c>
      <c r="M26" s="1486">
        <f t="shared" si="3"/>
        <v>1.1288865841709381E-2</v>
      </c>
      <c r="N26" s="1177">
        <f t="shared" si="4"/>
        <v>1.4967869862526913E-2</v>
      </c>
      <c r="O26" s="1486">
        <f t="shared" si="5"/>
        <v>1.8528058139492937E-3</v>
      </c>
      <c r="P26" s="1158">
        <f t="shared" si="6"/>
        <v>1.311506404857762E-2</v>
      </c>
      <c r="Q26" s="9"/>
      <c r="R26" s="9"/>
      <c r="S26" s="9"/>
      <c r="T26" s="9"/>
      <c r="U26" s="9"/>
      <c r="V26" s="9"/>
    </row>
    <row r="27" spans="1:22" x14ac:dyDescent="0.2">
      <c r="A27" s="954"/>
      <c r="B27" s="1149" t="s">
        <v>45</v>
      </c>
      <c r="C27" s="1496">
        <f>+TableA3!H26</f>
        <v>37.286823510883821</v>
      </c>
      <c r="D27" s="1507">
        <v>0.314</v>
      </c>
      <c r="E27" s="1508">
        <f>D27*TableC4!C27/(1000)</f>
        <v>7.128579649914653</v>
      </c>
      <c r="F27" s="1509">
        <f>+D27*TableC4!D27/(1000)</f>
        <v>6.1083119091877878</v>
      </c>
      <c r="G27" s="1510">
        <f t="shared" si="7"/>
        <v>1.0202677407268652</v>
      </c>
      <c r="H27" s="1508">
        <f>D27*TableC4!N27/(1000)</f>
        <v>1.1754738652473677</v>
      </c>
      <c r="I27" s="1509">
        <f>+D27*TableC4!O27/(1000)</f>
        <v>0.79148438861320891</v>
      </c>
      <c r="J27" s="1511">
        <f t="shared" si="8"/>
        <v>0.38398947663415883</v>
      </c>
      <c r="K27" s="1177">
        <f t="shared" si="1"/>
        <v>0.19118227241411057</v>
      </c>
      <c r="L27" s="1178">
        <f t="shared" si="2"/>
        <v>0.16381958381101583</v>
      </c>
      <c r="M27" s="1486">
        <f t="shared" si="3"/>
        <v>2.7362688603094727E-2</v>
      </c>
      <c r="N27" s="1177">
        <f t="shared" si="4"/>
        <v>3.1525181138164084E-2</v>
      </c>
      <c r="O27" s="1486">
        <f t="shared" si="5"/>
        <v>2.1226919165752454E-2</v>
      </c>
      <c r="P27" s="1158">
        <f t="shared" si="6"/>
        <v>1.0298261972411632E-2</v>
      </c>
      <c r="Q27" s="9"/>
      <c r="R27" s="9"/>
      <c r="S27" s="9"/>
      <c r="T27" s="9"/>
      <c r="U27" s="9"/>
      <c r="V27" s="9"/>
    </row>
    <row r="28" spans="1:22" x14ac:dyDescent="0.2">
      <c r="A28" s="954"/>
      <c r="B28" s="1149" t="s">
        <v>46</v>
      </c>
      <c r="C28" s="1496">
        <f>+TableA3!H27</f>
        <v>166.10688689066282</v>
      </c>
      <c r="D28" s="1507">
        <v>0.33860000000000001</v>
      </c>
      <c r="E28" s="1508">
        <f>D28*TableC4!C28/(1000)</f>
        <v>2.8965109563043363</v>
      </c>
      <c r="F28" s="1509">
        <f>+D28*TableC4!D28/(1000)</f>
        <v>1.5385683449875898</v>
      </c>
      <c r="G28" s="1510">
        <f t="shared" si="7"/>
        <v>1.3579426113167465</v>
      </c>
      <c r="H28" s="1508">
        <f>D28*TableC4!N28/(1000)</f>
        <v>6.53371574360997</v>
      </c>
      <c r="I28" s="1509">
        <f>+D28*TableC4!O28/(1000)</f>
        <v>2.8743557692979285</v>
      </c>
      <c r="J28" s="1511">
        <f t="shared" si="8"/>
        <v>3.6593599743120415</v>
      </c>
      <c r="K28" s="1177">
        <f t="shared" si="1"/>
        <v>1.7437633144078594E-2</v>
      </c>
      <c r="L28" s="1178">
        <f t="shared" si="2"/>
        <v>9.2625198978072924E-3</v>
      </c>
      <c r="M28" s="1486">
        <f t="shared" si="3"/>
        <v>8.1751132462713014E-3</v>
      </c>
      <c r="N28" s="1177">
        <f t="shared" si="4"/>
        <v>3.9334406091847851E-2</v>
      </c>
      <c r="O28" s="1486">
        <f t="shared" si="5"/>
        <v>1.7304254044505252E-2</v>
      </c>
      <c r="P28" s="1158">
        <f t="shared" si="6"/>
        <v>2.2030152047342603E-2</v>
      </c>
      <c r="Q28" s="9"/>
      <c r="R28" s="9"/>
      <c r="S28" s="9"/>
      <c r="T28" s="9"/>
      <c r="U28" s="9"/>
      <c r="V28" s="9"/>
    </row>
    <row r="29" spans="1:22" x14ac:dyDescent="0.2">
      <c r="A29" s="954" t="s">
        <v>637</v>
      </c>
      <c r="B29" s="1149" t="s">
        <v>47</v>
      </c>
      <c r="C29" s="1496">
        <f>+TableA3!H28</f>
        <v>45.573671217315002</v>
      </c>
      <c r="D29" s="1507">
        <v>0.24199999999999999</v>
      </c>
      <c r="E29" s="1508">
        <f>D29*TableC4!C29/(1000)</f>
        <v>1.1699809090485687</v>
      </c>
      <c r="F29" s="1509">
        <f>+D29*TableC4!D29/(1000)</f>
        <v>0.28007610191739396</v>
      </c>
      <c r="G29" s="1510">
        <f t="shared" si="7"/>
        <v>0.8899048071311747</v>
      </c>
      <c r="H29" s="1508">
        <f>D29*TableC4!N29/(1000)</f>
        <v>0.37882859255592366</v>
      </c>
      <c r="I29" s="1509">
        <f>+D29*TableC4!O29/(1000)</f>
        <v>0.1887066598291669</v>
      </c>
      <c r="J29" s="1511">
        <f t="shared" si="8"/>
        <v>0.19012193272675676</v>
      </c>
      <c r="K29" s="1177">
        <f t="shared" si="1"/>
        <v>2.5672298890945015E-2</v>
      </c>
      <c r="L29" s="1178">
        <f t="shared" si="2"/>
        <v>6.1455681413478801E-3</v>
      </c>
      <c r="M29" s="1486">
        <f t="shared" si="3"/>
        <v>1.9526730749597133E-2</v>
      </c>
      <c r="N29" s="1177">
        <f t="shared" si="4"/>
        <v>8.3124440589722268E-3</v>
      </c>
      <c r="O29" s="1486">
        <f t="shared" si="5"/>
        <v>4.1406947210667275E-3</v>
      </c>
      <c r="P29" s="1158">
        <f t="shared" si="6"/>
        <v>4.1717493379054994E-3</v>
      </c>
      <c r="Q29" s="9"/>
      <c r="R29" s="9"/>
      <c r="S29" s="9"/>
      <c r="T29" s="9"/>
      <c r="U29" s="9"/>
      <c r="V29" s="9"/>
    </row>
    <row r="30" spans="1:22" x14ac:dyDescent="0.2">
      <c r="A30" s="954"/>
      <c r="B30" s="1148" t="s">
        <v>48</v>
      </c>
      <c r="C30" s="1496">
        <f>+TableA3!H29</f>
        <v>0.43100773130418485</v>
      </c>
      <c r="D30" s="1507">
        <v>0.15</v>
      </c>
      <c r="E30" s="1508">
        <f>D30*TableC4!C30/(1000)</f>
        <v>3.0146845091089225E-2</v>
      </c>
      <c r="F30" s="1509">
        <f>+D30*TableC4!D30/(1000)</f>
        <v>2.1106266911886482E-2</v>
      </c>
      <c r="G30" s="1510">
        <f t="shared" si="7"/>
        <v>9.0405781792027434E-3</v>
      </c>
      <c r="H30" s="1508">
        <f>D30*TableC4!N30/(1000)</f>
        <v>-1.9463857993347002E-4</v>
      </c>
      <c r="I30" s="1509">
        <f>+D30*TableC4!O30/(1000)</f>
        <v>-2.0738487796372884E-4</v>
      </c>
      <c r="J30" s="1511">
        <f t="shared" si="8"/>
        <v>1.2746298030258814E-5</v>
      </c>
      <c r="K30" s="1177">
        <f t="shared" si="1"/>
        <v>6.9945021635384561E-2</v>
      </c>
      <c r="L30" s="1178">
        <f t="shared" si="2"/>
        <v>4.896957845285304E-2</v>
      </c>
      <c r="M30" s="1486">
        <f t="shared" si="3"/>
        <v>2.0975443182531524E-2</v>
      </c>
      <c r="N30" s="1177">
        <f t="shared" si="4"/>
        <v>-4.5158953261583914E-4</v>
      </c>
      <c r="O30" s="1486">
        <f t="shared" si="5"/>
        <v>-4.8116277946152759E-4</v>
      </c>
      <c r="P30" s="1158">
        <f t="shared" si="6"/>
        <v>2.9573246845688437E-5</v>
      </c>
      <c r="Q30" s="9"/>
      <c r="R30" s="9"/>
      <c r="S30" s="9"/>
      <c r="T30" s="9"/>
      <c r="U30" s="9"/>
      <c r="V30" s="9"/>
    </row>
    <row r="31" spans="1:22" x14ac:dyDescent="0.2">
      <c r="A31" s="954"/>
      <c r="B31" s="1148" t="s">
        <v>49</v>
      </c>
      <c r="C31" s="1208"/>
      <c r="D31" s="1861"/>
      <c r="E31" s="1508"/>
      <c r="F31" s="1509"/>
      <c r="G31" s="1510"/>
      <c r="H31" s="1508"/>
      <c r="I31" s="1509"/>
      <c r="J31" s="1511"/>
      <c r="K31" s="1177"/>
      <c r="L31" s="1178"/>
      <c r="M31" s="1486"/>
      <c r="N31" s="1177"/>
      <c r="O31" s="1486"/>
      <c r="P31" s="1158"/>
      <c r="Q31" s="9"/>
      <c r="R31" s="9"/>
      <c r="S31" s="9"/>
      <c r="T31" s="9"/>
      <c r="U31" s="9"/>
      <c r="V31" s="9"/>
    </row>
    <row r="32" spans="1:22" x14ac:dyDescent="0.2">
      <c r="A32" s="954"/>
      <c r="B32" s="1148" t="s">
        <v>50</v>
      </c>
      <c r="C32" s="1496">
        <f>+TableA3!H31</f>
        <v>37.382194532689283</v>
      </c>
      <c r="D32" s="1507">
        <v>0.3</v>
      </c>
      <c r="E32" s="1508">
        <f>D32*TableC4!C32/(1000)</f>
        <v>3.9287668656222849</v>
      </c>
      <c r="F32" s="1509">
        <f>+D32*TableC4!D32/(1000)</f>
        <v>1.2112360557561255</v>
      </c>
      <c r="G32" s="1510">
        <f t="shared" si="7"/>
        <v>2.7175308098661595</v>
      </c>
      <c r="H32" s="1508">
        <f>D32*TableC4!N32/(1000)</f>
        <v>1.0907054651436583</v>
      </c>
      <c r="I32" s="1509">
        <f>+D32*TableC4!O32/(1000)</f>
        <v>0.90199920552108459</v>
      </c>
      <c r="J32" s="1511">
        <f t="shared" si="8"/>
        <v>0.1887062596225737</v>
      </c>
      <c r="K32" s="1177">
        <f t="shared" si="1"/>
        <v>0.10509727731973387</v>
      </c>
      <c r="L32" s="1178">
        <f t="shared" si="2"/>
        <v>3.2401416527243911E-2</v>
      </c>
      <c r="M32" s="1486">
        <f t="shared" si="3"/>
        <v>7.2695860792489964E-2</v>
      </c>
      <c r="N32" s="1177">
        <f t="shared" si="4"/>
        <v>2.9177138441936E-2</v>
      </c>
      <c r="O32" s="1486">
        <f t="shared" si="5"/>
        <v>2.4129113252896944E-2</v>
      </c>
      <c r="P32" s="1158">
        <f t="shared" si="6"/>
        <v>5.048025189039059E-3</v>
      </c>
      <c r="Q32" s="9"/>
      <c r="R32" s="9"/>
      <c r="S32" s="9"/>
      <c r="T32" s="9"/>
      <c r="U32" s="9"/>
      <c r="V32" s="9"/>
    </row>
    <row r="33" spans="1:22" x14ac:dyDescent="0.2">
      <c r="A33" s="954"/>
      <c r="B33" s="1148" t="s">
        <v>51</v>
      </c>
      <c r="C33" s="1208"/>
      <c r="D33" s="1861"/>
      <c r="E33" s="1508"/>
      <c r="F33" s="1509"/>
      <c r="G33" s="1510"/>
      <c r="H33" s="1508"/>
      <c r="I33" s="1509"/>
      <c r="J33" s="1511"/>
      <c r="K33" s="1177"/>
      <c r="L33" s="1178"/>
      <c r="M33" s="1486"/>
      <c r="N33" s="1177"/>
      <c r="O33" s="1486"/>
      <c r="P33" s="1158"/>
      <c r="Q33" s="9"/>
      <c r="R33" s="9"/>
      <c r="S33" s="9"/>
      <c r="T33" s="9"/>
      <c r="U33" s="9"/>
      <c r="V33" s="9"/>
    </row>
    <row r="34" spans="1:22" x14ac:dyDescent="0.2">
      <c r="A34" s="954"/>
      <c r="B34" s="1148" t="s">
        <v>52</v>
      </c>
      <c r="C34" s="1496">
        <f>+TableA3!H33</f>
        <v>7.9548109276661032</v>
      </c>
      <c r="D34" s="1507">
        <v>0.28000000000000003</v>
      </c>
      <c r="E34" s="1508">
        <f>D34*TableC4!C34/(1000)</f>
        <v>0.42656415068203546</v>
      </c>
      <c r="F34" s="1509">
        <f>+D34*TableC4!D34/(1000)</f>
        <v>0.14021066991865599</v>
      </c>
      <c r="G34" s="1510">
        <f t="shared" si="7"/>
        <v>0.28635348076337946</v>
      </c>
      <c r="H34" s="1508">
        <f>D34*TableC4!N34/(1000)</f>
        <v>0.1859742871829152</v>
      </c>
      <c r="I34" s="1509">
        <f>+D34*TableC4!O34/(1000)</f>
        <v>-3.038082833569989E-2</v>
      </c>
      <c r="J34" s="1511">
        <f t="shared" si="8"/>
        <v>0.21635511551861508</v>
      </c>
      <c r="K34" s="1177">
        <f t="shared" si="1"/>
        <v>5.3623417899033209E-2</v>
      </c>
      <c r="L34" s="1178">
        <f t="shared" si="2"/>
        <v>1.7625895975857345E-2</v>
      </c>
      <c r="M34" s="1486">
        <f t="shared" si="3"/>
        <v>3.599752192317586E-2</v>
      </c>
      <c r="N34" s="1177">
        <f t="shared" si="4"/>
        <v>2.337884443439299E-2</v>
      </c>
      <c r="O34" s="1486">
        <f t="shared" si="5"/>
        <v>-3.8191766733308712E-3</v>
      </c>
      <c r="P34" s="1158">
        <f t="shared" si="6"/>
        <v>2.7198021107723857E-2</v>
      </c>
      <c r="Q34" s="9"/>
      <c r="R34" s="9"/>
      <c r="S34" s="9"/>
      <c r="T34" s="9"/>
      <c r="U34" s="9"/>
      <c r="V34" s="9"/>
    </row>
    <row r="35" spans="1:22" x14ac:dyDescent="0.2">
      <c r="A35" s="954"/>
      <c r="B35" s="1148" t="s">
        <v>53</v>
      </c>
      <c r="C35" s="1496">
        <f>+TableA3!H34</f>
        <v>16.980179105913855</v>
      </c>
      <c r="D35" s="1507">
        <v>0.27</v>
      </c>
      <c r="E35" s="1508">
        <f>D35*TableC4!C35/(1000)</f>
        <v>1.4082294707463936</v>
      </c>
      <c r="F35" s="1509">
        <f>+D35*TableC4!D35/(1000)</f>
        <v>0.79480198304387129</v>
      </c>
      <c r="G35" s="1510">
        <f t="shared" si="7"/>
        <v>0.61342748770252231</v>
      </c>
      <c r="H35" s="1508">
        <f>D35*TableC4!N35/(1000)</f>
        <v>1.4666467768775731</v>
      </c>
      <c r="I35" s="1509">
        <f>+D35*TableC4!O35/(1000)</f>
        <v>1.0366576337778635</v>
      </c>
      <c r="J35" s="1511">
        <f t="shared" si="8"/>
        <v>0.42998914309970959</v>
      </c>
      <c r="K35" s="1177">
        <f t="shared" si="1"/>
        <v>8.2933723016851785E-2</v>
      </c>
      <c r="L35" s="1178">
        <f t="shared" si="2"/>
        <v>4.6807632480570106E-2</v>
      </c>
      <c r="M35" s="1486">
        <f t="shared" si="3"/>
        <v>3.6126090536281671E-2</v>
      </c>
      <c r="N35" s="1177">
        <f t="shared" si="4"/>
        <v>8.6374046335398746E-2</v>
      </c>
      <c r="O35" s="1486">
        <f t="shared" si="5"/>
        <v>6.1051042354247985E-2</v>
      </c>
      <c r="P35" s="1158">
        <f t="shared" si="6"/>
        <v>2.5323003981150765E-2</v>
      </c>
      <c r="Q35" s="9"/>
      <c r="R35" s="9"/>
      <c r="S35" s="9"/>
      <c r="T35" s="9"/>
      <c r="U35" s="9"/>
      <c r="V35" s="9"/>
    </row>
    <row r="36" spans="1:22" x14ac:dyDescent="0.2">
      <c r="A36" s="954"/>
      <c r="B36" s="1148" t="s">
        <v>54</v>
      </c>
      <c r="C36" s="1496">
        <f>+TableA3!H35</f>
        <v>8.7820665870805144</v>
      </c>
      <c r="D36" s="1507">
        <v>0.19</v>
      </c>
      <c r="E36" s="1508">
        <f>D36*TableC4!C36/(1000)</f>
        <v>0.70221461489869563</v>
      </c>
      <c r="F36" s="1509">
        <f>+D36*TableC4!D36/(1000)</f>
        <v>0.48651642862878441</v>
      </c>
      <c r="G36" s="1510">
        <f t="shared" si="7"/>
        <v>0.21569818626991122</v>
      </c>
      <c r="H36" s="1508">
        <f>D36*TableC4!N36/(1000)</f>
        <v>-0.48012547181952858</v>
      </c>
      <c r="I36" s="1509">
        <f>+D36*TableC4!O36/(1000)</f>
        <v>-0.48047458555377975</v>
      </c>
      <c r="J36" s="1511">
        <f t="shared" si="8"/>
        <v>3.4911373425117187E-4</v>
      </c>
      <c r="K36" s="1177">
        <f t="shared" si="1"/>
        <v>7.996006497283209E-2</v>
      </c>
      <c r="L36" s="1178">
        <f t="shared" si="2"/>
        <v>5.5398854450102793E-2</v>
      </c>
      <c r="M36" s="1486">
        <f t="shared" si="3"/>
        <v>2.4561210522729287E-2</v>
      </c>
      <c r="N36" s="1177">
        <f t="shared" si="4"/>
        <v>-5.4671126329860834E-2</v>
      </c>
      <c r="O36" s="1486">
        <f t="shared" si="5"/>
        <v>-5.4710879357327602E-2</v>
      </c>
      <c r="P36" s="1158">
        <f t="shared" si="6"/>
        <v>3.975302746676512E-5</v>
      </c>
      <c r="Q36" s="9"/>
      <c r="R36" s="9"/>
      <c r="S36" s="9"/>
      <c r="T36" s="9"/>
      <c r="U36" s="9"/>
      <c r="V36" s="9"/>
    </row>
    <row r="37" spans="1:22" x14ac:dyDescent="0.2">
      <c r="A37" s="954"/>
      <c r="B37" s="1148" t="s">
        <v>55</v>
      </c>
      <c r="C37" s="1496">
        <f>+TableA3!H36</f>
        <v>6.2258326041219583</v>
      </c>
      <c r="D37" s="1507">
        <v>0.21</v>
      </c>
      <c r="E37" s="1508">
        <f>D37*TableC4!C37/(1000)</f>
        <v>0.55401828129230823</v>
      </c>
      <c r="F37" s="1509">
        <f>+D37*TableC4!D37/(1000)</f>
        <v>0.49494758221281709</v>
      </c>
      <c r="G37" s="1510">
        <f t="shared" si="7"/>
        <v>5.907069907949114E-2</v>
      </c>
      <c r="H37" s="1508">
        <f>D37*TableC4!N37/(1000)</f>
        <v>5.8380833696366548E-2</v>
      </c>
      <c r="I37" s="1509">
        <f>+D37*TableC4!O37/(1000)</f>
        <v>6.6688516940348992E-4</v>
      </c>
      <c r="J37" s="1511">
        <f t="shared" si="8"/>
        <v>5.7713948526963058E-2</v>
      </c>
      <c r="K37" s="1177">
        <f t="shared" si="1"/>
        <v>8.8987018527531159E-2</v>
      </c>
      <c r="L37" s="1178">
        <f t="shared" si="2"/>
        <v>7.9499018634893184E-2</v>
      </c>
      <c r="M37" s="1486">
        <f t="shared" si="3"/>
        <v>9.4879998926379744E-3</v>
      </c>
      <c r="N37" s="1177">
        <f t="shared" si="4"/>
        <v>9.3771929649560694E-3</v>
      </c>
      <c r="O37" s="1486">
        <f t="shared" si="5"/>
        <v>1.0711582077583695E-4</v>
      </c>
      <c r="P37" s="1158">
        <f t="shared" si="6"/>
        <v>9.2700771441802318E-3</v>
      </c>
      <c r="Q37" s="9"/>
      <c r="R37" s="9"/>
      <c r="S37" s="9"/>
      <c r="T37" s="9"/>
      <c r="U37" s="9"/>
      <c r="V37" s="9"/>
    </row>
    <row r="38" spans="1:22" x14ac:dyDescent="0.2">
      <c r="A38" s="954" t="s">
        <v>336</v>
      </c>
      <c r="B38" s="1148" t="s">
        <v>56</v>
      </c>
      <c r="C38" s="1496">
        <f>+TableA3!H37</f>
        <v>2.9169999999999998</v>
      </c>
      <c r="D38" s="1507">
        <v>0.22</v>
      </c>
      <c r="E38" s="1508">
        <f>D38*TableC4!C38/(1000)</f>
        <v>0.14009898329065634</v>
      </c>
      <c r="F38" s="1509">
        <f>+D38*TableC4!D38/(1000)</f>
        <v>0.11777605114149546</v>
      </c>
      <c r="G38" s="1510">
        <f t="shared" si="7"/>
        <v>2.2322932149160882E-2</v>
      </c>
      <c r="H38" s="1508">
        <f>D38*TableC4!N38/(1000)</f>
        <v>1.9783614702909954E-2</v>
      </c>
      <c r="I38" s="1509">
        <f>+D38*TableC4!O38/(1000)</f>
        <v>1.9003668919639376E-2</v>
      </c>
      <c r="J38" s="1511">
        <f t="shared" si="8"/>
        <v>7.7994578327057751E-4</v>
      </c>
      <c r="K38" s="1177">
        <f t="shared" si="1"/>
        <v>4.8028448162720727E-2</v>
      </c>
      <c r="L38" s="1178">
        <f t="shared" si="2"/>
        <v>4.0375746020396112E-2</v>
      </c>
      <c r="M38" s="1486">
        <f t="shared" si="3"/>
        <v>7.6527021423246086E-3</v>
      </c>
      <c r="N38" s="1177">
        <f t="shared" si="4"/>
        <v>6.7821785063112636E-3</v>
      </c>
      <c r="O38" s="1486">
        <f t="shared" si="5"/>
        <v>6.5147990811242297E-3</v>
      </c>
      <c r="P38" s="1158">
        <f t="shared" si="6"/>
        <v>2.6737942518703379E-4</v>
      </c>
      <c r="Q38" s="9"/>
      <c r="R38" s="9"/>
      <c r="S38" s="9"/>
      <c r="T38" s="9"/>
      <c r="U38" s="9"/>
      <c r="V38" s="9"/>
    </row>
    <row r="39" spans="1:22" x14ac:dyDescent="0.2">
      <c r="A39" s="954"/>
      <c r="B39" s="1148" t="s">
        <v>57</v>
      </c>
      <c r="C39" s="1496">
        <f>+TableA3!H38</f>
        <v>0.62991330425360359</v>
      </c>
      <c r="D39" s="1507">
        <v>0.17</v>
      </c>
      <c r="E39" s="1508">
        <f>D39*TableC4!C39/(1000)</f>
        <v>3.8300831716674075E-2</v>
      </c>
      <c r="F39" s="1509">
        <f>+D39*TableC4!D39/(1000)</f>
        <v>1.9567108632217611E-2</v>
      </c>
      <c r="G39" s="1510">
        <f t="shared" si="7"/>
        <v>1.8733723084456463E-2</v>
      </c>
      <c r="H39" s="1508">
        <f>D39*TableC4!N39/(1000)</f>
        <v>-1.1996110828804041E-3</v>
      </c>
      <c r="I39" s="1509">
        <f>+D39*TableC4!O39/(1000)</f>
        <v>-1.2890368977857367E-3</v>
      </c>
      <c r="J39" s="1511">
        <f t="shared" si="8"/>
        <v>8.9425814905332631E-5</v>
      </c>
      <c r="K39" s="1177">
        <f t="shared" si="1"/>
        <v>6.0803338265822897E-2</v>
      </c>
      <c r="L39" s="1178">
        <f t="shared" si="2"/>
        <v>3.1063177265962107E-2</v>
      </c>
      <c r="M39" s="1486">
        <f t="shared" si="3"/>
        <v>2.9740160999860786E-2</v>
      </c>
      <c r="N39" s="1177">
        <f t="shared" si="4"/>
        <v>-1.9044066457714311E-3</v>
      </c>
      <c r="O39" s="1486">
        <f t="shared" si="5"/>
        <v>-2.0463719198837074E-3</v>
      </c>
      <c r="P39" s="1158">
        <f t="shared" si="6"/>
        <v>1.4196527411227644E-4</v>
      </c>
      <c r="Q39" s="9"/>
      <c r="R39" s="9"/>
      <c r="S39" s="9"/>
      <c r="T39" s="9"/>
      <c r="U39" s="9"/>
      <c r="V39" s="9"/>
    </row>
    <row r="40" spans="1:22" x14ac:dyDescent="0.2">
      <c r="A40" s="954"/>
      <c r="B40" s="1148" t="s">
        <v>58</v>
      </c>
      <c r="C40" s="1496">
        <f>+TableA3!H39</f>
        <v>28.380403234482216</v>
      </c>
      <c r="D40" s="1507">
        <v>0.28000000000000003</v>
      </c>
      <c r="E40" s="1508">
        <f>D40*TableC4!C40/(1000)</f>
        <v>4.0213800257688312</v>
      </c>
      <c r="F40" s="1509">
        <f>+D40*TableC4!D40/(1000)</f>
        <v>3.1658234146898794</v>
      </c>
      <c r="G40" s="1510">
        <f t="shared" si="7"/>
        <v>0.85555661107895187</v>
      </c>
      <c r="H40" s="1508">
        <f>D40*TableC4!N40/(1000)</f>
        <v>0.86796528793394034</v>
      </c>
      <c r="I40" s="1509">
        <f>+D40*TableC4!O40/(1000)</f>
        <v>0.30880140654605304</v>
      </c>
      <c r="J40" s="1511">
        <f t="shared" si="8"/>
        <v>0.55916388138788731</v>
      </c>
      <c r="K40" s="1177">
        <f t="shared" si="1"/>
        <v>0.14169566205750209</v>
      </c>
      <c r="L40" s="1178">
        <f t="shared" si="2"/>
        <v>0.11154962769674115</v>
      </c>
      <c r="M40" s="1486">
        <f t="shared" si="3"/>
        <v>3.0146034360760941E-2</v>
      </c>
      <c r="N40" s="1177">
        <f t="shared" si="4"/>
        <v>3.0583261300507588E-2</v>
      </c>
      <c r="O40" s="1486">
        <f t="shared" si="5"/>
        <v>1.0880797006113678E-2</v>
      </c>
      <c r="P40" s="1158">
        <f t="shared" si="6"/>
        <v>1.9702464294393911E-2</v>
      </c>
      <c r="Q40" s="9"/>
      <c r="R40" s="9"/>
      <c r="S40" s="9"/>
      <c r="T40" s="9"/>
      <c r="U40" s="9"/>
      <c r="V40" s="9"/>
    </row>
    <row r="41" spans="1:22" s="25" customFormat="1" x14ac:dyDescent="0.2">
      <c r="A41" s="1109"/>
      <c r="B41" s="1074" t="s">
        <v>59</v>
      </c>
      <c r="C41" s="1496">
        <f>+TableA3!H40</f>
        <v>14.727097286125488</v>
      </c>
      <c r="D41" s="1507">
        <v>0.22</v>
      </c>
      <c r="E41" s="1508">
        <f>D41*TableC4!C41/(1000)</f>
        <v>1.8790398127610988</v>
      </c>
      <c r="F41" s="1509">
        <f>+D41*TableC4!D41/(1000)</f>
        <v>1.4676970926928903</v>
      </c>
      <c r="G41" s="1510">
        <f t="shared" si="7"/>
        <v>0.41134272006820849</v>
      </c>
      <c r="H41" s="1508">
        <f>D41*TableC4!N41/(1000)</f>
        <v>2.086158957905369</v>
      </c>
      <c r="I41" s="1509">
        <f>+D41*TableC4!O41/(1000)</f>
        <v>1.4821029416062244</v>
      </c>
      <c r="J41" s="1511">
        <f t="shared" si="8"/>
        <v>0.60405601629914463</v>
      </c>
      <c r="K41" s="1177">
        <f t="shared" si="1"/>
        <v>0.12759064303400486</v>
      </c>
      <c r="L41" s="1178">
        <f t="shared" si="2"/>
        <v>9.9659631777921295E-2</v>
      </c>
      <c r="M41" s="1486">
        <f t="shared" si="3"/>
        <v>2.7931011256083549E-2</v>
      </c>
      <c r="N41" s="1177">
        <f t="shared" si="4"/>
        <v>0.14165445622952158</v>
      </c>
      <c r="O41" s="1486">
        <f t="shared" si="5"/>
        <v>0.10063781835694974</v>
      </c>
      <c r="P41" s="1158">
        <f t="shared" si="6"/>
        <v>4.1016637872571836E-2</v>
      </c>
      <c r="Q41" s="9"/>
      <c r="R41" s="9"/>
      <c r="S41" s="9"/>
      <c r="T41" s="9"/>
      <c r="U41" s="9"/>
      <c r="V41" s="9"/>
    </row>
    <row r="42" spans="1:22" x14ac:dyDescent="0.2">
      <c r="A42" s="954"/>
      <c r="B42" s="1148" t="s">
        <v>60</v>
      </c>
      <c r="C42" s="1208"/>
      <c r="D42" s="1507"/>
      <c r="E42" s="1508">
        <f>D42*TableC4!C42/(1000)</f>
        <v>0</v>
      </c>
      <c r="F42" s="1509">
        <f>+D42*TableC4!D42/(1000)</f>
        <v>0</v>
      </c>
      <c r="G42" s="1510">
        <f t="shared" si="7"/>
        <v>0</v>
      </c>
      <c r="H42" s="1508">
        <f>D42*TableC4!N42/(1000)</f>
        <v>0</v>
      </c>
      <c r="I42" s="1509">
        <f>+D42*TableC4!O42/(1000)</f>
        <v>0</v>
      </c>
      <c r="J42" s="1511">
        <f t="shared" si="8"/>
        <v>0</v>
      </c>
      <c r="K42" s="1177"/>
      <c r="L42" s="1178"/>
      <c r="M42" s="1486"/>
      <c r="N42" s="1177"/>
      <c r="O42" s="1486"/>
      <c r="P42" s="1158"/>
      <c r="Q42" s="9"/>
      <c r="R42" s="9"/>
      <c r="S42" s="9"/>
      <c r="T42" s="9"/>
      <c r="U42" s="9"/>
      <c r="V42" s="9"/>
    </row>
    <row r="43" spans="1:22" x14ac:dyDescent="0.2">
      <c r="A43" s="954"/>
      <c r="B43" s="1148" t="s">
        <v>61</v>
      </c>
      <c r="C43" s="1496">
        <f>+TableA3!H42</f>
        <v>12.275014163556076</v>
      </c>
      <c r="D43" s="1507">
        <v>0.2</v>
      </c>
      <c r="E43" s="1508">
        <f>D43*TableC4!C43/(1000)</f>
        <v>0.99509856411795194</v>
      </c>
      <c r="F43" s="1509">
        <f>+D43*TableC4!D43/(1000)</f>
        <v>0.3232851181123596</v>
      </c>
      <c r="G43" s="1510">
        <f t="shared" si="7"/>
        <v>0.67181344600559234</v>
      </c>
      <c r="H43" s="1508">
        <f>D43*TableC4!N43/(1000)</f>
        <v>9.3615700495637957E-2</v>
      </c>
      <c r="I43" s="1509">
        <f>+D43*TableC4!O43/(1000)</f>
        <v>8.9708422099904969E-2</v>
      </c>
      <c r="J43" s="1511">
        <f t="shared" si="8"/>
        <v>3.9072783957329882E-3</v>
      </c>
      <c r="K43" s="1177">
        <f t="shared" si="1"/>
        <v>8.1066999260363509E-2</v>
      </c>
      <c r="L43" s="1178">
        <f t="shared" si="2"/>
        <v>2.6336842777108762E-2</v>
      </c>
      <c r="M43" s="1486">
        <f t="shared" si="3"/>
        <v>5.4730156483254744E-2</v>
      </c>
      <c r="N43" s="1177">
        <f t="shared" si="4"/>
        <v>7.6265248453707248E-3</v>
      </c>
      <c r="O43" s="1486">
        <f t="shared" si="5"/>
        <v>7.3082133270562684E-3</v>
      </c>
      <c r="P43" s="1158">
        <f t="shared" si="6"/>
        <v>3.1831151831445613E-4</v>
      </c>
      <c r="Q43" s="9"/>
      <c r="R43" s="9"/>
      <c r="S43" s="9"/>
      <c r="T43" s="9"/>
      <c r="U43" s="9"/>
      <c r="V43" s="9"/>
    </row>
    <row r="44" spans="1:22" x14ac:dyDescent="0.2">
      <c r="A44" s="954"/>
      <c r="B44" s="1148" t="s">
        <v>62</v>
      </c>
      <c r="C44" s="1496">
        <f>+TableA3!H43</f>
        <v>70.19379874569357</v>
      </c>
      <c r="D44" s="1507">
        <v>0.2</v>
      </c>
      <c r="E44" s="1508">
        <f>D44*TableC4!C44/(1000)</f>
        <v>12.300180136609274</v>
      </c>
      <c r="F44" s="1509">
        <f>+D44*TableC4!D44/(1000)</f>
        <v>9.7090538356138776</v>
      </c>
      <c r="G44" s="1510">
        <f t="shared" si="7"/>
        <v>2.5911263009953966</v>
      </c>
      <c r="H44" s="1508">
        <f>D44*TableC4!N44/(1000)</f>
        <v>10.894100163122735</v>
      </c>
      <c r="I44" s="1509">
        <f>+D44*TableC4!O44/(1000)</f>
        <v>7.7590684909809688</v>
      </c>
      <c r="J44" s="1511">
        <f t="shared" si="8"/>
        <v>3.1350316721417659</v>
      </c>
      <c r="K44" s="1177">
        <f t="shared" si="1"/>
        <v>0.17523172069902965</v>
      </c>
      <c r="L44" s="1178">
        <f t="shared" si="2"/>
        <v>0.13831782876987453</v>
      </c>
      <c r="M44" s="1486">
        <f t="shared" si="3"/>
        <v>3.6913891929155118E-2</v>
      </c>
      <c r="N44" s="1177">
        <f t="shared" si="4"/>
        <v>0.15520032193429473</v>
      </c>
      <c r="O44" s="1486">
        <f t="shared" si="5"/>
        <v>0.11053780575534092</v>
      </c>
      <c r="P44" s="1158">
        <f t="shared" si="6"/>
        <v>4.4662516178953796E-2</v>
      </c>
      <c r="Q44" s="9"/>
      <c r="R44" s="9"/>
      <c r="S44" s="9"/>
      <c r="T44" s="9"/>
      <c r="U44" s="9"/>
      <c r="V44" s="9"/>
    </row>
    <row r="45" spans="1:22" x14ac:dyDescent="0.2">
      <c r="A45" s="954"/>
      <c r="B45" s="1148" t="s">
        <v>63</v>
      </c>
      <c r="C45" s="1496">
        <f>+TableA3!H44</f>
        <v>404.99173999999999</v>
      </c>
      <c r="D45" s="1507">
        <v>0.4</v>
      </c>
      <c r="E45" s="1508">
        <f>D45*TableC4!C45/(1000)</f>
        <v>57.026123441400721</v>
      </c>
      <c r="F45" s="1509">
        <f>+D45*TableC4!D45/(1000)</f>
        <v>17.245248127406519</v>
      </c>
      <c r="G45" s="1510">
        <f t="shared" si="7"/>
        <v>39.780875313994201</v>
      </c>
      <c r="H45" s="1508">
        <f>D45*TableC4!N45/(1000)</f>
        <v>122.16583691417057</v>
      </c>
      <c r="I45" s="1509">
        <f>+D45*TableC4!O45/(1000)</f>
        <v>68.65363263422806</v>
      </c>
      <c r="J45" s="1511">
        <f t="shared" si="8"/>
        <v>53.512204279942509</v>
      </c>
      <c r="K45" s="1177">
        <f t="shared" si="1"/>
        <v>0.14080811485538131</v>
      </c>
      <c r="L45" s="1178">
        <f t="shared" si="2"/>
        <v>4.2581728030814947E-2</v>
      </c>
      <c r="M45" s="1486">
        <f t="shared" si="3"/>
        <v>9.8226386824566359E-2</v>
      </c>
      <c r="N45" s="1177">
        <f t="shared" si="4"/>
        <v>0.30165019393770987</v>
      </c>
      <c r="O45" s="1486">
        <f t="shared" si="5"/>
        <v>0.1695185996490399</v>
      </c>
      <c r="P45" s="1158">
        <f t="shared" si="6"/>
        <v>0.13213159428866997</v>
      </c>
      <c r="Q45" s="9"/>
      <c r="R45" s="9"/>
      <c r="S45" s="9"/>
      <c r="T45" s="9"/>
      <c r="U45" s="9"/>
      <c r="V45" s="9"/>
    </row>
    <row r="46" spans="1:22" ht="34" x14ac:dyDescent="0.2">
      <c r="A46" s="954"/>
      <c r="B46" s="7" t="s">
        <v>64</v>
      </c>
      <c r="C46" s="648">
        <f>SUM(C47:C53)</f>
        <v>592.19769080783021</v>
      </c>
      <c r="D46" s="650"/>
      <c r="E46" s="522">
        <f>F46+G46</f>
        <v>27.422697354796586</v>
      </c>
      <c r="F46" s="691">
        <f>SUM(F47:F53)</f>
        <v>6.4919177269418009</v>
      </c>
      <c r="G46" s="751">
        <f>SUM(G47:G53)</f>
        <v>20.930779627854786</v>
      </c>
      <c r="H46" s="522">
        <f>I46+J46</f>
        <v>16.975686448539282</v>
      </c>
      <c r="I46" s="691">
        <f>SUM(I47:I53)</f>
        <v>2.2230097721163702</v>
      </c>
      <c r="J46" s="751">
        <f>SUM(J47:J53)</f>
        <v>14.752676676422912</v>
      </c>
      <c r="K46" s="265">
        <f t="shared" si="1"/>
        <v>4.630666039475545E-2</v>
      </c>
      <c r="L46" s="266">
        <f t="shared" si="2"/>
        <v>1.0962416483059956E-2</v>
      </c>
      <c r="M46" s="427">
        <f t="shared" si="3"/>
        <v>3.5344243911695501E-2</v>
      </c>
      <c r="N46" s="265">
        <f t="shared" si="4"/>
        <v>2.8665573527283373E-2</v>
      </c>
      <c r="O46" s="427">
        <f t="shared" si="5"/>
        <v>3.7538305309564994E-3</v>
      </c>
      <c r="P46" s="684">
        <f t="shared" si="6"/>
        <v>2.4911742996326872E-2</v>
      </c>
      <c r="Q46" s="266"/>
      <c r="R46" s="266"/>
      <c r="S46" s="266"/>
      <c r="T46" s="266"/>
      <c r="U46" s="266"/>
      <c r="V46" s="266"/>
    </row>
    <row r="47" spans="1:22" x14ac:dyDescent="0.2">
      <c r="A47" s="954"/>
      <c r="B47" s="1149" t="s">
        <v>65</v>
      </c>
      <c r="C47" s="1496">
        <f>+TableA3!G46</f>
        <v>53.528694639071517</v>
      </c>
      <c r="D47" s="1507">
        <v>0.34</v>
      </c>
      <c r="E47" s="1508">
        <f>D47*TableC4!C47/(1000)</f>
        <v>4.8321019687632383</v>
      </c>
      <c r="F47" s="1509">
        <f>+D47*TableC4!D47/(1000)</f>
        <v>1.7909255297823645</v>
      </c>
      <c r="G47" s="1510">
        <f t="shared" ref="G47" si="9">+E47-F47</f>
        <v>3.041176438980874</v>
      </c>
      <c r="H47" s="1508">
        <f>D47*TableC4!N47/(1000)</f>
        <v>2.303750020470964</v>
      </c>
      <c r="I47" s="1509">
        <f>+D47*TableC4!O47/(1000)</f>
        <v>2.2028073326581499</v>
      </c>
      <c r="J47" s="1511">
        <f t="shared" ref="J47" si="10">+H47-I47</f>
        <v>0.10094268781281412</v>
      </c>
      <c r="K47" s="1177">
        <f>+E47/$C47</f>
        <v>9.0271246129663765E-2</v>
      </c>
      <c r="L47" s="1178">
        <f t="shared" si="2"/>
        <v>3.3457298778870971E-2</v>
      </c>
      <c r="M47" s="1486">
        <f t="shared" si="3"/>
        <v>5.6813947350792801E-2</v>
      </c>
      <c r="N47" s="1177">
        <f t="shared" si="4"/>
        <v>4.3037664863761073E-2</v>
      </c>
      <c r="O47" s="1486">
        <f t="shared" si="5"/>
        <v>4.115189708082817E-2</v>
      </c>
      <c r="P47" s="1158">
        <f t="shared" si="6"/>
        <v>1.8857677829329004E-3</v>
      </c>
      <c r="Q47" s="9"/>
      <c r="R47" s="9"/>
      <c r="S47" s="9"/>
      <c r="T47" s="9"/>
      <c r="U47" s="9"/>
      <c r="V47" s="9"/>
    </row>
    <row r="48" spans="1:22" x14ac:dyDescent="0.2">
      <c r="A48" s="329" t="s">
        <v>337</v>
      </c>
      <c r="B48" s="1148" t="s">
        <v>66</v>
      </c>
      <c r="C48" s="1496">
        <f>+TableA3!G47</f>
        <v>421.94464956064348</v>
      </c>
      <c r="D48" s="1507">
        <v>0.25</v>
      </c>
      <c r="E48" s="1508">
        <f>D48*TableC4!C48/(1000)</f>
        <v>15.131451982825235</v>
      </c>
      <c r="F48" s="1509">
        <f>+D48*TableC4!D48/(1000)</f>
        <v>1.5324179887294989</v>
      </c>
      <c r="G48" s="1510">
        <f t="shared" ref="G48:G91" si="11">+E48-F48</f>
        <v>13.599033994095736</v>
      </c>
      <c r="H48" s="1508">
        <f>D48*TableC4!N48/(1000)</f>
        <v>11.379357477638573</v>
      </c>
      <c r="I48" s="1509">
        <f>+D48*TableC4!O48/(1000)</f>
        <v>1.6074921435645078E-3</v>
      </c>
      <c r="J48" s="1511">
        <f t="shared" ref="J48:J91" si="12">+H48-I48</f>
        <v>11.377749985495008</v>
      </c>
      <c r="K48" s="1177">
        <f t="shared" si="1"/>
        <v>3.5861224922702772E-2</v>
      </c>
      <c r="L48" s="1178">
        <f t="shared" si="2"/>
        <v>3.6317986027910375E-3</v>
      </c>
      <c r="M48" s="1486">
        <f t="shared" si="3"/>
        <v>3.2229426319911735E-2</v>
      </c>
      <c r="N48" s="1177">
        <f t="shared" si="4"/>
        <v>2.6968839371437719E-2</v>
      </c>
      <c r="O48" s="1486">
        <f t="shared" si="5"/>
        <v>3.8097227805550664E-6</v>
      </c>
      <c r="P48" s="1158">
        <f t="shared" si="6"/>
        <v>2.6965029648657164E-2</v>
      </c>
      <c r="Q48" s="9"/>
      <c r="R48" s="9"/>
      <c r="S48" s="9"/>
      <c r="T48" s="9"/>
      <c r="U48" s="9"/>
      <c r="V48" s="9"/>
    </row>
    <row r="49" spans="1:22" x14ac:dyDescent="0.2">
      <c r="A49" s="954"/>
      <c r="B49" s="1148" t="s">
        <v>67</v>
      </c>
      <c r="C49" s="1496">
        <f>+TableA3!G48</f>
        <v>17.029186059832139</v>
      </c>
      <c r="D49" s="1507">
        <v>0.25</v>
      </c>
      <c r="E49" s="1508">
        <f>D49*TableC4!C49/(1000)</f>
        <v>0.35090435988265745</v>
      </c>
      <c r="F49" s="1509">
        <f>+D49*TableC4!D49/(1000)</f>
        <v>0.14322036792261797</v>
      </c>
      <c r="G49" s="1510">
        <f t="shared" si="11"/>
        <v>0.20768399196003948</v>
      </c>
      <c r="H49" s="1508">
        <f>D49*TableC4!N49/(1000)</f>
        <v>0.24974158917818989</v>
      </c>
      <c r="I49" s="1509">
        <f>+D49*TableC4!O49/(1000)</f>
        <v>-7.3693752283767681E-4</v>
      </c>
      <c r="J49" s="1511">
        <f t="shared" si="12"/>
        <v>0.25047852670102755</v>
      </c>
      <c r="K49" s="1177">
        <f t="shared" si="1"/>
        <v>2.060605590013246E-2</v>
      </c>
      <c r="L49" s="1178">
        <f t="shared" si="2"/>
        <v>8.4102885140494923E-3</v>
      </c>
      <c r="M49" s="1486">
        <f t="shared" si="3"/>
        <v>1.2195767386082966E-2</v>
      </c>
      <c r="N49" s="1177">
        <f t="shared" si="4"/>
        <v>1.4665503583126138E-2</v>
      </c>
      <c r="O49" s="1486">
        <f t="shared" si="5"/>
        <v>-4.3274970409533538E-5</v>
      </c>
      <c r="P49" s="1158">
        <f t="shared" si="6"/>
        <v>1.4708778553535669E-2</v>
      </c>
      <c r="Q49" s="9"/>
      <c r="R49" s="9"/>
      <c r="S49" s="9"/>
      <c r="T49" s="9"/>
      <c r="U49" s="9"/>
      <c r="V49" s="9"/>
    </row>
    <row r="50" spans="1:22" x14ac:dyDescent="0.2">
      <c r="A50" s="954"/>
      <c r="B50" s="1148" t="s">
        <v>68</v>
      </c>
      <c r="C50" s="1496">
        <f>+TableA3!G49</f>
        <v>1.5394204107008198</v>
      </c>
      <c r="D50" s="1507">
        <v>0.3</v>
      </c>
      <c r="E50" s="1508">
        <f>D50*TableC4!C50/(1000)</f>
        <v>0.31725599660623816</v>
      </c>
      <c r="F50" s="1509">
        <f>+D50*TableC4!D50/(1000)</f>
        <v>0.12948690798483267</v>
      </c>
      <c r="G50" s="1510">
        <f t="shared" si="11"/>
        <v>0.18776908862140548</v>
      </c>
      <c r="H50" s="1508">
        <f>D50*TableC4!N50/(1000)</f>
        <v>3.5762470319334744E-2</v>
      </c>
      <c r="I50" s="1509">
        <f>+D50*TableC4!O50/(1000)</f>
        <v>-4.4288499944834239E-4</v>
      </c>
      <c r="J50" s="1511">
        <f t="shared" si="12"/>
        <v>3.6205355318783085E-2</v>
      </c>
      <c r="K50" s="1177">
        <f t="shared" si="1"/>
        <v>0.20608794998489571</v>
      </c>
      <c r="L50" s="1178">
        <f t="shared" si="2"/>
        <v>8.4114064673134911E-2</v>
      </c>
      <c r="M50" s="1486">
        <f t="shared" si="3"/>
        <v>0.12197388531176079</v>
      </c>
      <c r="N50" s="1177">
        <f t="shared" si="4"/>
        <v>2.3231126514071557E-2</v>
      </c>
      <c r="O50" s="1486">
        <f t="shared" si="5"/>
        <v>-2.8769593826985794E-4</v>
      </c>
      <c r="P50" s="1158">
        <f t="shared" si="6"/>
        <v>2.3518822452341416E-2</v>
      </c>
      <c r="Q50" s="9"/>
      <c r="R50" s="9"/>
      <c r="S50" s="9"/>
      <c r="T50" s="9"/>
      <c r="U50" s="9"/>
      <c r="V50" s="9"/>
    </row>
    <row r="51" spans="1:22" x14ac:dyDescent="0.2">
      <c r="A51" s="954"/>
      <c r="B51" s="1148" t="s">
        <v>69</v>
      </c>
      <c r="C51" s="1496">
        <f>+TableA3!G50</f>
        <v>37.377974500000001</v>
      </c>
      <c r="D51" s="1507">
        <v>0.34610000000000002</v>
      </c>
      <c r="E51" s="1508">
        <f>D51*TableC4!C51/(1000)</f>
        <v>3.2797817073095037</v>
      </c>
      <c r="F51" s="1509">
        <f>+D51*TableC4!D51/(1000)</f>
        <v>0.95600836625481389</v>
      </c>
      <c r="G51" s="1510">
        <f t="shared" si="11"/>
        <v>2.3237733410546899</v>
      </c>
      <c r="H51" s="1508">
        <f>D51*TableC4!N51/(1000)</f>
        <v>1.6186458933230192</v>
      </c>
      <c r="I51" s="1509">
        <f>+D51*TableC4!O51/(1000)</f>
        <v>9.9760626637240453E-3</v>
      </c>
      <c r="J51" s="1511">
        <f t="shared" si="12"/>
        <v>1.6086698306592953</v>
      </c>
      <c r="K51" s="1177">
        <f t="shared" si="1"/>
        <v>8.7746373397239688E-2</v>
      </c>
      <c r="L51" s="1178">
        <f t="shared" si="2"/>
        <v>2.5576783628412338E-2</v>
      </c>
      <c r="M51" s="1486">
        <f t="shared" si="3"/>
        <v>6.216958976882736E-2</v>
      </c>
      <c r="N51" s="1177">
        <f t="shared" si="4"/>
        <v>4.3304804901159615E-2</v>
      </c>
      <c r="O51" s="1486">
        <f t="shared" si="5"/>
        <v>2.6689682352167173E-4</v>
      </c>
      <c r="P51" s="1158">
        <f t="shared" si="6"/>
        <v>4.3037908077637944E-2</v>
      </c>
      <c r="Q51" s="9"/>
      <c r="R51" s="9"/>
      <c r="S51" s="9"/>
      <c r="T51" s="9"/>
      <c r="U51" s="9"/>
      <c r="V51" s="9"/>
    </row>
    <row r="52" spans="1:22" x14ac:dyDescent="0.2">
      <c r="A52" s="329" t="s">
        <v>338</v>
      </c>
      <c r="B52" s="1148" t="s">
        <v>70</v>
      </c>
      <c r="C52" s="1496">
        <f>+TableA3!G51</f>
        <v>41.990935943542297</v>
      </c>
      <c r="D52" s="1507">
        <v>0.2</v>
      </c>
      <c r="E52" s="1508">
        <f>D52*TableC4!C52/(1000)</f>
        <v>2.3686208698667821</v>
      </c>
      <c r="F52" s="1509">
        <f>+D52*TableC4!D52/(1000)</f>
        <v>1.4536733107661155</v>
      </c>
      <c r="G52" s="1510">
        <f t="shared" si="11"/>
        <v>0.91494755910066661</v>
      </c>
      <c r="H52" s="1508">
        <f>D52*TableC4!N52/(1000)</f>
        <v>0.15098890069814561</v>
      </c>
      <c r="I52" s="1509">
        <f>+D52*TableC4!O52/(1000)</f>
        <v>0.14357902869552672</v>
      </c>
      <c r="J52" s="1511">
        <f t="shared" si="12"/>
        <v>7.4098720026188891E-3</v>
      </c>
      <c r="K52" s="1177">
        <f t="shared" si="1"/>
        <v>5.640790843651218E-2</v>
      </c>
      <c r="L52" s="1178">
        <f t="shared" si="2"/>
        <v>3.4618740404372267E-2</v>
      </c>
      <c r="M52" s="1486">
        <f t="shared" si="3"/>
        <v>2.1789168032139913E-2</v>
      </c>
      <c r="N52" s="1177">
        <f t="shared" si="4"/>
        <v>3.5957498280379694E-3</v>
      </c>
      <c r="O52" s="1486">
        <f t="shared" si="5"/>
        <v>3.4192862214019655E-3</v>
      </c>
      <c r="P52" s="1158">
        <f t="shared" si="6"/>
        <v>1.7646360663600398E-4</v>
      </c>
      <c r="Q52" s="9"/>
      <c r="R52" s="9"/>
      <c r="S52" s="9"/>
      <c r="T52" s="9"/>
      <c r="U52" s="9"/>
      <c r="V52" s="9"/>
    </row>
    <row r="53" spans="1:22" x14ac:dyDescent="0.2">
      <c r="A53" s="954"/>
      <c r="B53" s="1148" t="s">
        <v>71</v>
      </c>
      <c r="C53" s="1496">
        <f>+TableA3!G52</f>
        <v>18.786829694039877</v>
      </c>
      <c r="D53" s="1507">
        <v>0.28000000000000003</v>
      </c>
      <c r="E53" s="1508">
        <f>D53*TableC4!C53/(1000)</f>
        <v>1.1425804695429322</v>
      </c>
      <c r="F53" s="1509">
        <f>+D53*TableC4!D53/(1000)</f>
        <v>0.48618525550155789</v>
      </c>
      <c r="G53" s="1510">
        <f t="shared" si="11"/>
        <v>0.65639521404137435</v>
      </c>
      <c r="H53" s="1508">
        <f>D53*TableC4!N53/(1000)</f>
        <v>1.2374400969110568</v>
      </c>
      <c r="I53" s="1509">
        <f>+D53*TableC4!O53/(1000)</f>
        <v>-0.13378032152230868</v>
      </c>
      <c r="J53" s="1511">
        <f t="shared" si="12"/>
        <v>1.3712204184333654</v>
      </c>
      <c r="K53" s="1177">
        <f t="shared" si="1"/>
        <v>6.0818162944512984E-2</v>
      </c>
      <c r="L53" s="1178">
        <f t="shared" si="2"/>
        <v>2.5879047365602096E-2</v>
      </c>
      <c r="M53" s="1486">
        <f t="shared" si="3"/>
        <v>3.4939115578910891E-2</v>
      </c>
      <c r="N53" s="1177">
        <f t="shared" si="4"/>
        <v>6.5867425055949419E-2</v>
      </c>
      <c r="O53" s="1486">
        <f t="shared" si="5"/>
        <v>-7.1209631268840685E-3</v>
      </c>
      <c r="P53" s="1158">
        <f t="shared" si="6"/>
        <v>7.2988388182833486E-2</v>
      </c>
      <c r="Q53" s="9"/>
      <c r="R53" s="9"/>
      <c r="S53" s="9"/>
      <c r="T53" s="9"/>
      <c r="U53" s="9"/>
      <c r="V53" s="9"/>
    </row>
    <row r="54" spans="1:22" ht="40" hidden="1" customHeight="1" x14ac:dyDescent="0.2">
      <c r="A54" s="954"/>
      <c r="B54" s="7" t="s">
        <v>72</v>
      </c>
      <c r="C54" s="299"/>
      <c r="D54" s="1859"/>
      <c r="E54" s="1508">
        <f>D54*TableC4!C54/(1000)</f>
        <v>0</v>
      </c>
      <c r="F54" s="1509">
        <f>+D54*TableC4!D54/(1000)</f>
        <v>0</v>
      </c>
      <c r="G54" s="1510">
        <f t="shared" si="11"/>
        <v>0</v>
      </c>
      <c r="H54" s="1508">
        <f>D54*TableC4!N54/(1000)</f>
        <v>0</v>
      </c>
      <c r="I54" s="1509">
        <f>+D54*TableC4!O54/(1000)</f>
        <v>0</v>
      </c>
      <c r="J54" s="1511">
        <f t="shared" si="12"/>
        <v>0</v>
      </c>
      <c r="K54" s="1179"/>
      <c r="L54" s="1155"/>
      <c r="M54" s="1515"/>
      <c r="N54" s="1179"/>
      <c r="O54" s="1516"/>
      <c r="P54" s="1430"/>
      <c r="Q54" s="266"/>
      <c r="R54" s="266"/>
      <c r="S54" s="266"/>
      <c r="T54" s="266"/>
      <c r="U54" s="266"/>
      <c r="V54" s="266"/>
    </row>
    <row r="55" spans="1:22" ht="14.25" hidden="1" customHeight="1" x14ac:dyDescent="0.2">
      <c r="A55" s="954"/>
      <c r="B55" s="1148" t="s">
        <v>73</v>
      </c>
      <c r="C55" s="1208"/>
      <c r="D55" s="1861"/>
      <c r="E55" s="1508">
        <f>D55*TableC4!C55/(1000)</f>
        <v>0</v>
      </c>
      <c r="F55" s="1509">
        <f>+D55*TableC4!D55/(1000)</f>
        <v>0</v>
      </c>
      <c r="G55" s="1510">
        <f t="shared" si="11"/>
        <v>0</v>
      </c>
      <c r="H55" s="1508">
        <f>D55*TableC4!N55/(1000)</f>
        <v>0</v>
      </c>
      <c r="I55" s="1509">
        <f>+D55*TableC4!O55/(1000)</f>
        <v>0</v>
      </c>
      <c r="J55" s="1511">
        <f t="shared" si="12"/>
        <v>0</v>
      </c>
      <c r="K55" s="1485"/>
      <c r="L55" s="1155"/>
      <c r="M55" s="1486"/>
      <c r="N55" s="1485"/>
      <c r="O55" s="1516"/>
      <c r="P55" s="1158"/>
      <c r="Q55" s="1178"/>
      <c r="R55" s="1178"/>
      <c r="S55" s="1178"/>
      <c r="T55" s="1178"/>
      <c r="U55" s="1178"/>
      <c r="V55" s="1178"/>
    </row>
    <row r="56" spans="1:22" ht="14.25" hidden="1" customHeight="1" x14ac:dyDescent="0.2">
      <c r="A56" s="954"/>
      <c r="B56" s="1148" t="s">
        <v>74</v>
      </c>
      <c r="C56" s="1208"/>
      <c r="D56" s="1861"/>
      <c r="E56" s="1508">
        <f>D56*TableC4!C56/(1000)</f>
        <v>0</v>
      </c>
      <c r="F56" s="1509">
        <f>+D56*TableC4!D56/(1000)</f>
        <v>0</v>
      </c>
      <c r="G56" s="1510">
        <f t="shared" si="11"/>
        <v>0</v>
      </c>
      <c r="H56" s="1508">
        <f>D56*TableC4!N56/(1000)</f>
        <v>0</v>
      </c>
      <c r="I56" s="1509">
        <f>+D56*TableC4!O56/(1000)</f>
        <v>0</v>
      </c>
      <c r="J56" s="1511">
        <f t="shared" si="12"/>
        <v>0</v>
      </c>
      <c r="K56" s="1485"/>
      <c r="L56" s="1155"/>
      <c r="M56" s="1486"/>
      <c r="N56" s="1485"/>
      <c r="O56" s="1516"/>
      <c r="P56" s="1158"/>
      <c r="Q56" s="1178"/>
      <c r="R56" s="1178"/>
      <c r="S56" s="1178"/>
      <c r="T56" s="1178"/>
      <c r="U56" s="1178"/>
      <c r="V56" s="1178"/>
    </row>
    <row r="57" spans="1:22" ht="14.25" hidden="1" customHeight="1" x14ac:dyDescent="0.2">
      <c r="A57" s="954"/>
      <c r="B57" s="1148" t="str">
        <f>+TableA1!A56</f>
        <v>Antigua and Barbuda</v>
      </c>
      <c r="C57" s="1208"/>
      <c r="D57" s="1861"/>
      <c r="E57" s="1508">
        <f>D57*TableC4!C57/(1000)</f>
        <v>0</v>
      </c>
      <c r="F57" s="1509">
        <f>+D57*TableC4!D57/(1000)</f>
        <v>0</v>
      </c>
      <c r="G57" s="1510">
        <f t="shared" si="11"/>
        <v>0</v>
      </c>
      <c r="H57" s="1508">
        <f>D57*TableC4!N57/(1000)</f>
        <v>0</v>
      </c>
      <c r="I57" s="1509">
        <f>+D57*TableC4!O57/(1000)</f>
        <v>0</v>
      </c>
      <c r="J57" s="1511">
        <f t="shared" si="12"/>
        <v>0</v>
      </c>
      <c r="K57" s="1485"/>
      <c r="L57" s="1155"/>
      <c r="M57" s="1486"/>
      <c r="N57" s="1485"/>
      <c r="O57" s="1516"/>
      <c r="P57" s="1158"/>
      <c r="Q57" s="1178"/>
      <c r="R57" s="1178"/>
      <c r="S57" s="1178"/>
      <c r="T57" s="1178"/>
      <c r="U57" s="1178"/>
      <c r="V57" s="1178"/>
    </row>
    <row r="58" spans="1:22" ht="14.25" hidden="1" customHeight="1" x14ac:dyDescent="0.2">
      <c r="A58" s="954"/>
      <c r="B58" s="1148" t="s">
        <v>76</v>
      </c>
      <c r="C58" s="1208"/>
      <c r="D58" s="1861"/>
      <c r="E58" s="1508">
        <f>D58*TableC4!C58/(1000)</f>
        <v>0</v>
      </c>
      <c r="F58" s="1509">
        <f>+D58*TableC4!D58/(1000)</f>
        <v>0</v>
      </c>
      <c r="G58" s="1510">
        <f t="shared" si="11"/>
        <v>0</v>
      </c>
      <c r="H58" s="1508">
        <f>D58*TableC4!N58/(1000)</f>
        <v>0</v>
      </c>
      <c r="I58" s="1509">
        <f>+D58*TableC4!O58/(1000)</f>
        <v>0</v>
      </c>
      <c r="J58" s="1511">
        <f t="shared" si="12"/>
        <v>0</v>
      </c>
      <c r="K58" s="1485"/>
      <c r="L58" s="1155"/>
      <c r="M58" s="1486"/>
      <c r="N58" s="1485"/>
      <c r="O58" s="1516"/>
      <c r="P58" s="1158"/>
      <c r="Q58" s="1178"/>
      <c r="R58" s="1178"/>
      <c r="S58" s="1178"/>
      <c r="T58" s="1178"/>
      <c r="U58" s="1178"/>
      <c r="V58" s="1178"/>
    </row>
    <row r="59" spans="1:22" ht="14.25" hidden="1" customHeight="1" x14ac:dyDescent="0.2">
      <c r="A59" s="329" t="s">
        <v>77</v>
      </c>
      <c r="B59" s="1148" t="s">
        <v>152</v>
      </c>
      <c r="C59" s="1208"/>
      <c r="D59" s="1861"/>
      <c r="E59" s="1508">
        <f>D59*TableC4!C59/(1000)</f>
        <v>0</v>
      </c>
      <c r="F59" s="1509">
        <f>+D59*TableC4!D59/(1000)</f>
        <v>0</v>
      </c>
      <c r="G59" s="1510">
        <f t="shared" si="11"/>
        <v>0</v>
      </c>
      <c r="H59" s="1508">
        <f>D59*TableC4!N59/(1000)</f>
        <v>0</v>
      </c>
      <c r="I59" s="1509">
        <f>+D59*TableC4!O59/(1000)</f>
        <v>0</v>
      </c>
      <c r="J59" s="1511">
        <f t="shared" si="12"/>
        <v>0</v>
      </c>
      <c r="K59" s="1485"/>
      <c r="L59" s="1155"/>
      <c r="M59" s="1486"/>
      <c r="N59" s="1485"/>
      <c r="O59" s="1516"/>
      <c r="P59" s="1158"/>
      <c r="Q59" s="1178"/>
      <c r="R59" s="1178"/>
      <c r="S59" s="1178"/>
      <c r="T59" s="1178"/>
      <c r="U59" s="1178"/>
      <c r="V59" s="1178"/>
    </row>
    <row r="60" spans="1:22" ht="14.25" hidden="1" customHeight="1" x14ac:dyDescent="0.2">
      <c r="A60" s="329" t="s">
        <v>340</v>
      </c>
      <c r="B60" s="1148" t="s">
        <v>78</v>
      </c>
      <c r="C60" s="1208"/>
      <c r="D60" s="1861"/>
      <c r="E60" s="1508">
        <f>D60*TableC4!C60/(1000)</f>
        <v>0</v>
      </c>
      <c r="F60" s="1509">
        <f>+D60*TableC4!D60/(1000)</f>
        <v>0</v>
      </c>
      <c r="G60" s="1510">
        <f t="shared" si="11"/>
        <v>0</v>
      </c>
      <c r="H60" s="1508">
        <f>D60*TableC4!N60/(1000)</f>
        <v>0</v>
      </c>
      <c r="I60" s="1509">
        <f>+D60*TableC4!O60/(1000)</f>
        <v>0</v>
      </c>
      <c r="J60" s="1511">
        <f t="shared" si="12"/>
        <v>0</v>
      </c>
      <c r="K60" s="1485"/>
      <c r="L60" s="1155"/>
      <c r="M60" s="1486"/>
      <c r="N60" s="1485"/>
      <c r="O60" s="1516"/>
      <c r="P60" s="1158"/>
      <c r="Q60" s="1178"/>
      <c r="R60" s="1178"/>
      <c r="S60" s="1178"/>
      <c r="T60" s="1178"/>
      <c r="U60" s="1178"/>
      <c r="V60" s="1178"/>
    </row>
    <row r="61" spans="1:22" ht="14.25" hidden="1" customHeight="1" x14ac:dyDescent="0.2">
      <c r="A61" s="954"/>
      <c r="B61" s="1148" t="str">
        <f>+TableA1!A60</f>
        <v>Barbados</v>
      </c>
      <c r="C61" s="1208"/>
      <c r="D61" s="1861"/>
      <c r="E61" s="1508">
        <f>D61*TableC4!C61/(1000)</f>
        <v>0</v>
      </c>
      <c r="F61" s="1509">
        <f>+D61*TableC4!D61/(1000)</f>
        <v>0</v>
      </c>
      <c r="G61" s="1510">
        <f t="shared" si="11"/>
        <v>0</v>
      </c>
      <c r="H61" s="1508">
        <f>D61*TableC4!N61/(1000)</f>
        <v>0</v>
      </c>
      <c r="I61" s="1509">
        <f>+D61*TableC4!O61/(1000)</f>
        <v>0</v>
      </c>
      <c r="J61" s="1511">
        <f t="shared" si="12"/>
        <v>0</v>
      </c>
      <c r="K61" s="1485"/>
      <c r="L61" s="1155"/>
      <c r="M61" s="1486"/>
      <c r="N61" s="1485"/>
      <c r="O61" s="1516"/>
      <c r="P61" s="1158"/>
      <c r="Q61" s="1178"/>
      <c r="R61" s="1178"/>
      <c r="S61" s="1178"/>
      <c r="T61" s="1178"/>
      <c r="U61" s="1178"/>
      <c r="V61" s="1178"/>
    </row>
    <row r="62" spans="1:22" ht="14.25" hidden="1" customHeight="1" x14ac:dyDescent="0.2">
      <c r="A62" s="954"/>
      <c r="B62" s="1148" t="s">
        <v>80</v>
      </c>
      <c r="C62" s="1208"/>
      <c r="D62" s="1861"/>
      <c r="E62" s="1508">
        <f>D62*TableC4!C62/(1000)</f>
        <v>0</v>
      </c>
      <c r="F62" s="1509">
        <f>+D62*TableC4!D62/(1000)</f>
        <v>0</v>
      </c>
      <c r="G62" s="1510">
        <f t="shared" si="11"/>
        <v>0</v>
      </c>
      <c r="H62" s="1508">
        <f>D62*TableC4!N62/(1000)</f>
        <v>0</v>
      </c>
      <c r="I62" s="1509">
        <f>+D62*TableC4!O62/(1000)</f>
        <v>0</v>
      </c>
      <c r="J62" s="1511">
        <f t="shared" si="12"/>
        <v>0</v>
      </c>
      <c r="K62" s="1485"/>
      <c r="L62" s="1155"/>
      <c r="M62" s="1486"/>
      <c r="N62" s="1485"/>
      <c r="O62" s="1516"/>
      <c r="P62" s="1158"/>
      <c r="Q62" s="1178"/>
      <c r="R62" s="1178"/>
      <c r="S62" s="1178"/>
      <c r="T62" s="1178"/>
      <c r="U62" s="1178"/>
      <c r="V62" s="1178"/>
    </row>
    <row r="63" spans="1:22" ht="14.25" hidden="1" customHeight="1" x14ac:dyDescent="0.2">
      <c r="A63" s="954"/>
      <c r="B63" s="1148" t="s">
        <v>81</v>
      </c>
      <c r="C63" s="1208"/>
      <c r="D63" s="1861"/>
      <c r="E63" s="1508">
        <f>D63*TableC4!C63/(1000)</f>
        <v>0</v>
      </c>
      <c r="F63" s="1509">
        <f>+D63*TableC4!D63/(1000)</f>
        <v>0</v>
      </c>
      <c r="G63" s="1510">
        <f t="shared" si="11"/>
        <v>0</v>
      </c>
      <c r="H63" s="1508">
        <f>D63*TableC4!N63/(1000)</f>
        <v>0</v>
      </c>
      <c r="I63" s="1509">
        <f>+D63*TableC4!O63/(1000)</f>
        <v>0</v>
      </c>
      <c r="J63" s="1511">
        <f t="shared" si="12"/>
        <v>0</v>
      </c>
      <c r="K63" s="1485"/>
      <c r="L63" s="1155"/>
      <c r="M63" s="1486"/>
      <c r="N63" s="1485"/>
      <c r="O63" s="1516"/>
      <c r="P63" s="1158"/>
      <c r="Q63" s="1178"/>
      <c r="R63" s="1178"/>
      <c r="S63" s="1178"/>
      <c r="T63" s="1178"/>
      <c r="U63" s="1178"/>
      <c r="V63" s="1178"/>
    </row>
    <row r="64" spans="1:22" ht="14.25" hidden="1" customHeight="1" x14ac:dyDescent="0.2">
      <c r="A64" s="329" t="s">
        <v>645</v>
      </c>
      <c r="B64" s="1148" t="s">
        <v>82</v>
      </c>
      <c r="C64" s="1208"/>
      <c r="D64" s="1861"/>
      <c r="E64" s="1508">
        <f>D64*TableC4!C64/(1000)</f>
        <v>0</v>
      </c>
      <c r="F64" s="1509">
        <f>+D64*TableC4!D64/(1000)</f>
        <v>0</v>
      </c>
      <c r="G64" s="1510">
        <f t="shared" si="11"/>
        <v>0</v>
      </c>
      <c r="H64" s="1508">
        <f>D64*TableC4!N64/(1000)</f>
        <v>0</v>
      </c>
      <c r="I64" s="1509">
        <f>+D64*TableC4!O64/(1000)</f>
        <v>0</v>
      </c>
      <c r="J64" s="1511">
        <f t="shared" si="12"/>
        <v>0</v>
      </c>
      <c r="K64" s="1485"/>
      <c r="L64" s="1155"/>
      <c r="M64" s="1486"/>
      <c r="N64" s="1485"/>
      <c r="O64" s="1516"/>
      <c r="P64" s="1158"/>
      <c r="Q64" s="1178"/>
      <c r="R64" s="1178"/>
      <c r="S64" s="1178"/>
      <c r="T64" s="1178"/>
      <c r="U64" s="1178"/>
      <c r="V64" s="1178"/>
    </row>
    <row r="65" spans="1:22" ht="14.25" hidden="1" customHeight="1" x14ac:dyDescent="0.2">
      <c r="A65" s="329" t="s">
        <v>372</v>
      </c>
      <c r="B65" s="1148" t="s">
        <v>153</v>
      </c>
      <c r="C65" s="1208"/>
      <c r="D65" s="1861"/>
      <c r="E65" s="1508">
        <f>D65*TableC4!C65/(1000)</f>
        <v>0</v>
      </c>
      <c r="F65" s="1509">
        <f>+D65*TableC4!D65/(1000)</f>
        <v>0</v>
      </c>
      <c r="G65" s="1510">
        <f t="shared" si="11"/>
        <v>0</v>
      </c>
      <c r="H65" s="1508">
        <f>D65*TableC4!N65/(1000)</f>
        <v>0</v>
      </c>
      <c r="I65" s="1509">
        <f>+D65*TableC4!O65/(1000)</f>
        <v>0</v>
      </c>
      <c r="J65" s="1511">
        <f t="shared" si="12"/>
        <v>0</v>
      </c>
      <c r="K65" s="1485"/>
      <c r="L65" s="1155"/>
      <c r="M65" s="1486"/>
      <c r="N65" s="1485"/>
      <c r="O65" s="1516"/>
      <c r="P65" s="1158"/>
      <c r="Q65" s="1178"/>
      <c r="R65" s="1178"/>
      <c r="S65" s="1178"/>
      <c r="T65" s="1178"/>
      <c r="U65" s="1178"/>
      <c r="V65" s="1178"/>
    </row>
    <row r="66" spans="1:22" ht="14.25" hidden="1" customHeight="1" x14ac:dyDescent="0.2">
      <c r="A66" s="954"/>
      <c r="B66" s="113" t="s">
        <v>84</v>
      </c>
      <c r="C66" s="643"/>
      <c r="D66" s="651"/>
      <c r="E66" s="1508">
        <f>D66*TableC4!C66/(1000)</f>
        <v>0</v>
      </c>
      <c r="F66" s="1509">
        <f>+D66*TableC4!D66/(1000)</f>
        <v>0</v>
      </c>
      <c r="G66" s="1510">
        <f t="shared" si="11"/>
        <v>0</v>
      </c>
      <c r="H66" s="1508">
        <f>D66*TableC4!N66/(1000)</f>
        <v>0</v>
      </c>
      <c r="I66" s="1509">
        <f>+D66*TableC4!O66/(1000)</f>
        <v>0</v>
      </c>
      <c r="J66" s="1511">
        <f t="shared" si="12"/>
        <v>0</v>
      </c>
      <c r="K66" s="638"/>
      <c r="L66" s="1155"/>
      <c r="M66" s="1486"/>
      <c r="N66" s="638"/>
      <c r="O66" s="1516"/>
      <c r="P66" s="1158"/>
      <c r="Q66" s="1178"/>
      <c r="R66" s="1178"/>
      <c r="S66" s="1178"/>
      <c r="T66" s="1178"/>
      <c r="U66" s="1178"/>
      <c r="V66" s="1178"/>
    </row>
    <row r="67" spans="1:22" ht="14.25" hidden="1" customHeight="1" x14ac:dyDescent="0.2">
      <c r="A67" s="954"/>
      <c r="B67" s="1148" t="s">
        <v>85</v>
      </c>
      <c r="C67" s="1208"/>
      <c r="D67" s="1861"/>
      <c r="E67" s="1508">
        <f>D67*TableC4!C67/(1000)</f>
        <v>0</v>
      </c>
      <c r="F67" s="1509">
        <f>+D67*TableC4!D67/(1000)</f>
        <v>0</v>
      </c>
      <c r="G67" s="1510">
        <f t="shared" si="11"/>
        <v>0</v>
      </c>
      <c r="H67" s="1508">
        <f>D67*TableC4!N67/(1000)</f>
        <v>0</v>
      </c>
      <c r="I67" s="1509">
        <f>+D67*TableC4!O67/(1000)</f>
        <v>0</v>
      </c>
      <c r="J67" s="1511">
        <f t="shared" si="12"/>
        <v>0</v>
      </c>
      <c r="K67" s="1485"/>
      <c r="L67" s="1155"/>
      <c r="M67" s="1486"/>
      <c r="N67" s="1485"/>
      <c r="O67" s="1516"/>
      <c r="P67" s="1158"/>
      <c r="Q67" s="1178"/>
      <c r="R67" s="1178"/>
      <c r="S67" s="1178"/>
      <c r="T67" s="1178"/>
      <c r="U67" s="1178"/>
      <c r="V67" s="1178"/>
    </row>
    <row r="68" spans="1:22" ht="14.25" hidden="1" customHeight="1" x14ac:dyDescent="0.2">
      <c r="A68" s="954"/>
      <c r="B68" s="1148" t="str">
        <f>+TableA1!A67</f>
        <v>Cyprus</v>
      </c>
      <c r="C68" s="1208"/>
      <c r="D68" s="1861"/>
      <c r="E68" s="1508">
        <f>D68*TableC4!C68/(1000)</f>
        <v>0</v>
      </c>
      <c r="F68" s="1509">
        <f>+D68*TableC4!D68/(1000)</f>
        <v>0</v>
      </c>
      <c r="G68" s="1510">
        <f t="shared" si="11"/>
        <v>0</v>
      </c>
      <c r="H68" s="1508">
        <f>D68*TableC4!N68/(1000)</f>
        <v>0</v>
      </c>
      <c r="I68" s="1509">
        <f>+D68*TableC4!O68/(1000)</f>
        <v>0</v>
      </c>
      <c r="J68" s="1511">
        <f t="shared" si="12"/>
        <v>0</v>
      </c>
      <c r="K68" s="1485"/>
      <c r="L68" s="1155"/>
      <c r="M68" s="1486"/>
      <c r="N68" s="1485"/>
      <c r="O68" s="1516"/>
      <c r="P68" s="1158"/>
      <c r="Q68" s="1178"/>
      <c r="R68" s="1178"/>
      <c r="S68" s="1178"/>
      <c r="T68" s="1178"/>
      <c r="U68" s="1178"/>
      <c r="V68" s="1178"/>
    </row>
    <row r="69" spans="1:22" ht="14.25" hidden="1" customHeight="1" x14ac:dyDescent="0.2">
      <c r="A69" s="954"/>
      <c r="B69" s="1148" t="s">
        <v>87</v>
      </c>
      <c r="C69" s="1208"/>
      <c r="D69" s="1861"/>
      <c r="E69" s="1508">
        <f>D69*TableC4!C69/(1000)</f>
        <v>0</v>
      </c>
      <c r="F69" s="1509">
        <f>+D69*TableC4!D69/(1000)</f>
        <v>0</v>
      </c>
      <c r="G69" s="1510">
        <f t="shared" si="11"/>
        <v>0</v>
      </c>
      <c r="H69" s="1508">
        <f>D69*TableC4!N69/(1000)</f>
        <v>0</v>
      </c>
      <c r="I69" s="1509">
        <f>+D69*TableC4!O69/(1000)</f>
        <v>0</v>
      </c>
      <c r="J69" s="1511">
        <f t="shared" si="12"/>
        <v>0</v>
      </c>
      <c r="K69" s="1485"/>
      <c r="L69" s="1155"/>
      <c r="M69" s="1486"/>
      <c r="N69" s="1485"/>
      <c r="O69" s="1516"/>
      <c r="P69" s="1158"/>
      <c r="Q69" s="1178"/>
      <c r="R69" s="1178"/>
      <c r="S69" s="1178"/>
      <c r="T69" s="1178"/>
      <c r="U69" s="1178"/>
      <c r="V69" s="1178"/>
    </row>
    <row r="70" spans="1:22" ht="14.25" hidden="1" customHeight="1" x14ac:dyDescent="0.2">
      <c r="A70" s="954"/>
      <c r="B70" s="1148" t="str">
        <f>+TableA1!A69</f>
        <v>Grenada</v>
      </c>
      <c r="C70" s="1208"/>
      <c r="D70" s="1861"/>
      <c r="E70" s="1508">
        <f>D70*TableC4!C70/(1000)</f>
        <v>0</v>
      </c>
      <c r="F70" s="1509">
        <f>+D70*TableC4!D70/(1000)</f>
        <v>0</v>
      </c>
      <c r="G70" s="1510">
        <f t="shared" si="11"/>
        <v>0</v>
      </c>
      <c r="H70" s="1508">
        <f>D70*TableC4!N70/(1000)</f>
        <v>0</v>
      </c>
      <c r="I70" s="1509">
        <f>+D70*TableC4!O70/(1000)</f>
        <v>0</v>
      </c>
      <c r="J70" s="1511">
        <f t="shared" si="12"/>
        <v>0</v>
      </c>
      <c r="K70" s="1485"/>
      <c r="L70" s="1155"/>
      <c r="M70" s="1486"/>
      <c r="N70" s="1485"/>
      <c r="O70" s="1516"/>
      <c r="P70" s="1158"/>
      <c r="Q70" s="1178"/>
      <c r="R70" s="1178"/>
      <c r="S70" s="1178"/>
      <c r="T70" s="1178"/>
      <c r="U70" s="1178"/>
      <c r="V70" s="1178"/>
    </row>
    <row r="71" spans="1:22" ht="14.25" hidden="1" customHeight="1" x14ac:dyDescent="0.2">
      <c r="A71" s="954"/>
      <c r="B71" s="1148" t="s">
        <v>89</v>
      </c>
      <c r="C71" s="1208"/>
      <c r="D71" s="1861"/>
      <c r="E71" s="1508">
        <f>D71*TableC4!C71/(1000)</f>
        <v>0</v>
      </c>
      <c r="F71" s="1509">
        <f>+D71*TableC4!D71/(1000)</f>
        <v>0</v>
      </c>
      <c r="G71" s="1510">
        <f t="shared" si="11"/>
        <v>0</v>
      </c>
      <c r="H71" s="1508">
        <f>D71*TableC4!N71/(1000)</f>
        <v>0</v>
      </c>
      <c r="I71" s="1509">
        <f>+D71*TableC4!O71/(1000)</f>
        <v>0</v>
      </c>
      <c r="J71" s="1511">
        <f t="shared" si="12"/>
        <v>0</v>
      </c>
      <c r="K71" s="1485"/>
      <c r="L71" s="1155"/>
      <c r="M71" s="1486"/>
      <c r="N71" s="1485"/>
      <c r="O71" s="1516"/>
      <c r="P71" s="1158"/>
      <c r="Q71" s="1178"/>
      <c r="R71" s="1178"/>
      <c r="S71" s="1178"/>
      <c r="T71" s="1178"/>
      <c r="U71" s="1178"/>
      <c r="V71" s="1178"/>
    </row>
    <row r="72" spans="1:22" ht="14.25" hidden="1" customHeight="1" x14ac:dyDescent="0.2">
      <c r="A72" s="329" t="s">
        <v>90</v>
      </c>
      <c r="B72" s="1148" t="s">
        <v>154</v>
      </c>
      <c r="C72" s="1208"/>
      <c r="D72" s="1861"/>
      <c r="E72" s="1508">
        <f>D72*TableC4!C72/(1000)</f>
        <v>0</v>
      </c>
      <c r="F72" s="1509">
        <f>+D72*TableC4!D72/(1000)</f>
        <v>0</v>
      </c>
      <c r="G72" s="1510">
        <f t="shared" si="11"/>
        <v>0</v>
      </c>
      <c r="H72" s="1508">
        <f>D72*TableC4!N72/(1000)</f>
        <v>0</v>
      </c>
      <c r="I72" s="1509">
        <f>+D72*TableC4!O72/(1000)</f>
        <v>0</v>
      </c>
      <c r="J72" s="1511">
        <f t="shared" si="12"/>
        <v>0</v>
      </c>
      <c r="K72" s="1485"/>
      <c r="L72" s="1155"/>
      <c r="M72" s="1486"/>
      <c r="N72" s="1485"/>
      <c r="O72" s="1516"/>
      <c r="P72" s="1158"/>
      <c r="Q72" s="1178"/>
      <c r="R72" s="1178"/>
      <c r="S72" s="1178"/>
      <c r="T72" s="1178"/>
      <c r="U72" s="1178"/>
      <c r="V72" s="1178"/>
    </row>
    <row r="73" spans="1:22" ht="14.25" hidden="1" customHeight="1" x14ac:dyDescent="0.2">
      <c r="A73" s="329" t="s">
        <v>341</v>
      </c>
      <c r="B73" s="1148" t="s">
        <v>91</v>
      </c>
      <c r="C73" s="1208"/>
      <c r="D73" s="1861"/>
      <c r="E73" s="1508">
        <f>D73*TableC4!C73/(1000)</f>
        <v>0</v>
      </c>
      <c r="F73" s="1509">
        <f>+D73*TableC4!D73/(1000)</f>
        <v>0</v>
      </c>
      <c r="G73" s="1510">
        <f t="shared" si="11"/>
        <v>0</v>
      </c>
      <c r="H73" s="1508">
        <f>D73*TableC4!N73/(1000)</f>
        <v>0</v>
      </c>
      <c r="I73" s="1509">
        <f>+D73*TableC4!O73/(1000)</f>
        <v>0</v>
      </c>
      <c r="J73" s="1511">
        <f t="shared" si="12"/>
        <v>0</v>
      </c>
      <c r="K73" s="1485"/>
      <c r="L73" s="1155"/>
      <c r="M73" s="1486"/>
      <c r="N73" s="1485"/>
      <c r="O73" s="1516"/>
      <c r="P73" s="1158"/>
      <c r="Q73" s="1178"/>
      <c r="R73" s="1178"/>
      <c r="S73" s="1178"/>
      <c r="T73" s="1178"/>
      <c r="U73" s="1178"/>
      <c r="V73" s="1178"/>
    </row>
    <row r="74" spans="1:22" ht="14.25" hidden="1" customHeight="1" x14ac:dyDescent="0.2">
      <c r="A74" s="954"/>
      <c r="B74" s="1148" t="s">
        <v>92</v>
      </c>
      <c r="C74" s="1208"/>
      <c r="D74" s="1861"/>
      <c r="E74" s="1508">
        <f>D74*TableC4!C74/(1000)</f>
        <v>0</v>
      </c>
      <c r="F74" s="1509">
        <f>+D74*TableC4!D74/(1000)</f>
        <v>0</v>
      </c>
      <c r="G74" s="1510">
        <f t="shared" si="11"/>
        <v>0</v>
      </c>
      <c r="H74" s="1508">
        <f>D74*TableC4!N74/(1000)</f>
        <v>0</v>
      </c>
      <c r="I74" s="1509">
        <f>+D74*TableC4!O74/(1000)</f>
        <v>0</v>
      </c>
      <c r="J74" s="1511">
        <f t="shared" si="12"/>
        <v>0</v>
      </c>
      <c r="K74" s="1485"/>
      <c r="L74" s="1155"/>
      <c r="M74" s="1486"/>
      <c r="N74" s="1485"/>
      <c r="O74" s="1516"/>
      <c r="P74" s="1158"/>
      <c r="Q74" s="1178"/>
      <c r="R74" s="1178"/>
      <c r="S74" s="1178"/>
      <c r="T74" s="1178"/>
      <c r="U74" s="1178"/>
      <c r="V74" s="1178"/>
    </row>
    <row r="75" spans="1:22" ht="14.25" hidden="1" customHeight="1" x14ac:dyDescent="0.2">
      <c r="A75" s="954"/>
      <c r="B75" s="1148" t="s">
        <v>93</v>
      </c>
      <c r="C75" s="1208"/>
      <c r="D75" s="1861"/>
      <c r="E75" s="1508">
        <f>D75*TableC4!C75/(1000)</f>
        <v>0</v>
      </c>
      <c r="F75" s="1509">
        <f>+D75*TableC4!D75/(1000)</f>
        <v>0</v>
      </c>
      <c r="G75" s="1510">
        <f t="shared" si="11"/>
        <v>0</v>
      </c>
      <c r="H75" s="1508">
        <f>D75*TableC4!N75/(1000)</f>
        <v>0</v>
      </c>
      <c r="I75" s="1509">
        <f>+D75*TableC4!O75/(1000)</f>
        <v>0</v>
      </c>
      <c r="J75" s="1511">
        <f t="shared" si="12"/>
        <v>0</v>
      </c>
      <c r="K75" s="1485"/>
      <c r="L75" s="1155"/>
      <c r="M75" s="1486"/>
      <c r="N75" s="1485"/>
      <c r="O75" s="1516"/>
      <c r="P75" s="1158"/>
      <c r="Q75" s="1178"/>
      <c r="R75" s="1178"/>
      <c r="S75" s="1178"/>
      <c r="T75" s="1178"/>
      <c r="U75" s="1178"/>
      <c r="V75" s="1178"/>
    </row>
    <row r="76" spans="1:22" ht="14.25" hidden="1" customHeight="1" x14ac:dyDescent="0.2">
      <c r="A76" s="954"/>
      <c r="B76" s="1148" t="s">
        <v>94</v>
      </c>
      <c r="C76" s="1208"/>
      <c r="D76" s="1861"/>
      <c r="E76" s="1508">
        <f>D76*TableC4!C76/(1000)</f>
        <v>0</v>
      </c>
      <c r="F76" s="1509">
        <f>+D76*TableC4!D76/(1000)</f>
        <v>0</v>
      </c>
      <c r="G76" s="1510">
        <f t="shared" si="11"/>
        <v>0</v>
      </c>
      <c r="H76" s="1508">
        <f>D76*TableC4!N76/(1000)</f>
        <v>0</v>
      </c>
      <c r="I76" s="1509">
        <f>+D76*TableC4!O76/(1000)</f>
        <v>0</v>
      </c>
      <c r="J76" s="1511">
        <f t="shared" si="12"/>
        <v>0</v>
      </c>
      <c r="K76" s="1485"/>
      <c r="L76" s="1155"/>
      <c r="M76" s="1486"/>
      <c r="N76" s="1485"/>
      <c r="O76" s="1516"/>
      <c r="P76" s="1158"/>
      <c r="Q76" s="1178"/>
      <c r="R76" s="1178"/>
      <c r="S76" s="1178"/>
      <c r="T76" s="1178"/>
      <c r="U76" s="1178"/>
      <c r="V76" s="1178"/>
    </row>
    <row r="77" spans="1:22" ht="14.25" hidden="1" customHeight="1" x14ac:dyDescent="0.2">
      <c r="A77" s="329" t="s">
        <v>342</v>
      </c>
      <c r="B77" s="1148" t="s">
        <v>95</v>
      </c>
      <c r="C77" s="1208"/>
      <c r="D77" s="1861"/>
      <c r="E77" s="1508">
        <f>D77*TableC4!C77/(1000)</f>
        <v>0</v>
      </c>
      <c r="F77" s="1509">
        <f>+D77*TableC4!D77/(1000)</f>
        <v>0</v>
      </c>
      <c r="G77" s="1510">
        <f t="shared" si="11"/>
        <v>0</v>
      </c>
      <c r="H77" s="1508">
        <f>D77*TableC4!N77/(1000)</f>
        <v>0</v>
      </c>
      <c r="I77" s="1509">
        <f>+D77*TableC4!O77/(1000)</f>
        <v>0</v>
      </c>
      <c r="J77" s="1511">
        <f t="shared" si="12"/>
        <v>0</v>
      </c>
      <c r="K77" s="1485"/>
      <c r="L77" s="1155"/>
      <c r="M77" s="1486"/>
      <c r="N77" s="1485"/>
      <c r="O77" s="1516"/>
      <c r="P77" s="1158"/>
      <c r="Q77" s="1178"/>
      <c r="R77" s="1178"/>
      <c r="S77" s="1178"/>
      <c r="T77" s="1178"/>
      <c r="U77" s="1178"/>
      <c r="V77" s="1178"/>
    </row>
    <row r="78" spans="1:22" ht="14.25" hidden="1" customHeight="1" x14ac:dyDescent="0.2">
      <c r="A78" s="954"/>
      <c r="B78" s="1148" t="s">
        <v>96</v>
      </c>
      <c r="C78" s="1208"/>
      <c r="D78" s="1861"/>
      <c r="E78" s="1508">
        <f>D78*TableC4!C78/(1000)</f>
        <v>0</v>
      </c>
      <c r="F78" s="1509">
        <f>+D78*TableC4!D78/(1000)</f>
        <v>0</v>
      </c>
      <c r="G78" s="1510">
        <f t="shared" si="11"/>
        <v>0</v>
      </c>
      <c r="H78" s="1508">
        <f>D78*TableC4!N78/(1000)</f>
        <v>0</v>
      </c>
      <c r="I78" s="1509">
        <f>+D78*TableC4!O78/(1000)</f>
        <v>0</v>
      </c>
      <c r="J78" s="1511">
        <f t="shared" si="12"/>
        <v>0</v>
      </c>
      <c r="K78" s="1485"/>
      <c r="L78" s="1155"/>
      <c r="M78" s="1486"/>
      <c r="N78" s="1485"/>
      <c r="O78" s="1516"/>
      <c r="P78" s="1158"/>
      <c r="Q78" s="1178"/>
      <c r="R78" s="1178"/>
      <c r="S78" s="1178"/>
      <c r="T78" s="1178"/>
      <c r="U78" s="1178"/>
      <c r="V78" s="1178"/>
    </row>
    <row r="79" spans="1:22" ht="14.25" hidden="1" customHeight="1" x14ac:dyDescent="0.2">
      <c r="A79" s="329" t="s">
        <v>373</v>
      </c>
      <c r="B79" s="1148" t="s">
        <v>97</v>
      </c>
      <c r="C79" s="1208"/>
      <c r="D79" s="1861"/>
      <c r="E79" s="1508">
        <f>D79*TableC4!C79/(1000)</f>
        <v>0</v>
      </c>
      <c r="F79" s="1509">
        <f>+D79*TableC4!D79/(1000)</f>
        <v>0</v>
      </c>
      <c r="G79" s="1510">
        <f t="shared" si="11"/>
        <v>0</v>
      </c>
      <c r="H79" s="1508">
        <f>D79*TableC4!N79/(1000)</f>
        <v>0</v>
      </c>
      <c r="I79" s="1509">
        <f>+D79*TableC4!O79/(1000)</f>
        <v>0</v>
      </c>
      <c r="J79" s="1511">
        <f t="shared" si="12"/>
        <v>0</v>
      </c>
      <c r="K79" s="1485"/>
      <c r="L79" s="1155"/>
      <c r="M79" s="1486"/>
      <c r="N79" s="1485"/>
      <c r="O79" s="1516"/>
      <c r="P79" s="1158"/>
      <c r="Q79" s="1178"/>
      <c r="R79" s="1178"/>
      <c r="S79" s="1178"/>
      <c r="T79" s="1178"/>
      <c r="U79" s="1178"/>
      <c r="V79" s="1178"/>
    </row>
    <row r="80" spans="1:22" ht="14.25" hidden="1" customHeight="1" x14ac:dyDescent="0.2">
      <c r="A80" s="954"/>
      <c r="B80" s="1148" t="str">
        <f>+TableA1!A79</f>
        <v>Monaco</v>
      </c>
      <c r="C80" s="1208"/>
      <c r="D80" s="1861"/>
      <c r="E80" s="1508">
        <f>D80*TableC4!C80/(1000)</f>
        <v>0</v>
      </c>
      <c r="F80" s="1509">
        <f>+D80*TableC4!D80/(1000)</f>
        <v>0</v>
      </c>
      <c r="G80" s="1510">
        <f t="shared" si="11"/>
        <v>0</v>
      </c>
      <c r="H80" s="1508">
        <f>D80*TableC4!N80/(1000)</f>
        <v>0</v>
      </c>
      <c r="I80" s="1509">
        <f>+D80*TableC4!O80/(1000)</f>
        <v>0</v>
      </c>
      <c r="J80" s="1511">
        <f t="shared" si="12"/>
        <v>0</v>
      </c>
      <c r="K80" s="1485"/>
      <c r="L80" s="1155"/>
      <c r="M80" s="1486"/>
      <c r="N80" s="1485"/>
      <c r="O80" s="1516"/>
      <c r="P80" s="1158"/>
      <c r="Q80" s="1178"/>
      <c r="R80" s="1178"/>
      <c r="S80" s="1178"/>
      <c r="T80" s="1178"/>
      <c r="U80" s="1178"/>
      <c r="V80" s="1178"/>
    </row>
    <row r="81" spans="1:22" ht="14.25" hidden="1" customHeight="1" x14ac:dyDescent="0.2">
      <c r="A81" s="954"/>
      <c r="B81" s="1148" t="s">
        <v>99</v>
      </c>
      <c r="C81" s="1208"/>
      <c r="D81" s="1861"/>
      <c r="E81" s="1508">
        <f>D81*TableC4!C81/(1000)</f>
        <v>0</v>
      </c>
      <c r="F81" s="1509">
        <f>+D81*TableC4!D81/(1000)</f>
        <v>0</v>
      </c>
      <c r="G81" s="1510">
        <f t="shared" si="11"/>
        <v>0</v>
      </c>
      <c r="H81" s="1508">
        <f>D81*TableC4!N81/(1000)</f>
        <v>0</v>
      </c>
      <c r="I81" s="1509">
        <f>+D81*TableC4!O81/(1000)</f>
        <v>0</v>
      </c>
      <c r="J81" s="1511">
        <f t="shared" si="12"/>
        <v>0</v>
      </c>
      <c r="K81" s="1485"/>
      <c r="L81" s="1155"/>
      <c r="M81" s="1486"/>
      <c r="N81" s="1485"/>
      <c r="O81" s="1516"/>
      <c r="P81" s="1158"/>
      <c r="Q81" s="1178"/>
      <c r="R81" s="1178"/>
      <c r="S81" s="1178"/>
      <c r="T81" s="1178"/>
      <c r="U81" s="1178"/>
      <c r="V81" s="1178"/>
    </row>
    <row r="82" spans="1:22" ht="14.25" hidden="1" customHeight="1" x14ac:dyDescent="0.2">
      <c r="A82" s="954"/>
      <c r="B82" s="1148" t="s">
        <v>100</v>
      </c>
      <c r="C82" s="1208"/>
      <c r="D82" s="1861"/>
      <c r="E82" s="1508">
        <f>D82*TableC4!C82/(1000)</f>
        <v>0</v>
      </c>
      <c r="F82" s="1509">
        <f>+D82*TableC4!D82/(1000)</f>
        <v>0</v>
      </c>
      <c r="G82" s="1510">
        <f t="shared" si="11"/>
        <v>0</v>
      </c>
      <c r="H82" s="1508">
        <f>D82*TableC4!N82/(1000)</f>
        <v>0</v>
      </c>
      <c r="I82" s="1509">
        <f>+D82*TableC4!O82/(1000)</f>
        <v>0</v>
      </c>
      <c r="J82" s="1511">
        <f t="shared" si="12"/>
        <v>0</v>
      </c>
      <c r="K82" s="1485"/>
      <c r="L82" s="1155"/>
      <c r="M82" s="1486"/>
      <c r="N82" s="1485"/>
      <c r="O82" s="1516"/>
      <c r="P82" s="1158"/>
      <c r="Q82" s="1178"/>
      <c r="R82" s="1178"/>
      <c r="S82" s="1178"/>
      <c r="T82" s="1178"/>
      <c r="U82" s="1178"/>
      <c r="V82" s="1178"/>
    </row>
    <row r="83" spans="1:22" ht="14.25" hidden="1" customHeight="1" x14ac:dyDescent="0.2">
      <c r="A83" s="954"/>
      <c r="B83" s="1148" t="str">
        <f>+TableA1!A82</f>
        <v>Seychelles</v>
      </c>
      <c r="C83" s="1208"/>
      <c r="D83" s="1861"/>
      <c r="E83" s="1508">
        <f>D83*TableC4!C83/(1000)</f>
        <v>0</v>
      </c>
      <c r="F83" s="1509">
        <f>+D83*TableC4!D83/(1000)</f>
        <v>0</v>
      </c>
      <c r="G83" s="1510">
        <f t="shared" si="11"/>
        <v>0</v>
      </c>
      <c r="H83" s="1508">
        <f>D83*TableC4!N83/(1000)</f>
        <v>0</v>
      </c>
      <c r="I83" s="1509">
        <f>+D83*TableC4!O83/(1000)</f>
        <v>0</v>
      </c>
      <c r="J83" s="1511">
        <f t="shared" si="12"/>
        <v>0</v>
      </c>
      <c r="K83" s="1485"/>
      <c r="L83" s="1155"/>
      <c r="M83" s="1486"/>
      <c r="N83" s="1485"/>
      <c r="O83" s="1516"/>
      <c r="P83" s="1158"/>
      <c r="Q83" s="1178"/>
      <c r="R83" s="1178"/>
      <c r="S83" s="1178"/>
      <c r="T83" s="1178"/>
      <c r="U83" s="1178"/>
      <c r="V83" s="1178"/>
    </row>
    <row r="84" spans="1:22" hidden="1" x14ac:dyDescent="0.2">
      <c r="A84" s="954"/>
      <c r="B84" s="1148" t="s">
        <v>102</v>
      </c>
      <c r="C84" s="1208"/>
      <c r="D84" s="1861"/>
      <c r="E84" s="1508">
        <f>D84*TableC4!C84/(1000)</f>
        <v>0</v>
      </c>
      <c r="F84" s="1509">
        <f>+D84*TableC4!D84/(1000)</f>
        <v>0</v>
      </c>
      <c r="G84" s="1510">
        <f t="shared" si="11"/>
        <v>0</v>
      </c>
      <c r="H84" s="1508">
        <f>D84*TableC4!N84/(1000)</f>
        <v>0</v>
      </c>
      <c r="I84" s="1509">
        <f>+D84*TableC4!O84/(1000)</f>
        <v>0</v>
      </c>
      <c r="J84" s="1511">
        <f t="shared" si="12"/>
        <v>0</v>
      </c>
      <c r="K84" s="1485"/>
      <c r="L84" s="1155"/>
      <c r="M84" s="1486"/>
      <c r="N84" s="1485"/>
      <c r="O84" s="1516"/>
      <c r="P84" s="1158"/>
      <c r="Q84" s="1178"/>
      <c r="R84" s="1178"/>
      <c r="S84" s="1178"/>
      <c r="T84" s="1178"/>
      <c r="U84" s="1178"/>
      <c r="V84" s="1178"/>
    </row>
    <row r="85" spans="1:22" hidden="1" x14ac:dyDescent="0.2">
      <c r="A85" s="954"/>
      <c r="B85" s="1148" t="str">
        <f>+TableA1!A84</f>
        <v>St. Kitts and Nevis</v>
      </c>
      <c r="C85" s="1208"/>
      <c r="D85" s="1861"/>
      <c r="E85" s="1508">
        <f>D85*TableC4!C85/(1000)</f>
        <v>0</v>
      </c>
      <c r="F85" s="1509">
        <f>+D85*TableC4!D85/(1000)</f>
        <v>0</v>
      </c>
      <c r="G85" s="1510">
        <f t="shared" si="11"/>
        <v>0</v>
      </c>
      <c r="H85" s="1508">
        <f>D85*TableC4!N85/(1000)</f>
        <v>0</v>
      </c>
      <c r="I85" s="1509">
        <f>+D85*TableC4!O85/(1000)</f>
        <v>0</v>
      </c>
      <c r="J85" s="1511">
        <f t="shared" si="12"/>
        <v>0</v>
      </c>
      <c r="K85" s="1485"/>
      <c r="L85" s="1155"/>
      <c r="M85" s="1486"/>
      <c r="N85" s="1485"/>
      <c r="O85" s="1516"/>
      <c r="P85" s="1158"/>
      <c r="Q85" s="1178"/>
      <c r="R85" s="1178"/>
      <c r="S85" s="1178"/>
      <c r="T85" s="1178"/>
      <c r="U85" s="1178"/>
      <c r="V85" s="1178"/>
    </row>
    <row r="86" spans="1:22" hidden="1" x14ac:dyDescent="0.2">
      <c r="A86" s="954"/>
      <c r="B86" s="1148" t="str">
        <f>+TableA1!A85</f>
        <v>St. Lucia</v>
      </c>
      <c r="C86" s="1208"/>
      <c r="D86" s="1861"/>
      <c r="E86" s="1508">
        <f>D86*TableC4!C86/(1000)</f>
        <v>0</v>
      </c>
      <c r="F86" s="1509">
        <f>+D86*TableC4!D86/(1000)</f>
        <v>0</v>
      </c>
      <c r="G86" s="1510">
        <f t="shared" si="11"/>
        <v>0</v>
      </c>
      <c r="H86" s="1508">
        <f>D86*TableC4!N86/(1000)</f>
        <v>0</v>
      </c>
      <c r="I86" s="1509">
        <f>+D86*TableC4!O86/(1000)</f>
        <v>0</v>
      </c>
      <c r="J86" s="1511">
        <f t="shared" si="12"/>
        <v>0</v>
      </c>
      <c r="K86" s="1485"/>
      <c r="L86" s="1155"/>
      <c r="M86" s="1486"/>
      <c r="N86" s="1485"/>
      <c r="O86" s="1516"/>
      <c r="P86" s="1158"/>
      <c r="Q86" s="1178"/>
      <c r="R86" s="1178"/>
      <c r="S86" s="1178"/>
      <c r="T86" s="1178"/>
      <c r="U86" s="1178"/>
      <c r="V86" s="1178"/>
    </row>
    <row r="87" spans="1:22" hidden="1" x14ac:dyDescent="0.2">
      <c r="A87" s="954"/>
      <c r="B87" s="1148" t="str">
        <f>+TableA1!A86</f>
        <v>St. Vincent and the Grenadines</v>
      </c>
      <c r="C87" s="1208"/>
      <c r="D87" s="1861"/>
      <c r="E87" s="1508">
        <f>D87*TableC4!C87/(1000)</f>
        <v>0</v>
      </c>
      <c r="F87" s="1509">
        <f>+D87*TableC4!D87/(1000)</f>
        <v>0</v>
      </c>
      <c r="G87" s="1510">
        <f t="shared" si="11"/>
        <v>0</v>
      </c>
      <c r="H87" s="1508">
        <f>D87*TableC4!N87/(1000)</f>
        <v>0</v>
      </c>
      <c r="I87" s="1509">
        <f>+D87*TableC4!O87/(1000)</f>
        <v>0</v>
      </c>
      <c r="J87" s="1511">
        <f t="shared" si="12"/>
        <v>0</v>
      </c>
      <c r="K87" s="1485"/>
      <c r="L87" s="1155"/>
      <c r="M87" s="1486"/>
      <c r="N87" s="1485"/>
      <c r="O87" s="1516"/>
      <c r="P87" s="1158"/>
      <c r="Q87" s="1178"/>
      <c r="R87" s="1178"/>
      <c r="S87" s="1178"/>
      <c r="T87" s="1178"/>
      <c r="U87" s="1178"/>
      <c r="V87" s="1178"/>
    </row>
    <row r="88" spans="1:22" hidden="1" x14ac:dyDescent="0.2">
      <c r="A88" s="329" t="s">
        <v>374</v>
      </c>
      <c r="B88" s="1148" t="str">
        <f>+TableA1!A87</f>
        <v>Turks and Caicos</v>
      </c>
      <c r="C88" s="1208"/>
      <c r="D88" s="1861"/>
      <c r="E88" s="1508">
        <f>D88*TableC4!C88/(1000)</f>
        <v>0</v>
      </c>
      <c r="F88" s="1509">
        <f>+D88*TableC4!D88/(1000)</f>
        <v>0</v>
      </c>
      <c r="G88" s="1510">
        <f t="shared" si="11"/>
        <v>0</v>
      </c>
      <c r="H88" s="1508">
        <f>D88*TableC4!N88/(1000)</f>
        <v>0</v>
      </c>
      <c r="I88" s="1509">
        <f>+D88*TableC4!O88/(1000)</f>
        <v>0</v>
      </c>
      <c r="J88" s="1511">
        <f t="shared" si="12"/>
        <v>0</v>
      </c>
      <c r="K88" s="1485"/>
      <c r="L88" s="1155"/>
      <c r="M88" s="1486"/>
      <c r="N88" s="1485"/>
      <c r="O88" s="1516"/>
      <c r="P88" s="1158"/>
      <c r="Q88" s="1178"/>
      <c r="R88" s="1178"/>
      <c r="S88" s="1178"/>
      <c r="T88" s="1178"/>
      <c r="U88" s="1178"/>
      <c r="V88" s="1178"/>
    </row>
    <row r="89" spans="1:22" hidden="1" x14ac:dyDescent="0.2">
      <c r="A89" s="954"/>
      <c r="B89" s="1148" t="str">
        <f>+TableA1!A88</f>
        <v>Panama</v>
      </c>
      <c r="C89" s="1208"/>
      <c r="D89" s="1861"/>
      <c r="E89" s="1508">
        <f>D89*TableC4!C89/(1000)</f>
        <v>0</v>
      </c>
      <c r="F89" s="1509">
        <f>+D89*TableC4!D89/(1000)</f>
        <v>0</v>
      </c>
      <c r="G89" s="1510">
        <f t="shared" si="11"/>
        <v>0</v>
      </c>
      <c r="H89" s="1508">
        <f>D89*TableC4!N89/(1000)</f>
        <v>0</v>
      </c>
      <c r="I89" s="1509">
        <f>+D89*TableC4!O89/(1000)</f>
        <v>0</v>
      </c>
      <c r="J89" s="1511">
        <f t="shared" si="12"/>
        <v>0</v>
      </c>
      <c r="K89" s="1485"/>
      <c r="L89" s="1155"/>
      <c r="M89" s="1486"/>
      <c r="N89" s="1485"/>
      <c r="O89" s="1516"/>
      <c r="P89" s="1158"/>
      <c r="Q89" s="1178"/>
      <c r="R89" s="1178"/>
      <c r="S89" s="1178"/>
      <c r="T89" s="1178"/>
      <c r="U89" s="1178"/>
      <c r="V89" s="1178"/>
    </row>
    <row r="90" spans="1:22" hidden="1" x14ac:dyDescent="0.2">
      <c r="A90" s="954"/>
      <c r="B90" s="1148" t="s">
        <v>108</v>
      </c>
      <c r="C90" s="1208"/>
      <c r="D90" s="1861"/>
      <c r="E90" s="1508">
        <f>D90*TableC4!C90/(1000)</f>
        <v>0</v>
      </c>
      <c r="F90" s="1509">
        <f>+D90*TableC4!D90/(1000)</f>
        <v>0</v>
      </c>
      <c r="G90" s="1510">
        <f t="shared" si="11"/>
        <v>0</v>
      </c>
      <c r="H90" s="1508">
        <f>D90*TableC4!N90/(1000)</f>
        <v>0</v>
      </c>
      <c r="I90" s="1509">
        <f>+D90*TableC4!O90/(1000)</f>
        <v>0</v>
      </c>
      <c r="J90" s="1511">
        <f t="shared" si="12"/>
        <v>0</v>
      </c>
      <c r="K90" s="1485"/>
      <c r="L90" s="1155"/>
      <c r="M90" s="1486"/>
      <c r="N90" s="1485"/>
      <c r="O90" s="1516"/>
      <c r="P90" s="1158"/>
      <c r="Q90" s="1178"/>
      <c r="R90" s="1178"/>
      <c r="S90" s="1178"/>
      <c r="T90" s="1178"/>
      <c r="U90" s="1178"/>
      <c r="V90" s="1178"/>
    </row>
    <row r="91" spans="1:22" ht="40" customHeight="1" x14ac:dyDescent="0.2">
      <c r="A91" s="954"/>
      <c r="B91" s="1461" t="s">
        <v>155</v>
      </c>
      <c r="C91" s="1517">
        <f>+TableA3!G90</f>
        <v>266.94859926828144</v>
      </c>
      <c r="D91" s="1518">
        <v>0.23739999999999997</v>
      </c>
      <c r="E91" s="1519">
        <f>D91*TableC4!C91/(1000)</f>
        <v>18.687705941084808</v>
      </c>
      <c r="F91" s="1520">
        <f>+D91*TableC4!D91/(1000)</f>
        <v>7.627293688862026</v>
      </c>
      <c r="G91" s="1521">
        <f t="shared" si="11"/>
        <v>11.060412252222783</v>
      </c>
      <c r="H91" s="1519">
        <f>D91*TableC4!N91/(1000)</f>
        <v>4.7300037318571091</v>
      </c>
      <c r="I91" s="1520">
        <f>+D91*TableC4!O91/(1000)</f>
        <v>0.58899913651554581</v>
      </c>
      <c r="J91" s="1522">
        <f t="shared" si="12"/>
        <v>4.1410045953415633</v>
      </c>
      <c r="K91" s="1523">
        <f t="shared" ref="K91:P91" si="13">+E91/$C91</f>
        <v>7.0004884806695672E-2</v>
      </c>
      <c r="L91" s="1524">
        <f t="shared" si="13"/>
        <v>2.857214351290396E-2</v>
      </c>
      <c r="M91" s="1525">
        <f t="shared" si="13"/>
        <v>4.1432741293791722E-2</v>
      </c>
      <c r="N91" s="1523">
        <f t="shared" si="13"/>
        <v>1.7718780862017145E-2</v>
      </c>
      <c r="O91" s="1526">
        <f t="shared" si="13"/>
        <v>2.2064140367472236E-3</v>
      </c>
      <c r="P91" s="1527">
        <f t="shared" si="13"/>
        <v>1.5512366825269921E-2</v>
      </c>
      <c r="Q91" s="266"/>
      <c r="R91" s="266"/>
      <c r="S91" s="266"/>
      <c r="T91" s="266"/>
      <c r="U91" s="266"/>
      <c r="V91" s="266"/>
    </row>
    <row r="92" spans="1:22" ht="40" hidden="1" customHeight="1" x14ac:dyDescent="0.2">
      <c r="A92" s="954"/>
      <c r="B92" s="622"/>
      <c r="C92" s="304"/>
      <c r="D92" s="652"/>
      <c r="E92" s="265">
        <f>D92*TableC4!C92/(1000)</f>
        <v>0</v>
      </c>
      <c r="F92" s="266">
        <f>+D92*TableC4!D92/(1000)</f>
        <v>0</v>
      </c>
      <c r="G92" s="266">
        <f t="shared" ref="G92:G93" si="14">+E92-F92</f>
        <v>0</v>
      </c>
      <c r="H92" s="265">
        <f>D92*TableC4!N92/(1000)</f>
        <v>0</v>
      </c>
      <c r="I92" s="266">
        <f>+D92*TableC4!O92/(1000)</f>
        <v>0</v>
      </c>
      <c r="J92" s="641">
        <f t="shared" ref="J92:J93" si="15">+H92-I92</f>
        <v>0</v>
      </c>
      <c r="K92" s="1528"/>
      <c r="L92" s="1210"/>
      <c r="M92" s="1210"/>
      <c r="N92" s="1528"/>
      <c r="O92" s="1515"/>
      <c r="P92" s="1430"/>
      <c r="Q92" s="266"/>
      <c r="R92" s="266"/>
      <c r="S92" s="266"/>
      <c r="T92" s="266"/>
      <c r="U92" s="266"/>
      <c r="V92" s="266"/>
    </row>
    <row r="93" spans="1:22" ht="34.5" customHeight="1" thickBot="1" x14ac:dyDescent="0.25">
      <c r="A93" s="954"/>
      <c r="B93" s="263" t="str">
        <f>+TableC3!B91</f>
        <v>Non-haven total</v>
      </c>
      <c r="C93" s="292">
        <f>+C91+C10+C46</f>
        <v>1986.5618629909525</v>
      </c>
      <c r="D93" s="653"/>
      <c r="E93" s="645">
        <f>E91+E46+E10</f>
        <v>181.4024073037761</v>
      </c>
      <c r="F93" s="1529">
        <f>F91+F46+F10</f>
        <v>82.434115096975276</v>
      </c>
      <c r="G93" s="1529">
        <f t="shared" si="14"/>
        <v>98.968292206800825</v>
      </c>
      <c r="H93" s="645">
        <f>H91+H46+H10</f>
        <v>207.39999938490325</v>
      </c>
      <c r="I93" s="1529">
        <f>I91+I46+I10</f>
        <v>113.26534821687198</v>
      </c>
      <c r="J93" s="1529">
        <f t="shared" si="15"/>
        <v>94.134651168031269</v>
      </c>
      <c r="K93" s="1530">
        <f t="shared" ref="K93:P93" si="16">+E93/$C93</f>
        <v>9.1314753737725546E-2</v>
      </c>
      <c r="L93" s="1531">
        <f t="shared" si="16"/>
        <v>4.1495871149395319E-2</v>
      </c>
      <c r="M93" s="1531">
        <f t="shared" si="16"/>
        <v>4.9818882588330227E-2</v>
      </c>
      <c r="N93" s="1530">
        <f t="shared" si="16"/>
        <v>0.10440148039117361</v>
      </c>
      <c r="O93" s="1532">
        <f t="shared" si="16"/>
        <v>5.7015766952427313E-2</v>
      </c>
      <c r="P93" s="1533">
        <f t="shared" si="16"/>
        <v>4.7385713438746306E-2</v>
      </c>
      <c r="Q93" s="246"/>
      <c r="R93" s="246"/>
      <c r="S93" s="246"/>
      <c r="T93" s="246"/>
      <c r="U93" s="246"/>
      <c r="V93" s="246"/>
    </row>
    <row r="94" spans="1:22" s="2" customFormat="1" ht="17" thickTop="1" x14ac:dyDescent="0.2">
      <c r="F94" s="954"/>
      <c r="G94" s="954"/>
      <c r="I94" s="954"/>
      <c r="J94" s="954"/>
      <c r="L94" s="954"/>
      <c r="M94" s="954"/>
      <c r="O94" s="954"/>
      <c r="P94" s="954"/>
      <c r="Q94" s="954"/>
      <c r="R94" s="954"/>
      <c r="S94" s="954"/>
      <c r="T94" s="954"/>
      <c r="U94" s="954"/>
      <c r="V94" s="954"/>
    </row>
    <row r="95" spans="1:22" s="2" customFormat="1" x14ac:dyDescent="0.2">
      <c r="B95" s="954"/>
      <c r="C95" s="954"/>
      <c r="D95" s="954"/>
      <c r="E95" s="954"/>
      <c r="F95" s="954"/>
      <c r="G95" s="954"/>
      <c r="H95" s="954"/>
      <c r="I95" s="954"/>
      <c r="J95" s="954"/>
      <c r="K95" s="954"/>
      <c r="L95" s="954"/>
      <c r="M95" s="954"/>
      <c r="N95" s="954"/>
      <c r="O95" s="954"/>
      <c r="P95" s="954"/>
      <c r="Q95" s="954"/>
      <c r="R95" s="954"/>
      <c r="S95" s="954"/>
      <c r="T95" s="954"/>
      <c r="U95" s="954"/>
      <c r="V95" s="954"/>
    </row>
  </sheetData>
  <mergeCells count="13">
    <mergeCell ref="B4:P4"/>
    <mergeCell ref="E6:J6"/>
    <mergeCell ref="E7:G7"/>
    <mergeCell ref="H7:J7"/>
    <mergeCell ref="E8:E9"/>
    <mergeCell ref="H8:H9"/>
    <mergeCell ref="K6:P6"/>
    <mergeCell ref="K7:M7"/>
    <mergeCell ref="N7:P7"/>
    <mergeCell ref="K8:K9"/>
    <mergeCell ref="N8:N9"/>
    <mergeCell ref="C6:C9"/>
    <mergeCell ref="D6:D9"/>
  </mergeCells>
  <phoneticPr fontId="37" type="noConversion"/>
  <pageMargins left="0.7" right="0.7" top="0.75" bottom="0.75" header="0.3" footer="0.3"/>
  <pageSetup scale="62" fitToHeight="2" orientation="landscape"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3:O96"/>
  <sheetViews>
    <sheetView workbookViewId="0">
      <pane xSplit="2" ySplit="10" topLeftCell="C92" activePane="bottomRight" state="frozen"/>
      <selection pane="topRight" activeCell="AR8" sqref="AR8"/>
      <selection pane="bottomLeft" activeCell="AR8" sqref="AR8"/>
      <selection pane="bottomRight" activeCell="G10" sqref="G10"/>
    </sheetView>
  </sheetViews>
  <sheetFormatPr baseColWidth="10" defaultColWidth="10.83203125" defaultRowHeight="16" x14ac:dyDescent="0.2"/>
  <cols>
    <col min="1" max="1" width="17.5" style="1" hidden="1" customWidth="1"/>
    <col min="2" max="2" width="19" style="1" customWidth="1"/>
    <col min="3" max="14" width="12.83203125" style="1" customWidth="1"/>
    <col min="15" max="15" width="19.6640625" style="1" customWidth="1"/>
    <col min="16" max="16384" width="10.83203125" style="1"/>
  </cols>
  <sheetData>
    <row r="3" spans="2:15" ht="17" thickBot="1" x14ac:dyDescent="0.25">
      <c r="B3" s="954"/>
      <c r="C3" s="954"/>
      <c r="D3" s="954"/>
      <c r="E3" s="954"/>
      <c r="F3" s="954"/>
      <c r="G3" s="954"/>
      <c r="H3" s="954"/>
      <c r="I3" s="954"/>
      <c r="J3" s="954"/>
      <c r="K3" s="954"/>
      <c r="L3" s="954"/>
      <c r="M3" s="954"/>
      <c r="N3" s="954"/>
      <c r="O3" s="954"/>
    </row>
    <row r="4" spans="2:15" ht="15.75" hidden="1" customHeight="1" thickBot="1" x14ac:dyDescent="0.25">
      <c r="B4" s="954"/>
      <c r="C4" s="954"/>
      <c r="D4" s="954"/>
      <c r="E4" s="954"/>
      <c r="F4" s="954"/>
      <c r="G4" s="954"/>
      <c r="H4" s="954"/>
      <c r="I4" s="954"/>
      <c r="J4" s="954"/>
      <c r="K4" s="954"/>
      <c r="L4" s="954"/>
      <c r="M4" s="954"/>
      <c r="N4" s="954"/>
      <c r="O4" s="954"/>
    </row>
    <row r="5" spans="2:15" ht="32.25" customHeight="1" thickTop="1" x14ac:dyDescent="0.2">
      <c r="B5" s="1951" t="s">
        <v>665</v>
      </c>
      <c r="C5" s="1952"/>
      <c r="D5" s="1952"/>
      <c r="E5" s="1952"/>
      <c r="F5" s="1952"/>
      <c r="G5" s="1952"/>
      <c r="H5" s="1952"/>
      <c r="I5" s="1952"/>
      <c r="J5" s="1952"/>
      <c r="K5" s="1952"/>
      <c r="L5" s="1952"/>
      <c r="M5" s="1952"/>
      <c r="N5" s="1953"/>
      <c r="O5" s="620"/>
    </row>
    <row r="6" spans="2:15" ht="20" x14ac:dyDescent="0.2">
      <c r="B6" s="4"/>
      <c r="C6" s="160" t="s">
        <v>1</v>
      </c>
      <c r="D6" s="160" t="s">
        <v>2</v>
      </c>
      <c r="E6" s="160" t="s">
        <v>3</v>
      </c>
      <c r="F6" s="160" t="s">
        <v>4</v>
      </c>
      <c r="G6" s="160" t="s">
        <v>5</v>
      </c>
      <c r="H6" s="160" t="s">
        <v>6</v>
      </c>
      <c r="I6" s="160" t="s">
        <v>7</v>
      </c>
      <c r="J6" s="160" t="s">
        <v>8</v>
      </c>
      <c r="K6" s="160" t="s">
        <v>9</v>
      </c>
      <c r="L6" s="160" t="s">
        <v>10</v>
      </c>
      <c r="M6" s="160" t="s">
        <v>11</v>
      </c>
      <c r="N6" s="6" t="s">
        <v>12</v>
      </c>
      <c r="O6" s="620"/>
    </row>
    <row r="7" spans="2:15" ht="22" customHeight="1" x14ac:dyDescent="0.2">
      <c r="B7" s="4"/>
      <c r="C7" s="2295" t="s">
        <v>666</v>
      </c>
      <c r="D7" s="2298" t="s">
        <v>662</v>
      </c>
      <c r="E7" s="2116" t="s">
        <v>667</v>
      </c>
      <c r="F7" s="2116"/>
      <c r="G7" s="2116"/>
      <c r="H7" s="2116"/>
      <c r="I7" s="2116"/>
      <c r="J7" s="2115" t="s">
        <v>668</v>
      </c>
      <c r="K7" s="2116"/>
      <c r="L7" s="2116"/>
      <c r="M7" s="2116"/>
      <c r="N7" s="2192"/>
      <c r="O7" s="620"/>
    </row>
    <row r="8" spans="2:15" ht="21" customHeight="1" x14ac:dyDescent="0.2">
      <c r="B8" s="1148"/>
      <c r="C8" s="2296"/>
      <c r="D8" s="2299"/>
      <c r="E8" s="2308" t="s">
        <v>669</v>
      </c>
      <c r="F8" s="2104"/>
      <c r="G8" s="2104"/>
      <c r="H8" s="2302" t="s">
        <v>670</v>
      </c>
      <c r="I8" s="2305" t="s">
        <v>671</v>
      </c>
      <c r="J8" s="2306" t="s">
        <v>669</v>
      </c>
      <c r="K8" s="2104"/>
      <c r="L8" s="2106"/>
      <c r="M8" s="2302" t="s">
        <v>670</v>
      </c>
      <c r="N8" s="2307" t="s">
        <v>671</v>
      </c>
      <c r="O8" s="1037"/>
    </row>
    <row r="9" spans="2:15" ht="85" customHeight="1" x14ac:dyDescent="0.2">
      <c r="B9" s="1148"/>
      <c r="C9" s="2296"/>
      <c r="D9" s="2299"/>
      <c r="E9" s="2083" t="s">
        <v>672</v>
      </c>
      <c r="F9" s="1813" t="s">
        <v>673</v>
      </c>
      <c r="G9" s="1479" t="s">
        <v>674</v>
      </c>
      <c r="H9" s="2303"/>
      <c r="I9" s="2305"/>
      <c r="J9" s="2295" t="s">
        <v>672</v>
      </c>
      <c r="K9" s="1813" t="s">
        <v>673</v>
      </c>
      <c r="L9" s="1479" t="s">
        <v>674</v>
      </c>
      <c r="M9" s="2303"/>
      <c r="N9" s="2307"/>
      <c r="O9" s="1480"/>
    </row>
    <row r="10" spans="2:15" x14ac:dyDescent="0.2">
      <c r="B10" s="1148"/>
      <c r="C10" s="2297"/>
      <c r="D10" s="2300"/>
      <c r="E10" s="2301"/>
      <c r="F10" s="1534"/>
      <c r="G10" s="1535"/>
      <c r="H10" s="2304"/>
      <c r="I10" s="2305"/>
      <c r="J10" s="2297"/>
      <c r="K10" s="1534"/>
      <c r="L10" s="1535"/>
      <c r="M10" s="2304"/>
      <c r="N10" s="2307"/>
      <c r="O10" s="1480"/>
    </row>
    <row r="11" spans="2:15" ht="40" customHeight="1" x14ac:dyDescent="0.2">
      <c r="B11" s="8" t="s">
        <v>28</v>
      </c>
      <c r="C11" s="640">
        <f>+SUM(C12:C46)</f>
        <v>1127.4155729148408</v>
      </c>
      <c r="D11" s="430"/>
      <c r="E11" s="425">
        <f>+F11+G11</f>
        <v>578.79392984507649</v>
      </c>
      <c r="F11" s="654">
        <f>+SUM(F12:F46)</f>
        <v>368.67890901862586</v>
      </c>
      <c r="G11" s="430">
        <f>+SUM(G12:G46)</f>
        <v>210.11502082645069</v>
      </c>
      <c r="H11" s="425">
        <f>+TableC4!C10/1000</f>
        <v>435.14424979196116</v>
      </c>
      <c r="I11" s="430">
        <f>+TableC4!N10/1000</f>
        <v>533.27490660975616</v>
      </c>
      <c r="J11" s="656">
        <f>+SUMPRODUCT(J12:J46,$C$12:$C$46)/$C$11</f>
        <v>0.15577118131706294</v>
      </c>
      <c r="K11" s="657">
        <f t="shared" ref="K11:N11" si="0">+SUMPRODUCT(K12:K46,$C$12:$C$46)/$C$11</f>
        <v>9.0874794528675487E-2</v>
      </c>
      <c r="L11" s="658">
        <f t="shared" si="0"/>
        <v>6.4896386788387439E-2</v>
      </c>
      <c r="M11" s="656">
        <f t="shared" si="0"/>
        <v>0.12000189394058861</v>
      </c>
      <c r="N11" s="661">
        <f t="shared" si="0"/>
        <v>0.1647079512343522</v>
      </c>
      <c r="O11" s="246"/>
    </row>
    <row r="12" spans="2:15" x14ac:dyDescent="0.2">
      <c r="B12" s="1149" t="s">
        <v>29</v>
      </c>
      <c r="C12" s="1193">
        <f>+TableA3!H10</f>
        <v>53.085816886912227</v>
      </c>
      <c r="D12" s="1160">
        <v>0.3</v>
      </c>
      <c r="E12" s="1536">
        <f>+F12+G12</f>
        <v>11.913869138592107</v>
      </c>
      <c r="F12" s="1537">
        <f>-TableA7!P10</f>
        <v>11.223955605361816</v>
      </c>
      <c r="G12" s="1538">
        <f>(TableA7!$P$91-$F$93)*TableC4b!F12</f>
        <v>0.68991353323029114</v>
      </c>
      <c r="H12" s="1539">
        <f>+TableC4!C11/1000</f>
        <v>12.959094629306808</v>
      </c>
      <c r="I12" s="1540">
        <f>+TableC4!N11/1000</f>
        <v>1.7510103445011536</v>
      </c>
      <c r="J12" s="1541">
        <f>+(E12*$D12)/$C12</f>
        <v>6.7327978567073815E-2</v>
      </c>
      <c r="K12" s="1542">
        <f t="shared" ref="K12:K54" si="1">+(F12*$D12)/$C12</f>
        <v>6.3429120602619765E-2</v>
      </c>
      <c r="L12" s="1543">
        <f>+(G12*$D12)/$C12</f>
        <v>3.8988579644540556E-3</v>
      </c>
      <c r="M12" s="1544">
        <f t="shared" ref="M12:M54" si="2">+(H12*$D12)/$C12</f>
        <v>7.3234785047652198E-2</v>
      </c>
      <c r="N12" s="1545">
        <f t="shared" ref="N12:N54" si="3">+(I12*$D12)/$C12</f>
        <v>9.8953568797743082E-3</v>
      </c>
      <c r="O12" s="9"/>
    </row>
    <row r="13" spans="2:15" x14ac:dyDescent="0.2">
      <c r="B13" s="1149" t="s">
        <v>30</v>
      </c>
      <c r="C13" s="1193">
        <f>+TableA3!H11</f>
        <v>8.4946481984874556</v>
      </c>
      <c r="D13" s="1160">
        <v>0.25</v>
      </c>
      <c r="E13" s="1536">
        <f t="shared" ref="E13:E54" si="4">+F13+G13</f>
        <v>3.4761409311748879</v>
      </c>
      <c r="F13" s="1537">
        <f>-TableA7!P11</f>
        <v>2.5981950816013484</v>
      </c>
      <c r="G13" s="1538">
        <f>+(TableA7!$P$91-$F$93)*TableC4b!F13</f>
        <v>0.87794584957353938</v>
      </c>
      <c r="H13" s="1539">
        <f>+TableC4!C12/1000</f>
        <v>3.5894388002507043</v>
      </c>
      <c r="I13" s="1540">
        <f>+TableC4!N12/1000</f>
        <v>2.2282390335456395</v>
      </c>
      <c r="J13" s="1541">
        <f t="shared" ref="J13:J54" si="5">+(E13*$D13)/$C13</f>
        <v>0.102303852082828</v>
      </c>
      <c r="K13" s="1542">
        <f t="shared" si="1"/>
        <v>7.6465646984179375E-2</v>
      </c>
      <c r="L13" s="1543">
        <f t="shared" ref="L13:L54" si="6">+(G13*$D13)/$C13</f>
        <v>2.5838205098648617E-2</v>
      </c>
      <c r="M13" s="1544">
        <f t="shared" si="2"/>
        <v>0.10563824176055445</v>
      </c>
      <c r="N13" s="1545">
        <f t="shared" si="3"/>
        <v>6.5577731457507463E-2</v>
      </c>
      <c r="O13" s="9"/>
    </row>
    <row r="14" spans="2:15" x14ac:dyDescent="0.2">
      <c r="B14" s="1149" t="s">
        <v>31</v>
      </c>
      <c r="C14" s="1193"/>
      <c r="D14" s="1216"/>
      <c r="E14" s="1536"/>
      <c r="F14" s="1537"/>
      <c r="G14" s="1538"/>
      <c r="H14" s="1539"/>
      <c r="I14" s="1540"/>
      <c r="J14" s="1541"/>
      <c r="K14" s="1542"/>
      <c r="L14" s="1543"/>
      <c r="M14" s="1544"/>
      <c r="N14" s="1546"/>
      <c r="O14" s="1513"/>
    </row>
    <row r="15" spans="2:15" x14ac:dyDescent="0.2">
      <c r="B15" s="1149" t="s">
        <v>32</v>
      </c>
      <c r="C15" s="1193">
        <f>+TableA3!H13</f>
        <v>49.479398763816377</v>
      </c>
      <c r="D15" s="1160">
        <v>0.26500000000000001</v>
      </c>
      <c r="E15" s="1536">
        <f t="shared" si="4"/>
        <v>-23.616458651991657</v>
      </c>
      <c r="F15" s="1537">
        <f>-TableA7!P13</f>
        <v>-30.089596637272944</v>
      </c>
      <c r="G15" s="1538">
        <f>+(TableA7!$P$91-$F$93)*TableC4b!F15</f>
        <v>6.4731379852812863</v>
      </c>
      <c r="H15" s="1539">
        <f>+TableC4!C14/1000</f>
        <v>18.916079243072261</v>
      </c>
      <c r="I15" s="1540">
        <f>+TableC4!N14/1000</f>
        <v>16.428916128867204</v>
      </c>
      <c r="J15" s="1541">
        <f t="shared" si="5"/>
        <v>-0.12648418734130709</v>
      </c>
      <c r="K15" s="1542">
        <f t="shared" si="1"/>
        <v>-0.1611527890009129</v>
      </c>
      <c r="L15" s="1543">
        <f t="shared" si="6"/>
        <v>3.4668601659605787E-2</v>
      </c>
      <c r="M15" s="1544">
        <f t="shared" si="2"/>
        <v>0.10131006286761744</v>
      </c>
      <c r="N15" s="1545">
        <f t="shared" si="3"/>
        <v>8.798940332584608E-2</v>
      </c>
      <c r="O15" s="1513"/>
    </row>
    <row r="16" spans="2:15" x14ac:dyDescent="0.2">
      <c r="B16" s="1149" t="s">
        <v>33</v>
      </c>
      <c r="C16" s="1193">
        <f>+TableA3!H14</f>
        <v>10.455405560058267</v>
      </c>
      <c r="D16" s="1160">
        <v>0.24</v>
      </c>
      <c r="E16" s="1536">
        <f t="shared" si="4"/>
        <v>0.15730104321255003</v>
      </c>
      <c r="F16" s="1537">
        <f>-TableA7!P14</f>
        <v>0.19845199904374233</v>
      </c>
      <c r="G16" s="1538">
        <f>+(TableA7!$P$91-$F$93)*TableC4b!F16</f>
        <v>-4.1150955831192298E-2</v>
      </c>
      <c r="H16" s="1539">
        <f>+TableC4!C15/1000</f>
        <v>5.1819143745614014</v>
      </c>
      <c r="I16" s="1540">
        <f>+TableC4!N15/1000</f>
        <v>-0.10444171026643102</v>
      </c>
      <c r="J16" s="1541">
        <f t="shared" si="5"/>
        <v>3.6107877551142661E-3</v>
      </c>
      <c r="K16" s="1542">
        <f t="shared" si="1"/>
        <v>4.5553928536687703E-3</v>
      </c>
      <c r="L16" s="1543">
        <f t="shared" si="6"/>
        <v>-9.4460509855450424E-4</v>
      </c>
      <c r="M16" s="1544">
        <f t="shared" si="2"/>
        <v>0.11894894394587266</v>
      </c>
      <c r="N16" s="1545">
        <f t="shared" si="3"/>
        <v>-2.3974211540583944E-3</v>
      </c>
      <c r="O16" s="1514"/>
    </row>
    <row r="17" spans="1:15" x14ac:dyDescent="0.2">
      <c r="A17" s="954"/>
      <c r="B17" s="1149" t="s">
        <v>34</v>
      </c>
      <c r="C17" s="1193">
        <f>+TableA3!H15</f>
        <v>6.7113169165099862</v>
      </c>
      <c r="D17" s="1160">
        <v>0.19</v>
      </c>
      <c r="E17" s="1536">
        <f t="shared" si="4"/>
        <v>-5.4804199183737063</v>
      </c>
      <c r="F17" s="1537">
        <f>-TableA7!P15</f>
        <v>-5.6664744803053289</v>
      </c>
      <c r="G17" s="1538">
        <f>+(TableA7!$P$91-$F$93)*TableC4b!F17</f>
        <v>0.18605456193162279</v>
      </c>
      <c r="H17" s="1539">
        <f>+TableC4!C16/1000</f>
        <v>1.7606284926203615</v>
      </c>
      <c r="I17" s="1540">
        <f>+TableC4!N16/1000</f>
        <v>0.47220912026254813</v>
      </c>
      <c r="J17" s="1541">
        <f t="shared" si="5"/>
        <v>-0.15515282580821554</v>
      </c>
      <c r="K17" s="1542">
        <f t="shared" si="1"/>
        <v>-0.1604201030366304</v>
      </c>
      <c r="L17" s="1543">
        <f t="shared" si="6"/>
        <v>5.2672772284148373E-3</v>
      </c>
      <c r="M17" s="1544">
        <f t="shared" si="2"/>
        <v>4.9844079449585167E-2</v>
      </c>
      <c r="N17" s="1545">
        <f t="shared" si="3"/>
        <v>1.3368424404034868E-2</v>
      </c>
      <c r="O17" s="1514"/>
    </row>
    <row r="18" spans="1:15" x14ac:dyDescent="0.2">
      <c r="A18" s="954"/>
      <c r="B18" s="1149" t="s">
        <v>35</v>
      </c>
      <c r="C18" s="1193">
        <f>+TableA3!H16</f>
        <v>7.7284100389615968</v>
      </c>
      <c r="D18" s="1160">
        <v>0.22</v>
      </c>
      <c r="E18" s="1536">
        <f t="shared" si="4"/>
        <v>10.307613696202564</v>
      </c>
      <c r="F18" s="1537">
        <f>-TableA7!P16</f>
        <v>8.8754603396234497</v>
      </c>
      <c r="G18" s="1538">
        <f>+(TableA7!$P$91-$F$93)*TableC4b!F18</f>
        <v>1.4321533565791136</v>
      </c>
      <c r="H18" s="1539">
        <f>+TableC4!C17/1000</f>
        <v>2.9617661722785193</v>
      </c>
      <c r="I18" s="1540">
        <f>+TableC4!N17/1000</f>
        <v>3.634825556386077</v>
      </c>
      <c r="J18" s="1541">
        <f t="shared" si="5"/>
        <v>0.29342063913954197</v>
      </c>
      <c r="K18" s="1542">
        <f t="shared" si="1"/>
        <v>0.25265239096701891</v>
      </c>
      <c r="L18" s="1543">
        <f t="shared" si="6"/>
        <v>4.0768248172523058E-2</v>
      </c>
      <c r="M18" s="1544">
        <f t="shared" si="2"/>
        <v>8.4310816146709378E-2</v>
      </c>
      <c r="N18" s="1545">
        <f t="shared" si="3"/>
        <v>0.1034703927940631</v>
      </c>
      <c r="O18" s="9"/>
    </row>
    <row r="19" spans="1:15" x14ac:dyDescent="0.2">
      <c r="A19" s="954"/>
      <c r="B19" s="1088" t="s">
        <v>36</v>
      </c>
      <c r="C19" s="1193">
        <f>+TableA3!H17</f>
        <v>0.47056592348104992</v>
      </c>
      <c r="D19" s="1160">
        <v>0.2</v>
      </c>
      <c r="E19" s="1536">
        <f t="shared" si="4"/>
        <v>0.32696973470725821</v>
      </c>
      <c r="F19" s="1537">
        <f>-TableA7!P17</f>
        <v>0.32856767888762328</v>
      </c>
      <c r="G19" s="1538">
        <f>+(TableA7!$P$91-$F$93)*TableC4b!F19</f>
        <v>-1.5979441803650927E-3</v>
      </c>
      <c r="H19" s="1539">
        <f>+TableC4!C18/1000</f>
        <v>0.24369349684162625</v>
      </c>
      <c r="I19" s="1540">
        <f>+TableC4!N18/1000</f>
        <v>-4.0556050214784296E-3</v>
      </c>
      <c r="J19" s="1541">
        <f t="shared" si="5"/>
        <v>0.13896872611959357</v>
      </c>
      <c r="K19" s="1542">
        <f t="shared" si="1"/>
        <v>0.13964788459691982</v>
      </c>
      <c r="L19" s="1543">
        <f t="shared" si="6"/>
        <v>-6.7915847732626696E-4</v>
      </c>
      <c r="M19" s="1544">
        <f t="shared" si="2"/>
        <v>0.10357464690128163</v>
      </c>
      <c r="N19" s="1545">
        <f t="shared" si="3"/>
        <v>-1.7237138598888587E-3</v>
      </c>
      <c r="O19" s="9"/>
    </row>
    <row r="20" spans="1:15" x14ac:dyDescent="0.2">
      <c r="A20" s="954"/>
      <c r="B20" s="1149" t="s">
        <v>37</v>
      </c>
      <c r="C20" s="1193">
        <f>+TableA3!H18</f>
        <v>5.0429264278402366</v>
      </c>
      <c r="D20" s="1160">
        <v>0.2</v>
      </c>
      <c r="E20" s="1536">
        <f t="shared" si="4"/>
        <v>2.4067570221575454</v>
      </c>
      <c r="F20" s="1537">
        <f>-TableA7!P18</f>
        <v>1.516413766275523</v>
      </c>
      <c r="G20" s="1538">
        <f>+(TableA7!$P$91-$F$93)*TableC4b!F20</f>
        <v>0.89034325588202223</v>
      </c>
      <c r="H20" s="1539">
        <f>+TableC4!C19/1000</f>
        <v>2.7148693656359137</v>
      </c>
      <c r="I20" s="1540">
        <f>+TableC4!N19/1000</f>
        <v>2.2597038268067555</v>
      </c>
      <c r="J20" s="1541">
        <f t="shared" si="5"/>
        <v>9.5450808438159243E-2</v>
      </c>
      <c r="K20" s="1542">
        <f t="shared" si="1"/>
        <v>6.0140229605727819E-2</v>
      </c>
      <c r="L20" s="1543">
        <f t="shared" si="6"/>
        <v>3.5310578832431425E-2</v>
      </c>
      <c r="M20" s="1544">
        <f t="shared" si="2"/>
        <v>0.10767039354958929</v>
      </c>
      <c r="N20" s="1545">
        <f t="shared" si="3"/>
        <v>8.9618750506916756E-2</v>
      </c>
      <c r="O20" s="9"/>
    </row>
    <row r="21" spans="1:15" x14ac:dyDescent="0.2">
      <c r="A21" s="954"/>
      <c r="B21" s="1088" t="s">
        <v>38</v>
      </c>
      <c r="C21" s="1193">
        <f>+TableA3!H19</f>
        <v>50.926955756000886</v>
      </c>
      <c r="D21" s="1160">
        <v>0.33329999999999999</v>
      </c>
      <c r="E21" s="1536">
        <f t="shared" si="4"/>
        <v>26.881260402015577</v>
      </c>
      <c r="F21" s="1537">
        <f>-TableA7!P19</f>
        <v>1.5189718912435666</v>
      </c>
      <c r="G21" s="1538">
        <f>+(TableA7!$P$91-$F$93)*TableC4b!F21</f>
        <v>25.362288510772011</v>
      </c>
      <c r="H21" s="1539">
        <f>+TableC4!C20/1000</f>
        <v>32.084129887442167</v>
      </c>
      <c r="I21" s="1540">
        <f>+TableC4!N20/1000</f>
        <v>64.369848399191696</v>
      </c>
      <c r="J21" s="1541">
        <f t="shared" si="5"/>
        <v>0.17592891542385317</v>
      </c>
      <c r="K21" s="1542">
        <f t="shared" si="1"/>
        <v>9.9411662023765248E-3</v>
      </c>
      <c r="L21" s="1543">
        <f t="shared" si="6"/>
        <v>0.16598774922147663</v>
      </c>
      <c r="M21" s="1544">
        <f t="shared" si="2"/>
        <v>0.20997996704769473</v>
      </c>
      <c r="N21" s="1545">
        <f t="shared" si="3"/>
        <v>0.42127926464409848</v>
      </c>
      <c r="O21" s="9"/>
    </row>
    <row r="22" spans="1:15" x14ac:dyDescent="0.2">
      <c r="A22" s="954"/>
      <c r="B22" s="1149" t="s">
        <v>39</v>
      </c>
      <c r="C22" s="1193">
        <f>+TableA3!H20</f>
        <v>58.451143946880144</v>
      </c>
      <c r="D22" s="1160">
        <v>0.29719999999999996</v>
      </c>
      <c r="E22" s="1536">
        <f t="shared" si="4"/>
        <v>91.934692471535755</v>
      </c>
      <c r="F22" s="1537">
        <f>-TableA7!P20</f>
        <v>77.889952006640314</v>
      </c>
      <c r="G22" s="1538">
        <f>+(TableA7!$P$91-$F$93)*TableC4b!F22</f>
        <v>14.044740464895447</v>
      </c>
      <c r="H22" s="1539">
        <f>+TableC4!C21/1000</f>
        <v>54.904338589641874</v>
      </c>
      <c r="I22" s="1540">
        <f>+TableC4!N21/1000</f>
        <v>35.645750743168811</v>
      </c>
      <c r="J22" s="1541">
        <f t="shared" si="5"/>
        <v>0.46745005756211205</v>
      </c>
      <c r="K22" s="1542">
        <f t="shared" si="1"/>
        <v>0.39603833515065157</v>
      </c>
      <c r="L22" s="1543">
        <f t="shared" si="6"/>
        <v>7.1411722411460529E-2</v>
      </c>
      <c r="M22" s="1544">
        <f t="shared" si="2"/>
        <v>0.27916595513803488</v>
      </c>
      <c r="N22" s="1545">
        <f t="shared" si="3"/>
        <v>0.18124396556716532</v>
      </c>
      <c r="O22" s="9"/>
    </row>
    <row r="23" spans="1:15" x14ac:dyDescent="0.2">
      <c r="A23" s="954"/>
      <c r="B23" s="1149" t="s">
        <v>40</v>
      </c>
      <c r="C23" s="1193">
        <f>+TableA3!H21</f>
        <v>4.2144535794574223</v>
      </c>
      <c r="D23" s="1160">
        <v>0.28999999999999998</v>
      </c>
      <c r="E23" s="1536">
        <f t="shared" si="4"/>
        <v>2.6262699682896629</v>
      </c>
      <c r="F23" s="1537">
        <f>-TableA7!P21</f>
        <v>2.4530738535975614</v>
      </c>
      <c r="G23" s="1538">
        <f>+(TableA7!$P$91-$F$93)*TableC4b!F23</f>
        <v>0.17319611469210167</v>
      </c>
      <c r="H23" s="1539">
        <f>+TableC4!C22/1000</f>
        <v>1.0465124601954992</v>
      </c>
      <c r="I23" s="1540">
        <f>+TableC4!N22/1000</f>
        <v>0.43957419857141461</v>
      </c>
      <c r="J23" s="1541">
        <f t="shared" si="5"/>
        <v>0.18071578591264364</v>
      </c>
      <c r="K23" s="1542">
        <f t="shared" si="1"/>
        <v>0.16879801951333362</v>
      </c>
      <c r="L23" s="1543">
        <f t="shared" si="6"/>
        <v>1.1917766399310014E-2</v>
      </c>
      <c r="M23" s="1544">
        <f t="shared" si="2"/>
        <v>7.2011378873881565E-2</v>
      </c>
      <c r="N23" s="1545">
        <f t="shared" si="3"/>
        <v>3.0247460360477346E-2</v>
      </c>
      <c r="O23" s="9"/>
    </row>
    <row r="24" spans="1:15" x14ac:dyDescent="0.2">
      <c r="A24" s="954"/>
      <c r="B24" s="1149" t="s">
        <v>41</v>
      </c>
      <c r="C24" s="1193">
        <f>+TableA3!H22</f>
        <v>2.1963860274046167</v>
      </c>
      <c r="D24" s="1160">
        <v>0.19</v>
      </c>
      <c r="E24" s="1536">
        <f t="shared" si="4"/>
        <v>-8.7033788681800173E-2</v>
      </c>
      <c r="F24" s="1537">
        <f>-TableA7!P22</f>
        <v>-0.28410621149757276</v>
      </c>
      <c r="G24" s="1538">
        <f>+(TableA7!$P$91-$F$93)*TableC4b!F24</f>
        <v>0.19707242281577259</v>
      </c>
      <c r="H24" s="1539">
        <f>+TableC4!C23/1000</f>
        <v>2.3948890539900791</v>
      </c>
      <c r="I24" s="1540">
        <f>+TableC4!N23/1000</f>
        <v>0.50017260764638116</v>
      </c>
      <c r="J24" s="1541">
        <f t="shared" si="5"/>
        <v>-7.5289223493569899E-3</v>
      </c>
      <c r="K24" s="1542">
        <f t="shared" si="1"/>
        <v>-2.457681824188487E-2</v>
      </c>
      <c r="L24" s="1543">
        <f t="shared" si="6"/>
        <v>1.7047895892527878E-2</v>
      </c>
      <c r="M24" s="1544">
        <f t="shared" si="2"/>
        <v>0.20717165133116644</v>
      </c>
      <c r="N24" s="1545">
        <f t="shared" si="3"/>
        <v>4.3267801865006832E-2</v>
      </c>
      <c r="O24" s="9"/>
    </row>
    <row r="25" spans="1:15" x14ac:dyDescent="0.2">
      <c r="A25" s="954"/>
      <c r="B25" s="1149" t="s">
        <v>42</v>
      </c>
      <c r="C25" s="1193">
        <f>+TableA3!H23</f>
        <v>0.3983029700639128</v>
      </c>
      <c r="D25" s="1160">
        <v>0.2</v>
      </c>
      <c r="E25" s="1536">
        <f t="shared" si="4"/>
        <v>0.95773195268953792</v>
      </c>
      <c r="F25" s="1537">
        <f>-TableA7!P23</f>
        <v>0.95233244060805888</v>
      </c>
      <c r="G25" s="1538">
        <f>+(TableA7!$P$91-$F$93)*TableC4b!F25</f>
        <v>5.3995120814790869E-3</v>
      </c>
      <c r="H25" s="1539">
        <f>+TableC4!C24/1000</f>
        <v>0.43774676216057212</v>
      </c>
      <c r="I25" s="1540">
        <f>+TableC4!N24/1000</f>
        <v>1.3704038338921695E-2</v>
      </c>
      <c r="J25" s="1541">
        <f t="shared" si="5"/>
        <v>0.4809062571317797</v>
      </c>
      <c r="K25" s="1542">
        <f t="shared" si="1"/>
        <v>0.47819499837284418</v>
      </c>
      <c r="L25" s="1543">
        <f t="shared" si="6"/>
        <v>2.711258758935524E-3</v>
      </c>
      <c r="M25" s="1544">
        <f t="shared" si="2"/>
        <v>0.21980592416387459</v>
      </c>
      <c r="N25" s="1545">
        <f t="shared" si="3"/>
        <v>6.8812132315873558E-3</v>
      </c>
      <c r="O25" s="9"/>
    </row>
    <row r="26" spans="1:15" x14ac:dyDescent="0.2">
      <c r="A26" s="954"/>
      <c r="B26" s="1149" t="s">
        <v>43</v>
      </c>
      <c r="C26" s="1193"/>
      <c r="D26" s="1216"/>
      <c r="E26" s="1536"/>
      <c r="F26" s="1537"/>
      <c r="G26" s="1538"/>
      <c r="H26" s="1539"/>
      <c r="I26" s="1540"/>
      <c r="J26" s="1541"/>
      <c r="K26" s="1542"/>
      <c r="L26" s="1543"/>
      <c r="M26" s="1544"/>
      <c r="N26" s="1546"/>
      <c r="O26" s="9"/>
    </row>
    <row r="27" spans="1:15" x14ac:dyDescent="0.2">
      <c r="A27" s="954"/>
      <c r="B27" s="1149" t="s">
        <v>44</v>
      </c>
      <c r="C27" s="1193">
        <f>+TableA3!H25</f>
        <v>8.9214020772181364</v>
      </c>
      <c r="D27" s="1160">
        <v>0.25</v>
      </c>
      <c r="E27" s="1536">
        <f t="shared" si="4"/>
        <v>1.2313170402325924</v>
      </c>
      <c r="F27" s="1537">
        <f>-TableA7!P25</f>
        <v>1.0208621337891248</v>
      </c>
      <c r="G27" s="1538">
        <f>+(TableA7!$P$91-$F$93)*TableC4b!F27</f>
        <v>0.21045490644346759</v>
      </c>
      <c r="H27" s="1539">
        <f>+TableC4!C26/1000</f>
        <v>0.68065831999156556</v>
      </c>
      <c r="I27" s="1540">
        <f>+TableC4!N26/1000</f>
        <v>0.53413754113231338</v>
      </c>
      <c r="J27" s="1541">
        <f t="shared" si="5"/>
        <v>3.450458318028584E-2</v>
      </c>
      <c r="K27" s="1542">
        <f t="shared" si="1"/>
        <v>2.8607110321706552E-2</v>
      </c>
      <c r="L27" s="1543">
        <f t="shared" si="6"/>
        <v>5.8974728585792944E-3</v>
      </c>
      <c r="M27" s="1544">
        <f t="shared" si="2"/>
        <v>1.9073748557127242E-2</v>
      </c>
      <c r="N27" s="1545">
        <f t="shared" si="3"/>
        <v>1.4967869862526913E-2</v>
      </c>
      <c r="O27" s="9"/>
    </row>
    <row r="28" spans="1:15" x14ac:dyDescent="0.2">
      <c r="A28" s="954"/>
      <c r="B28" s="1149" t="s">
        <v>45</v>
      </c>
      <c r="C28" s="1193">
        <f>+TableA3!H26</f>
        <v>37.286823510883821</v>
      </c>
      <c r="D28" s="1160">
        <v>0.314</v>
      </c>
      <c r="E28" s="1536">
        <f t="shared" si="4"/>
        <v>27.639022960076833</v>
      </c>
      <c r="F28" s="1537">
        <f>-TableA7!P26</f>
        <v>26.164032260372608</v>
      </c>
      <c r="G28" s="1538">
        <f>+(TableA7!$P$91-$F$93)*TableC4b!F28</f>
        <v>1.4749906997042239</v>
      </c>
      <c r="H28" s="1539">
        <f>+TableC4!C27/1000</f>
        <v>22.702482961511631</v>
      </c>
      <c r="I28" s="1540">
        <f>+TableC4!N27/1000</f>
        <v>3.7435473415521265</v>
      </c>
      <c r="J28" s="1541">
        <f t="shared" si="5"/>
        <v>0.2327538897737125</v>
      </c>
      <c r="K28" s="1542">
        <f t="shared" si="1"/>
        <v>0.2203326901085832</v>
      </c>
      <c r="L28" s="1543">
        <f t="shared" si="6"/>
        <v>1.2421199665129324E-2</v>
      </c>
      <c r="M28" s="1544">
        <f t="shared" si="2"/>
        <v>0.19118227241411054</v>
      </c>
      <c r="N28" s="1545">
        <f t="shared" si="3"/>
        <v>3.1525181138164084E-2</v>
      </c>
      <c r="O28" s="9"/>
    </row>
    <row r="29" spans="1:15" x14ac:dyDescent="0.2">
      <c r="A29" s="954"/>
      <c r="B29" s="1149" t="s">
        <v>46</v>
      </c>
      <c r="C29" s="1193">
        <f>+TableA3!H27</f>
        <v>166.10688689066282</v>
      </c>
      <c r="D29" s="1160">
        <v>0.33860000000000001</v>
      </c>
      <c r="E29" s="1536">
        <f t="shared" si="4"/>
        <v>34.555195233136992</v>
      </c>
      <c r="F29" s="1537">
        <f>-TableA7!P27</f>
        <v>26.952295997908244</v>
      </c>
      <c r="G29" s="1538">
        <f>+(TableA7!$P$91-$F$93)*TableC4b!F29</f>
        <v>7.6028992352287483</v>
      </c>
      <c r="H29" s="1539">
        <f>+TableC4!C28/1000</f>
        <v>8.5543737634504904</v>
      </c>
      <c r="I29" s="1540">
        <f>+TableC4!N28/1000</f>
        <v>19.296266224483077</v>
      </c>
      <c r="J29" s="1541">
        <f t="shared" si="5"/>
        <v>7.043891632043997E-2</v>
      </c>
      <c r="K29" s="1542">
        <f t="shared" si="1"/>
        <v>5.4940813085605569E-2</v>
      </c>
      <c r="L29" s="1543">
        <f t="shared" si="6"/>
        <v>1.5498103234834405E-2</v>
      </c>
      <c r="M29" s="1544">
        <f t="shared" si="2"/>
        <v>1.7437633144078594E-2</v>
      </c>
      <c r="N29" s="1545">
        <f t="shared" si="3"/>
        <v>3.9334406091847851E-2</v>
      </c>
      <c r="O29" s="9"/>
    </row>
    <row r="30" spans="1:15" x14ac:dyDescent="0.2">
      <c r="A30" s="954" t="s">
        <v>637</v>
      </c>
      <c r="B30" s="1149" t="s">
        <v>47</v>
      </c>
      <c r="C30" s="1193">
        <f>+TableA3!H28</f>
        <v>45.573671217315002</v>
      </c>
      <c r="D30" s="1160">
        <v>0.24199999999999999</v>
      </c>
      <c r="E30" s="1536">
        <f t="shared" si="4"/>
        <v>42.911126545191095</v>
      </c>
      <c r="F30" s="1537">
        <f>-TableA7!P28</f>
        <v>42.29434220769339</v>
      </c>
      <c r="G30" s="1538">
        <f>+(TableA7!$P$91-$F$93)*TableC4b!F30</f>
        <v>0.61678433749770678</v>
      </c>
      <c r="H30" s="1539">
        <f>+TableC4!C29/1000</f>
        <v>4.8346318555725984</v>
      </c>
      <c r="I30" s="1540">
        <f>+TableC4!N29/1000</f>
        <v>1.5654074072558828</v>
      </c>
      <c r="J30" s="1541">
        <f t="shared" si="5"/>
        <v>0.22786166544315656</v>
      </c>
      <c r="K30" s="1542">
        <f t="shared" si="1"/>
        <v>0.22458648910367102</v>
      </c>
      <c r="L30" s="1543">
        <f t="shared" si="6"/>
        <v>3.2751763394855784E-3</v>
      </c>
      <c r="M30" s="1544">
        <f t="shared" si="2"/>
        <v>2.5672298890945019E-2</v>
      </c>
      <c r="N30" s="1545">
        <f t="shared" si="3"/>
        <v>8.3124440589722251E-3</v>
      </c>
      <c r="O30" s="9"/>
    </row>
    <row r="31" spans="1:15" x14ac:dyDescent="0.2">
      <c r="A31" s="954"/>
      <c r="B31" s="1148" t="s">
        <v>48</v>
      </c>
      <c r="C31" s="1193">
        <f>+TableA3!H29</f>
        <v>0.43100773130418485</v>
      </c>
      <c r="D31" s="1160">
        <v>0.15</v>
      </c>
      <c r="E31" s="1536">
        <f t="shared" si="4"/>
        <v>0.15351431767138665</v>
      </c>
      <c r="F31" s="1537">
        <f>-TableA7!P29</f>
        <v>0.15402557979616138</v>
      </c>
      <c r="G31" s="1538">
        <f>+(TableA7!$P$91-$F$93)*TableC4b!F31</f>
        <v>-5.1126212477472241E-4</v>
      </c>
      <c r="H31" s="1539">
        <f>+TableC4!C30/1000</f>
        <v>0.20097896727392819</v>
      </c>
      <c r="I31" s="1540">
        <f>+TableC4!N30/1000</f>
        <v>-1.2975905328898004E-3</v>
      </c>
      <c r="J31" s="1541">
        <f t="shared" si="5"/>
        <v>5.342629836599503E-2</v>
      </c>
      <c r="K31" s="1542">
        <f t="shared" si="1"/>
        <v>5.3604228628369111E-2</v>
      </c>
      <c r="L31" s="1543">
        <f t="shared" si="6"/>
        <v>-1.7793026237407483E-4</v>
      </c>
      <c r="M31" s="1544">
        <f t="shared" si="2"/>
        <v>6.9945021635384574E-2</v>
      </c>
      <c r="N31" s="1545">
        <f t="shared" si="3"/>
        <v>-4.515895326158392E-4</v>
      </c>
      <c r="O31" s="9"/>
    </row>
    <row r="32" spans="1:15" x14ac:dyDescent="0.2">
      <c r="A32" s="954"/>
      <c r="B32" s="1148" t="s">
        <v>49</v>
      </c>
      <c r="C32" s="1198"/>
      <c r="D32" s="1860"/>
      <c r="E32" s="1536"/>
      <c r="F32" s="1537"/>
      <c r="G32" s="1538"/>
      <c r="H32" s="1539"/>
      <c r="I32" s="1540"/>
      <c r="J32" s="1541"/>
      <c r="K32" s="1542"/>
      <c r="L32" s="1543"/>
      <c r="M32" s="1547"/>
      <c r="N32" s="1548"/>
      <c r="O32" s="9"/>
    </row>
    <row r="33" spans="1:15" x14ac:dyDescent="0.2">
      <c r="A33" s="954"/>
      <c r="B33" s="1148" t="s">
        <v>50</v>
      </c>
      <c r="C33" s="1193">
        <f>+TableA3!H31</f>
        <v>37.382194532689283</v>
      </c>
      <c r="D33" s="1160">
        <v>0.3</v>
      </c>
      <c r="E33" s="1536">
        <f t="shared" si="4"/>
        <v>68.436449698478199</v>
      </c>
      <c r="F33" s="1537">
        <f>-TableA7!P31</f>
        <v>67.003957759307255</v>
      </c>
      <c r="G33" s="1538">
        <f>+(TableA7!$P$91-$F$93)*TableC4b!F33</f>
        <v>1.432491939170939</v>
      </c>
      <c r="H33" s="1539">
        <f>+TableC4!C32/1000</f>
        <v>13.095889552074285</v>
      </c>
      <c r="I33" s="1540">
        <f>+TableC4!N32/1000</f>
        <v>3.6356848838121945</v>
      </c>
      <c r="J33" s="1541">
        <f t="shared" si="5"/>
        <v>0.54921695117684832</v>
      </c>
      <c r="K33" s="1542">
        <f t="shared" si="1"/>
        <v>0.53772090106198722</v>
      </c>
      <c r="L33" s="1543">
        <f t="shared" si="6"/>
        <v>1.1496050114861074E-2</v>
      </c>
      <c r="M33" s="1544">
        <f t="shared" si="2"/>
        <v>0.10509727731973388</v>
      </c>
      <c r="N33" s="1545">
        <f t="shared" si="3"/>
        <v>2.9177138441936E-2</v>
      </c>
      <c r="O33" s="9"/>
    </row>
    <row r="34" spans="1:15" x14ac:dyDescent="0.2">
      <c r="A34" s="954"/>
      <c r="B34" s="1148" t="s">
        <v>51</v>
      </c>
      <c r="C34" s="1198"/>
      <c r="D34" s="1860"/>
      <c r="E34" s="1536"/>
      <c r="F34" s="1537"/>
      <c r="G34" s="1538"/>
      <c r="H34" s="1539"/>
      <c r="I34" s="1540"/>
      <c r="J34" s="1541"/>
      <c r="K34" s="1542"/>
      <c r="L34" s="1543"/>
      <c r="M34" s="1547"/>
      <c r="N34" s="1548"/>
      <c r="O34" s="9"/>
    </row>
    <row r="35" spans="1:15" x14ac:dyDescent="0.2">
      <c r="A35" s="954"/>
      <c r="B35" s="1148" t="s">
        <v>52</v>
      </c>
      <c r="C35" s="1193">
        <f>+TableA3!H33</f>
        <v>7.9548109276661032</v>
      </c>
      <c r="D35" s="1160">
        <v>0.28000000000000003</v>
      </c>
      <c r="E35" s="1536">
        <f t="shared" si="4"/>
        <v>1.1741687241402139</v>
      </c>
      <c r="F35" s="1537">
        <f>-TableA7!P33</f>
        <v>0.91247047097520007</v>
      </c>
      <c r="G35" s="1538">
        <f>+(TableA7!$P$91-$F$93)*TableC4b!F35</f>
        <v>0.26169825316501383</v>
      </c>
      <c r="H35" s="1539">
        <f>+TableC4!C34/1000</f>
        <v>1.5234433952929838</v>
      </c>
      <c r="I35" s="1540">
        <f>+TableC4!N34/1000</f>
        <v>0.66419388279612568</v>
      </c>
      <c r="J35" s="1541">
        <f t="shared" si="5"/>
        <v>4.1329359773446983E-2</v>
      </c>
      <c r="K35" s="1542">
        <f t="shared" si="1"/>
        <v>3.2117888683498332E-2</v>
      </c>
      <c r="L35" s="1543">
        <f t="shared" si="6"/>
        <v>9.2114710899486463E-3</v>
      </c>
      <c r="M35" s="1544">
        <f t="shared" si="2"/>
        <v>5.3623417899033216E-2</v>
      </c>
      <c r="N35" s="1545">
        <f t="shared" si="3"/>
        <v>2.337884443439299E-2</v>
      </c>
      <c r="O35" s="9"/>
    </row>
    <row r="36" spans="1:15" x14ac:dyDescent="0.2">
      <c r="A36" s="954"/>
      <c r="B36" s="1148" t="s">
        <v>53</v>
      </c>
      <c r="C36" s="1193">
        <f>+TableA3!H34</f>
        <v>16.980179105913855</v>
      </c>
      <c r="D36" s="1160">
        <v>0.27</v>
      </c>
      <c r="E36" s="1536">
        <f t="shared" si="4"/>
        <v>21.565800401125291</v>
      </c>
      <c r="F36" s="1537">
        <f>-TableA7!P34</f>
        <v>19.425534559297006</v>
      </c>
      <c r="G36" s="1538">
        <f>+(TableA7!$P$91-$F$93)*TableC4b!F36</f>
        <v>2.1402658418282843</v>
      </c>
      <c r="H36" s="1539">
        <f>+TableC4!C35/1000</f>
        <v>5.2156647064681243</v>
      </c>
      <c r="I36" s="1540">
        <f>+TableC4!N35/1000</f>
        <v>5.4320250995465669</v>
      </c>
      <c r="J36" s="1541">
        <f t="shared" si="5"/>
        <v>0.34291547056037097</v>
      </c>
      <c r="K36" s="1542">
        <f t="shared" si="1"/>
        <v>0.30888333381498317</v>
      </c>
      <c r="L36" s="1543">
        <f t="shared" si="6"/>
        <v>3.4032136745387784E-2</v>
      </c>
      <c r="M36" s="1544">
        <f t="shared" si="2"/>
        <v>8.2933723016851785E-2</v>
      </c>
      <c r="N36" s="1545">
        <f t="shared" si="3"/>
        <v>8.6374046335398746E-2</v>
      </c>
      <c r="O36" s="9"/>
    </row>
    <row r="37" spans="1:15" x14ac:dyDescent="0.2">
      <c r="A37" s="954"/>
      <c r="B37" s="1148" t="s">
        <v>54</v>
      </c>
      <c r="C37" s="1193">
        <f>+TableA3!H35</f>
        <v>8.7820665870805144</v>
      </c>
      <c r="D37" s="1160">
        <v>0.19</v>
      </c>
      <c r="E37" s="1536">
        <f t="shared" si="4"/>
        <v>17.040162313449354</v>
      </c>
      <c r="F37" s="1537">
        <f>-TableA7!P35</f>
        <v>18.035813230968905</v>
      </c>
      <c r="G37" s="1538">
        <f>+(TableA7!$P$91-$F$93)*TableC4b!F37</f>
        <v>-0.99565091751955037</v>
      </c>
      <c r="H37" s="1539">
        <f>+TableC4!C36/1000</f>
        <v>3.6958663942036614</v>
      </c>
      <c r="I37" s="1540">
        <f>+TableC4!N36/1000</f>
        <v>-2.526976167471203</v>
      </c>
      <c r="J37" s="1541">
        <f t="shared" si="5"/>
        <v>0.36866389106162384</v>
      </c>
      <c r="K37" s="1542">
        <f t="shared" si="1"/>
        <v>0.39020479745910114</v>
      </c>
      <c r="L37" s="1543">
        <f t="shared" si="6"/>
        <v>-2.1540906397477331E-2</v>
      </c>
      <c r="M37" s="1544">
        <f t="shared" si="2"/>
        <v>7.996006497283209E-2</v>
      </c>
      <c r="N37" s="1545">
        <f t="shared" si="3"/>
        <v>-5.4671126329860834E-2</v>
      </c>
      <c r="O37" s="9"/>
    </row>
    <row r="38" spans="1:15" x14ac:dyDescent="0.2">
      <c r="A38" s="954"/>
      <c r="B38" s="1148" t="s">
        <v>55</v>
      </c>
      <c r="C38" s="1193">
        <f>+TableA3!H36</f>
        <v>6.2258326041219583</v>
      </c>
      <c r="D38" s="1160">
        <v>0.21</v>
      </c>
      <c r="E38" s="1536">
        <f t="shared" si="4"/>
        <v>1.6577242674012591</v>
      </c>
      <c r="F38" s="1537">
        <f>-TableA7!P36</f>
        <v>1.5481882490761061</v>
      </c>
      <c r="G38" s="1538">
        <f>+(TableA7!$P$91-$F$93)*TableC4b!F38</f>
        <v>0.10953601832515304</v>
      </c>
      <c r="H38" s="1539">
        <f>+TableC4!C37/1000</f>
        <v>2.6381822918681346</v>
      </c>
      <c r="I38" s="1540">
        <f>+TableC4!N37/1000</f>
        <v>0.27800396998269788</v>
      </c>
      <c r="J38" s="1541">
        <f t="shared" si="5"/>
        <v>5.5915749473216168E-2</v>
      </c>
      <c r="K38" s="1542">
        <f t="shared" si="1"/>
        <v>5.2221052665426516E-2</v>
      </c>
      <c r="L38" s="1543">
        <f t="shared" si="6"/>
        <v>3.6946968077896528E-3</v>
      </c>
      <c r="M38" s="1544">
        <f t="shared" si="2"/>
        <v>8.8987018527531159E-2</v>
      </c>
      <c r="N38" s="1545">
        <f t="shared" si="3"/>
        <v>9.3771929649560694E-3</v>
      </c>
      <c r="O38" s="9"/>
    </row>
    <row r="39" spans="1:15" x14ac:dyDescent="0.2">
      <c r="A39" s="954" t="s">
        <v>336</v>
      </c>
      <c r="B39" s="1148" t="s">
        <v>56</v>
      </c>
      <c r="C39" s="1193">
        <f>+TableA3!H37</f>
        <v>2.9169999999999998</v>
      </c>
      <c r="D39" s="1160">
        <v>0.22</v>
      </c>
      <c r="E39" s="1536">
        <f t="shared" si="4"/>
        <v>-0.41942787668872145</v>
      </c>
      <c r="F39" s="1537">
        <f>-TableA7!P37</f>
        <v>-0.45485932595201106</v>
      </c>
      <c r="G39" s="1538">
        <f>+(TableA7!$P$91-$F$93)*TableC4b!F39</f>
        <v>3.5431449263289623E-2</v>
      </c>
      <c r="H39" s="1539">
        <f>+TableC4!C38/1000</f>
        <v>0.63681356041207426</v>
      </c>
      <c r="I39" s="1540">
        <f>+TableC4!N38/1000</f>
        <v>8.9925521376863424E-2</v>
      </c>
      <c r="J39" s="1541">
        <f t="shared" si="5"/>
        <v>-3.1633230329625887E-2</v>
      </c>
      <c r="K39" s="1542">
        <f t="shared" si="1"/>
        <v>-3.430546853254797E-2</v>
      </c>
      <c r="L39" s="1543">
        <f t="shared" si="6"/>
        <v>2.6722382029220836E-3</v>
      </c>
      <c r="M39" s="1544">
        <f t="shared" si="2"/>
        <v>4.8028448162720727E-2</v>
      </c>
      <c r="N39" s="1545">
        <f t="shared" si="3"/>
        <v>6.7821785063112636E-3</v>
      </c>
      <c r="O39" s="9"/>
    </row>
    <row r="40" spans="1:15" x14ac:dyDescent="0.2">
      <c r="A40" s="954"/>
      <c r="B40" s="1148" t="s">
        <v>57</v>
      </c>
      <c r="C40" s="1193">
        <f>+TableA3!H38</f>
        <v>0.62991330425360359</v>
      </c>
      <c r="D40" s="1160">
        <v>0.17</v>
      </c>
      <c r="E40" s="1536">
        <f t="shared" si="4"/>
        <v>-0.46657087937982028</v>
      </c>
      <c r="F40" s="1537">
        <f>-TableA7!P38</f>
        <v>-0.46379054198845515</v>
      </c>
      <c r="G40" s="1538">
        <f>+(TableA7!$P$91-$F$93)*TableC4b!F40</f>
        <v>-2.7803373913651533E-3</v>
      </c>
      <c r="H40" s="1539">
        <f>+TableC4!C39/1000</f>
        <v>0.22529901009808276</v>
      </c>
      <c r="I40" s="1540">
        <f>+TableC4!N39/1000</f>
        <v>-7.0565357816494353E-3</v>
      </c>
      <c r="J40" s="1541">
        <f t="shared" si="5"/>
        <v>-0.12591740634618562</v>
      </c>
      <c r="K40" s="1542">
        <f t="shared" si="1"/>
        <v>-0.12516705331610931</v>
      </c>
      <c r="L40" s="1543">
        <f t="shared" si="6"/>
        <v>-7.5035303007631648E-4</v>
      </c>
      <c r="M40" s="1544">
        <f t="shared" si="2"/>
        <v>6.0803338265822897E-2</v>
      </c>
      <c r="N40" s="1545">
        <f t="shared" si="3"/>
        <v>-1.9044066457714311E-3</v>
      </c>
      <c r="O40" s="9"/>
    </row>
    <row r="41" spans="1:15" x14ac:dyDescent="0.2">
      <c r="A41" s="954"/>
      <c r="B41" s="1148" t="s">
        <v>58</v>
      </c>
      <c r="C41" s="1193">
        <f>+TableA3!H39</f>
        <v>28.380403234482216</v>
      </c>
      <c r="D41" s="1160">
        <v>0.28000000000000003</v>
      </c>
      <c r="E41" s="1536">
        <f t="shared" si="4"/>
        <v>18.231871313342658</v>
      </c>
      <c r="F41" s="1537">
        <f>-TableA7!P39</f>
        <v>17.010492793220834</v>
      </c>
      <c r="G41" s="1538">
        <f>+(TableA7!$P$91-$F$93)*TableC4b!F41</f>
        <v>1.2213785201218259</v>
      </c>
      <c r="H41" s="1539">
        <f>+TableC4!C40/1000</f>
        <v>14.362071520602967</v>
      </c>
      <c r="I41" s="1540">
        <f>+TableC4!N40/1000</f>
        <v>3.0998760283355007</v>
      </c>
      <c r="J41" s="1541">
        <f t="shared" si="5"/>
        <v>0.179874962506997</v>
      </c>
      <c r="K41" s="1542">
        <f t="shared" si="1"/>
        <v>0.16782488757294539</v>
      </c>
      <c r="L41" s="1543">
        <f t="shared" si="6"/>
        <v>1.2050074934051608E-2</v>
      </c>
      <c r="M41" s="1544">
        <f t="shared" si="2"/>
        <v>0.14169566205750209</v>
      </c>
      <c r="N41" s="1545">
        <f t="shared" si="3"/>
        <v>3.0583261300507585E-2</v>
      </c>
      <c r="O41" s="9"/>
    </row>
    <row r="42" spans="1:15" s="25" customFormat="1" x14ac:dyDescent="0.2">
      <c r="A42" s="1109"/>
      <c r="B42" s="1074" t="s">
        <v>59</v>
      </c>
      <c r="C42" s="1193">
        <f>+TableA3!H40</f>
        <v>14.727097286125488</v>
      </c>
      <c r="D42" s="1160">
        <v>0.22</v>
      </c>
      <c r="E42" s="1536">
        <f t="shared" si="4"/>
        <v>-5.8721516423511861</v>
      </c>
      <c r="F42" s="1537">
        <f>-TableA7!P40</f>
        <v>-9.6083563947268509</v>
      </c>
      <c r="G42" s="1538">
        <f>+(TableA7!$P$91-$F$93)*TableC4b!F42</f>
        <v>3.7362047523756647</v>
      </c>
      <c r="H42" s="1539">
        <f>+TableC4!C41/1000</f>
        <v>8.5410900580049951</v>
      </c>
      <c r="I42" s="1540">
        <f>+TableC4!N41/1000</f>
        <v>9.482540717751677</v>
      </c>
      <c r="J42" s="1541">
        <f t="shared" si="5"/>
        <v>-8.7720841128301974E-2</v>
      </c>
      <c r="K42" s="1542">
        <f t="shared" si="1"/>
        <v>-0.14353394737409461</v>
      </c>
      <c r="L42" s="1543">
        <f t="shared" si="6"/>
        <v>5.5813106245792637E-2</v>
      </c>
      <c r="M42" s="1544">
        <f t="shared" si="2"/>
        <v>0.12759064303400486</v>
      </c>
      <c r="N42" s="1545">
        <f t="shared" si="3"/>
        <v>0.14165445622952158</v>
      </c>
      <c r="O42" s="9"/>
    </row>
    <row r="43" spans="1:15" x14ac:dyDescent="0.2">
      <c r="A43" s="954"/>
      <c r="B43" s="1148" t="s">
        <v>60</v>
      </c>
      <c r="C43" s="1198"/>
      <c r="D43" s="1160"/>
      <c r="E43" s="1536"/>
      <c r="F43" s="1537"/>
      <c r="G43" s="1538"/>
      <c r="H43" s="1539"/>
      <c r="I43" s="1540"/>
      <c r="J43" s="1541"/>
      <c r="K43" s="1542"/>
      <c r="L43" s="1543"/>
      <c r="M43" s="1547"/>
      <c r="N43" s="1545"/>
      <c r="O43" s="9"/>
    </row>
    <row r="44" spans="1:15" x14ac:dyDescent="0.2">
      <c r="A44" s="954"/>
      <c r="B44" s="1148" t="s">
        <v>61</v>
      </c>
      <c r="C44" s="1193">
        <f>+TableA3!H42</f>
        <v>12.275014163556076</v>
      </c>
      <c r="D44" s="1160">
        <v>0.2</v>
      </c>
      <c r="E44" s="1536">
        <f t="shared" si="4"/>
        <v>6.7292548403079575</v>
      </c>
      <c r="F44" s="1537">
        <f>-TableA7!P42</f>
        <v>6.5448277782474689</v>
      </c>
      <c r="G44" s="1538">
        <f>+(TableA7!$P$91-$F$93)*TableC4b!F44</f>
        <v>0.18442706206048839</v>
      </c>
      <c r="H44" s="1539">
        <f>+TableC4!C43/1000</f>
        <v>4.9754928205897597</v>
      </c>
      <c r="I44" s="1540">
        <f>+TableC4!N43/1000</f>
        <v>0.46807850247818972</v>
      </c>
      <c r="J44" s="1541">
        <f t="shared" si="5"/>
        <v>0.10964150021572749</v>
      </c>
      <c r="K44" s="1542">
        <f t="shared" si="1"/>
        <v>0.10663658210153024</v>
      </c>
      <c r="L44" s="1543">
        <f t="shared" si="6"/>
        <v>3.004918114197268E-3</v>
      </c>
      <c r="M44" s="1544">
        <f t="shared" si="2"/>
        <v>8.1066999260363509E-2</v>
      </c>
      <c r="N44" s="1545">
        <f t="shared" si="3"/>
        <v>7.6265248453707239E-3</v>
      </c>
      <c r="O44" s="9"/>
    </row>
    <row r="45" spans="1:15" x14ac:dyDescent="0.2">
      <c r="A45" s="954"/>
      <c r="B45" s="1148" t="s">
        <v>62</v>
      </c>
      <c r="C45" s="1193">
        <f>+TableA3!H43</f>
        <v>70.19379874569357</v>
      </c>
      <c r="D45" s="1160">
        <v>0.2</v>
      </c>
      <c r="E45" s="1536">
        <f t="shared" si="4"/>
        <v>84.573244801411221</v>
      </c>
      <c r="F45" s="1537">
        <f>-TableA7!P43</f>
        <v>63.111386627620902</v>
      </c>
      <c r="G45" s="1538">
        <f>+(TableA7!$P$91-$F$93)*TableC4b!F45</f>
        <v>21.461858173790318</v>
      </c>
      <c r="H45" s="1539">
        <f>+TableC4!C44/1000</f>
        <v>61.500900683046368</v>
      </c>
      <c r="I45" s="1540">
        <f>+TableC4!N44/1000</f>
        <v>54.470500815613676</v>
      </c>
      <c r="J45" s="1541">
        <f t="shared" si="5"/>
        <v>0.24097070200692008</v>
      </c>
      <c r="K45" s="1542">
        <f t="shared" si="1"/>
        <v>0.17982040509381272</v>
      </c>
      <c r="L45" s="1543">
        <f t="shared" si="6"/>
        <v>6.1150296913107346E-2</v>
      </c>
      <c r="M45" s="1544">
        <f t="shared" si="2"/>
        <v>0.17523172069902965</v>
      </c>
      <c r="N45" s="1545">
        <f t="shared" si="3"/>
        <v>0.15520032193429475</v>
      </c>
      <c r="O45" s="9"/>
    </row>
    <row r="46" spans="1:15" x14ac:dyDescent="0.2">
      <c r="A46" s="954"/>
      <c r="B46" s="1148" t="s">
        <v>63</v>
      </c>
      <c r="C46" s="1193">
        <f>+TableA3!H44</f>
        <v>404.99173999999999</v>
      </c>
      <c r="D46" s="1160">
        <v>0.4</v>
      </c>
      <c r="E46" s="1536">
        <f t="shared" si="4"/>
        <v>137.84853378600081</v>
      </c>
      <c r="F46" s="1537">
        <f>-TableA7!P44</f>
        <v>17.51248829921272</v>
      </c>
      <c r="G46" s="1538">
        <f>+(TableA7!$P$91-$F$93)*TableC4b!F46</f>
        <v>120.33604548678811</v>
      </c>
      <c r="H46" s="1539">
        <f>+TableC4!C45/1000</f>
        <v>142.56530860350179</v>
      </c>
      <c r="I46" s="1540">
        <f>+TableC4!N45/1000</f>
        <v>305.41459228542641</v>
      </c>
      <c r="J46" s="1541">
        <f t="shared" si="5"/>
        <v>0.13614947681254025</v>
      </c>
      <c r="K46" s="1542">
        <f t="shared" si="1"/>
        <v>1.7296637505952808E-2</v>
      </c>
      <c r="L46" s="1543">
        <f t="shared" si="6"/>
        <v>0.11885283930658745</v>
      </c>
      <c r="M46" s="1544">
        <f t="shared" si="2"/>
        <v>0.14080811485538131</v>
      </c>
      <c r="N46" s="1545">
        <f t="shared" si="3"/>
        <v>0.30165019393770987</v>
      </c>
      <c r="O46" s="9"/>
    </row>
    <row r="47" spans="1:15" ht="34" x14ac:dyDescent="0.2">
      <c r="A47" s="954"/>
      <c r="B47" s="7" t="s">
        <v>64</v>
      </c>
      <c r="C47" s="1499">
        <f>SUM(C48:C54)</f>
        <v>592.19769080783021</v>
      </c>
      <c r="D47" s="432"/>
      <c r="E47" s="1549">
        <f t="shared" si="4"/>
        <v>53.183233615613091</v>
      </c>
      <c r="F47" s="655">
        <f>SUM(F48:F54)</f>
        <v>28.257238755602206</v>
      </c>
      <c r="G47" s="432">
        <f>SUM(G48:G54)</f>
        <v>24.925994860010888</v>
      </c>
      <c r="H47" s="1205">
        <f>+TableC4!C46/1000</f>
        <v>102.59915789568896</v>
      </c>
      <c r="I47" s="752">
        <f>+TableC4!N46/1000</f>
        <v>63.262528917943158</v>
      </c>
      <c r="J47" s="1550">
        <f>+SUMPRODUCT(J48:J54,$C$48:$C$54)/$C$47</f>
        <v>2.904063812675356E-2</v>
      </c>
      <c r="K47" s="659">
        <f t="shared" ref="K47:N47" si="7">+SUMPRODUCT(K48:K54,$C$48:$C$54)/$C$47</f>
        <v>1.7746149104237264E-2</v>
      </c>
      <c r="L47" s="660">
        <f t="shared" si="7"/>
        <v>1.1294489022516306E-2</v>
      </c>
      <c r="M47" s="1550">
        <f t="shared" si="7"/>
        <v>4.630666039475545E-2</v>
      </c>
      <c r="N47" s="662">
        <f t="shared" si="7"/>
        <v>2.866557352728338E-2</v>
      </c>
      <c r="O47" s="266"/>
    </row>
    <row r="48" spans="1:15" x14ac:dyDescent="0.2">
      <c r="A48" s="954"/>
      <c r="B48" s="1149" t="s">
        <v>65</v>
      </c>
      <c r="C48" s="1193">
        <f>+TableA3!G46</f>
        <v>53.528694639071517</v>
      </c>
      <c r="D48" s="1160">
        <v>0.34</v>
      </c>
      <c r="E48" s="1536">
        <f t="shared" si="4"/>
        <v>16.939123771064754</v>
      </c>
      <c r="F48" s="1537">
        <f>-TableA7!P46</f>
        <v>14.269424226903311</v>
      </c>
      <c r="G48" s="1538">
        <f>+(TableA7!$P$91-$F$93)*TableC4b!F48</f>
        <v>2.6696995441614426</v>
      </c>
      <c r="H48" s="1539">
        <f>+TableC4!C47/1000</f>
        <v>14.212064614009524</v>
      </c>
      <c r="I48" s="1540">
        <f>+TableC4!N47/1000</f>
        <v>6.7757353543263648</v>
      </c>
      <c r="J48" s="1541">
        <f t="shared" si="5"/>
        <v>0.10759279898370999</v>
      </c>
      <c r="K48" s="1542">
        <f t="shared" si="1"/>
        <v>9.0635579101266864E-2</v>
      </c>
      <c r="L48" s="1543">
        <f t="shared" si="6"/>
        <v>1.6957219882443132E-2</v>
      </c>
      <c r="M48" s="1544">
        <f t="shared" si="2"/>
        <v>9.0271246129663765E-2</v>
      </c>
      <c r="N48" s="1545">
        <f t="shared" si="3"/>
        <v>4.3037664863761073E-2</v>
      </c>
      <c r="O48" s="9"/>
    </row>
    <row r="49" spans="1:15" x14ac:dyDescent="0.2">
      <c r="A49" s="329" t="s">
        <v>337</v>
      </c>
      <c r="B49" s="1148" t="s">
        <v>66</v>
      </c>
      <c r="C49" s="1193">
        <f>+TableA3!G47</f>
        <v>421.94464956064348</v>
      </c>
      <c r="D49" s="1160">
        <v>0.25</v>
      </c>
      <c r="E49" s="1536">
        <f t="shared" si="4"/>
        <v>-16.468842867207094</v>
      </c>
      <c r="F49" s="1537">
        <f>-TableA7!P47</f>
        <v>-34.40311206885427</v>
      </c>
      <c r="G49" s="1538">
        <f>+(TableA7!$P$91-$F$93)*TableC4b!F49</f>
        <v>17.934269201647176</v>
      </c>
      <c r="H49" s="1539">
        <f>+TableC4!C48/1000</f>
        <v>60.525807931300939</v>
      </c>
      <c r="I49" s="1540">
        <f>+TableC4!N48/1000</f>
        <v>45.517429910554291</v>
      </c>
      <c r="J49" s="1541">
        <f t="shared" si="5"/>
        <v>-9.7577033411583337E-3</v>
      </c>
      <c r="K49" s="1542">
        <f t="shared" si="1"/>
        <v>-2.0383664127911712E-2</v>
      </c>
      <c r="L49" s="1543">
        <f t="shared" si="6"/>
        <v>1.062596078675338E-2</v>
      </c>
      <c r="M49" s="1544">
        <f t="shared" si="2"/>
        <v>3.5861224922702772E-2</v>
      </c>
      <c r="N49" s="1545">
        <f t="shared" si="3"/>
        <v>2.6968839371437719E-2</v>
      </c>
      <c r="O49" s="9"/>
    </row>
    <row r="50" spans="1:15" x14ac:dyDescent="0.2">
      <c r="A50" s="954"/>
      <c r="B50" s="1148" t="s">
        <v>67</v>
      </c>
      <c r="C50" s="1193">
        <f>+TableA3!G48</f>
        <v>17.029186059832139</v>
      </c>
      <c r="D50" s="1160">
        <v>0.25</v>
      </c>
      <c r="E50" s="1536">
        <f t="shared" si="4"/>
        <v>7.4480056033718274</v>
      </c>
      <c r="F50" s="1537">
        <f>-TableA7!P48</f>
        <v>7.0544040401930346</v>
      </c>
      <c r="G50" s="1538">
        <f>+(TableA7!$P$91-$F$93)*TableC4b!F50</f>
        <v>0.39360156317879325</v>
      </c>
      <c r="H50" s="1539">
        <f>+TableC4!C49/1000</f>
        <v>1.4036174395306298</v>
      </c>
      <c r="I50" s="1540">
        <f>+TableC4!N49/1000</f>
        <v>0.99896635671275957</v>
      </c>
      <c r="J50" s="1541">
        <f t="shared" si="5"/>
        <v>0.10934177325333136</v>
      </c>
      <c r="K50" s="1542">
        <f t="shared" si="1"/>
        <v>0.10356343537805253</v>
      </c>
      <c r="L50" s="1543">
        <f t="shared" si="6"/>
        <v>5.77833787527883E-3</v>
      </c>
      <c r="M50" s="1544">
        <f t="shared" si="2"/>
        <v>2.060605590013246E-2</v>
      </c>
      <c r="N50" s="1545">
        <f t="shared" si="3"/>
        <v>1.4665503583126138E-2</v>
      </c>
      <c r="O50" s="9"/>
    </row>
    <row r="51" spans="1:15" x14ac:dyDescent="0.2">
      <c r="A51" s="954"/>
      <c r="B51" s="1148" t="s">
        <v>68</v>
      </c>
      <c r="C51" s="1193">
        <f>+TableA3!G49</f>
        <v>1.5394204107008198</v>
      </c>
      <c r="D51" s="1160">
        <v>0.3</v>
      </c>
      <c r="E51" s="1536">
        <f t="shared" si="4"/>
        <v>0.61653902899169066</v>
      </c>
      <c r="F51" s="1537">
        <f>-TableA7!P49</f>
        <v>0.56956993229743369</v>
      </c>
      <c r="G51" s="1538">
        <f>+(TableA7!$P$91-$F$93)*TableC4b!F51</f>
        <v>4.6969096694256939E-2</v>
      </c>
      <c r="H51" s="1539">
        <f>+TableC4!C50/1000</f>
        <v>1.0575199886874607</v>
      </c>
      <c r="I51" s="1540">
        <f>+TableC4!N50/1000</f>
        <v>0.11920823439778248</v>
      </c>
      <c r="J51" s="1541">
        <f t="shared" si="5"/>
        <v>0.12015022498844453</v>
      </c>
      <c r="K51" s="1542">
        <f t="shared" si="1"/>
        <v>0.11099695606312068</v>
      </c>
      <c r="L51" s="1543">
        <f t="shared" si="6"/>
        <v>9.153268925323841E-3</v>
      </c>
      <c r="M51" s="1544">
        <f t="shared" si="2"/>
        <v>0.20608794998489574</v>
      </c>
      <c r="N51" s="1545">
        <f t="shared" si="3"/>
        <v>2.3231126514071557E-2</v>
      </c>
      <c r="O51" s="9"/>
    </row>
    <row r="52" spans="1:15" x14ac:dyDescent="0.2">
      <c r="A52" s="954"/>
      <c r="B52" s="1148" t="s">
        <v>69</v>
      </c>
      <c r="C52" s="1193">
        <f>+TableA3!G50</f>
        <v>37.377974500000001</v>
      </c>
      <c r="D52" s="1160">
        <v>0.34610000000000002</v>
      </c>
      <c r="E52" s="1536">
        <f t="shared" si="4"/>
        <v>20.166245567360132</v>
      </c>
      <c r="F52" s="1537">
        <f>-TableA7!P50</f>
        <v>18.323538919036906</v>
      </c>
      <c r="G52" s="1538">
        <f>+(TableA7!$P$91-$F$93)*TableC4b!F52</f>
        <v>1.8427066483232246</v>
      </c>
      <c r="H52" s="1539">
        <f>+TableC4!C51/1000</f>
        <v>9.476399038744594</v>
      </c>
      <c r="I52" s="1540">
        <f>+TableC4!N51/1000</f>
        <v>4.6768156409217543</v>
      </c>
      <c r="J52" s="1541">
        <f t="shared" si="5"/>
        <v>0.18672861984170228</v>
      </c>
      <c r="K52" s="1542">
        <f t="shared" si="1"/>
        <v>0.16966614442627634</v>
      </c>
      <c r="L52" s="1543">
        <f t="shared" si="6"/>
        <v>1.7062475415425951E-2</v>
      </c>
      <c r="M52" s="1544">
        <f t="shared" si="2"/>
        <v>8.7746373397239702E-2</v>
      </c>
      <c r="N52" s="1545">
        <f t="shared" si="3"/>
        <v>4.3304804901159615E-2</v>
      </c>
      <c r="O52" s="9"/>
    </row>
    <row r="53" spans="1:15" x14ac:dyDescent="0.2">
      <c r="A53" s="329" t="s">
        <v>338</v>
      </c>
      <c r="B53" s="1148" t="s">
        <v>70</v>
      </c>
      <c r="C53" s="1193">
        <f>+TableA3!G51</f>
        <v>41.990935943542297</v>
      </c>
      <c r="D53" s="1160">
        <v>0.2</v>
      </c>
      <c r="E53" s="1536">
        <f t="shared" si="4"/>
        <v>4.0724841360456674</v>
      </c>
      <c r="F53" s="1537">
        <f>-TableA7!P51</f>
        <v>3.7750293372023975</v>
      </c>
      <c r="G53" s="1538">
        <f>+(TableA7!$P$91-$F$93)*TableC4b!F53</f>
        <v>0.2974547988432702</v>
      </c>
      <c r="H53" s="1539">
        <f>+TableC4!C52/1000</f>
        <v>11.84310434933391</v>
      </c>
      <c r="I53" s="1540">
        <f>+TableC4!N52/1000</f>
        <v>0.75494450349072806</v>
      </c>
      <c r="J53" s="1541">
        <f t="shared" si="5"/>
        <v>1.9396967676649116E-2</v>
      </c>
      <c r="K53" s="1542">
        <f t="shared" si="1"/>
        <v>1.7980210501990262E-2</v>
      </c>
      <c r="L53" s="1543">
        <f t="shared" si="6"/>
        <v>1.4167571746588573E-3</v>
      </c>
      <c r="M53" s="1544">
        <f t="shared" si="2"/>
        <v>5.640790843651218E-2</v>
      </c>
      <c r="N53" s="1545">
        <f t="shared" si="3"/>
        <v>3.5957498280379703E-3</v>
      </c>
      <c r="O53" s="9"/>
    </row>
    <row r="54" spans="1:15" x14ac:dyDescent="0.2">
      <c r="A54" s="954"/>
      <c r="B54" s="1148" t="s">
        <v>71</v>
      </c>
      <c r="C54" s="1193">
        <f>+TableA3!G52</f>
        <v>18.786829694039877</v>
      </c>
      <c r="D54" s="1160">
        <v>0.28000000000000003</v>
      </c>
      <c r="E54" s="1536">
        <f t="shared" si="4"/>
        <v>20.409678375986111</v>
      </c>
      <c r="F54" s="1537">
        <f>-TableA7!P52</f>
        <v>18.668384368823393</v>
      </c>
      <c r="G54" s="1538">
        <f>+(TableA7!$P$91-$F$93)*TableC4b!F54</f>
        <v>1.7412940071627201</v>
      </c>
      <c r="H54" s="1539">
        <f>+TableC4!C53/1000</f>
        <v>4.0806445340819</v>
      </c>
      <c r="I54" s="1540">
        <f>+TableC4!N53/1000</f>
        <v>4.4194289175394879</v>
      </c>
      <c r="J54" s="1541">
        <f t="shared" si="5"/>
        <v>0.30418703093311711</v>
      </c>
      <c r="K54" s="1542">
        <f t="shared" si="1"/>
        <v>0.27823468399933721</v>
      </c>
      <c r="L54" s="1543">
        <f t="shared" si="6"/>
        <v>2.5952346933779936E-2</v>
      </c>
      <c r="M54" s="1544">
        <f t="shared" si="2"/>
        <v>6.081816294451297E-2</v>
      </c>
      <c r="N54" s="1545">
        <f t="shared" si="3"/>
        <v>6.5867425055949405E-2</v>
      </c>
      <c r="O54" s="9"/>
    </row>
    <row r="55" spans="1:15" ht="40" hidden="1" customHeight="1" x14ac:dyDescent="0.2">
      <c r="A55" s="954"/>
      <c r="B55" s="7" t="s">
        <v>72</v>
      </c>
      <c r="C55" s="1200"/>
      <c r="D55" s="1832"/>
      <c r="E55" s="1536"/>
      <c r="F55" s="1537"/>
      <c r="G55" s="1538"/>
      <c r="H55" s="1817"/>
      <c r="I55" s="1832"/>
      <c r="J55" s="1541"/>
      <c r="K55" s="1542"/>
      <c r="L55" s="1543"/>
      <c r="M55" s="1551"/>
      <c r="N55" s="663"/>
      <c r="O55" s="266"/>
    </row>
    <row r="56" spans="1:15" ht="14.25" hidden="1" customHeight="1" x14ac:dyDescent="0.2">
      <c r="A56" s="954"/>
      <c r="B56" s="1148" t="s">
        <v>73</v>
      </c>
      <c r="C56" s="1198"/>
      <c r="D56" s="1860"/>
      <c r="E56" s="1536"/>
      <c r="F56" s="1537"/>
      <c r="G56" s="1538"/>
      <c r="H56" s="1552"/>
      <c r="I56" s="1860"/>
      <c r="J56" s="1541"/>
      <c r="K56" s="1542"/>
      <c r="L56" s="1543"/>
      <c r="M56" s="1547"/>
      <c r="N56" s="1548"/>
      <c r="O56" s="1178"/>
    </row>
    <row r="57" spans="1:15" ht="14.25" hidden="1" customHeight="1" x14ac:dyDescent="0.2">
      <c r="A57" s="954"/>
      <c r="B57" s="1148" t="s">
        <v>74</v>
      </c>
      <c r="C57" s="1198"/>
      <c r="D57" s="1860"/>
      <c r="E57" s="1536"/>
      <c r="F57" s="1537"/>
      <c r="G57" s="1538"/>
      <c r="H57" s="1552"/>
      <c r="I57" s="1860"/>
      <c r="J57" s="1541"/>
      <c r="K57" s="1542"/>
      <c r="L57" s="1543"/>
      <c r="M57" s="1547"/>
      <c r="N57" s="1548"/>
      <c r="O57" s="1178"/>
    </row>
    <row r="58" spans="1:15" ht="14.25" hidden="1" customHeight="1" x14ac:dyDescent="0.2">
      <c r="A58" s="954"/>
      <c r="B58" s="1148" t="str">
        <f>+TableA1!A56</f>
        <v>Antigua and Barbuda</v>
      </c>
      <c r="C58" s="1198"/>
      <c r="D58" s="1860"/>
      <c r="E58" s="1536"/>
      <c r="F58" s="1537"/>
      <c r="G58" s="1538"/>
      <c r="H58" s="1552"/>
      <c r="I58" s="1860"/>
      <c r="J58" s="1541"/>
      <c r="K58" s="1542"/>
      <c r="L58" s="1543"/>
      <c r="M58" s="1547"/>
      <c r="N58" s="1548"/>
      <c r="O58" s="1178"/>
    </row>
    <row r="59" spans="1:15" ht="14.25" hidden="1" customHeight="1" x14ac:dyDescent="0.2">
      <c r="A59" s="954"/>
      <c r="B59" s="1148" t="s">
        <v>76</v>
      </c>
      <c r="C59" s="1198"/>
      <c r="D59" s="1860"/>
      <c r="E59" s="1536"/>
      <c r="F59" s="1537"/>
      <c r="G59" s="1538"/>
      <c r="H59" s="1552"/>
      <c r="I59" s="1860"/>
      <c r="J59" s="1541"/>
      <c r="K59" s="1542"/>
      <c r="L59" s="1543"/>
      <c r="M59" s="1547"/>
      <c r="N59" s="1548"/>
      <c r="O59" s="1178"/>
    </row>
    <row r="60" spans="1:15" ht="14.25" hidden="1" customHeight="1" x14ac:dyDescent="0.2">
      <c r="A60" s="329" t="s">
        <v>77</v>
      </c>
      <c r="B60" s="1148" t="s">
        <v>152</v>
      </c>
      <c r="C60" s="1198"/>
      <c r="D60" s="1860"/>
      <c r="E60" s="1536"/>
      <c r="F60" s="1537"/>
      <c r="G60" s="1538"/>
      <c r="H60" s="1552"/>
      <c r="I60" s="1860"/>
      <c r="J60" s="1541"/>
      <c r="K60" s="1542"/>
      <c r="L60" s="1543"/>
      <c r="M60" s="1547"/>
      <c r="N60" s="1548"/>
      <c r="O60" s="1178"/>
    </row>
    <row r="61" spans="1:15" ht="14.25" hidden="1" customHeight="1" x14ac:dyDescent="0.2">
      <c r="A61" s="329" t="s">
        <v>340</v>
      </c>
      <c r="B61" s="1148" t="s">
        <v>78</v>
      </c>
      <c r="C61" s="1198"/>
      <c r="D61" s="1860"/>
      <c r="E61" s="1536"/>
      <c r="F61" s="1537"/>
      <c r="G61" s="1538"/>
      <c r="H61" s="1552"/>
      <c r="I61" s="1860"/>
      <c r="J61" s="1541"/>
      <c r="K61" s="1542"/>
      <c r="L61" s="1543"/>
      <c r="M61" s="1547"/>
      <c r="N61" s="1548"/>
      <c r="O61" s="1178"/>
    </row>
    <row r="62" spans="1:15" ht="14.25" hidden="1" customHeight="1" x14ac:dyDescent="0.2">
      <c r="A62" s="954"/>
      <c r="B62" s="1148" t="str">
        <f>+TableA1!A60</f>
        <v>Barbados</v>
      </c>
      <c r="C62" s="1198"/>
      <c r="D62" s="1860"/>
      <c r="E62" s="1536"/>
      <c r="F62" s="1537"/>
      <c r="G62" s="1538"/>
      <c r="H62" s="1552"/>
      <c r="I62" s="1860"/>
      <c r="J62" s="1541"/>
      <c r="K62" s="1542"/>
      <c r="L62" s="1543"/>
      <c r="M62" s="1547"/>
      <c r="N62" s="1548"/>
      <c r="O62" s="1178"/>
    </row>
    <row r="63" spans="1:15" ht="14.25" hidden="1" customHeight="1" x14ac:dyDescent="0.2">
      <c r="A63" s="954"/>
      <c r="B63" s="1148" t="s">
        <v>80</v>
      </c>
      <c r="C63" s="1198"/>
      <c r="D63" s="1860"/>
      <c r="E63" s="1536"/>
      <c r="F63" s="1537"/>
      <c r="G63" s="1538"/>
      <c r="H63" s="1552"/>
      <c r="I63" s="1860"/>
      <c r="J63" s="1541"/>
      <c r="K63" s="1542"/>
      <c r="L63" s="1543"/>
      <c r="M63" s="1547"/>
      <c r="N63" s="1548"/>
      <c r="O63" s="1178"/>
    </row>
    <row r="64" spans="1:15" ht="14.25" hidden="1" customHeight="1" x14ac:dyDescent="0.2">
      <c r="A64" s="954"/>
      <c r="B64" s="1148" t="s">
        <v>81</v>
      </c>
      <c r="C64" s="1198"/>
      <c r="D64" s="1860"/>
      <c r="E64" s="1536"/>
      <c r="F64" s="1537"/>
      <c r="G64" s="1538"/>
      <c r="H64" s="1552"/>
      <c r="I64" s="1860"/>
      <c r="J64" s="1541"/>
      <c r="K64" s="1542"/>
      <c r="L64" s="1543"/>
      <c r="M64" s="1547"/>
      <c r="N64" s="1548"/>
      <c r="O64" s="1178"/>
    </row>
    <row r="65" spans="1:15" ht="14.25" hidden="1" customHeight="1" x14ac:dyDescent="0.2">
      <c r="A65" s="329" t="s">
        <v>645</v>
      </c>
      <c r="B65" s="1148" t="s">
        <v>82</v>
      </c>
      <c r="C65" s="1198"/>
      <c r="D65" s="1860"/>
      <c r="E65" s="1536"/>
      <c r="F65" s="1537"/>
      <c r="G65" s="1538"/>
      <c r="H65" s="1552"/>
      <c r="I65" s="1860"/>
      <c r="J65" s="1541"/>
      <c r="K65" s="1542"/>
      <c r="L65" s="1543"/>
      <c r="M65" s="1547"/>
      <c r="N65" s="1548"/>
      <c r="O65" s="1178"/>
    </row>
    <row r="66" spans="1:15" ht="14.25" hidden="1" customHeight="1" x14ac:dyDescent="0.2">
      <c r="A66" s="329" t="s">
        <v>372</v>
      </c>
      <c r="B66" s="1148" t="s">
        <v>153</v>
      </c>
      <c r="C66" s="1198"/>
      <c r="D66" s="1860"/>
      <c r="E66" s="1536"/>
      <c r="F66" s="1537"/>
      <c r="G66" s="1538"/>
      <c r="H66" s="1552"/>
      <c r="I66" s="1860"/>
      <c r="J66" s="1541"/>
      <c r="K66" s="1542"/>
      <c r="L66" s="1543"/>
      <c r="M66" s="1547"/>
      <c r="N66" s="1548"/>
      <c r="O66" s="1178"/>
    </row>
    <row r="67" spans="1:15" ht="14.25" hidden="1" customHeight="1" x14ac:dyDescent="0.2">
      <c r="A67" s="954"/>
      <c r="B67" s="113" t="s">
        <v>84</v>
      </c>
      <c r="C67" s="1553"/>
      <c r="D67" s="639"/>
      <c r="E67" s="1536"/>
      <c r="F67" s="1537"/>
      <c r="G67" s="1538"/>
      <c r="H67" s="1554"/>
      <c r="I67" s="639"/>
      <c r="J67" s="1541"/>
      <c r="K67" s="1542"/>
      <c r="L67" s="1543"/>
      <c r="M67" s="1555"/>
      <c r="N67" s="664"/>
      <c r="O67" s="1178"/>
    </row>
    <row r="68" spans="1:15" ht="14.25" hidden="1" customHeight="1" x14ac:dyDescent="0.2">
      <c r="A68" s="954"/>
      <c r="B68" s="1148" t="s">
        <v>85</v>
      </c>
      <c r="C68" s="1198"/>
      <c r="D68" s="1860"/>
      <c r="E68" s="1536"/>
      <c r="F68" s="1537"/>
      <c r="G68" s="1538"/>
      <c r="H68" s="1552"/>
      <c r="I68" s="1860"/>
      <c r="J68" s="1541"/>
      <c r="K68" s="1542"/>
      <c r="L68" s="1543"/>
      <c r="M68" s="1547"/>
      <c r="N68" s="1548"/>
      <c r="O68" s="1178"/>
    </row>
    <row r="69" spans="1:15" ht="14.25" hidden="1" customHeight="1" x14ac:dyDescent="0.2">
      <c r="A69" s="954"/>
      <c r="B69" s="1148" t="str">
        <f>+TableA1!A67</f>
        <v>Cyprus</v>
      </c>
      <c r="C69" s="1198"/>
      <c r="D69" s="1860"/>
      <c r="E69" s="1536"/>
      <c r="F69" s="1537"/>
      <c r="G69" s="1538"/>
      <c r="H69" s="1552"/>
      <c r="I69" s="1860"/>
      <c r="J69" s="1541"/>
      <c r="K69" s="1542"/>
      <c r="L69" s="1543"/>
      <c r="M69" s="1547"/>
      <c r="N69" s="1548"/>
      <c r="O69" s="1178"/>
    </row>
    <row r="70" spans="1:15" ht="14.25" hidden="1" customHeight="1" x14ac:dyDescent="0.2">
      <c r="A70" s="954"/>
      <c r="B70" s="1148" t="s">
        <v>87</v>
      </c>
      <c r="C70" s="1198"/>
      <c r="D70" s="1860"/>
      <c r="E70" s="1536"/>
      <c r="F70" s="1537"/>
      <c r="G70" s="1538"/>
      <c r="H70" s="1552"/>
      <c r="I70" s="1860"/>
      <c r="J70" s="1541"/>
      <c r="K70" s="1542"/>
      <c r="L70" s="1543"/>
      <c r="M70" s="1547"/>
      <c r="N70" s="1548"/>
      <c r="O70" s="1178"/>
    </row>
    <row r="71" spans="1:15" ht="14.25" hidden="1" customHeight="1" x14ac:dyDescent="0.2">
      <c r="A71" s="954"/>
      <c r="B71" s="1148" t="str">
        <f>+TableA1!A69</f>
        <v>Grenada</v>
      </c>
      <c r="C71" s="1198"/>
      <c r="D71" s="1860"/>
      <c r="E71" s="1536"/>
      <c r="F71" s="1537"/>
      <c r="G71" s="1538"/>
      <c r="H71" s="1552"/>
      <c r="I71" s="1860"/>
      <c r="J71" s="1541"/>
      <c r="K71" s="1542"/>
      <c r="L71" s="1543"/>
      <c r="M71" s="1547"/>
      <c r="N71" s="1548"/>
      <c r="O71" s="1178"/>
    </row>
    <row r="72" spans="1:15" ht="14.25" hidden="1" customHeight="1" x14ac:dyDescent="0.2">
      <c r="A72" s="954"/>
      <c r="B72" s="1148" t="s">
        <v>89</v>
      </c>
      <c r="C72" s="1198"/>
      <c r="D72" s="1860"/>
      <c r="E72" s="1536"/>
      <c r="F72" s="1537"/>
      <c r="G72" s="1538"/>
      <c r="H72" s="1552"/>
      <c r="I72" s="1860"/>
      <c r="J72" s="1541"/>
      <c r="K72" s="1542"/>
      <c r="L72" s="1543"/>
      <c r="M72" s="1547"/>
      <c r="N72" s="1548"/>
      <c r="O72" s="1178"/>
    </row>
    <row r="73" spans="1:15" ht="14.25" hidden="1" customHeight="1" x14ac:dyDescent="0.2">
      <c r="A73" s="329" t="s">
        <v>90</v>
      </c>
      <c r="B73" s="1148" t="s">
        <v>154</v>
      </c>
      <c r="C73" s="1198"/>
      <c r="D73" s="1860"/>
      <c r="E73" s="1536"/>
      <c r="F73" s="1537"/>
      <c r="G73" s="1538"/>
      <c r="H73" s="1552"/>
      <c r="I73" s="1860"/>
      <c r="J73" s="1541"/>
      <c r="K73" s="1542"/>
      <c r="L73" s="1543"/>
      <c r="M73" s="1547"/>
      <c r="N73" s="1548"/>
      <c r="O73" s="1178"/>
    </row>
    <row r="74" spans="1:15" ht="14.25" hidden="1" customHeight="1" x14ac:dyDescent="0.2">
      <c r="A74" s="329" t="s">
        <v>341</v>
      </c>
      <c r="B74" s="1148" t="s">
        <v>91</v>
      </c>
      <c r="C74" s="1198"/>
      <c r="D74" s="1860"/>
      <c r="E74" s="1536"/>
      <c r="F74" s="1537"/>
      <c r="G74" s="1538"/>
      <c r="H74" s="1552"/>
      <c r="I74" s="1860"/>
      <c r="J74" s="1541"/>
      <c r="K74" s="1542"/>
      <c r="L74" s="1543"/>
      <c r="M74" s="1547"/>
      <c r="N74" s="1548"/>
      <c r="O74" s="1178"/>
    </row>
    <row r="75" spans="1:15" ht="14.25" hidden="1" customHeight="1" x14ac:dyDescent="0.2">
      <c r="A75" s="954"/>
      <c r="B75" s="1148" t="s">
        <v>92</v>
      </c>
      <c r="C75" s="1198"/>
      <c r="D75" s="1860"/>
      <c r="E75" s="1536"/>
      <c r="F75" s="1537"/>
      <c r="G75" s="1538"/>
      <c r="H75" s="1552"/>
      <c r="I75" s="1860"/>
      <c r="J75" s="1541"/>
      <c r="K75" s="1542"/>
      <c r="L75" s="1543"/>
      <c r="M75" s="1547"/>
      <c r="N75" s="1548"/>
      <c r="O75" s="1178"/>
    </row>
    <row r="76" spans="1:15" ht="14.25" hidden="1" customHeight="1" x14ac:dyDescent="0.2">
      <c r="A76" s="954"/>
      <c r="B76" s="1148" t="s">
        <v>93</v>
      </c>
      <c r="C76" s="1198"/>
      <c r="D76" s="1860"/>
      <c r="E76" s="1536"/>
      <c r="F76" s="1537"/>
      <c r="G76" s="1538"/>
      <c r="H76" s="1552"/>
      <c r="I76" s="1860"/>
      <c r="J76" s="1541"/>
      <c r="K76" s="1542"/>
      <c r="L76" s="1543"/>
      <c r="M76" s="1547"/>
      <c r="N76" s="1548"/>
      <c r="O76" s="1178"/>
    </row>
    <row r="77" spans="1:15" ht="14.25" hidden="1" customHeight="1" x14ac:dyDescent="0.2">
      <c r="A77" s="954"/>
      <c r="B77" s="1148" t="s">
        <v>94</v>
      </c>
      <c r="C77" s="1198"/>
      <c r="D77" s="1860"/>
      <c r="E77" s="1536"/>
      <c r="F77" s="1537"/>
      <c r="G77" s="1538"/>
      <c r="H77" s="1552"/>
      <c r="I77" s="1860"/>
      <c r="J77" s="1541"/>
      <c r="K77" s="1542"/>
      <c r="L77" s="1543"/>
      <c r="M77" s="1547"/>
      <c r="N77" s="1548"/>
      <c r="O77" s="1178"/>
    </row>
    <row r="78" spans="1:15" ht="14.25" hidden="1" customHeight="1" x14ac:dyDescent="0.2">
      <c r="A78" s="329" t="s">
        <v>342</v>
      </c>
      <c r="B78" s="1148" t="s">
        <v>95</v>
      </c>
      <c r="C78" s="1198"/>
      <c r="D78" s="1860"/>
      <c r="E78" s="1536"/>
      <c r="F78" s="1537"/>
      <c r="G78" s="1538"/>
      <c r="H78" s="1552"/>
      <c r="I78" s="1860"/>
      <c r="J78" s="1541"/>
      <c r="K78" s="1542"/>
      <c r="L78" s="1543"/>
      <c r="M78" s="1547"/>
      <c r="N78" s="1548"/>
      <c r="O78" s="1178"/>
    </row>
    <row r="79" spans="1:15" ht="14.25" hidden="1" customHeight="1" x14ac:dyDescent="0.2">
      <c r="A79" s="954"/>
      <c r="B79" s="1148" t="s">
        <v>96</v>
      </c>
      <c r="C79" s="1198"/>
      <c r="D79" s="1860"/>
      <c r="E79" s="1536"/>
      <c r="F79" s="1537"/>
      <c r="G79" s="1538"/>
      <c r="H79" s="1552"/>
      <c r="I79" s="1860"/>
      <c r="J79" s="1541"/>
      <c r="K79" s="1542"/>
      <c r="L79" s="1543"/>
      <c r="M79" s="1547"/>
      <c r="N79" s="1548"/>
      <c r="O79" s="1178"/>
    </row>
    <row r="80" spans="1:15" ht="14.25" hidden="1" customHeight="1" x14ac:dyDescent="0.2">
      <c r="A80" s="329" t="s">
        <v>373</v>
      </c>
      <c r="B80" s="1148" t="s">
        <v>97</v>
      </c>
      <c r="C80" s="1198"/>
      <c r="D80" s="1860"/>
      <c r="E80" s="1536"/>
      <c r="F80" s="1537"/>
      <c r="G80" s="1538"/>
      <c r="H80" s="1552"/>
      <c r="I80" s="1860"/>
      <c r="J80" s="1541"/>
      <c r="K80" s="1542"/>
      <c r="L80" s="1543"/>
      <c r="M80" s="1547"/>
      <c r="N80" s="1548"/>
      <c r="O80" s="1178"/>
    </row>
    <row r="81" spans="1:15" ht="14.25" hidden="1" customHeight="1" x14ac:dyDescent="0.2">
      <c r="A81" s="954"/>
      <c r="B81" s="1148" t="str">
        <f>+TableA1!A79</f>
        <v>Monaco</v>
      </c>
      <c r="C81" s="1198"/>
      <c r="D81" s="1860"/>
      <c r="E81" s="1536"/>
      <c r="F81" s="1537"/>
      <c r="G81" s="1538"/>
      <c r="H81" s="1552"/>
      <c r="I81" s="1860"/>
      <c r="J81" s="1541"/>
      <c r="K81" s="1542"/>
      <c r="L81" s="1543"/>
      <c r="M81" s="1547"/>
      <c r="N81" s="1548"/>
      <c r="O81" s="1178"/>
    </row>
    <row r="82" spans="1:15" ht="14.25" hidden="1" customHeight="1" x14ac:dyDescent="0.2">
      <c r="A82" s="954"/>
      <c r="B82" s="1148" t="s">
        <v>99</v>
      </c>
      <c r="C82" s="1198"/>
      <c r="D82" s="1860"/>
      <c r="E82" s="1536"/>
      <c r="F82" s="1537"/>
      <c r="G82" s="1538"/>
      <c r="H82" s="1552"/>
      <c r="I82" s="1860"/>
      <c r="J82" s="1541"/>
      <c r="K82" s="1542"/>
      <c r="L82" s="1543"/>
      <c r="M82" s="1547"/>
      <c r="N82" s="1548"/>
      <c r="O82" s="1178"/>
    </row>
    <row r="83" spans="1:15" ht="14.25" hidden="1" customHeight="1" x14ac:dyDescent="0.2">
      <c r="A83" s="954"/>
      <c r="B83" s="1148" t="s">
        <v>100</v>
      </c>
      <c r="C83" s="1198"/>
      <c r="D83" s="1860"/>
      <c r="E83" s="1536"/>
      <c r="F83" s="1537"/>
      <c r="G83" s="1538"/>
      <c r="H83" s="1552"/>
      <c r="I83" s="1860"/>
      <c r="J83" s="1541"/>
      <c r="K83" s="1542"/>
      <c r="L83" s="1543"/>
      <c r="M83" s="1547"/>
      <c r="N83" s="1548"/>
      <c r="O83" s="1178"/>
    </row>
    <row r="84" spans="1:15" ht="14.25" hidden="1" customHeight="1" x14ac:dyDescent="0.2">
      <c r="A84" s="954"/>
      <c r="B84" s="1148" t="str">
        <f>+TableA1!A82</f>
        <v>Seychelles</v>
      </c>
      <c r="C84" s="1198"/>
      <c r="D84" s="1860"/>
      <c r="E84" s="1536"/>
      <c r="F84" s="1537"/>
      <c r="G84" s="1538"/>
      <c r="H84" s="1552"/>
      <c r="I84" s="1860"/>
      <c r="J84" s="1541"/>
      <c r="K84" s="1542"/>
      <c r="L84" s="1543"/>
      <c r="M84" s="1547"/>
      <c r="N84" s="1548"/>
      <c r="O84" s="1178"/>
    </row>
    <row r="85" spans="1:15" hidden="1" x14ac:dyDescent="0.2">
      <c r="A85" s="954"/>
      <c r="B85" s="1148" t="s">
        <v>102</v>
      </c>
      <c r="C85" s="1198"/>
      <c r="D85" s="1860"/>
      <c r="E85" s="1536"/>
      <c r="F85" s="1537"/>
      <c r="G85" s="1538"/>
      <c r="H85" s="1552"/>
      <c r="I85" s="1860"/>
      <c r="J85" s="1541"/>
      <c r="K85" s="1542"/>
      <c r="L85" s="1543"/>
      <c r="M85" s="1547"/>
      <c r="N85" s="1548"/>
      <c r="O85" s="1178"/>
    </row>
    <row r="86" spans="1:15" hidden="1" x14ac:dyDescent="0.2">
      <c r="A86" s="954"/>
      <c r="B86" s="1148" t="str">
        <f>+TableA1!A84</f>
        <v>St. Kitts and Nevis</v>
      </c>
      <c r="C86" s="1198"/>
      <c r="D86" s="1860"/>
      <c r="E86" s="1536"/>
      <c r="F86" s="1537"/>
      <c r="G86" s="1538"/>
      <c r="H86" s="1552"/>
      <c r="I86" s="1860"/>
      <c r="J86" s="1541"/>
      <c r="K86" s="1542"/>
      <c r="L86" s="1543"/>
      <c r="M86" s="1547"/>
      <c r="N86" s="1548"/>
      <c r="O86" s="1178"/>
    </row>
    <row r="87" spans="1:15" hidden="1" x14ac:dyDescent="0.2">
      <c r="A87" s="954"/>
      <c r="B87" s="1148" t="str">
        <f>+TableA1!A85</f>
        <v>St. Lucia</v>
      </c>
      <c r="C87" s="1198"/>
      <c r="D87" s="1860"/>
      <c r="E87" s="1536"/>
      <c r="F87" s="1537"/>
      <c r="G87" s="1538"/>
      <c r="H87" s="1552"/>
      <c r="I87" s="1860"/>
      <c r="J87" s="1541"/>
      <c r="K87" s="1542"/>
      <c r="L87" s="1543"/>
      <c r="M87" s="1547"/>
      <c r="N87" s="1548"/>
      <c r="O87" s="1178"/>
    </row>
    <row r="88" spans="1:15" hidden="1" x14ac:dyDescent="0.2">
      <c r="A88" s="954"/>
      <c r="B88" s="1148" t="str">
        <f>+TableA1!A86</f>
        <v>St. Vincent and the Grenadines</v>
      </c>
      <c r="C88" s="1198"/>
      <c r="D88" s="1860"/>
      <c r="E88" s="1536"/>
      <c r="F88" s="1537"/>
      <c r="G88" s="1538"/>
      <c r="H88" s="1552"/>
      <c r="I88" s="1860"/>
      <c r="J88" s="1541"/>
      <c r="K88" s="1542"/>
      <c r="L88" s="1543"/>
      <c r="M88" s="1547"/>
      <c r="N88" s="1548"/>
      <c r="O88" s="1178"/>
    </row>
    <row r="89" spans="1:15" hidden="1" x14ac:dyDescent="0.2">
      <c r="A89" s="329" t="s">
        <v>374</v>
      </c>
      <c r="B89" s="1148" t="str">
        <f>+TableA1!A87</f>
        <v>Turks and Caicos</v>
      </c>
      <c r="C89" s="1198"/>
      <c r="D89" s="1860"/>
      <c r="E89" s="1536"/>
      <c r="F89" s="1537"/>
      <c r="G89" s="1538"/>
      <c r="H89" s="1552"/>
      <c r="I89" s="1860"/>
      <c r="J89" s="1541"/>
      <c r="K89" s="1542"/>
      <c r="L89" s="1543"/>
      <c r="M89" s="1547"/>
      <c r="N89" s="1548"/>
      <c r="O89" s="1178"/>
    </row>
    <row r="90" spans="1:15" hidden="1" x14ac:dyDescent="0.2">
      <c r="A90" s="954"/>
      <c r="B90" s="1148" t="str">
        <f>+TableA1!A88</f>
        <v>Panama</v>
      </c>
      <c r="C90" s="1198"/>
      <c r="D90" s="1860"/>
      <c r="E90" s="1536"/>
      <c r="F90" s="1537"/>
      <c r="G90" s="1538"/>
      <c r="H90" s="1552"/>
      <c r="I90" s="1860"/>
      <c r="J90" s="1541"/>
      <c r="K90" s="1542"/>
      <c r="L90" s="1543"/>
      <c r="M90" s="1547"/>
      <c r="N90" s="1548"/>
      <c r="O90" s="1178"/>
    </row>
    <row r="91" spans="1:15" hidden="1" x14ac:dyDescent="0.2">
      <c r="A91" s="954"/>
      <c r="B91" s="1148" t="s">
        <v>108</v>
      </c>
      <c r="C91" s="1198"/>
      <c r="D91" s="1860"/>
      <c r="E91" s="1536"/>
      <c r="F91" s="1537"/>
      <c r="G91" s="1538"/>
      <c r="H91" s="1552"/>
      <c r="I91" s="1860"/>
      <c r="J91" s="1541"/>
      <c r="K91" s="1542"/>
      <c r="L91" s="1543"/>
      <c r="M91" s="1547"/>
      <c r="N91" s="1548"/>
      <c r="O91" s="1178"/>
    </row>
    <row r="92" spans="1:15" ht="40" customHeight="1" x14ac:dyDescent="0.2">
      <c r="A92" s="954"/>
      <c r="B92" s="1461" t="s">
        <v>155</v>
      </c>
      <c r="C92" s="1556">
        <f>+TableA3!G90</f>
        <v>266.94859926828144</v>
      </c>
      <c r="D92" s="1518">
        <v>0.23739999999999997</v>
      </c>
      <c r="E92" s="1557">
        <f t="shared" ref="E92" si="8">+F92+G92</f>
        <v>-15.515533611772348</v>
      </c>
      <c r="F92" s="1558">
        <f>-TableA7!P90</f>
        <v>-23.365842060312318</v>
      </c>
      <c r="G92" s="1559">
        <f>+(TableA7!$P$91-$F$93)*TableC4b!F92</f>
        <v>7.8503084485399697</v>
      </c>
      <c r="H92" s="1560">
        <f>+TableC4!C91/1000</f>
        <v>78.718222161267093</v>
      </c>
      <c r="I92" s="1561">
        <f>+TableC4!N91/1000</f>
        <v>19.924194321217819</v>
      </c>
      <c r="J92" s="1562">
        <f t="shared" ref="J92" si="9">+(E92*$D92)/$C92</f>
        <v>-1.379811577783548E-2</v>
      </c>
      <c r="K92" s="1563">
        <f t="shared" ref="K92" si="10">+(F92*$D92)/$C92</f>
        <v>-2.0779471854592491E-2</v>
      </c>
      <c r="L92" s="1564">
        <f t="shared" ref="L92" si="11">+(G92*$D92)/$C92</f>
        <v>6.9813560767570098E-3</v>
      </c>
      <c r="M92" s="1565">
        <f t="shared" ref="M92" si="12">+(H92*$D92)/$C92</f>
        <v>7.0004884806695658E-2</v>
      </c>
      <c r="N92" s="1566">
        <f t="shared" ref="N92" si="13">+(I92*$D92)/$C92</f>
        <v>1.7718780862017149E-2</v>
      </c>
      <c r="O92" s="266"/>
    </row>
    <row r="93" spans="1:15" ht="34.5" customHeight="1" thickBot="1" x14ac:dyDescent="0.25">
      <c r="A93" s="954"/>
      <c r="B93" s="263" t="str">
        <f>+TableC3!B91</f>
        <v>Non-haven total</v>
      </c>
      <c r="C93" s="747">
        <f>+C92+C11+C47</f>
        <v>1986.5618629909525</v>
      </c>
      <c r="D93" s="642"/>
      <c r="E93" s="666">
        <f t="shared" ref="E93:F93" si="14">+E92+E11+E47</f>
        <v>616.46162984891726</v>
      </c>
      <c r="F93" s="1567">
        <f t="shared" si="14"/>
        <v>373.57030571391573</v>
      </c>
      <c r="G93" s="1568">
        <f t="shared" ref="G93" si="15">+G92+G11+G47</f>
        <v>242.89132413500155</v>
      </c>
      <c r="H93" s="665">
        <f>+H92+H11+H47</f>
        <v>616.46162984891726</v>
      </c>
      <c r="I93" s="642">
        <f>+I92+I11+I47</f>
        <v>616.46162984891714</v>
      </c>
      <c r="J93" s="667">
        <f>+(J92*$C$92+J47*$C$47+J11*$C$11)/$C$93</f>
        <v>9.5206331255274876E-2</v>
      </c>
      <c r="K93" s="1569">
        <f>+(K92*$C$92+K47*$C$47+K11*$C$11)/$C$93</f>
        <v>5.4071226350073616E-2</v>
      </c>
      <c r="L93" s="1570">
        <f>+(L92*$C$92+L47*$C$47+L11*$C$11)/$C$93</f>
        <v>4.1135104905201246E-2</v>
      </c>
      <c r="M93" s="667">
        <f>+(M92*$C$92+M47*$C$47+M11*$C$11)/$C$93</f>
        <v>9.1314753737725518E-2</v>
      </c>
      <c r="N93" s="668">
        <f>+(N92*$C$92+N47*$C$47+N11*$C$11)/$C$93</f>
        <v>0.10440148039117361</v>
      </c>
      <c r="O93" s="246"/>
    </row>
    <row r="94" spans="1:15" s="2" customFormat="1" ht="17" thickTop="1" x14ac:dyDescent="0.2">
      <c r="J94" s="954"/>
      <c r="K94" s="954"/>
      <c r="L94" s="954"/>
      <c r="M94" s="954"/>
      <c r="N94" s="954"/>
      <c r="O94" s="954"/>
    </row>
    <row r="96" spans="1:15" s="2" customFormat="1" x14ac:dyDescent="0.2">
      <c r="B96" s="954"/>
      <c r="C96" s="954"/>
      <c r="D96" s="954"/>
      <c r="E96" s="954"/>
      <c r="F96" s="954"/>
      <c r="G96" s="954"/>
      <c r="H96" s="954"/>
      <c r="I96" s="954"/>
      <c r="J96" s="954"/>
      <c r="K96" s="954"/>
      <c r="L96" s="954"/>
      <c r="M96" s="954"/>
      <c r="N96" s="954"/>
      <c r="O96" s="954"/>
    </row>
  </sheetData>
  <mergeCells count="13">
    <mergeCell ref="B5:N5"/>
    <mergeCell ref="E9:E10"/>
    <mergeCell ref="E7:I7"/>
    <mergeCell ref="H8:H10"/>
    <mergeCell ref="I8:I10"/>
    <mergeCell ref="J7:N7"/>
    <mergeCell ref="J8:L8"/>
    <mergeCell ref="M8:M10"/>
    <mergeCell ref="N8:N10"/>
    <mergeCell ref="J9:J10"/>
    <mergeCell ref="E8:G8"/>
    <mergeCell ref="C7:C10"/>
    <mergeCell ref="D7:D10"/>
  </mergeCells>
  <phoneticPr fontId="37" type="noConversion"/>
  <pageMargins left="0.7" right="0.7" top="0.75" bottom="0.75" header="0.3" footer="0.3"/>
  <pageSetup scale="66" fitToHeight="2" orientation="landscape"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L185"/>
  <sheetViews>
    <sheetView zoomScale="55" zoomScaleNormal="55" workbookViewId="0">
      <selection activeCell="B18" sqref="B18:I18"/>
    </sheetView>
  </sheetViews>
  <sheetFormatPr baseColWidth="10" defaultColWidth="10.83203125" defaultRowHeight="16" x14ac:dyDescent="0.2"/>
  <cols>
    <col min="1" max="1" width="41" style="1063" customWidth="1"/>
    <col min="2" max="9" width="23.33203125" style="1062" customWidth="1"/>
    <col min="10" max="10" width="3.1640625" style="1062" customWidth="1"/>
    <col min="11" max="11" width="10.83203125" style="1061"/>
    <col min="12" max="12" width="16" style="1061" bestFit="1" customWidth="1"/>
    <col min="13" max="20" width="10.83203125" style="1061"/>
    <col min="21" max="21" width="24.6640625" style="1061" bestFit="1" customWidth="1"/>
    <col min="22" max="16384" width="10.83203125" style="1061"/>
  </cols>
  <sheetData>
    <row r="1" spans="1:13" ht="17" thickBot="1" x14ac:dyDescent="0.25"/>
    <row r="2" spans="1:13" ht="26" x14ac:dyDescent="0.3">
      <c r="A2" s="2311" t="s">
        <v>675</v>
      </c>
      <c r="B2" s="2312"/>
      <c r="C2" s="2312"/>
      <c r="D2" s="2312"/>
      <c r="E2" s="2312"/>
      <c r="F2" s="2312"/>
      <c r="G2" s="2312"/>
      <c r="H2" s="2312"/>
      <c r="I2" s="2312"/>
      <c r="J2" s="2313"/>
    </row>
    <row r="3" spans="1:13" hidden="1" x14ac:dyDescent="0.2">
      <c r="A3" s="1067"/>
      <c r="B3" s="1873">
        <v>26</v>
      </c>
      <c r="C3" s="1873">
        <v>27</v>
      </c>
      <c r="D3" s="1873">
        <v>28</v>
      </c>
      <c r="E3" s="1873">
        <v>29</v>
      </c>
      <c r="F3" s="1873">
        <v>30</v>
      </c>
      <c r="G3" s="1873">
        <v>31</v>
      </c>
      <c r="H3" s="1873">
        <v>32</v>
      </c>
      <c r="I3" s="1873">
        <v>33</v>
      </c>
      <c r="J3" s="1066"/>
    </row>
    <row r="4" spans="1:13" ht="7.5" customHeight="1" x14ac:dyDescent="0.2">
      <c r="A4" s="1067"/>
      <c r="B4" s="1873"/>
      <c r="C4" s="1873"/>
      <c r="D4" s="1873"/>
      <c r="E4" s="1873"/>
      <c r="F4" s="1873"/>
      <c r="G4" s="1873"/>
      <c r="H4" s="1873"/>
      <c r="I4" s="1873"/>
      <c r="J4" s="1066"/>
    </row>
    <row r="5" spans="1:13" x14ac:dyDescent="0.2">
      <c r="A5" s="1068" t="s">
        <v>1135</v>
      </c>
      <c r="B5" s="1873"/>
      <c r="C5" s="1873"/>
      <c r="D5" s="1873"/>
      <c r="E5" s="1873"/>
      <c r="F5" s="1873"/>
      <c r="G5" s="1873"/>
      <c r="H5" s="1873"/>
      <c r="I5" s="1873"/>
      <c r="J5" s="1066"/>
    </row>
    <row r="6" spans="1:13" ht="16" customHeight="1" x14ac:dyDescent="0.2">
      <c r="A6" s="1914"/>
      <c r="B6" s="1915" t="s">
        <v>1</v>
      </c>
      <c r="C6" s="1915" t="s">
        <v>2</v>
      </c>
      <c r="D6" s="1915" t="s">
        <v>3</v>
      </c>
      <c r="E6" s="1915" t="s">
        <v>4</v>
      </c>
      <c r="F6" s="1915" t="s">
        <v>5</v>
      </c>
      <c r="G6" s="1915" t="s">
        <v>6</v>
      </c>
      <c r="H6" s="1915" t="s">
        <v>7</v>
      </c>
      <c r="I6" s="1915" t="s">
        <v>8</v>
      </c>
      <c r="J6" s="1726"/>
      <c r="K6" s="67"/>
      <c r="L6" s="67"/>
      <c r="M6" s="67"/>
    </row>
    <row r="7" spans="1:13" ht="16" customHeight="1" x14ac:dyDescent="0.2">
      <c r="A7" s="1067"/>
      <c r="B7" s="1911" t="s">
        <v>676</v>
      </c>
      <c r="C7" s="1911" t="s">
        <v>677</v>
      </c>
      <c r="D7" s="1911" t="s">
        <v>678</v>
      </c>
      <c r="E7" s="1026"/>
      <c r="F7" s="2315"/>
      <c r="G7" s="2315"/>
      <c r="H7" s="2315"/>
      <c r="I7" s="2315"/>
      <c r="J7" s="2316"/>
      <c r="K7" s="67"/>
      <c r="L7" s="67"/>
      <c r="M7" s="67"/>
    </row>
    <row r="8" spans="1:13" ht="59.5" customHeight="1" x14ac:dyDescent="0.2">
      <c r="A8" s="1067"/>
      <c r="B8" s="1910" t="s">
        <v>679</v>
      </c>
      <c r="C8" s="1910" t="s">
        <v>680</v>
      </c>
      <c r="D8" s="1072" t="s">
        <v>681</v>
      </c>
      <c r="E8" s="1910" t="s">
        <v>682</v>
      </c>
      <c r="F8" s="1910"/>
      <c r="G8" s="1910"/>
      <c r="H8" s="1910"/>
      <c r="I8" s="1910"/>
      <c r="J8" s="1071"/>
    </row>
    <row r="9" spans="1:13" x14ac:dyDescent="0.2">
      <c r="A9" s="1067" t="s">
        <v>31</v>
      </c>
      <c r="B9" s="1873">
        <v>35397.753084947813</v>
      </c>
      <c r="C9" s="1873">
        <f t="shared" ref="C9:C16" si="0">+B9/(SUM($B$9:$B$16)/SUM($D$9:$D$16))</f>
        <v>33765.51034511123</v>
      </c>
      <c r="D9" s="1873">
        <v>13106.8706028697</v>
      </c>
      <c r="E9" s="1873">
        <f t="shared" ref="E9:E16" si="1">+D9-C9</f>
        <v>-20658.639742241532</v>
      </c>
      <c r="F9" s="1873"/>
      <c r="G9" s="1873"/>
      <c r="H9" s="1873"/>
      <c r="I9" s="1873"/>
      <c r="J9" s="1066"/>
    </row>
    <row r="10" spans="1:13" x14ac:dyDescent="0.2">
      <c r="A10" s="1067" t="s">
        <v>86</v>
      </c>
      <c r="B10" s="1873">
        <v>2358.9350123656363</v>
      </c>
      <c r="C10" s="1873">
        <f t="shared" si="0"/>
        <v>2250.1610306261732</v>
      </c>
      <c r="D10" s="1873">
        <v>4220.454615709551</v>
      </c>
      <c r="E10" s="1873">
        <f t="shared" si="1"/>
        <v>1970.2935850833778</v>
      </c>
      <c r="F10" s="1873"/>
      <c r="G10" s="1873"/>
      <c r="H10" s="1873"/>
      <c r="I10" s="1873"/>
      <c r="J10" s="1066"/>
    </row>
    <row r="11" spans="1:13" x14ac:dyDescent="0.2">
      <c r="A11" s="1067" t="s">
        <v>43</v>
      </c>
      <c r="B11" s="1873">
        <v>93121.173435897654</v>
      </c>
      <c r="C11" s="1873">
        <f t="shared" si="0"/>
        <v>88827.218424090956</v>
      </c>
      <c r="D11" s="1873">
        <v>106328.9638729139</v>
      </c>
      <c r="E11" s="1873">
        <f t="shared" si="1"/>
        <v>17501.745448822941</v>
      </c>
      <c r="F11" s="1873"/>
      <c r="G11" s="1873"/>
      <c r="H11" s="1873"/>
      <c r="I11" s="1873"/>
      <c r="J11" s="1066"/>
    </row>
    <row r="12" spans="1:13" x14ac:dyDescent="0.2">
      <c r="A12" s="1067" t="s">
        <v>49</v>
      </c>
      <c r="B12" s="1873">
        <v>91916.372413596517</v>
      </c>
      <c r="C12" s="1873">
        <f t="shared" si="0"/>
        <v>87677.972558550173</v>
      </c>
      <c r="D12" s="1873">
        <v>46799.572185855701</v>
      </c>
      <c r="E12" s="1873">
        <f t="shared" si="1"/>
        <v>-40878.400372694472</v>
      </c>
      <c r="F12" s="1873"/>
      <c r="G12" s="1873"/>
      <c r="H12" s="1873"/>
      <c r="I12" s="1873"/>
      <c r="J12" s="1066"/>
    </row>
    <row r="13" spans="1:13" x14ac:dyDescent="0.2">
      <c r="A13" s="1067" t="s">
        <v>96</v>
      </c>
      <c r="B13" s="1873">
        <v>4510.8063081500268</v>
      </c>
      <c r="C13" s="1873">
        <f t="shared" si="0"/>
        <v>4302.8063588420064</v>
      </c>
      <c r="D13" s="1873">
        <v>12327.426958163089</v>
      </c>
      <c r="E13" s="1873">
        <f t="shared" si="1"/>
        <v>8024.6205993210824</v>
      </c>
      <c r="F13" s="1873"/>
      <c r="G13" s="1873"/>
      <c r="H13" s="1873"/>
      <c r="I13" s="1873"/>
      <c r="J13" s="1066"/>
    </row>
    <row r="14" spans="1:13" x14ac:dyDescent="0.2">
      <c r="A14" s="1067" t="s">
        <v>51</v>
      </c>
      <c r="B14" s="1873">
        <v>77856.599778941963</v>
      </c>
      <c r="C14" s="1873">
        <f t="shared" si="0"/>
        <v>74266.516831231376</v>
      </c>
      <c r="D14" s="1873">
        <v>57353.364287520075</v>
      </c>
      <c r="E14" s="1873">
        <f t="shared" si="1"/>
        <v>-16913.152543711301</v>
      </c>
      <c r="F14" s="1873"/>
      <c r="G14" s="1873"/>
      <c r="H14" s="1873"/>
      <c r="I14" s="1873"/>
      <c r="J14" s="1066"/>
    </row>
    <row r="15" spans="1:13" x14ac:dyDescent="0.2">
      <c r="A15" s="1067" t="s">
        <v>60</v>
      </c>
      <c r="B15" s="1873">
        <v>52525.028431610051</v>
      </c>
      <c r="C15" s="1873">
        <f t="shared" si="0"/>
        <v>50103.02169826001</v>
      </c>
      <c r="D15" s="1873">
        <v>58152.724672949204</v>
      </c>
      <c r="E15" s="1873">
        <f t="shared" si="1"/>
        <v>8049.7029746891931</v>
      </c>
      <c r="F15" s="1873"/>
      <c r="G15" s="1873"/>
      <c r="H15" s="1873"/>
      <c r="I15" s="1873"/>
      <c r="J15" s="1066"/>
    </row>
    <row r="16" spans="1:13" x14ac:dyDescent="0.2">
      <c r="A16" s="1067" t="s">
        <v>1125</v>
      </c>
      <c r="B16" s="1873">
        <v>288575.04464660701</v>
      </c>
      <c r="C16" s="1873">
        <f t="shared" si="0"/>
        <v>275268.42260220565</v>
      </c>
      <c r="D16" s="1873">
        <f>334720.134226809-D10-D13</f>
        <v>318172.25265293638</v>
      </c>
      <c r="E16" s="1873">
        <f t="shared" si="1"/>
        <v>42903.830050730729</v>
      </c>
      <c r="F16" s="1873"/>
      <c r="G16" s="1873"/>
      <c r="H16" s="1873"/>
      <c r="I16" s="1873"/>
      <c r="J16" s="1066"/>
    </row>
    <row r="17" spans="1:10" x14ac:dyDescent="0.2">
      <c r="A17" s="1067"/>
      <c r="B17" s="1873"/>
      <c r="C17" s="1873"/>
      <c r="D17" s="1873"/>
      <c r="E17" s="1873"/>
      <c r="F17" s="1873"/>
      <c r="G17" s="1873"/>
      <c r="H17" s="1873"/>
      <c r="I17" s="1873"/>
      <c r="J17" s="1066"/>
    </row>
    <row r="18" spans="1:10" ht="15.75" customHeight="1" x14ac:dyDescent="0.2">
      <c r="A18" s="1067"/>
      <c r="B18" s="2314" t="s">
        <v>683</v>
      </c>
      <c r="C18" s="2314"/>
      <c r="D18" s="2314"/>
      <c r="E18" s="2314"/>
      <c r="F18" s="2314"/>
      <c r="G18" s="2314"/>
      <c r="H18" s="2314"/>
      <c r="I18" s="2314"/>
      <c r="J18" s="1066"/>
    </row>
    <row r="19" spans="1:10" ht="17" x14ac:dyDescent="0.2">
      <c r="A19" s="1069" t="s">
        <v>684</v>
      </c>
      <c r="B19" s="1910" t="s">
        <v>31</v>
      </c>
      <c r="C19" s="1910" t="s">
        <v>86</v>
      </c>
      <c r="D19" s="1910" t="s">
        <v>43</v>
      </c>
      <c r="E19" s="1874" t="s">
        <v>49</v>
      </c>
      <c r="F19" s="1910" t="s">
        <v>96</v>
      </c>
      <c r="G19" s="1910" t="s">
        <v>51</v>
      </c>
      <c r="H19" s="1874" t="s">
        <v>60</v>
      </c>
      <c r="I19" s="1874" t="s">
        <v>685</v>
      </c>
      <c r="J19" s="1066"/>
    </row>
    <row r="20" spans="1:10" x14ac:dyDescent="0.2">
      <c r="A20" s="1067" t="s">
        <v>31</v>
      </c>
      <c r="B20" s="1873">
        <v>0</v>
      </c>
      <c r="C20" s="1873">
        <v>8.7757054120947515</v>
      </c>
      <c r="D20" s="1873">
        <v>2114.1733826669961</v>
      </c>
      <c r="E20" s="1873">
        <v>6679.2992023491443</v>
      </c>
      <c r="F20" s="1873">
        <v>21.914513175697586</v>
      </c>
      <c r="G20" s="1873">
        <v>2978.2460991343009</v>
      </c>
      <c r="H20" s="1873">
        <v>4189.1565942965535</v>
      </c>
      <c r="I20" s="1873">
        <v>1000.1518471727242</v>
      </c>
      <c r="J20" s="1066"/>
    </row>
    <row r="21" spans="1:10" x14ac:dyDescent="0.2">
      <c r="A21" s="1067" t="s">
        <v>86</v>
      </c>
      <c r="B21" s="1873">
        <v>0</v>
      </c>
      <c r="C21" s="1873">
        <v>0</v>
      </c>
      <c r="D21" s="1873">
        <v>0</v>
      </c>
      <c r="E21" s="1873">
        <v>0</v>
      </c>
      <c r="F21" s="1873">
        <v>0</v>
      </c>
      <c r="G21" s="1873">
        <v>0</v>
      </c>
      <c r="H21" s="1873">
        <v>0</v>
      </c>
      <c r="I21" s="1873">
        <v>0</v>
      </c>
      <c r="J21" s="1066"/>
    </row>
    <row r="22" spans="1:10" x14ac:dyDescent="0.2">
      <c r="A22" s="1067" t="s">
        <v>43</v>
      </c>
      <c r="B22" s="1873">
        <v>1867.8035204343055</v>
      </c>
      <c r="C22" s="1873">
        <v>2.9252351373649175</v>
      </c>
      <c r="D22" s="1873">
        <v>0</v>
      </c>
      <c r="E22" s="1873">
        <v>2051.8465178295764</v>
      </c>
      <c r="F22" s="1873">
        <v>17.417991116621856</v>
      </c>
      <c r="G22" s="1873">
        <v>14750.502176077553</v>
      </c>
      <c r="H22" s="1873">
        <v>3363.0747505973413</v>
      </c>
      <c r="I22" s="1873">
        <v>35638.882247738242</v>
      </c>
      <c r="J22" s="1066"/>
    </row>
    <row r="23" spans="1:10" ht="15.75" customHeight="1" x14ac:dyDescent="0.2">
      <c r="A23" s="1067" t="s">
        <v>49</v>
      </c>
      <c r="B23" s="1873">
        <v>2811.1752888046972</v>
      </c>
      <c r="C23" s="1873">
        <v>69.730371587467147</v>
      </c>
      <c r="D23" s="1873">
        <v>2448.438993350997</v>
      </c>
      <c r="E23" s="1873">
        <v>0</v>
      </c>
      <c r="F23" s="1873">
        <v>46.558910216165621</v>
      </c>
      <c r="G23" s="1873">
        <v>5533.8585317394682</v>
      </c>
      <c r="H23" s="1873">
        <v>7440.5140270699958</v>
      </c>
      <c r="I23" s="1873">
        <v>15147.836274263351</v>
      </c>
      <c r="J23" s="1066"/>
    </row>
    <row r="24" spans="1:10" x14ac:dyDescent="0.2">
      <c r="A24" s="1067" t="s">
        <v>96</v>
      </c>
      <c r="B24" s="1873">
        <v>0</v>
      </c>
      <c r="C24" s="1873">
        <v>0</v>
      </c>
      <c r="D24" s="1873">
        <v>0</v>
      </c>
      <c r="E24" s="1873">
        <v>0</v>
      </c>
      <c r="F24" s="1873">
        <v>0</v>
      </c>
      <c r="G24" s="1873">
        <v>0</v>
      </c>
      <c r="H24" s="1873">
        <v>0</v>
      </c>
      <c r="I24" s="1873">
        <v>0</v>
      </c>
      <c r="J24" s="1066"/>
    </row>
    <row r="25" spans="1:10" x14ac:dyDescent="0.2">
      <c r="A25" s="1067" t="s">
        <v>51</v>
      </c>
      <c r="B25" s="1873">
        <v>6180.5194000842512</v>
      </c>
      <c r="C25" s="1873">
        <v>13.25982537590664</v>
      </c>
      <c r="D25" s="1873">
        <v>7479.1324262739527</v>
      </c>
      <c r="E25" s="1873">
        <v>3089.5876812526726</v>
      </c>
      <c r="F25" s="1873">
        <v>23.268524573671677</v>
      </c>
      <c r="G25" s="1873">
        <v>0</v>
      </c>
      <c r="H25" s="1873">
        <v>18081.045131406012</v>
      </c>
      <c r="I25" s="1873">
        <v>24319.739020622739</v>
      </c>
      <c r="J25" s="1066"/>
    </row>
    <row r="26" spans="1:10" x14ac:dyDescent="0.2">
      <c r="A26" s="1067" t="s">
        <v>60</v>
      </c>
      <c r="B26" s="1873">
        <v>1803.1514849845134</v>
      </c>
      <c r="C26" s="1873">
        <v>12.498831458036609</v>
      </c>
      <c r="D26" s="1873">
        <v>2974.8798743756961</v>
      </c>
      <c r="E26" s="1873">
        <v>7032.9111243247071</v>
      </c>
      <c r="F26" s="1873">
        <v>38.144294292586473</v>
      </c>
      <c r="G26" s="1873">
        <v>7683.2913626921145</v>
      </c>
      <c r="H26" s="1873">
        <v>0</v>
      </c>
      <c r="I26" s="1873">
        <v>0</v>
      </c>
      <c r="J26" s="1066"/>
    </row>
    <row r="27" spans="1:10" x14ac:dyDescent="0.2">
      <c r="A27" s="1067" t="s">
        <v>686</v>
      </c>
      <c r="B27" s="1873">
        <v>0</v>
      </c>
      <c r="C27" s="1873">
        <v>0</v>
      </c>
      <c r="D27" s="1873">
        <v>0</v>
      </c>
      <c r="E27" s="1873">
        <v>0</v>
      </c>
      <c r="F27" s="1873">
        <v>0</v>
      </c>
      <c r="G27" s="1873">
        <v>0</v>
      </c>
      <c r="H27" s="1873">
        <v>0</v>
      </c>
      <c r="I27" s="1873">
        <v>0</v>
      </c>
      <c r="J27" s="1066"/>
    </row>
    <row r="28" spans="1:10" x14ac:dyDescent="0.2">
      <c r="A28" s="1067" t="s">
        <v>615</v>
      </c>
      <c r="B28" s="1873">
        <v>23172.289374380241</v>
      </c>
      <c r="C28" s="1873">
        <v>730.58583083883082</v>
      </c>
      <c r="D28" s="1873">
        <v>51329.765188425052</v>
      </c>
      <c r="E28" s="1873">
        <v>68128.196579419047</v>
      </c>
      <c r="F28" s="1873">
        <v>801.0018933750232</v>
      </c>
      <c r="G28" s="1873">
        <v>46142.14786766989</v>
      </c>
      <c r="H28" s="1873">
        <v>27507.073099219262</v>
      </c>
      <c r="I28" s="1873">
        <v>28878.378716435196</v>
      </c>
      <c r="J28" s="1066"/>
    </row>
    <row r="29" spans="1:10" x14ac:dyDescent="0.2">
      <c r="A29" s="1067" t="s">
        <v>687</v>
      </c>
      <c r="B29" s="1873">
        <v>10581.605208170615</v>
      </c>
      <c r="C29" s="1873">
        <v>1518.8011159370701</v>
      </c>
      <c r="D29" s="1873">
        <v>37466.895549211098</v>
      </c>
      <c r="E29" s="1873">
        <v>19519.613647787541</v>
      </c>
      <c r="F29" s="1873">
        <v>3500.3242456658691</v>
      </c>
      <c r="G29" s="1873">
        <v>28098.820342590567</v>
      </c>
      <c r="H29" s="1873">
        <v>22578.712525969269</v>
      </c>
      <c r="I29" s="1873">
        <v>246295.34806732627</v>
      </c>
      <c r="J29" s="1066"/>
    </row>
    <row r="30" spans="1:10" x14ac:dyDescent="0.2">
      <c r="A30" s="1067"/>
      <c r="B30" s="1873"/>
      <c r="C30" s="1873"/>
      <c r="D30" s="1873"/>
      <c r="E30" s="1873"/>
      <c r="F30" s="1873"/>
      <c r="G30" s="1873"/>
      <c r="H30" s="1873"/>
      <c r="I30" s="1873"/>
      <c r="J30" s="1066"/>
    </row>
    <row r="31" spans="1:10" ht="15.75" customHeight="1" x14ac:dyDescent="0.2">
      <c r="A31" s="1067"/>
      <c r="B31" s="2314" t="s">
        <v>1128</v>
      </c>
      <c r="C31" s="2314"/>
      <c r="D31" s="2314"/>
      <c r="E31" s="2314"/>
      <c r="F31" s="2314"/>
      <c r="G31" s="2314"/>
      <c r="H31" s="2314"/>
      <c r="I31" s="2314"/>
      <c r="J31" s="1066"/>
    </row>
    <row r="32" spans="1:10" ht="17" x14ac:dyDescent="0.2">
      <c r="A32" s="1069" t="s">
        <v>684</v>
      </c>
      <c r="B32" s="1881" t="s">
        <v>31</v>
      </c>
      <c r="C32" s="1881" t="s">
        <v>86</v>
      </c>
      <c r="D32" s="1881" t="s">
        <v>43</v>
      </c>
      <c r="E32" s="1882" t="s">
        <v>49</v>
      </c>
      <c r="F32" s="1881" t="s">
        <v>96</v>
      </c>
      <c r="G32" s="1881" t="s">
        <v>51</v>
      </c>
      <c r="H32" s="1882" t="s">
        <v>60</v>
      </c>
      <c r="I32" s="1882" t="s">
        <v>630</v>
      </c>
      <c r="J32" s="1066"/>
    </row>
    <row r="33" spans="1:10" x14ac:dyDescent="0.2">
      <c r="A33" s="1067" t="s">
        <v>31</v>
      </c>
      <c r="B33" s="1873">
        <v>0</v>
      </c>
      <c r="C33" s="1873">
        <v>8.7757054120947515</v>
      </c>
      <c r="D33" s="1873">
        <v>246.36986223269059</v>
      </c>
      <c r="E33" s="1873">
        <v>3868.1239135444471</v>
      </c>
      <c r="F33" s="1873">
        <v>21.914513175697586</v>
      </c>
      <c r="G33" s="1873">
        <v>-3202.2733009499502</v>
      </c>
      <c r="H33" s="1873">
        <v>2386.0051093120401</v>
      </c>
      <c r="I33" s="1873">
        <v>1000.1518471727242</v>
      </c>
      <c r="J33" s="1066"/>
    </row>
    <row r="34" spans="1:10" x14ac:dyDescent="0.2">
      <c r="A34" s="1067" t="s">
        <v>86</v>
      </c>
      <c r="B34" s="1873">
        <v>-8.7757054120947515</v>
      </c>
      <c r="C34" s="1873">
        <v>0</v>
      </c>
      <c r="D34" s="1873">
        <v>-2.9252351373649175</v>
      </c>
      <c r="E34" s="1873">
        <v>-69.730371587467147</v>
      </c>
      <c r="F34" s="1873">
        <v>0</v>
      </c>
      <c r="G34" s="1873">
        <v>-13.25982537590664</v>
      </c>
      <c r="H34" s="1873">
        <v>-12.498831458036609</v>
      </c>
      <c r="I34" s="1873">
        <v>0</v>
      </c>
      <c r="J34" s="1066"/>
    </row>
    <row r="35" spans="1:10" x14ac:dyDescent="0.2">
      <c r="A35" s="1067" t="s">
        <v>43</v>
      </c>
      <c r="B35" s="1873">
        <v>-246.36986223269059</v>
      </c>
      <c r="C35" s="1873">
        <v>2.9252351373649175</v>
      </c>
      <c r="D35" s="1873">
        <v>0</v>
      </c>
      <c r="E35" s="1873">
        <v>-396.59247552142051</v>
      </c>
      <c r="F35" s="1873">
        <v>17.417991116621856</v>
      </c>
      <c r="G35" s="1873">
        <v>7271.3697498035999</v>
      </c>
      <c r="H35" s="1873">
        <v>388.19487622164525</v>
      </c>
      <c r="I35" s="1873">
        <v>35638.882247738242</v>
      </c>
      <c r="J35" s="1066"/>
    </row>
    <row r="36" spans="1:10" x14ac:dyDescent="0.2">
      <c r="A36" s="1067" t="s">
        <v>49</v>
      </c>
      <c r="B36" s="1873">
        <v>-3868.1239135444471</v>
      </c>
      <c r="C36" s="1873">
        <v>69.730371587467147</v>
      </c>
      <c r="D36" s="1873">
        <v>396.59247552142051</v>
      </c>
      <c r="E36" s="1873">
        <v>0</v>
      </c>
      <c r="F36" s="1873">
        <v>46.558910216165621</v>
      </c>
      <c r="G36" s="1873">
        <v>2444.2708504867956</v>
      </c>
      <c r="H36" s="1873">
        <v>407.6029027452887</v>
      </c>
      <c r="I36" s="1873">
        <v>15147.836274263351</v>
      </c>
      <c r="J36" s="1066"/>
    </row>
    <row r="37" spans="1:10" x14ac:dyDescent="0.2">
      <c r="A37" s="1067" t="s">
        <v>96</v>
      </c>
      <c r="B37" s="1873">
        <v>-21.914513175697586</v>
      </c>
      <c r="C37" s="1873">
        <v>0</v>
      </c>
      <c r="D37" s="1873">
        <v>-17.417991116621856</v>
      </c>
      <c r="E37" s="1873">
        <v>-46.558910216165621</v>
      </c>
      <c r="F37" s="1873">
        <v>0</v>
      </c>
      <c r="G37" s="1873">
        <v>-23.268524573671677</v>
      </c>
      <c r="H37" s="1873">
        <v>-38.144294292586473</v>
      </c>
      <c r="I37" s="1873">
        <v>0</v>
      </c>
      <c r="J37" s="1066"/>
    </row>
    <row r="38" spans="1:10" x14ac:dyDescent="0.2">
      <c r="A38" s="1067" t="s">
        <v>51</v>
      </c>
      <c r="B38" s="1873">
        <v>3202.2733009499502</v>
      </c>
      <c r="C38" s="1873">
        <v>13.25982537590664</v>
      </c>
      <c r="D38" s="1873">
        <v>-7271.3697498035999</v>
      </c>
      <c r="E38" s="1873">
        <v>-2444.2708504867956</v>
      </c>
      <c r="F38" s="1873">
        <v>23.268524573671677</v>
      </c>
      <c r="G38" s="1873">
        <v>0</v>
      </c>
      <c r="H38" s="1873">
        <v>10397.753768713897</v>
      </c>
      <c r="I38" s="1873">
        <v>24319.739020622739</v>
      </c>
      <c r="J38" s="1066"/>
    </row>
    <row r="39" spans="1:10" x14ac:dyDescent="0.2">
      <c r="A39" s="1067" t="s">
        <v>60</v>
      </c>
      <c r="B39" s="1873">
        <v>-2386.0051093120401</v>
      </c>
      <c r="C39" s="1873">
        <v>12.498831458036609</v>
      </c>
      <c r="D39" s="1873">
        <v>-388.19487622164525</v>
      </c>
      <c r="E39" s="1873">
        <v>-407.6029027452887</v>
      </c>
      <c r="F39" s="1873">
        <v>38.144294292586473</v>
      </c>
      <c r="G39" s="1873">
        <v>-10397.753768713897</v>
      </c>
      <c r="H39" s="1873">
        <v>0</v>
      </c>
      <c r="I39" s="1873">
        <v>0</v>
      </c>
      <c r="J39" s="1066"/>
    </row>
    <row r="40" spans="1:10" x14ac:dyDescent="0.2">
      <c r="A40" s="1067" t="s">
        <v>630</v>
      </c>
      <c r="B40" s="1873">
        <v>-1000.1518471727242</v>
      </c>
      <c r="C40" s="1873">
        <v>0</v>
      </c>
      <c r="D40" s="1873">
        <v>-35638.882247738242</v>
      </c>
      <c r="E40" s="1873">
        <v>-15147.836274263351</v>
      </c>
      <c r="F40" s="1873">
        <v>0</v>
      </c>
      <c r="G40" s="1873">
        <v>-24319.739020622739</v>
      </c>
      <c r="H40" s="1873">
        <v>0</v>
      </c>
      <c r="I40" s="1873">
        <v>0</v>
      </c>
      <c r="J40" s="1066"/>
    </row>
    <row r="41" spans="1:10" x14ac:dyDescent="0.2">
      <c r="A41" s="1067"/>
      <c r="B41" s="1873"/>
      <c r="C41" s="1873"/>
      <c r="D41" s="1873"/>
      <c r="E41" s="1873"/>
      <c r="F41" s="1873"/>
      <c r="G41" s="1873"/>
      <c r="H41" s="1873"/>
      <c r="I41" s="1873"/>
      <c r="J41" s="1066"/>
    </row>
    <row r="42" spans="1:10" x14ac:dyDescent="0.2">
      <c r="A42" s="1886" t="s">
        <v>1132</v>
      </c>
      <c r="B42" s="1872">
        <f>+SUM(B33:B40)</f>
        <v>-4329.0676498997445</v>
      </c>
      <c r="C42" s="1872">
        <f t="shared" ref="C42:I42" si="2">+SUM(C33:C40)</f>
        <v>107.18996897087007</v>
      </c>
      <c r="D42" s="1872">
        <f t="shared" si="2"/>
        <v>-42675.827762263361</v>
      </c>
      <c r="E42" s="1872">
        <f t="shared" si="2"/>
        <v>-14644.467871276041</v>
      </c>
      <c r="F42" s="1872">
        <f t="shared" si="2"/>
        <v>147.30423337474321</v>
      </c>
      <c r="G42" s="1872">
        <f t="shared" si="2"/>
        <v>-28240.653839945771</v>
      </c>
      <c r="H42" s="1872">
        <f t="shared" si="2"/>
        <v>13528.913531242248</v>
      </c>
      <c r="I42" s="1872">
        <f t="shared" si="2"/>
        <v>76106.609389797057</v>
      </c>
      <c r="J42" s="1066"/>
    </row>
    <row r="43" spans="1:10" x14ac:dyDescent="0.2">
      <c r="A43" s="1886" t="s">
        <v>1133</v>
      </c>
      <c r="B43" s="1872">
        <f>+E9</f>
        <v>-20658.639742241532</v>
      </c>
      <c r="C43" s="1872">
        <f>+E10</f>
        <v>1970.2935850833778</v>
      </c>
      <c r="D43" s="1872">
        <f>+E11</f>
        <v>17501.745448822941</v>
      </c>
      <c r="E43" s="1872">
        <f>+E12</f>
        <v>-40878.400372694472</v>
      </c>
      <c r="F43" s="1872">
        <f>+E13</f>
        <v>8024.6205993210824</v>
      </c>
      <c r="G43" s="1872">
        <f>+E14</f>
        <v>-16913.152543711301</v>
      </c>
      <c r="H43" s="1872">
        <f>+E15</f>
        <v>8049.7029746891931</v>
      </c>
      <c r="I43" s="1872">
        <f>+E16</f>
        <v>42903.830050730729</v>
      </c>
      <c r="J43" s="1066"/>
    </row>
    <row r="44" spans="1:10" x14ac:dyDescent="0.2">
      <c r="A44" s="1912" t="s">
        <v>1134</v>
      </c>
      <c r="B44" s="1872">
        <f>+B42-B43</f>
        <v>16329.572092341787</v>
      </c>
      <c r="C44" s="1872">
        <f t="shared" ref="C44:I44" si="3">+C42-C43</f>
        <v>-1863.1036161125078</v>
      </c>
      <c r="D44" s="1872">
        <f t="shared" si="3"/>
        <v>-60177.573211086303</v>
      </c>
      <c r="E44" s="1872">
        <f t="shared" si="3"/>
        <v>26233.932501418429</v>
      </c>
      <c r="F44" s="1872">
        <f t="shared" si="3"/>
        <v>-7877.3163659463389</v>
      </c>
      <c r="G44" s="1872">
        <f t="shared" si="3"/>
        <v>-11327.50129623447</v>
      </c>
      <c r="H44" s="1872">
        <f t="shared" si="3"/>
        <v>5479.2105565530546</v>
      </c>
      <c r="I44" s="1872">
        <f t="shared" si="3"/>
        <v>33202.779339066328</v>
      </c>
      <c r="J44" s="1066"/>
    </row>
    <row r="45" spans="1:10" x14ac:dyDescent="0.2">
      <c r="A45" s="527"/>
      <c r="B45" s="1872"/>
      <c r="C45" s="1872"/>
      <c r="D45" s="1872"/>
      <c r="E45" s="1872"/>
      <c r="F45" s="1872"/>
      <c r="G45" s="1872"/>
      <c r="H45" s="1872"/>
      <c r="I45" s="1872"/>
      <c r="J45" s="1066"/>
    </row>
    <row r="46" spans="1:10" x14ac:dyDescent="0.2">
      <c r="A46" s="1912" t="s">
        <v>1129</v>
      </c>
      <c r="B46" s="1872">
        <f>-C44-D44-G44-F44</f>
        <v>81245.494489379635</v>
      </c>
      <c r="C46" s="1872"/>
      <c r="D46" s="1872"/>
      <c r="E46" s="1872"/>
      <c r="F46" s="1872"/>
      <c r="G46" s="1872"/>
      <c r="H46" s="1872"/>
      <c r="I46" s="1872"/>
      <c r="J46" s="1066"/>
    </row>
    <row r="47" spans="1:10" x14ac:dyDescent="0.2">
      <c r="A47" s="1912" t="s">
        <v>1130</v>
      </c>
      <c r="B47" s="1872">
        <f>+B46</f>
        <v>81245.494489379635</v>
      </c>
      <c r="C47" s="1872"/>
      <c r="D47" s="1872"/>
      <c r="E47" s="1872"/>
      <c r="F47" s="1872"/>
      <c r="G47" s="1872"/>
      <c r="H47" s="1872"/>
      <c r="I47" s="1872"/>
      <c r="J47" s="1066"/>
    </row>
    <row r="48" spans="1:10" ht="15.75" customHeight="1" x14ac:dyDescent="0.2">
      <c r="A48" s="1067"/>
      <c r="B48" s="1873"/>
      <c r="C48" s="1873"/>
      <c r="D48" s="1873"/>
      <c r="E48" s="1873"/>
      <c r="F48" s="1873"/>
      <c r="G48" s="1873"/>
      <c r="H48" s="1873"/>
      <c r="I48" s="1873"/>
      <c r="J48" s="1066"/>
    </row>
    <row r="49" spans="1:38" ht="15.75" customHeight="1" x14ac:dyDescent="0.2">
      <c r="A49" s="1067"/>
      <c r="B49" s="2314" t="s">
        <v>688</v>
      </c>
      <c r="C49" s="2314"/>
      <c r="D49" s="2314"/>
      <c r="E49" s="2314"/>
      <c r="F49" s="2314"/>
      <c r="G49" s="2314"/>
      <c r="H49" s="2314"/>
      <c r="I49" s="2314"/>
      <c r="J49" s="1066"/>
      <c r="V49" s="1761" t="s">
        <v>690</v>
      </c>
    </row>
    <row r="50" spans="1:38" ht="34" x14ac:dyDescent="0.2">
      <c r="A50" s="1069" t="s">
        <v>684</v>
      </c>
      <c r="B50" s="1910" t="s">
        <v>31</v>
      </c>
      <c r="C50" s="1910" t="s">
        <v>86</v>
      </c>
      <c r="D50" s="1910" t="s">
        <v>43</v>
      </c>
      <c r="E50" s="1910" t="s">
        <v>49</v>
      </c>
      <c r="F50" s="1910" t="s">
        <v>96</v>
      </c>
      <c r="G50" s="1910" t="s">
        <v>51</v>
      </c>
      <c r="H50" s="1910" t="s">
        <v>60</v>
      </c>
      <c r="I50" s="1874" t="s">
        <v>630</v>
      </c>
      <c r="J50" s="1066"/>
      <c r="V50" s="1849" t="s">
        <v>31</v>
      </c>
      <c r="W50" s="1849" t="s">
        <v>86</v>
      </c>
      <c r="X50" s="1849" t="s">
        <v>43</v>
      </c>
      <c r="Y50" s="1849" t="s">
        <v>49</v>
      </c>
      <c r="Z50" s="1849" t="s">
        <v>96</v>
      </c>
      <c r="AA50" s="1849" t="s">
        <v>51</v>
      </c>
      <c r="AB50" s="1849" t="s">
        <v>60</v>
      </c>
      <c r="AC50" s="1070" t="s">
        <v>685</v>
      </c>
    </row>
    <row r="51" spans="1:38" x14ac:dyDescent="0.2">
      <c r="A51" s="1067" t="s">
        <v>31</v>
      </c>
      <c r="B51" s="528"/>
      <c r="C51" s="1872">
        <f>+B44*(-C44/B46)</f>
        <v>374.46611662618216</v>
      </c>
      <c r="D51" s="1872">
        <f>+B44*(-D44/B46)</f>
        <v>12095.120181969773</v>
      </c>
      <c r="E51" s="1872"/>
      <c r="F51" s="1872">
        <f>+B44*(-F44/B46)</f>
        <v>1583.2657096907622</v>
      </c>
      <c r="G51" s="1872">
        <f>+B44*(-G44/B46)</f>
        <v>2276.7200840550663</v>
      </c>
      <c r="H51" s="528"/>
      <c r="I51" s="528"/>
      <c r="J51" s="1066"/>
      <c r="K51" s="1871"/>
      <c r="V51" s="1795">
        <f t="array" ref="V51:AC58">MMULT(B172:I179,B172:I179)</f>
        <v>3.2781053513213435E-2</v>
      </c>
      <c r="W51" s="1795">
        <v>1.3479676159124668E-2</v>
      </c>
      <c r="X51" s="1795">
        <v>0.23813755811381065</v>
      </c>
      <c r="Y51" s="1795">
        <v>9.926274885794717E-2</v>
      </c>
      <c r="Z51" s="1795">
        <v>5.5895793660299828E-2</v>
      </c>
      <c r="AA51" s="1795">
        <v>0.14568246338202384</v>
      </c>
      <c r="AB51" s="1795">
        <v>0.13434300460228613</v>
      </c>
      <c r="AC51" s="1795">
        <v>0.28041770171129443</v>
      </c>
      <c r="AE51" s="1061">
        <f t="array" ref="AE51:AL58">+TRANSPOSE(B172:I179)</f>
        <v>1.3156054921771854E-2</v>
      </c>
      <c r="AF51" s="1061">
        <v>0</v>
      </c>
      <c r="AG51" s="1061">
        <v>2.1027378247023165E-2</v>
      </c>
      <c r="AH51" s="1061">
        <v>3.2062503349144303E-2</v>
      </c>
      <c r="AI51" s="1061">
        <v>0</v>
      </c>
      <c r="AJ51" s="1061">
        <v>8.3220806142414241E-2</v>
      </c>
      <c r="AK51" s="1061">
        <v>3.5988876995160027E-2</v>
      </c>
      <c r="AL51" s="1061">
        <v>0</v>
      </c>
    </row>
    <row r="52" spans="1:38" x14ac:dyDescent="0.2">
      <c r="A52" s="1067" t="s">
        <v>86</v>
      </c>
      <c r="B52" s="528"/>
      <c r="C52" s="1872"/>
      <c r="D52" s="1872"/>
      <c r="E52" s="1872"/>
      <c r="F52" s="1872"/>
      <c r="G52" s="1872"/>
      <c r="H52" s="528"/>
      <c r="I52" s="528"/>
      <c r="J52" s="1066"/>
      <c r="K52" s="1871"/>
      <c r="V52" s="1796">
        <v>0</v>
      </c>
      <c r="W52" s="1795">
        <v>1</v>
      </c>
      <c r="X52" s="1796">
        <v>0</v>
      </c>
      <c r="Y52" s="1796">
        <v>0</v>
      </c>
      <c r="Z52" s="1796">
        <v>0</v>
      </c>
      <c r="AA52" s="1796">
        <v>0</v>
      </c>
      <c r="AB52" s="1796">
        <v>0</v>
      </c>
      <c r="AC52" s="1796">
        <v>0</v>
      </c>
      <c r="AE52" s="1061">
        <v>1.1350097129326076E-2</v>
      </c>
      <c r="AF52" s="1061">
        <v>1</v>
      </c>
      <c r="AG52" s="1061">
        <v>3.2931743099270126E-5</v>
      </c>
      <c r="AH52" s="1061">
        <v>7.6566674554956471E-3</v>
      </c>
      <c r="AI52" s="1061">
        <v>0</v>
      </c>
      <c r="AJ52" s="1061">
        <v>1.7854378987558053E-4</v>
      </c>
      <c r="AK52" s="1061">
        <v>2.7572562502523714E-3</v>
      </c>
      <c r="AL52" s="1061">
        <v>2.7660228752252776E-3</v>
      </c>
    </row>
    <row r="53" spans="1:38" x14ac:dyDescent="0.2">
      <c r="A53" s="1067" t="s">
        <v>43</v>
      </c>
      <c r="B53" s="528"/>
      <c r="C53" s="1872"/>
      <c r="D53" s="1872"/>
      <c r="E53" s="1872"/>
      <c r="F53" s="1872"/>
      <c r="G53" s="1872"/>
      <c r="H53" s="528"/>
      <c r="I53" s="528"/>
      <c r="J53" s="1066"/>
      <c r="K53" s="1871"/>
      <c r="V53" s="1795">
        <v>2.3569630630309518E-2</v>
      </c>
      <c r="W53" s="1795">
        <v>1.7038138844309605E-3</v>
      </c>
      <c r="X53" s="1795">
        <v>0.19535305813822579</v>
      </c>
      <c r="Y53" s="1795">
        <v>3.1841303904043577E-2</v>
      </c>
      <c r="Z53" s="1795">
        <v>7.121303141248982E-3</v>
      </c>
      <c r="AA53" s="1795">
        <v>0.11074808883446119</v>
      </c>
      <c r="AB53" s="1795">
        <v>7.7219603835266895E-2</v>
      </c>
      <c r="AC53" s="1795">
        <v>0.55244319763201311</v>
      </c>
      <c r="AE53" s="1061">
        <v>0.42082270990149789</v>
      </c>
      <c r="AF53" s="1061">
        <v>0</v>
      </c>
      <c r="AG53" s="1061">
        <v>0.35050929813553466</v>
      </c>
      <c r="AH53" s="1061">
        <v>0.24954501918761166</v>
      </c>
      <c r="AI53" s="1061">
        <v>0</v>
      </c>
      <c r="AJ53" s="1061">
        <v>0.10070665416112184</v>
      </c>
      <c r="AK53" s="1061">
        <v>0.14037608601858761</v>
      </c>
      <c r="AL53" s="1061">
        <v>8.9341538837610715E-2</v>
      </c>
    </row>
    <row r="54" spans="1:38" x14ac:dyDescent="0.2">
      <c r="A54" s="1067" t="s">
        <v>49</v>
      </c>
      <c r="B54" s="528"/>
      <c r="C54" s="1872">
        <f>+E44*(-C44/B46)</f>
        <v>601.59070746542432</v>
      </c>
      <c r="D54" s="1872">
        <f>+E44*(-D44/B46)</f>
        <v>19431.162351103296</v>
      </c>
      <c r="E54" s="1872"/>
      <c r="F54" s="1872">
        <f>+E44*(-F44/B46)</f>
        <v>2543.5624108801321</v>
      </c>
      <c r="G54" s="1872">
        <f>+E44*(-G44/B46)</f>
        <v>3657.6170319695707</v>
      </c>
      <c r="H54" s="528"/>
      <c r="I54" s="528"/>
      <c r="J54" s="1066"/>
      <c r="K54" s="1871"/>
      <c r="V54" s="1795">
        <v>2.7666798266649063E-2</v>
      </c>
      <c r="W54" s="1795">
        <v>1.1199815843650438E-2</v>
      </c>
      <c r="X54" s="1795">
        <v>0.21840401414225982</v>
      </c>
      <c r="Y54" s="1795">
        <v>0.12997106255791877</v>
      </c>
      <c r="Z54" s="1795">
        <v>4.3548006086380375E-2</v>
      </c>
      <c r="AA54" s="1795">
        <v>0.11834181336327408</v>
      </c>
      <c r="AB54" s="1795">
        <v>0.10847417620466465</v>
      </c>
      <c r="AC54" s="1795">
        <v>0.34239431353520289</v>
      </c>
      <c r="AE54" s="1061">
        <v>0.19781425288944915</v>
      </c>
      <c r="AF54" s="1061">
        <v>0</v>
      </c>
      <c r="AG54" s="1061">
        <v>2.3099299451586702E-2</v>
      </c>
      <c r="AH54" s="1061">
        <v>0.3187337348777961</v>
      </c>
      <c r="AI54" s="1061">
        <v>0</v>
      </c>
      <c r="AJ54" s="1061">
        <v>4.1601354325983483E-2</v>
      </c>
      <c r="AK54" s="1061">
        <v>0.14036900142829006</v>
      </c>
      <c r="AL54" s="1061">
        <v>0</v>
      </c>
    </row>
    <row r="55" spans="1:38" x14ac:dyDescent="0.2">
      <c r="A55" s="1067" t="s">
        <v>96</v>
      </c>
      <c r="B55" s="528"/>
      <c r="C55" s="1872"/>
      <c r="D55" s="1872"/>
      <c r="E55" s="1872"/>
      <c r="F55" s="1872"/>
      <c r="G55" s="1872"/>
      <c r="H55" s="528"/>
      <c r="I55" s="528"/>
      <c r="J55" s="1066"/>
      <c r="K55" s="1871"/>
      <c r="V55" s="1795">
        <v>0</v>
      </c>
      <c r="W55" s="1795">
        <v>0</v>
      </c>
      <c r="X55" s="1795">
        <v>0</v>
      </c>
      <c r="Y55" s="1795">
        <v>0</v>
      </c>
      <c r="Z55" s="1795">
        <v>1</v>
      </c>
      <c r="AA55" s="1795">
        <v>0</v>
      </c>
      <c r="AB55" s="1795">
        <v>0</v>
      </c>
      <c r="AC55" s="1795">
        <v>0</v>
      </c>
      <c r="AE55" s="1061">
        <v>4.7539048172534647E-2</v>
      </c>
      <c r="AF55" s="1061">
        <v>0</v>
      </c>
      <c r="AG55" s="1061">
        <v>1.9608844479923395E-4</v>
      </c>
      <c r="AH55" s="1061">
        <v>2.9541300346180445E-2</v>
      </c>
      <c r="AI55" s="1061">
        <v>1</v>
      </c>
      <c r="AJ55" s="1061">
        <v>3.1331110662627089E-4</v>
      </c>
      <c r="AK55" s="1061">
        <v>1.1364422497616567E-2</v>
      </c>
      <c r="AL55" s="1061">
        <v>1.1694914375754321E-2</v>
      </c>
    </row>
    <row r="56" spans="1:38" x14ac:dyDescent="0.2">
      <c r="A56" s="1067" t="s">
        <v>51</v>
      </c>
      <c r="B56" s="528"/>
      <c r="C56" s="1872"/>
      <c r="D56" s="1872"/>
      <c r="E56" s="1872"/>
      <c r="F56" s="1872"/>
      <c r="G56" s="1872"/>
      <c r="H56" s="528"/>
      <c r="I56" s="528"/>
      <c r="J56" s="1066"/>
      <c r="K56" s="1871"/>
      <c r="V56" s="1795">
        <v>3.0206358780355429E-2</v>
      </c>
      <c r="W56" s="1795">
        <v>3.0582695958525181E-3</v>
      </c>
      <c r="X56" s="1795">
        <v>0.16458240100142743</v>
      </c>
      <c r="Y56" s="1795">
        <v>7.4669969917571855E-2</v>
      </c>
      <c r="Z56" s="1795">
        <v>1.2178357135414678E-2</v>
      </c>
      <c r="AA56" s="1795">
        <v>0.12182015723518008</v>
      </c>
      <c r="AB56" s="1795">
        <v>0.18896751418108648</v>
      </c>
      <c r="AC56" s="1795">
        <v>0.40451697215311155</v>
      </c>
      <c r="AE56" s="1061">
        <v>0.15563117895981135</v>
      </c>
      <c r="AF56" s="1061">
        <v>0</v>
      </c>
      <c r="AG56" s="1061">
        <v>0.16605835956332329</v>
      </c>
      <c r="AH56" s="1061">
        <v>0.10483220922531135</v>
      </c>
      <c r="AI56" s="1061">
        <v>0</v>
      </c>
      <c r="AJ56" s="1061">
        <v>0.20305200061975415</v>
      </c>
      <c r="AK56" s="1061">
        <v>0.16859701815626024</v>
      </c>
      <c r="AL56" s="1061">
        <v>1.681716863923282E-2</v>
      </c>
    </row>
    <row r="57" spans="1:38" x14ac:dyDescent="0.2">
      <c r="A57" s="1067" t="s">
        <v>60</v>
      </c>
      <c r="B57" s="528"/>
      <c r="C57" s="1872">
        <f>+H44*(-C44/B46)</f>
        <v>125.64803827602097</v>
      </c>
      <c r="D57" s="1872">
        <f>+H44*(-D44/B46)</f>
        <v>4058.3862093304133</v>
      </c>
      <c r="E57" s="1872"/>
      <c r="F57" s="1872">
        <f>+H44*(-F44/B46)</f>
        <v>531.2476126936906</v>
      </c>
      <c r="G57" s="1872">
        <f>+H44*(-G44/B46)</f>
        <v>763.92869625292917</v>
      </c>
      <c r="H57" s="528"/>
      <c r="I57" s="528"/>
      <c r="J57" s="1066"/>
      <c r="K57" s="1871"/>
      <c r="V57" s="1795">
        <v>3.9970710643520049E-2</v>
      </c>
      <c r="W57" s="1795">
        <v>5.6553543225550743E-3</v>
      </c>
      <c r="X57" s="1795">
        <v>0.18662016315087648</v>
      </c>
      <c r="Y57" s="1795">
        <v>0.13237723253326805</v>
      </c>
      <c r="Z57" s="1795">
        <v>2.2990763168497984E-2</v>
      </c>
      <c r="AA57" s="1795">
        <v>0.16225155702708322</v>
      </c>
      <c r="AB57" s="1795">
        <v>0.31328627020300048</v>
      </c>
      <c r="AC57" s="1795">
        <v>0.13684794895119856</v>
      </c>
      <c r="AE57" s="1061">
        <v>0.12406614179616818</v>
      </c>
      <c r="AF57" s="1061">
        <v>0</v>
      </c>
      <c r="AG57" s="1061">
        <v>3.7860858532582815E-2</v>
      </c>
      <c r="AH57" s="1061">
        <v>8.4861839410136003E-2</v>
      </c>
      <c r="AI57" s="1061">
        <v>0</v>
      </c>
      <c r="AJ57" s="1061">
        <v>0.24346160157873961</v>
      </c>
      <c r="AK57" s="1061">
        <v>0.50054733865383305</v>
      </c>
      <c r="AL57" s="1061">
        <v>0</v>
      </c>
    </row>
    <row r="58" spans="1:38" x14ac:dyDescent="0.2">
      <c r="A58" s="1067" t="s">
        <v>685</v>
      </c>
      <c r="B58" s="528"/>
      <c r="C58" s="1872">
        <f>+I44*(-C44/B46)</f>
        <v>761.39875374487963</v>
      </c>
      <c r="D58" s="1872">
        <f>+I44*(-D44/B46)</f>
        <v>24592.904468682795</v>
      </c>
      <c r="E58" s="1872"/>
      <c r="F58" s="1872">
        <f>+I44*(-F44/B46)</f>
        <v>3219.2406326817504</v>
      </c>
      <c r="G58" s="1872">
        <f>+I44*(-G44/B46)</f>
        <v>4629.2354839568998</v>
      </c>
      <c r="H58" s="528"/>
      <c r="I58" s="528"/>
      <c r="J58" s="1066"/>
      <c r="K58" s="1871"/>
      <c r="V58" s="1795">
        <v>3.2781566614994337E-3</v>
      </c>
      <c r="W58" s="1795">
        <v>5.2043538275607691E-3</v>
      </c>
      <c r="X58" s="1795">
        <v>0.11157383502202112</v>
      </c>
      <c r="Y58" s="1795">
        <v>2.7633439503960749E-3</v>
      </c>
      <c r="Z58" s="1795">
        <v>2.2001980183506159E-2</v>
      </c>
      <c r="AA58" s="1795">
        <v>3.3039356849833251E-2</v>
      </c>
      <c r="AB58" s="1795">
        <v>7.476882173941408E-3</v>
      </c>
      <c r="AC58" s="1795">
        <v>0.81466209133124168</v>
      </c>
      <c r="AE58" s="1061">
        <v>2.9620516229440969E-2</v>
      </c>
      <c r="AF58" s="1061">
        <v>0</v>
      </c>
      <c r="AG58" s="1061">
        <v>0.40121578588205087</v>
      </c>
      <c r="AH58" s="1061">
        <v>0.17276672614832453</v>
      </c>
      <c r="AI58" s="1061">
        <v>0</v>
      </c>
      <c r="AJ58" s="1061">
        <v>0.32746572827548487</v>
      </c>
      <c r="AK58" s="1061">
        <v>0</v>
      </c>
      <c r="AL58" s="1061">
        <v>0.87938035527217684</v>
      </c>
    </row>
    <row r="59" spans="1:38" ht="15.75" customHeight="1" x14ac:dyDescent="0.2">
      <c r="A59" s="1067"/>
      <c r="B59" s="1873"/>
      <c r="C59" s="1873"/>
      <c r="D59" s="1873"/>
      <c r="E59" s="1873"/>
      <c r="F59" s="1873"/>
      <c r="G59" s="1873"/>
      <c r="H59" s="1873"/>
      <c r="I59" s="1873"/>
      <c r="J59" s="1066"/>
    </row>
    <row r="60" spans="1:38" ht="15.75" customHeight="1" x14ac:dyDescent="0.2">
      <c r="A60" s="1067"/>
      <c r="B60" s="2314" t="s">
        <v>688</v>
      </c>
      <c r="C60" s="2314"/>
      <c r="D60" s="2314"/>
      <c r="E60" s="2314"/>
      <c r="F60" s="2314"/>
      <c r="G60" s="2314"/>
      <c r="H60" s="2314"/>
      <c r="I60" s="2314"/>
      <c r="J60" s="1066"/>
    </row>
    <row r="61" spans="1:38" ht="15.75" customHeight="1" x14ac:dyDescent="0.2">
      <c r="A61" s="1069" t="s">
        <v>684</v>
      </c>
      <c r="B61" s="1910" t="s">
        <v>31</v>
      </c>
      <c r="C61" s="1910" t="s">
        <v>86</v>
      </c>
      <c r="D61" s="1910" t="s">
        <v>43</v>
      </c>
      <c r="E61" s="1910" t="s">
        <v>49</v>
      </c>
      <c r="F61" s="1910" t="s">
        <v>96</v>
      </c>
      <c r="G61" s="1910" t="s">
        <v>51</v>
      </c>
      <c r="H61" s="1910" t="s">
        <v>60</v>
      </c>
      <c r="I61" s="1874" t="s">
        <v>630</v>
      </c>
      <c r="J61" s="1066"/>
    </row>
    <row r="62" spans="1:38" ht="15.75" customHeight="1" x14ac:dyDescent="0.2">
      <c r="A62" s="1067" t="s">
        <v>31</v>
      </c>
      <c r="B62" s="1872">
        <f>+B51+B20</f>
        <v>0</v>
      </c>
      <c r="C62" s="1872">
        <f t="shared" ref="C62:I62" si="4">+C51+C20</f>
        <v>383.24182203827689</v>
      </c>
      <c r="D62" s="1872">
        <f t="shared" si="4"/>
        <v>14209.29356463677</v>
      </c>
      <c r="E62" s="1872">
        <f t="shared" si="4"/>
        <v>6679.2992023491443</v>
      </c>
      <c r="F62" s="1872">
        <f t="shared" si="4"/>
        <v>1605.1802228664596</v>
      </c>
      <c r="G62" s="1872">
        <f t="shared" si="4"/>
        <v>5254.9661831893673</v>
      </c>
      <c r="H62" s="1872">
        <f t="shared" si="4"/>
        <v>4189.1565942965535</v>
      </c>
      <c r="I62" s="1872">
        <f t="shared" si="4"/>
        <v>1000.1518471727242</v>
      </c>
      <c r="J62" s="1066"/>
    </row>
    <row r="63" spans="1:38" ht="15.75" customHeight="1" x14ac:dyDescent="0.2">
      <c r="A63" s="1067" t="s">
        <v>86</v>
      </c>
      <c r="B63" s="1872">
        <f t="shared" ref="B63:I63" si="5">+B52+B21</f>
        <v>0</v>
      </c>
      <c r="C63" s="1872">
        <f t="shared" si="5"/>
        <v>0</v>
      </c>
      <c r="D63" s="1872">
        <f t="shared" si="5"/>
        <v>0</v>
      </c>
      <c r="E63" s="1872">
        <f t="shared" si="5"/>
        <v>0</v>
      </c>
      <c r="F63" s="1872">
        <f t="shared" si="5"/>
        <v>0</v>
      </c>
      <c r="G63" s="1872">
        <f t="shared" si="5"/>
        <v>0</v>
      </c>
      <c r="H63" s="1872">
        <f t="shared" si="5"/>
        <v>0</v>
      </c>
      <c r="I63" s="1872">
        <f t="shared" si="5"/>
        <v>0</v>
      </c>
      <c r="J63" s="1066"/>
    </row>
    <row r="64" spans="1:38" ht="15.75" customHeight="1" x14ac:dyDescent="0.2">
      <c r="A64" s="1067" t="s">
        <v>43</v>
      </c>
      <c r="B64" s="1872">
        <f t="shared" ref="B64:I64" si="6">+B53+B22</f>
        <v>1867.8035204343055</v>
      </c>
      <c r="C64" s="1872">
        <f t="shared" si="6"/>
        <v>2.9252351373649175</v>
      </c>
      <c r="D64" s="1872">
        <f t="shared" si="6"/>
        <v>0</v>
      </c>
      <c r="E64" s="1872">
        <f t="shared" si="6"/>
        <v>2051.8465178295764</v>
      </c>
      <c r="F64" s="1872">
        <f t="shared" si="6"/>
        <v>17.417991116621856</v>
      </c>
      <c r="G64" s="1872">
        <f t="shared" si="6"/>
        <v>14750.502176077553</v>
      </c>
      <c r="H64" s="1872">
        <f t="shared" si="6"/>
        <v>3363.0747505973413</v>
      </c>
      <c r="I64" s="1872">
        <f t="shared" si="6"/>
        <v>35638.882247738242</v>
      </c>
      <c r="J64" s="1066"/>
    </row>
    <row r="65" spans="1:29" ht="15.75" customHeight="1" x14ac:dyDescent="0.2">
      <c r="A65" s="1067" t="s">
        <v>49</v>
      </c>
      <c r="B65" s="1872">
        <f t="shared" ref="B65:I65" si="7">+B54+B23</f>
        <v>2811.1752888046972</v>
      </c>
      <c r="C65" s="1872">
        <f t="shared" si="7"/>
        <v>671.32107905289149</v>
      </c>
      <c r="D65" s="1872">
        <f t="shared" si="7"/>
        <v>21879.601344454291</v>
      </c>
      <c r="E65" s="1872">
        <f t="shared" si="7"/>
        <v>0</v>
      </c>
      <c r="F65" s="1872">
        <f t="shared" si="7"/>
        <v>2590.1213210962978</v>
      </c>
      <c r="G65" s="1872">
        <f t="shared" si="7"/>
        <v>9191.4755637090384</v>
      </c>
      <c r="H65" s="1872">
        <f t="shared" si="7"/>
        <v>7440.5140270699958</v>
      </c>
      <c r="I65" s="1872">
        <f t="shared" si="7"/>
        <v>15147.836274263351</v>
      </c>
      <c r="J65" s="1066"/>
    </row>
    <row r="66" spans="1:29" ht="15.75" customHeight="1" x14ac:dyDescent="0.2">
      <c r="A66" s="1067" t="s">
        <v>96</v>
      </c>
      <c r="B66" s="1872">
        <f t="shared" ref="B66:I66" si="8">+B55+B24</f>
        <v>0</v>
      </c>
      <c r="C66" s="1872">
        <f t="shared" si="8"/>
        <v>0</v>
      </c>
      <c r="D66" s="1872">
        <f t="shared" si="8"/>
        <v>0</v>
      </c>
      <c r="E66" s="1872">
        <f t="shared" si="8"/>
        <v>0</v>
      </c>
      <c r="F66" s="1872">
        <f t="shared" si="8"/>
        <v>0</v>
      </c>
      <c r="G66" s="1872">
        <f t="shared" si="8"/>
        <v>0</v>
      </c>
      <c r="H66" s="1872">
        <f t="shared" si="8"/>
        <v>0</v>
      </c>
      <c r="I66" s="1872">
        <f t="shared" si="8"/>
        <v>0</v>
      </c>
      <c r="J66" s="1066"/>
    </row>
    <row r="67" spans="1:29" ht="15.75" customHeight="1" x14ac:dyDescent="0.2">
      <c r="A67" s="1067" t="s">
        <v>51</v>
      </c>
      <c r="B67" s="1872">
        <f t="shared" ref="B67:I67" si="9">+B56+B25</f>
        <v>6180.5194000842512</v>
      </c>
      <c r="C67" s="1872">
        <f t="shared" si="9"/>
        <v>13.25982537590664</v>
      </c>
      <c r="D67" s="1872">
        <f t="shared" si="9"/>
        <v>7479.1324262739527</v>
      </c>
      <c r="E67" s="1872">
        <f t="shared" si="9"/>
        <v>3089.5876812526726</v>
      </c>
      <c r="F67" s="1872">
        <f t="shared" si="9"/>
        <v>23.268524573671677</v>
      </c>
      <c r="G67" s="1872">
        <f t="shared" si="9"/>
        <v>0</v>
      </c>
      <c r="H67" s="1872">
        <f t="shared" si="9"/>
        <v>18081.045131406012</v>
      </c>
      <c r="I67" s="1872">
        <f t="shared" si="9"/>
        <v>24319.739020622739</v>
      </c>
      <c r="J67" s="1066"/>
    </row>
    <row r="68" spans="1:29" ht="15.75" customHeight="1" x14ac:dyDescent="0.2">
      <c r="A68" s="1067" t="s">
        <v>60</v>
      </c>
      <c r="B68" s="1872">
        <f t="shared" ref="B68:I68" si="10">+B57+B26</f>
        <v>1803.1514849845134</v>
      </c>
      <c r="C68" s="1872">
        <f t="shared" si="10"/>
        <v>138.14686973405759</v>
      </c>
      <c r="D68" s="1872">
        <f t="shared" si="10"/>
        <v>7033.2660837061094</v>
      </c>
      <c r="E68" s="1872">
        <f t="shared" si="10"/>
        <v>7032.9111243247071</v>
      </c>
      <c r="F68" s="1872">
        <f t="shared" si="10"/>
        <v>569.39190698627704</v>
      </c>
      <c r="G68" s="1872">
        <f t="shared" si="10"/>
        <v>8447.220058945044</v>
      </c>
      <c r="H68" s="1872">
        <f t="shared" si="10"/>
        <v>0</v>
      </c>
      <c r="I68" s="1872">
        <f t="shared" si="10"/>
        <v>0</v>
      </c>
      <c r="J68" s="1066"/>
    </row>
    <row r="69" spans="1:29" ht="15.75" customHeight="1" x14ac:dyDescent="0.2">
      <c r="A69" s="1067" t="s">
        <v>685</v>
      </c>
      <c r="B69" s="1872">
        <f t="shared" ref="B69:I69" si="11">+B58+B27</f>
        <v>0</v>
      </c>
      <c r="C69" s="1872">
        <f t="shared" si="11"/>
        <v>761.39875374487963</v>
      </c>
      <c r="D69" s="1872">
        <f t="shared" si="11"/>
        <v>24592.904468682795</v>
      </c>
      <c r="E69" s="1872">
        <f t="shared" si="11"/>
        <v>0</v>
      </c>
      <c r="F69" s="1872">
        <f t="shared" si="11"/>
        <v>3219.2406326817504</v>
      </c>
      <c r="G69" s="1872">
        <f t="shared" si="11"/>
        <v>4629.2354839568998</v>
      </c>
      <c r="H69" s="1872">
        <f t="shared" si="11"/>
        <v>0</v>
      </c>
      <c r="I69" s="1872">
        <f t="shared" si="11"/>
        <v>0</v>
      </c>
      <c r="J69" s="1066"/>
    </row>
    <row r="70" spans="1:29" ht="15.75" customHeight="1" x14ac:dyDescent="0.2">
      <c r="A70" s="1067" t="s">
        <v>694</v>
      </c>
      <c r="B70" s="1872">
        <v>23172.289374380241</v>
      </c>
      <c r="C70" s="1872">
        <v>730.58583083883082</v>
      </c>
      <c r="D70" s="1872">
        <v>51329.765188425052</v>
      </c>
      <c r="E70" s="1872">
        <v>68128.196579419047</v>
      </c>
      <c r="F70" s="1872">
        <v>801.0018933750232</v>
      </c>
      <c r="G70" s="1872">
        <v>46142.14786766989</v>
      </c>
      <c r="H70" s="1872">
        <v>27507.073099219262</v>
      </c>
      <c r="I70" s="1872">
        <v>28878.378716435196</v>
      </c>
      <c r="J70" s="1066"/>
    </row>
    <row r="71" spans="1:29" ht="15.75" customHeight="1" x14ac:dyDescent="0.2">
      <c r="A71" s="1067" t="s">
        <v>695</v>
      </c>
      <c r="B71" s="1872">
        <v>10581.605208170615</v>
      </c>
      <c r="C71" s="1872">
        <v>1518.8011159370701</v>
      </c>
      <c r="D71" s="1872">
        <v>37466.895549211098</v>
      </c>
      <c r="E71" s="1872">
        <v>19519.613647787541</v>
      </c>
      <c r="F71" s="1872">
        <v>3500.3242456658691</v>
      </c>
      <c r="G71" s="1872">
        <v>28098.820342590567</v>
      </c>
      <c r="H71" s="1872">
        <v>22578.712525969269</v>
      </c>
      <c r="I71" s="1872">
        <v>246295.34806732627</v>
      </c>
      <c r="J71" s="1066"/>
    </row>
    <row r="72" spans="1:29" ht="15.75" customHeight="1" x14ac:dyDescent="0.2">
      <c r="A72" s="527"/>
      <c r="B72" s="528"/>
      <c r="C72" s="528"/>
      <c r="D72" s="528"/>
      <c r="E72" s="528"/>
      <c r="F72" s="528"/>
      <c r="G72" s="528"/>
      <c r="H72" s="528"/>
      <c r="I72" s="528"/>
      <c r="J72" s="1066"/>
    </row>
    <row r="73" spans="1:29" ht="15.75" customHeight="1" x14ac:dyDescent="0.2">
      <c r="A73" s="527"/>
      <c r="B73" s="528"/>
      <c r="C73" s="528"/>
      <c r="D73" s="528"/>
      <c r="E73" s="528"/>
      <c r="F73" s="528"/>
      <c r="G73" s="528"/>
      <c r="H73" s="528"/>
      <c r="I73" s="528"/>
      <c r="J73" s="1066"/>
    </row>
    <row r="74" spans="1:29" ht="15.75" customHeight="1" x14ac:dyDescent="0.2">
      <c r="A74" s="1067"/>
      <c r="B74" s="2314" t="s">
        <v>693</v>
      </c>
      <c r="C74" s="2314"/>
      <c r="D74" s="2314"/>
      <c r="E74" s="2314"/>
      <c r="F74" s="2314"/>
      <c r="G74" s="2314"/>
      <c r="H74" s="2314"/>
      <c r="I74" s="2314"/>
      <c r="J74" s="1066"/>
    </row>
    <row r="75" spans="1:29" ht="17" x14ac:dyDescent="0.2">
      <c r="A75" s="1069" t="s">
        <v>684</v>
      </c>
      <c r="B75" s="1910" t="s">
        <v>31</v>
      </c>
      <c r="C75" s="1910" t="s">
        <v>86</v>
      </c>
      <c r="D75" s="1910" t="s">
        <v>43</v>
      </c>
      <c r="E75" s="1910" t="s">
        <v>49</v>
      </c>
      <c r="F75" s="1910" t="s">
        <v>96</v>
      </c>
      <c r="G75" s="1910" t="s">
        <v>51</v>
      </c>
      <c r="H75" s="1910" t="s">
        <v>60</v>
      </c>
      <c r="I75" s="1874" t="s">
        <v>685</v>
      </c>
      <c r="J75" s="1066"/>
      <c r="O75" s="1743"/>
      <c r="P75" s="1743"/>
      <c r="Q75" s="1743"/>
      <c r="R75" s="1743"/>
      <c r="S75" s="1743"/>
      <c r="T75" s="1743"/>
      <c r="U75" s="1744"/>
      <c r="V75" s="1745"/>
      <c r="W75" s="1745"/>
      <c r="X75" s="1745"/>
      <c r="Y75" s="1745"/>
      <c r="Z75" s="1745"/>
      <c r="AA75" s="1745"/>
      <c r="AB75" s="1745"/>
      <c r="AC75" s="1745"/>
    </row>
    <row r="76" spans="1:29" x14ac:dyDescent="0.2">
      <c r="A76" s="1067" t="s">
        <v>31</v>
      </c>
      <c r="B76" s="1872">
        <f>+B172*$C9/1000</f>
        <v>0.44422090856193902</v>
      </c>
      <c r="C76" s="1872">
        <f t="shared" ref="C76:I76" si="12">+C62/1000</f>
        <v>0.38324182203827689</v>
      </c>
      <c r="D76" s="1872">
        <f t="shared" si="12"/>
        <v>14.20929356463677</v>
      </c>
      <c r="E76" s="1872">
        <f t="shared" si="12"/>
        <v>6.679299202349144</v>
      </c>
      <c r="F76" s="1872">
        <f t="shared" si="12"/>
        <v>1.6051802228664596</v>
      </c>
      <c r="G76" s="1872">
        <f t="shared" si="12"/>
        <v>5.2549661831893673</v>
      </c>
      <c r="H76" s="1872">
        <f t="shared" si="12"/>
        <v>4.1891565942965538</v>
      </c>
      <c r="I76" s="1872">
        <f t="shared" si="12"/>
        <v>1.0001518471727242</v>
      </c>
      <c r="J76" s="1066"/>
      <c r="M76" s="1743"/>
      <c r="Q76" s="1795"/>
      <c r="R76" s="1795"/>
      <c r="S76" s="1795"/>
      <c r="T76" s="1795"/>
      <c r="V76" s="1745"/>
      <c r="W76" s="1745"/>
      <c r="X76" s="1745"/>
      <c r="Y76" s="1745"/>
      <c r="Z76" s="1745"/>
      <c r="AA76" s="1745"/>
      <c r="AB76" s="1745"/>
      <c r="AC76" s="1745"/>
    </row>
    <row r="77" spans="1:29" x14ac:dyDescent="0.2">
      <c r="A77" s="1067" t="s">
        <v>86</v>
      </c>
      <c r="B77" s="1872">
        <f t="shared" ref="B77:B85" si="13">+B63/1000</f>
        <v>0</v>
      </c>
      <c r="C77" s="1872">
        <f>+C173*$C10/1000</f>
        <v>2.250161030626173</v>
      </c>
      <c r="D77" s="1872">
        <f t="shared" ref="D77:I77" si="14">+D63/1000</f>
        <v>0</v>
      </c>
      <c r="E77" s="1872">
        <f t="shared" si="14"/>
        <v>0</v>
      </c>
      <c r="F77" s="1872">
        <f t="shared" si="14"/>
        <v>0</v>
      </c>
      <c r="G77" s="1872">
        <f t="shared" si="14"/>
        <v>0</v>
      </c>
      <c r="H77" s="1872">
        <f t="shared" si="14"/>
        <v>0</v>
      </c>
      <c r="I77" s="1872">
        <f t="shared" si="14"/>
        <v>0</v>
      </c>
      <c r="J77" s="1066"/>
      <c r="L77" s="1795"/>
      <c r="M77" s="1743"/>
      <c r="O77" s="1795"/>
      <c r="P77" s="1795"/>
      <c r="Q77" s="1795"/>
      <c r="R77" s="1795"/>
      <c r="S77" s="1795"/>
      <c r="T77" s="1795"/>
      <c r="V77" s="1745"/>
      <c r="W77" s="1745"/>
      <c r="X77" s="1745"/>
      <c r="Y77" s="1745"/>
      <c r="Z77" s="1745"/>
      <c r="AA77" s="1745"/>
      <c r="AB77" s="1745"/>
      <c r="AC77" s="1745"/>
    </row>
    <row r="78" spans="1:29" x14ac:dyDescent="0.2">
      <c r="A78" s="1067" t="s">
        <v>43</v>
      </c>
      <c r="B78" s="1872">
        <f t="shared" si="13"/>
        <v>1.8678035204343055</v>
      </c>
      <c r="C78" s="1872">
        <f t="shared" ref="C78:C85" si="15">+C64/1000</f>
        <v>2.9252351373649176E-3</v>
      </c>
      <c r="D78" s="1872">
        <f>+D174*$C11/1000</f>
        <v>31.134765985159952</v>
      </c>
      <c r="E78" s="1872">
        <f>+E64/1000</f>
        <v>2.0518465178295764</v>
      </c>
      <c r="F78" s="1872">
        <f>+F64/1000</f>
        <v>1.7417991116621855E-2</v>
      </c>
      <c r="G78" s="1872">
        <f>+G64/1000</f>
        <v>14.750502176077553</v>
      </c>
      <c r="H78" s="1872">
        <f>+H64/1000</f>
        <v>3.3630747505973413</v>
      </c>
      <c r="I78" s="1872">
        <f>+I64/1000</f>
        <v>35.638882247738245</v>
      </c>
      <c r="J78" s="1066"/>
      <c r="L78" s="1795"/>
      <c r="M78" s="1743"/>
      <c r="O78" s="1795"/>
      <c r="P78" s="1795"/>
      <c r="Q78" s="1795"/>
      <c r="R78" s="1795"/>
      <c r="S78" s="1795"/>
      <c r="T78" s="1795"/>
      <c r="V78" s="1745"/>
      <c r="W78" s="1745"/>
      <c r="X78" s="1745"/>
      <c r="Y78" s="1745"/>
      <c r="Z78" s="1745"/>
      <c r="AA78" s="1745"/>
      <c r="AB78" s="1745"/>
      <c r="AC78" s="1745"/>
    </row>
    <row r="79" spans="1:29" x14ac:dyDescent="0.2">
      <c r="A79" s="1067" t="s">
        <v>49</v>
      </c>
      <c r="B79" s="1872">
        <f t="shared" si="13"/>
        <v>2.811175288804697</v>
      </c>
      <c r="C79" s="1872">
        <f t="shared" si="15"/>
        <v>0.67132107905289151</v>
      </c>
      <c r="D79" s="1872">
        <f t="shared" ref="D79:D85" si="16">+D65/1000</f>
        <v>21.87960134445429</v>
      </c>
      <c r="E79" s="1872">
        <f>+E175*$C12/1000</f>
        <v>27.945927660099613</v>
      </c>
      <c r="F79" s="1872">
        <f>+F65/1000</f>
        <v>2.5901213210962979</v>
      </c>
      <c r="G79" s="1872">
        <f>+G65/1000</f>
        <v>9.1914755637090391</v>
      </c>
      <c r="H79" s="1872">
        <f>+H65/1000</f>
        <v>7.4405140270699954</v>
      </c>
      <c r="I79" s="1872">
        <f>+I65/1000</f>
        <v>15.147836274263351</v>
      </c>
      <c r="J79" s="1066"/>
      <c r="L79" s="1795"/>
      <c r="M79" s="1743"/>
      <c r="O79" s="1795"/>
      <c r="P79" s="1795"/>
      <c r="Q79" s="1795"/>
      <c r="R79" s="1795"/>
      <c r="S79" s="1795"/>
      <c r="T79" s="1795"/>
      <c r="V79" s="1745"/>
      <c r="W79" s="1745"/>
      <c r="X79" s="1745"/>
      <c r="Y79" s="1745"/>
      <c r="Z79" s="1745"/>
      <c r="AA79" s="1745"/>
      <c r="AB79" s="1745"/>
      <c r="AC79" s="1745"/>
    </row>
    <row r="80" spans="1:29" x14ac:dyDescent="0.2">
      <c r="A80" s="1067" t="s">
        <v>96</v>
      </c>
      <c r="B80" s="1872">
        <f t="shared" si="13"/>
        <v>0</v>
      </c>
      <c r="C80" s="1872">
        <f t="shared" si="15"/>
        <v>0</v>
      </c>
      <c r="D80" s="1872">
        <f t="shared" si="16"/>
        <v>0</v>
      </c>
      <c r="E80" s="1872">
        <f t="shared" ref="E80:E85" si="17">+E66/1000</f>
        <v>0</v>
      </c>
      <c r="F80" s="1872">
        <f>+F176*$C13/1000</f>
        <v>4.3028063588420062</v>
      </c>
      <c r="G80" s="1872">
        <f>+G66/1000</f>
        <v>0</v>
      </c>
      <c r="H80" s="1872">
        <f>+H66/1000</f>
        <v>0</v>
      </c>
      <c r="I80" s="1872">
        <f>+I66/1000</f>
        <v>0</v>
      </c>
      <c r="J80" s="1066"/>
      <c r="L80" s="1795"/>
      <c r="M80" s="1743"/>
      <c r="O80" s="1795"/>
      <c r="P80" s="1795"/>
      <c r="Q80" s="1795"/>
      <c r="R80" s="1795"/>
      <c r="S80" s="1795"/>
      <c r="T80" s="1795"/>
      <c r="V80" s="1745"/>
      <c r="W80" s="1745"/>
      <c r="X80" s="1745"/>
      <c r="Y80" s="1745"/>
      <c r="Z80" s="1745"/>
      <c r="AA80" s="1745"/>
      <c r="AB80" s="1745"/>
      <c r="AC80" s="1745"/>
    </row>
    <row r="81" spans="1:29" x14ac:dyDescent="0.2">
      <c r="A81" s="1067" t="s">
        <v>51</v>
      </c>
      <c r="B81" s="1872">
        <f t="shared" si="13"/>
        <v>6.1805194000842514</v>
      </c>
      <c r="C81" s="1872">
        <f t="shared" si="15"/>
        <v>1.325982537590664E-2</v>
      </c>
      <c r="D81" s="1872">
        <f t="shared" si="16"/>
        <v>7.4791324262739529</v>
      </c>
      <c r="E81" s="1872">
        <f t="shared" si="17"/>
        <v>3.0895876812526728</v>
      </c>
      <c r="F81" s="1872">
        <f>+F67/1000</f>
        <v>2.3268524573671675E-2</v>
      </c>
      <c r="G81" s="1872">
        <f>+G177*$C14/1000</f>
        <v>15.079964821642175</v>
      </c>
      <c r="H81" s="1872">
        <f>+H67/1000</f>
        <v>18.081045131406011</v>
      </c>
      <c r="I81" s="1872">
        <f>+I67/1000</f>
        <v>24.319739020622738</v>
      </c>
      <c r="J81" s="1066"/>
      <c r="L81" s="1795"/>
      <c r="M81" s="1885" t="s">
        <v>1131</v>
      </c>
      <c r="O81" s="1795"/>
      <c r="P81" s="1795"/>
      <c r="Q81" s="1795"/>
      <c r="R81" s="1795"/>
      <c r="S81" s="1795"/>
      <c r="T81" s="1795"/>
      <c r="V81" s="1745"/>
      <c r="W81" s="1745"/>
      <c r="X81" s="1745"/>
      <c r="Y81" s="1745"/>
      <c r="Z81" s="1745"/>
      <c r="AA81" s="1745"/>
      <c r="AB81" s="1745"/>
      <c r="AC81" s="1745"/>
    </row>
    <row r="82" spans="1:29" x14ac:dyDescent="0.2">
      <c r="A82" s="1067" t="s">
        <v>60</v>
      </c>
      <c r="B82" s="1872">
        <f t="shared" si="13"/>
        <v>1.8031514849845134</v>
      </c>
      <c r="C82" s="1872">
        <f t="shared" si="15"/>
        <v>0.1381468697340576</v>
      </c>
      <c r="D82" s="1872">
        <f t="shared" si="16"/>
        <v>7.033266083706109</v>
      </c>
      <c r="E82" s="1872">
        <f t="shared" si="17"/>
        <v>7.0329111243247073</v>
      </c>
      <c r="F82" s="1872">
        <f>+F68/1000</f>
        <v>0.56939190698627706</v>
      </c>
      <c r="G82" s="1872">
        <f>+G68/1000</f>
        <v>8.4472200589450441</v>
      </c>
      <c r="H82" s="1872">
        <f>+H178*$C15/1000</f>
        <v>25.078934169579298</v>
      </c>
      <c r="I82" s="1872">
        <f>+I68/1000</f>
        <v>0</v>
      </c>
      <c r="J82" s="1066"/>
      <c r="L82" s="1795"/>
      <c r="M82" s="1743"/>
      <c r="O82" s="1795"/>
      <c r="P82" s="1795"/>
      <c r="Q82" s="1795"/>
      <c r="R82" s="1795"/>
      <c r="S82" s="1795"/>
      <c r="T82" s="1795"/>
      <c r="V82" s="1745"/>
      <c r="W82" s="1745"/>
      <c r="X82" s="1745"/>
      <c r="Y82" s="1745"/>
      <c r="Z82" s="1745"/>
      <c r="AA82" s="1745"/>
      <c r="AB82" s="1745"/>
      <c r="AC82" s="1745"/>
    </row>
    <row r="83" spans="1:29" x14ac:dyDescent="0.2">
      <c r="A83" s="1067" t="s">
        <v>685</v>
      </c>
      <c r="B83" s="1872">
        <f t="shared" si="13"/>
        <v>0</v>
      </c>
      <c r="C83" s="1872">
        <f t="shared" si="15"/>
        <v>0.76139875374487964</v>
      </c>
      <c r="D83" s="1872">
        <f t="shared" si="16"/>
        <v>24.592904468682796</v>
      </c>
      <c r="E83" s="1872">
        <f t="shared" si="17"/>
        <v>0</v>
      </c>
      <c r="F83" s="1872">
        <f>+F69/1000</f>
        <v>3.2192406326817502</v>
      </c>
      <c r="G83" s="1872">
        <f>+G69/1000</f>
        <v>4.6292354839568999</v>
      </c>
      <c r="H83" s="1872">
        <f>+H69/1000</f>
        <v>0</v>
      </c>
      <c r="I83" s="1872">
        <f>+I179*$C16/1000</f>
        <v>242.06564326313932</v>
      </c>
      <c r="J83" s="1066"/>
      <c r="L83" s="1795"/>
      <c r="M83" s="1743"/>
      <c r="O83" s="1795"/>
      <c r="P83" s="1795"/>
      <c r="Q83" s="1795"/>
      <c r="R83" s="1795"/>
      <c r="S83" s="1795"/>
      <c r="T83" s="1795"/>
    </row>
    <row r="84" spans="1:29" x14ac:dyDescent="0.2">
      <c r="A84" s="1067" t="s">
        <v>694</v>
      </c>
      <c r="B84" s="1872">
        <f t="shared" si="13"/>
        <v>23.172289374380242</v>
      </c>
      <c r="C84" s="1872">
        <f t="shared" si="15"/>
        <v>0.73058583083883077</v>
      </c>
      <c r="D84" s="1872">
        <f t="shared" si="16"/>
        <v>51.32976518842505</v>
      </c>
      <c r="E84" s="1872">
        <f t="shared" si="17"/>
        <v>68.128196579419054</v>
      </c>
      <c r="F84" s="1872">
        <f>+F70/1000</f>
        <v>0.80100189337502326</v>
      </c>
      <c r="G84" s="1872">
        <f>+G70/1000</f>
        <v>46.142147867669891</v>
      </c>
      <c r="H84" s="1872">
        <f>+H70/1000</f>
        <v>27.507073099219262</v>
      </c>
      <c r="I84" s="1872">
        <f>+I70/1000</f>
        <v>28.878378716435197</v>
      </c>
      <c r="J84" s="1066"/>
      <c r="L84" s="1795"/>
      <c r="M84" s="1795"/>
      <c r="N84" s="1795"/>
      <c r="O84" s="1795"/>
      <c r="P84" s="1795"/>
      <c r="Q84" s="1795"/>
      <c r="R84" s="1795"/>
      <c r="S84" s="1795"/>
      <c r="T84" s="1795"/>
    </row>
    <row r="85" spans="1:29" x14ac:dyDescent="0.2">
      <c r="A85" s="1067" t="s">
        <v>695</v>
      </c>
      <c r="B85" s="1872">
        <f t="shared" si="13"/>
        <v>10.581605208170615</v>
      </c>
      <c r="C85" s="1872">
        <f t="shared" si="15"/>
        <v>1.51880111593707</v>
      </c>
      <c r="D85" s="1872">
        <f t="shared" si="16"/>
        <v>37.466895549211095</v>
      </c>
      <c r="E85" s="1872">
        <f t="shared" si="17"/>
        <v>19.519613647787541</v>
      </c>
      <c r="F85" s="1872">
        <f>+F71/1000</f>
        <v>3.500324245665869</v>
      </c>
      <c r="G85" s="1872">
        <f>+G71/1000</f>
        <v>28.098820342590567</v>
      </c>
      <c r="H85" s="1872">
        <f>+H71/1000</f>
        <v>22.578712525969269</v>
      </c>
      <c r="I85" s="1872">
        <f>+I71/1000</f>
        <v>246.29534806732627</v>
      </c>
      <c r="J85" s="1066"/>
      <c r="L85" s="1795"/>
      <c r="M85" s="1795"/>
      <c r="N85" s="1797"/>
      <c r="O85" s="1795"/>
      <c r="P85" s="1795"/>
      <c r="Q85" s="1795"/>
      <c r="R85" s="1795"/>
      <c r="S85" s="1795"/>
      <c r="T85" s="1795"/>
    </row>
    <row r="86" spans="1:29" x14ac:dyDescent="0.2">
      <c r="A86" s="1067"/>
      <c r="B86" s="1872"/>
      <c r="C86" s="1872"/>
      <c r="D86" s="1872"/>
      <c r="E86" s="1872"/>
      <c r="F86" s="1872"/>
      <c r="G86" s="1872"/>
      <c r="H86" s="1872"/>
      <c r="I86" s="1872"/>
      <c r="J86" s="1066"/>
      <c r="U86" s="1761" t="s">
        <v>696</v>
      </c>
      <c r="V86" s="1061">
        <f>+SUMPRODUCT($B62:$I62,$AE$51:$AL$51)</f>
        <v>1101.0248068536127</v>
      </c>
      <c r="W86" s="1061">
        <f>+SUMPRODUCT($B70:$I70,$AE$52:$AL$52)</f>
        <v>1680.8795894500192</v>
      </c>
      <c r="X86" s="1061">
        <f>+SUMPRODUCT($B70:$I70,$AE$53:$AL$53)</f>
        <v>55832.233082151528</v>
      </c>
      <c r="Y86" s="1061">
        <f>+SUMPRODUCT($B70:$I70,$AE$54:$AL$54)</f>
        <v>33264.96149940238</v>
      </c>
      <c r="Z86" s="1061">
        <f>+SUMPRODUCT($B70:$I70,$AE$55:$AL$55)</f>
        <v>4590.0401794177469</v>
      </c>
      <c r="AA86" s="1061">
        <f>+SUMPRODUCT($B70:$I70,$AE$56:$AL$56)</f>
        <v>33764.615181509413</v>
      </c>
      <c r="AB86" s="1061">
        <f>+SUMPRODUCT($B70:$I70,$AE$57:$AL$57)</f>
        <v>35602.203049114774</v>
      </c>
      <c r="AC86" s="1061">
        <f>+SUMPRODUCT($B70:$I70,$AE$58:$AL$58)</f>
        <v>73556.023725142819</v>
      </c>
    </row>
    <row r="87" spans="1:29" x14ac:dyDescent="0.2">
      <c r="A87" s="2317" t="s">
        <v>697</v>
      </c>
      <c r="B87" s="2318"/>
      <c r="C87" s="2318"/>
      <c r="D87" s="2318"/>
      <c r="E87" s="2318"/>
      <c r="F87" s="1872"/>
      <c r="G87" s="1872"/>
      <c r="H87" s="1872"/>
      <c r="I87" s="1872"/>
      <c r="J87" s="1066"/>
      <c r="U87" s="1762" t="s">
        <v>687</v>
      </c>
      <c r="V87" s="1061" t="e">
        <f>+SUMPRODUCT(#REF!,$AE$51:$AL$51)</f>
        <v>#REF!</v>
      </c>
      <c r="W87" s="1061" t="e">
        <f>+SUMPRODUCT(#REF!,$AE$52:$AL$52)</f>
        <v>#REF!</v>
      </c>
      <c r="X87" s="1061" t="e">
        <f>+SUMPRODUCT(#REF!,$AE$53:$AL$53)</f>
        <v>#REF!</v>
      </c>
      <c r="Y87" s="1061" t="e">
        <f>+SUMPRODUCT(#REF!,$AE$54:$AL$54)</f>
        <v>#REF!</v>
      </c>
      <c r="Z87" s="1061" t="e">
        <f>+SUMPRODUCT(#REF!,$AE$55:$AL$55)</f>
        <v>#REF!</v>
      </c>
      <c r="AA87" s="1061" t="e">
        <f>+SUMPRODUCT(#REF!,$AE$56:$AL$56)</f>
        <v>#REF!</v>
      </c>
      <c r="AB87" s="1061" t="e">
        <f>+SUMPRODUCT(#REF!,$AE$57:$AL$57)</f>
        <v>#REF!</v>
      </c>
      <c r="AC87" s="1061" t="e">
        <f>+SUMPRODUCT(#REF!,$AE$58:$AL$58)</f>
        <v>#REF!</v>
      </c>
    </row>
    <row r="88" spans="1:29" ht="17" x14ac:dyDescent="0.2">
      <c r="A88" s="1875" t="s">
        <v>698</v>
      </c>
      <c r="B88" s="1910" t="s">
        <v>699</v>
      </c>
      <c r="C88" s="1910" t="s">
        <v>700</v>
      </c>
      <c r="D88" s="1910" t="s">
        <v>701</v>
      </c>
      <c r="E88" s="1910" t="s">
        <v>702</v>
      </c>
      <c r="F88" s="1872"/>
      <c r="G88" s="1872"/>
      <c r="H88" s="1872"/>
      <c r="I88" s="1873"/>
      <c r="J88" s="1066"/>
      <c r="Q88" s="1062"/>
    </row>
    <row r="89" spans="1:29" x14ac:dyDescent="0.2">
      <c r="A89" s="1067" t="s">
        <v>31</v>
      </c>
      <c r="B89" s="1872" t="s">
        <v>31</v>
      </c>
      <c r="C89" s="1872">
        <f t="shared" ref="C89:C121" si="18">+INDEX($A$75:$I$85,MATCH(A89,$A$75:$A$85,0),MATCH(B89,$A$75:$I$75,0))</f>
        <v>0.44422090856193902</v>
      </c>
      <c r="D89" s="1872">
        <v>2</v>
      </c>
      <c r="E89" s="1872">
        <v>3</v>
      </c>
      <c r="F89" s="1872"/>
      <c r="G89" s="1872"/>
      <c r="H89" s="1872"/>
      <c r="I89" s="1873"/>
      <c r="J89" s="1066"/>
      <c r="Q89" s="1062"/>
    </row>
    <row r="90" spans="1:29" x14ac:dyDescent="0.2">
      <c r="A90" s="1067" t="s">
        <v>31</v>
      </c>
      <c r="B90" s="1872" t="s">
        <v>86</v>
      </c>
      <c r="C90" s="1872">
        <f t="shared" si="18"/>
        <v>0.38324182203827689</v>
      </c>
      <c r="D90" s="1872">
        <v>2</v>
      </c>
      <c r="E90" s="1872">
        <v>3</v>
      </c>
      <c r="F90" s="1872"/>
      <c r="G90" s="1872"/>
      <c r="H90" s="1872"/>
      <c r="I90" s="1873"/>
      <c r="J90" s="1066"/>
      <c r="Q90" s="1062"/>
    </row>
    <row r="91" spans="1:29" x14ac:dyDescent="0.2">
      <c r="A91" s="1067" t="s">
        <v>31</v>
      </c>
      <c r="B91" s="1872" t="s">
        <v>43</v>
      </c>
      <c r="C91" s="1872">
        <f t="shared" si="18"/>
        <v>14.20929356463677</v>
      </c>
      <c r="D91" s="1872">
        <v>2</v>
      </c>
      <c r="E91" s="1872">
        <v>3</v>
      </c>
      <c r="F91" s="1872"/>
      <c r="G91" s="1872"/>
      <c r="H91" s="1872"/>
      <c r="I91" s="1873"/>
      <c r="J91" s="1066"/>
      <c r="Q91" s="1062"/>
    </row>
    <row r="92" spans="1:29" x14ac:dyDescent="0.2">
      <c r="A92" s="1067" t="s">
        <v>31</v>
      </c>
      <c r="B92" s="1872" t="s">
        <v>49</v>
      </c>
      <c r="C92" s="1872">
        <f t="shared" si="18"/>
        <v>6.679299202349144</v>
      </c>
      <c r="D92" s="1872">
        <v>2</v>
      </c>
      <c r="E92" s="1872">
        <v>3</v>
      </c>
      <c r="F92" s="1872"/>
      <c r="G92" s="1872"/>
      <c r="H92" s="1872"/>
      <c r="I92" s="1873"/>
      <c r="J92" s="1066"/>
      <c r="Q92" s="1062"/>
    </row>
    <row r="93" spans="1:29" x14ac:dyDescent="0.2">
      <c r="A93" s="1067" t="s">
        <v>31</v>
      </c>
      <c r="B93" s="1872" t="s">
        <v>96</v>
      </c>
      <c r="C93" s="1872">
        <f t="shared" si="18"/>
        <v>1.6051802228664596</v>
      </c>
      <c r="D93" s="1872">
        <v>2</v>
      </c>
      <c r="E93" s="1872">
        <v>3</v>
      </c>
      <c r="F93" s="1872"/>
      <c r="G93" s="1872"/>
      <c r="H93" s="1872"/>
      <c r="I93" s="1873"/>
      <c r="J93" s="1066"/>
      <c r="Q93" s="1062"/>
    </row>
    <row r="94" spans="1:29" x14ac:dyDescent="0.2">
      <c r="A94" s="1067" t="s">
        <v>31</v>
      </c>
      <c r="B94" s="1872" t="s">
        <v>51</v>
      </c>
      <c r="C94" s="1872">
        <f t="shared" si="18"/>
        <v>5.2549661831893673</v>
      </c>
      <c r="D94" s="1872">
        <v>2</v>
      </c>
      <c r="E94" s="1872">
        <v>3</v>
      </c>
      <c r="F94" s="1872"/>
      <c r="G94" s="1872"/>
      <c r="H94" s="1872"/>
      <c r="I94" s="1873"/>
      <c r="J94" s="1066"/>
      <c r="Q94" s="1062"/>
    </row>
    <row r="95" spans="1:29" x14ac:dyDescent="0.2">
      <c r="A95" s="1067" t="s">
        <v>31</v>
      </c>
      <c r="B95" s="1872" t="s">
        <v>685</v>
      </c>
      <c r="C95" s="1872">
        <f t="shared" si="18"/>
        <v>1.0001518471727242</v>
      </c>
      <c r="D95" s="1872">
        <v>2</v>
      </c>
      <c r="E95" s="1872">
        <v>3</v>
      </c>
      <c r="F95" s="1872"/>
      <c r="G95" s="1872"/>
      <c r="H95" s="1872"/>
      <c r="I95" s="1873"/>
      <c r="J95" s="1066"/>
      <c r="Q95" s="1062"/>
    </row>
    <row r="96" spans="1:29" x14ac:dyDescent="0.2">
      <c r="A96" s="1067" t="s">
        <v>31</v>
      </c>
      <c r="B96" s="1872" t="s">
        <v>60</v>
      </c>
      <c r="C96" s="1872">
        <f t="shared" si="18"/>
        <v>4.1891565942965538</v>
      </c>
      <c r="D96" s="1872">
        <v>2</v>
      </c>
      <c r="E96" s="1872">
        <v>3</v>
      </c>
      <c r="F96" s="1872"/>
      <c r="G96" s="1872"/>
      <c r="H96" s="1872"/>
      <c r="I96" s="1873"/>
      <c r="J96" s="1066"/>
    </row>
    <row r="97" spans="1:10" ht="16" customHeight="1" x14ac:dyDescent="0.2">
      <c r="A97" s="1067" t="s">
        <v>86</v>
      </c>
      <c r="B97" s="1872" t="s">
        <v>31</v>
      </c>
      <c r="C97" s="1872">
        <f t="shared" si="18"/>
        <v>0</v>
      </c>
      <c r="D97" s="1872">
        <v>2</v>
      </c>
      <c r="E97" s="1872">
        <v>3</v>
      </c>
      <c r="F97" s="1872"/>
      <c r="G97" s="1872"/>
      <c r="H97" s="1872"/>
      <c r="I97" s="1873"/>
      <c r="J97" s="1066"/>
    </row>
    <row r="98" spans="1:10" ht="16" customHeight="1" x14ac:dyDescent="0.2">
      <c r="A98" s="1067" t="s">
        <v>86</v>
      </c>
      <c r="B98" s="1872" t="s">
        <v>86</v>
      </c>
      <c r="C98" s="1872">
        <f t="shared" si="18"/>
        <v>2.250161030626173</v>
      </c>
      <c r="D98" s="1872">
        <v>2</v>
      </c>
      <c r="E98" s="1872">
        <v>3</v>
      </c>
      <c r="F98" s="1872"/>
      <c r="G98" s="1872"/>
      <c r="H98" s="1872"/>
      <c r="I98" s="1873"/>
      <c r="J98" s="1066"/>
    </row>
    <row r="99" spans="1:10" x14ac:dyDescent="0.2">
      <c r="A99" s="1067" t="s">
        <v>86</v>
      </c>
      <c r="B99" s="1872" t="s">
        <v>43</v>
      </c>
      <c r="C99" s="1872">
        <f t="shared" si="18"/>
        <v>0</v>
      </c>
      <c r="D99" s="1872">
        <v>2</v>
      </c>
      <c r="E99" s="1872">
        <v>3</v>
      </c>
      <c r="F99" s="1872"/>
      <c r="G99" s="1872"/>
      <c r="H99" s="1872"/>
      <c r="I99" s="1873"/>
      <c r="J99" s="1066"/>
    </row>
    <row r="100" spans="1:10" x14ac:dyDescent="0.2">
      <c r="A100" s="1067" t="s">
        <v>86</v>
      </c>
      <c r="B100" s="1872" t="s">
        <v>49</v>
      </c>
      <c r="C100" s="1872">
        <f t="shared" si="18"/>
        <v>0</v>
      </c>
      <c r="D100" s="1872">
        <v>2</v>
      </c>
      <c r="E100" s="1872">
        <v>3</v>
      </c>
      <c r="F100" s="1872"/>
      <c r="G100" s="1872"/>
      <c r="H100" s="1872"/>
      <c r="I100" s="1873"/>
      <c r="J100" s="1066"/>
    </row>
    <row r="101" spans="1:10" x14ac:dyDescent="0.2">
      <c r="A101" s="1067" t="s">
        <v>86</v>
      </c>
      <c r="B101" s="1872" t="s">
        <v>96</v>
      </c>
      <c r="C101" s="1872">
        <f t="shared" si="18"/>
        <v>0</v>
      </c>
      <c r="D101" s="1872">
        <v>2</v>
      </c>
      <c r="E101" s="1872">
        <v>3</v>
      </c>
      <c r="F101" s="1872"/>
      <c r="G101" s="1872"/>
      <c r="H101" s="1872"/>
      <c r="I101" s="1873"/>
      <c r="J101" s="1066"/>
    </row>
    <row r="102" spans="1:10" x14ac:dyDescent="0.2">
      <c r="A102" s="1067" t="s">
        <v>86</v>
      </c>
      <c r="B102" s="1872" t="s">
        <v>51</v>
      </c>
      <c r="C102" s="1872">
        <f t="shared" si="18"/>
        <v>0</v>
      </c>
      <c r="D102" s="1872">
        <v>2</v>
      </c>
      <c r="E102" s="1872">
        <v>3</v>
      </c>
      <c r="F102" s="1872"/>
      <c r="G102" s="1872"/>
      <c r="H102" s="1872"/>
      <c r="I102" s="1873"/>
      <c r="J102" s="1066"/>
    </row>
    <row r="103" spans="1:10" x14ac:dyDescent="0.2">
      <c r="A103" s="1067" t="s">
        <v>86</v>
      </c>
      <c r="B103" s="1872" t="s">
        <v>685</v>
      </c>
      <c r="C103" s="1872">
        <f t="shared" si="18"/>
        <v>0</v>
      </c>
      <c r="D103" s="1872">
        <v>2</v>
      </c>
      <c r="E103" s="1872">
        <v>3</v>
      </c>
      <c r="F103" s="1872"/>
      <c r="G103" s="1872"/>
      <c r="H103" s="1872"/>
      <c r="I103" s="1873"/>
      <c r="J103" s="1066"/>
    </row>
    <row r="104" spans="1:10" x14ac:dyDescent="0.2">
      <c r="A104" s="1067" t="s">
        <v>86</v>
      </c>
      <c r="B104" s="1872" t="s">
        <v>60</v>
      </c>
      <c r="C104" s="1872">
        <f t="shared" si="18"/>
        <v>0</v>
      </c>
      <c r="D104" s="1872">
        <v>2</v>
      </c>
      <c r="E104" s="1872">
        <v>3</v>
      </c>
      <c r="F104" s="1872"/>
      <c r="G104" s="1872"/>
      <c r="H104" s="1872"/>
      <c r="I104" s="1873"/>
      <c r="J104" s="1066"/>
    </row>
    <row r="105" spans="1:10" ht="16" customHeight="1" x14ac:dyDescent="0.2">
      <c r="A105" s="1067" t="s">
        <v>694</v>
      </c>
      <c r="B105" s="1872" t="s">
        <v>31</v>
      </c>
      <c r="C105" s="1872">
        <f t="shared" si="18"/>
        <v>23.172289374380242</v>
      </c>
      <c r="D105" s="1872">
        <v>1</v>
      </c>
      <c r="E105" s="1872">
        <v>2</v>
      </c>
      <c r="F105" s="1872"/>
      <c r="G105" s="1872"/>
      <c r="H105" s="1872"/>
      <c r="I105" s="1873"/>
      <c r="J105" s="1066"/>
    </row>
    <row r="106" spans="1:10" ht="16" customHeight="1" x14ac:dyDescent="0.2">
      <c r="A106" s="1067" t="s">
        <v>694</v>
      </c>
      <c r="B106" s="1872" t="s">
        <v>86</v>
      </c>
      <c r="C106" s="1872">
        <f t="shared" si="18"/>
        <v>0.73058583083883077</v>
      </c>
      <c r="D106" s="1872">
        <v>1</v>
      </c>
      <c r="E106" s="1872">
        <v>2</v>
      </c>
      <c r="F106" s="1872"/>
      <c r="G106" s="1872"/>
      <c r="H106" s="1872"/>
      <c r="I106" s="1873"/>
      <c r="J106" s="1066"/>
    </row>
    <row r="107" spans="1:10" x14ac:dyDescent="0.2">
      <c r="A107" s="1067" t="s">
        <v>694</v>
      </c>
      <c r="B107" s="1872" t="s">
        <v>43</v>
      </c>
      <c r="C107" s="1872">
        <f t="shared" si="18"/>
        <v>51.32976518842505</v>
      </c>
      <c r="D107" s="1872">
        <v>1</v>
      </c>
      <c r="E107" s="1872">
        <v>2</v>
      </c>
      <c r="F107" s="1872"/>
      <c r="G107" s="1872"/>
      <c r="H107" s="1872"/>
      <c r="I107" s="1873"/>
      <c r="J107" s="1066"/>
    </row>
    <row r="108" spans="1:10" x14ac:dyDescent="0.2">
      <c r="A108" s="1067" t="s">
        <v>694</v>
      </c>
      <c r="B108" s="1872" t="s">
        <v>49</v>
      </c>
      <c r="C108" s="1872">
        <f t="shared" si="18"/>
        <v>68.128196579419054</v>
      </c>
      <c r="D108" s="1872">
        <v>1</v>
      </c>
      <c r="E108" s="1872">
        <v>2</v>
      </c>
      <c r="F108" s="1872"/>
      <c r="G108" s="1872"/>
      <c r="H108" s="1872"/>
      <c r="I108" s="1873"/>
      <c r="J108" s="1066"/>
    </row>
    <row r="109" spans="1:10" x14ac:dyDescent="0.2">
      <c r="A109" s="1067" t="s">
        <v>694</v>
      </c>
      <c r="B109" s="1872" t="s">
        <v>96</v>
      </c>
      <c r="C109" s="1872">
        <f t="shared" si="18"/>
        <v>0.80100189337502326</v>
      </c>
      <c r="D109" s="1872">
        <v>1</v>
      </c>
      <c r="E109" s="1872">
        <v>2</v>
      </c>
      <c r="F109" s="1872"/>
      <c r="G109" s="1872"/>
      <c r="H109" s="1872"/>
      <c r="I109" s="1873"/>
      <c r="J109" s="1066"/>
    </row>
    <row r="110" spans="1:10" x14ac:dyDescent="0.2">
      <c r="A110" s="1067" t="s">
        <v>694</v>
      </c>
      <c r="B110" s="1872" t="s">
        <v>51</v>
      </c>
      <c r="C110" s="1872">
        <f t="shared" si="18"/>
        <v>46.142147867669891</v>
      </c>
      <c r="D110" s="1872">
        <v>1</v>
      </c>
      <c r="E110" s="1872">
        <v>2</v>
      </c>
      <c r="F110" s="1872"/>
      <c r="G110" s="1872"/>
      <c r="H110" s="1872"/>
      <c r="I110" s="1873"/>
      <c r="J110" s="1066"/>
    </row>
    <row r="111" spans="1:10" x14ac:dyDescent="0.2">
      <c r="A111" s="1067" t="s">
        <v>694</v>
      </c>
      <c r="B111" s="1872" t="s">
        <v>685</v>
      </c>
      <c r="C111" s="1872">
        <f t="shared" si="18"/>
        <v>28.878378716435197</v>
      </c>
      <c r="D111" s="1872">
        <v>1</v>
      </c>
      <c r="E111" s="1872">
        <v>2</v>
      </c>
      <c r="F111" s="1872"/>
      <c r="G111" s="1872"/>
      <c r="H111" s="1872"/>
      <c r="I111" s="1873"/>
      <c r="J111" s="1066"/>
    </row>
    <row r="112" spans="1:10" x14ac:dyDescent="0.2">
      <c r="A112" s="1067" t="s">
        <v>694</v>
      </c>
      <c r="B112" s="1872" t="s">
        <v>60</v>
      </c>
      <c r="C112" s="1872">
        <f t="shared" si="18"/>
        <v>27.507073099219262</v>
      </c>
      <c r="D112" s="1872">
        <v>1</v>
      </c>
      <c r="E112" s="1872">
        <v>2</v>
      </c>
      <c r="F112" s="1872"/>
      <c r="G112" s="1872"/>
      <c r="H112" s="1872"/>
      <c r="I112" s="1873"/>
      <c r="J112" s="1066"/>
    </row>
    <row r="113" spans="1:10" x14ac:dyDescent="0.2">
      <c r="A113" s="1067" t="s">
        <v>43</v>
      </c>
      <c r="B113" s="1872" t="s">
        <v>31</v>
      </c>
      <c r="C113" s="1872">
        <f t="shared" si="18"/>
        <v>1.8678035204343055</v>
      </c>
      <c r="D113" s="1872">
        <v>2</v>
      </c>
      <c r="E113" s="1872">
        <v>3</v>
      </c>
      <c r="F113" s="1872"/>
      <c r="G113" s="1872"/>
      <c r="H113" s="1872"/>
      <c r="I113" s="1873"/>
      <c r="J113" s="1066"/>
    </row>
    <row r="114" spans="1:10" x14ac:dyDescent="0.2">
      <c r="A114" s="1067" t="s">
        <v>43</v>
      </c>
      <c r="B114" s="1872" t="s">
        <v>86</v>
      </c>
      <c r="C114" s="1872">
        <f t="shared" si="18"/>
        <v>2.9252351373649176E-3</v>
      </c>
      <c r="D114" s="1872">
        <v>2</v>
      </c>
      <c r="E114" s="1872">
        <v>3</v>
      </c>
      <c r="F114" s="1872"/>
      <c r="G114" s="1872"/>
      <c r="H114" s="1872"/>
      <c r="I114" s="1873"/>
      <c r="J114" s="1066"/>
    </row>
    <row r="115" spans="1:10" x14ac:dyDescent="0.2">
      <c r="A115" s="1067" t="s">
        <v>43</v>
      </c>
      <c r="B115" s="1872" t="s">
        <v>43</v>
      </c>
      <c r="C115" s="1872">
        <f t="shared" si="18"/>
        <v>31.134765985159952</v>
      </c>
      <c r="D115" s="1872">
        <v>2</v>
      </c>
      <c r="E115" s="1872">
        <v>3</v>
      </c>
      <c r="F115" s="1872"/>
      <c r="G115" s="1872"/>
      <c r="H115" s="1872"/>
      <c r="I115" s="1873"/>
      <c r="J115" s="1066"/>
    </row>
    <row r="116" spans="1:10" x14ac:dyDescent="0.2">
      <c r="A116" s="1067" t="s">
        <v>43</v>
      </c>
      <c r="B116" s="1872" t="s">
        <v>49</v>
      </c>
      <c r="C116" s="1872">
        <f t="shared" si="18"/>
        <v>2.0518465178295764</v>
      </c>
      <c r="D116" s="1872">
        <v>2</v>
      </c>
      <c r="E116" s="1872">
        <v>3</v>
      </c>
      <c r="F116" s="1872"/>
      <c r="G116" s="1872"/>
      <c r="H116" s="1872"/>
      <c r="I116" s="1873"/>
      <c r="J116" s="1066"/>
    </row>
    <row r="117" spans="1:10" x14ac:dyDescent="0.2">
      <c r="A117" s="1067" t="s">
        <v>43</v>
      </c>
      <c r="B117" s="1872" t="s">
        <v>96</v>
      </c>
      <c r="C117" s="1872">
        <f t="shared" si="18"/>
        <v>1.7417991116621855E-2</v>
      </c>
      <c r="D117" s="1872">
        <v>2</v>
      </c>
      <c r="E117" s="1872">
        <v>3</v>
      </c>
      <c r="F117" s="1872"/>
      <c r="G117" s="1872"/>
      <c r="H117" s="1872"/>
      <c r="I117" s="1873"/>
      <c r="J117" s="1066"/>
    </row>
    <row r="118" spans="1:10" x14ac:dyDescent="0.2">
      <c r="A118" s="1067" t="s">
        <v>43</v>
      </c>
      <c r="B118" s="1872" t="s">
        <v>51</v>
      </c>
      <c r="C118" s="1872">
        <f t="shared" si="18"/>
        <v>14.750502176077553</v>
      </c>
      <c r="D118" s="1872">
        <v>2</v>
      </c>
      <c r="E118" s="1872">
        <v>3</v>
      </c>
      <c r="F118" s="1872"/>
      <c r="G118" s="1872"/>
      <c r="H118" s="1872"/>
      <c r="I118" s="1873"/>
      <c r="J118" s="1066"/>
    </row>
    <row r="119" spans="1:10" x14ac:dyDescent="0.2">
      <c r="A119" s="1067" t="s">
        <v>43</v>
      </c>
      <c r="B119" s="1872" t="s">
        <v>685</v>
      </c>
      <c r="C119" s="1872">
        <f t="shared" si="18"/>
        <v>35.638882247738245</v>
      </c>
      <c r="D119" s="1872">
        <v>2</v>
      </c>
      <c r="E119" s="1872">
        <v>3</v>
      </c>
      <c r="F119" s="1872"/>
      <c r="G119" s="1872"/>
      <c r="H119" s="1872"/>
      <c r="I119" s="1873"/>
      <c r="J119" s="1066"/>
    </row>
    <row r="120" spans="1:10" x14ac:dyDescent="0.2">
      <c r="A120" s="1067" t="s">
        <v>43</v>
      </c>
      <c r="B120" s="1872" t="s">
        <v>60</v>
      </c>
      <c r="C120" s="1872">
        <f t="shared" si="18"/>
        <v>3.3630747505973413</v>
      </c>
      <c r="D120" s="1872">
        <v>2</v>
      </c>
      <c r="E120" s="1872">
        <v>3</v>
      </c>
      <c r="F120" s="1872"/>
      <c r="G120" s="1872"/>
      <c r="H120" s="1872"/>
      <c r="I120" s="1873"/>
      <c r="J120" s="1066"/>
    </row>
    <row r="121" spans="1:10" x14ac:dyDescent="0.2">
      <c r="A121" s="1067" t="s">
        <v>49</v>
      </c>
      <c r="B121" s="1872" t="s">
        <v>31</v>
      </c>
      <c r="C121" s="1872">
        <f t="shared" si="18"/>
        <v>2.811175288804697</v>
      </c>
      <c r="D121" s="1872">
        <v>2</v>
      </c>
      <c r="E121" s="1872">
        <v>3</v>
      </c>
      <c r="F121" s="1872"/>
      <c r="G121" s="1872"/>
      <c r="H121" s="1872"/>
      <c r="I121" s="1873"/>
      <c r="J121" s="1066"/>
    </row>
    <row r="122" spans="1:10" x14ac:dyDescent="0.2">
      <c r="A122" s="1067" t="s">
        <v>49</v>
      </c>
      <c r="B122" s="1872" t="s">
        <v>86</v>
      </c>
      <c r="C122" s="1872">
        <f t="shared" ref="C122:C153" si="19">+INDEX($A$75:$I$85,MATCH(A122,$A$75:$A$85,0),MATCH(B122,$A$75:$I$75,0))</f>
        <v>0.67132107905289151</v>
      </c>
      <c r="D122" s="1872">
        <v>2</v>
      </c>
      <c r="E122" s="1872">
        <v>3</v>
      </c>
      <c r="F122" s="1872"/>
      <c r="G122" s="1872"/>
      <c r="H122" s="1872"/>
      <c r="I122" s="1873"/>
      <c r="J122" s="1066"/>
    </row>
    <row r="123" spans="1:10" x14ac:dyDescent="0.2">
      <c r="A123" s="1067" t="s">
        <v>49</v>
      </c>
      <c r="B123" s="1872" t="s">
        <v>43</v>
      </c>
      <c r="C123" s="1872">
        <f t="shared" si="19"/>
        <v>21.87960134445429</v>
      </c>
      <c r="D123" s="1872">
        <v>2</v>
      </c>
      <c r="E123" s="1872">
        <v>3</v>
      </c>
      <c r="F123" s="1872"/>
      <c r="G123" s="1872"/>
      <c r="H123" s="1872"/>
      <c r="I123" s="1873"/>
      <c r="J123" s="1066"/>
    </row>
    <row r="124" spans="1:10" x14ac:dyDescent="0.2">
      <c r="A124" s="1067" t="s">
        <v>49</v>
      </c>
      <c r="B124" s="1872" t="s">
        <v>49</v>
      </c>
      <c r="C124" s="1872">
        <f t="shared" si="19"/>
        <v>27.945927660099613</v>
      </c>
      <c r="D124" s="1872">
        <v>2</v>
      </c>
      <c r="E124" s="1872">
        <v>3</v>
      </c>
      <c r="F124" s="1872"/>
      <c r="G124" s="1872"/>
      <c r="H124" s="1872"/>
      <c r="I124" s="1873"/>
      <c r="J124" s="1066"/>
    </row>
    <row r="125" spans="1:10" x14ac:dyDescent="0.2">
      <c r="A125" s="1067" t="s">
        <v>49</v>
      </c>
      <c r="B125" s="1872" t="s">
        <v>96</v>
      </c>
      <c r="C125" s="1872">
        <f t="shared" si="19"/>
        <v>2.5901213210962979</v>
      </c>
      <c r="D125" s="1872">
        <v>2</v>
      </c>
      <c r="E125" s="1872">
        <v>3</v>
      </c>
      <c r="F125" s="1872"/>
      <c r="G125" s="1872"/>
      <c r="H125" s="1872"/>
      <c r="I125" s="1873"/>
      <c r="J125" s="1066"/>
    </row>
    <row r="126" spans="1:10" x14ac:dyDescent="0.2">
      <c r="A126" s="1067" t="s">
        <v>49</v>
      </c>
      <c r="B126" s="1872" t="s">
        <v>51</v>
      </c>
      <c r="C126" s="1872">
        <f t="shared" si="19"/>
        <v>9.1914755637090391</v>
      </c>
      <c r="D126" s="1872">
        <v>2</v>
      </c>
      <c r="E126" s="1872">
        <v>3</v>
      </c>
      <c r="F126" s="1872"/>
      <c r="G126" s="1872"/>
      <c r="H126" s="1872"/>
      <c r="I126" s="1873"/>
      <c r="J126" s="1066"/>
    </row>
    <row r="127" spans="1:10" x14ac:dyDescent="0.2">
      <c r="A127" s="1067" t="s">
        <v>49</v>
      </c>
      <c r="B127" s="1872" t="s">
        <v>685</v>
      </c>
      <c r="C127" s="1872">
        <f t="shared" si="19"/>
        <v>15.147836274263351</v>
      </c>
      <c r="D127" s="1872">
        <v>2</v>
      </c>
      <c r="E127" s="1872">
        <v>3</v>
      </c>
      <c r="F127" s="1872"/>
      <c r="G127" s="1872"/>
      <c r="H127" s="1872"/>
      <c r="I127" s="1873"/>
      <c r="J127" s="1066"/>
    </row>
    <row r="128" spans="1:10" x14ac:dyDescent="0.2">
      <c r="A128" s="1067" t="s">
        <v>49</v>
      </c>
      <c r="B128" s="1872" t="s">
        <v>60</v>
      </c>
      <c r="C128" s="1872">
        <f t="shared" si="19"/>
        <v>7.4405140270699954</v>
      </c>
      <c r="D128" s="1872">
        <v>2</v>
      </c>
      <c r="E128" s="1872">
        <v>3</v>
      </c>
      <c r="F128" s="1872"/>
      <c r="G128" s="1872"/>
      <c r="H128" s="1872"/>
      <c r="I128" s="1873"/>
      <c r="J128" s="1066"/>
    </row>
    <row r="129" spans="1:10" x14ac:dyDescent="0.2">
      <c r="A129" s="1067" t="s">
        <v>96</v>
      </c>
      <c r="B129" s="1872" t="s">
        <v>31</v>
      </c>
      <c r="C129" s="1872">
        <f t="shared" si="19"/>
        <v>0</v>
      </c>
      <c r="D129" s="1872">
        <v>2</v>
      </c>
      <c r="E129" s="1872">
        <v>3</v>
      </c>
      <c r="F129" s="1872"/>
      <c r="G129" s="1872"/>
      <c r="H129" s="1872"/>
      <c r="I129" s="1873"/>
      <c r="J129" s="1066"/>
    </row>
    <row r="130" spans="1:10" ht="16" customHeight="1" x14ac:dyDescent="0.2">
      <c r="A130" s="1067" t="s">
        <v>96</v>
      </c>
      <c r="B130" s="1872" t="s">
        <v>86</v>
      </c>
      <c r="C130" s="1872">
        <f t="shared" si="19"/>
        <v>0</v>
      </c>
      <c r="D130" s="1872">
        <v>2</v>
      </c>
      <c r="E130" s="1872">
        <v>3</v>
      </c>
      <c r="F130" s="1872"/>
      <c r="G130" s="1872"/>
      <c r="H130" s="1872"/>
      <c r="I130" s="1873"/>
      <c r="J130" s="1066"/>
    </row>
    <row r="131" spans="1:10" ht="16" customHeight="1" x14ac:dyDescent="0.2">
      <c r="A131" s="1067" t="s">
        <v>96</v>
      </c>
      <c r="B131" s="1872" t="s">
        <v>43</v>
      </c>
      <c r="C131" s="1872">
        <f t="shared" si="19"/>
        <v>0</v>
      </c>
      <c r="D131" s="1872">
        <v>2</v>
      </c>
      <c r="E131" s="1872">
        <v>3</v>
      </c>
      <c r="F131" s="1872"/>
      <c r="G131" s="1872"/>
      <c r="H131" s="1872"/>
      <c r="I131" s="1873"/>
      <c r="J131" s="1066"/>
    </row>
    <row r="132" spans="1:10" x14ac:dyDescent="0.2">
      <c r="A132" s="1067" t="s">
        <v>96</v>
      </c>
      <c r="B132" s="1872" t="s">
        <v>49</v>
      </c>
      <c r="C132" s="1872">
        <f t="shared" si="19"/>
        <v>0</v>
      </c>
      <c r="D132" s="1872">
        <v>2</v>
      </c>
      <c r="E132" s="1872">
        <v>3</v>
      </c>
      <c r="F132" s="1872"/>
      <c r="G132" s="1872"/>
      <c r="H132" s="1872"/>
      <c r="I132" s="1873"/>
      <c r="J132" s="1066"/>
    </row>
    <row r="133" spans="1:10" x14ac:dyDescent="0.2">
      <c r="A133" s="1067" t="s">
        <v>96</v>
      </c>
      <c r="B133" s="1872" t="s">
        <v>96</v>
      </c>
      <c r="C133" s="1872">
        <f t="shared" si="19"/>
        <v>4.3028063588420062</v>
      </c>
      <c r="D133" s="1872">
        <v>2</v>
      </c>
      <c r="E133" s="1872">
        <v>3</v>
      </c>
      <c r="F133" s="1872"/>
      <c r="G133" s="1872"/>
      <c r="H133" s="1872"/>
      <c r="I133" s="1873"/>
      <c r="J133" s="1066"/>
    </row>
    <row r="134" spans="1:10" x14ac:dyDescent="0.2">
      <c r="A134" s="1067" t="s">
        <v>96</v>
      </c>
      <c r="B134" s="1872" t="s">
        <v>51</v>
      </c>
      <c r="C134" s="1872">
        <f t="shared" si="19"/>
        <v>0</v>
      </c>
      <c r="D134" s="1872">
        <v>2</v>
      </c>
      <c r="E134" s="1872">
        <v>3</v>
      </c>
      <c r="F134" s="1872"/>
      <c r="G134" s="1872"/>
      <c r="H134" s="1872"/>
      <c r="I134" s="1873"/>
      <c r="J134" s="1066"/>
    </row>
    <row r="135" spans="1:10" x14ac:dyDescent="0.2">
      <c r="A135" s="1067" t="s">
        <v>96</v>
      </c>
      <c r="B135" s="1872" t="s">
        <v>685</v>
      </c>
      <c r="C135" s="1872">
        <f t="shared" si="19"/>
        <v>0</v>
      </c>
      <c r="D135" s="1872">
        <v>2</v>
      </c>
      <c r="E135" s="1872">
        <v>3</v>
      </c>
      <c r="F135" s="1872"/>
      <c r="G135" s="1872"/>
      <c r="H135" s="1872"/>
      <c r="I135" s="1873"/>
      <c r="J135" s="1066"/>
    </row>
    <row r="136" spans="1:10" x14ac:dyDescent="0.2">
      <c r="A136" s="1067" t="s">
        <v>96</v>
      </c>
      <c r="B136" s="1872" t="s">
        <v>60</v>
      </c>
      <c r="C136" s="1872">
        <f t="shared" si="19"/>
        <v>0</v>
      </c>
      <c r="D136" s="1872">
        <v>2</v>
      </c>
      <c r="E136" s="1872">
        <v>3</v>
      </c>
      <c r="F136" s="1872"/>
      <c r="G136" s="1872"/>
      <c r="H136" s="1872"/>
      <c r="I136" s="1873"/>
      <c r="J136" s="1066"/>
    </row>
    <row r="137" spans="1:10" x14ac:dyDescent="0.2">
      <c r="A137" s="1067" t="s">
        <v>51</v>
      </c>
      <c r="B137" s="1872" t="s">
        <v>31</v>
      </c>
      <c r="C137" s="1872">
        <f t="shared" si="19"/>
        <v>6.1805194000842514</v>
      </c>
      <c r="D137" s="1872">
        <v>2</v>
      </c>
      <c r="E137" s="1872">
        <v>3</v>
      </c>
      <c r="F137" s="1872"/>
      <c r="G137" s="1872"/>
      <c r="H137" s="1872"/>
      <c r="I137" s="1873"/>
      <c r="J137" s="1066"/>
    </row>
    <row r="138" spans="1:10" x14ac:dyDescent="0.2">
      <c r="A138" s="1067" t="s">
        <v>51</v>
      </c>
      <c r="B138" s="1872" t="s">
        <v>86</v>
      </c>
      <c r="C138" s="1872">
        <f t="shared" si="19"/>
        <v>1.325982537590664E-2</v>
      </c>
      <c r="D138" s="1872">
        <v>2</v>
      </c>
      <c r="E138" s="1872">
        <v>3</v>
      </c>
      <c r="F138" s="1872"/>
      <c r="G138" s="1872"/>
      <c r="H138" s="1872"/>
      <c r="I138" s="1873"/>
      <c r="J138" s="1066"/>
    </row>
    <row r="139" spans="1:10" x14ac:dyDescent="0.2">
      <c r="A139" s="1067" t="s">
        <v>51</v>
      </c>
      <c r="B139" s="1872" t="s">
        <v>43</v>
      </c>
      <c r="C139" s="1872">
        <f t="shared" si="19"/>
        <v>7.4791324262739529</v>
      </c>
      <c r="D139" s="1872">
        <v>2</v>
      </c>
      <c r="E139" s="1872">
        <v>3</v>
      </c>
      <c r="F139" s="1872"/>
      <c r="G139" s="1872"/>
      <c r="H139" s="1872"/>
      <c r="I139" s="1873"/>
      <c r="J139" s="1066"/>
    </row>
    <row r="140" spans="1:10" x14ac:dyDescent="0.2">
      <c r="A140" s="1067" t="s">
        <v>51</v>
      </c>
      <c r="B140" s="1872" t="s">
        <v>49</v>
      </c>
      <c r="C140" s="1872">
        <f t="shared" si="19"/>
        <v>3.0895876812526728</v>
      </c>
      <c r="D140" s="1872">
        <v>2</v>
      </c>
      <c r="E140" s="1872">
        <v>3</v>
      </c>
      <c r="F140" s="1872"/>
      <c r="G140" s="1872"/>
      <c r="H140" s="1872"/>
      <c r="I140" s="1873"/>
      <c r="J140" s="1066"/>
    </row>
    <row r="141" spans="1:10" x14ac:dyDescent="0.2">
      <c r="A141" s="1067" t="s">
        <v>51</v>
      </c>
      <c r="B141" s="1872" t="s">
        <v>96</v>
      </c>
      <c r="C141" s="1872">
        <f t="shared" si="19"/>
        <v>2.3268524573671675E-2</v>
      </c>
      <c r="D141" s="1872">
        <v>2</v>
      </c>
      <c r="E141" s="1872">
        <v>3</v>
      </c>
      <c r="F141" s="1872"/>
      <c r="G141" s="1872"/>
      <c r="H141" s="1872"/>
      <c r="I141" s="1873"/>
      <c r="J141" s="1066"/>
    </row>
    <row r="142" spans="1:10" x14ac:dyDescent="0.2">
      <c r="A142" s="1067" t="s">
        <v>51</v>
      </c>
      <c r="B142" s="1872" t="s">
        <v>51</v>
      </c>
      <c r="C142" s="1872">
        <f t="shared" si="19"/>
        <v>15.079964821642175</v>
      </c>
      <c r="D142" s="1872">
        <v>2</v>
      </c>
      <c r="E142" s="1872">
        <v>3</v>
      </c>
      <c r="F142" s="1872"/>
      <c r="G142" s="1872"/>
      <c r="H142" s="1872"/>
      <c r="I142" s="1873"/>
      <c r="J142" s="1066"/>
    </row>
    <row r="143" spans="1:10" x14ac:dyDescent="0.2">
      <c r="A143" s="1067" t="s">
        <v>51</v>
      </c>
      <c r="B143" s="1872" t="s">
        <v>685</v>
      </c>
      <c r="C143" s="1872">
        <f t="shared" si="19"/>
        <v>24.319739020622738</v>
      </c>
      <c r="D143" s="1872">
        <v>2</v>
      </c>
      <c r="E143" s="1872">
        <v>3</v>
      </c>
      <c r="F143" s="1872"/>
      <c r="G143" s="1872"/>
      <c r="H143" s="1872"/>
      <c r="I143" s="1873"/>
      <c r="J143" s="1066"/>
    </row>
    <row r="144" spans="1:10" x14ac:dyDescent="0.2">
      <c r="A144" s="1067" t="s">
        <v>51</v>
      </c>
      <c r="B144" s="1872" t="s">
        <v>60</v>
      </c>
      <c r="C144" s="1872">
        <f t="shared" si="19"/>
        <v>18.081045131406011</v>
      </c>
      <c r="D144" s="1872">
        <v>2</v>
      </c>
      <c r="E144" s="1872">
        <v>3</v>
      </c>
      <c r="F144" s="1872"/>
      <c r="G144" s="1872"/>
      <c r="H144" s="1872"/>
      <c r="I144" s="1873"/>
      <c r="J144" s="1066"/>
    </row>
    <row r="145" spans="1:10" x14ac:dyDescent="0.2">
      <c r="A145" s="1067" t="s">
        <v>695</v>
      </c>
      <c r="B145" s="1872" t="s">
        <v>31</v>
      </c>
      <c r="C145" s="1872">
        <f t="shared" si="19"/>
        <v>10.581605208170615</v>
      </c>
      <c r="D145" s="1872">
        <v>1</v>
      </c>
      <c r="E145" s="1872">
        <v>2</v>
      </c>
      <c r="F145" s="1872"/>
      <c r="G145" s="1872"/>
      <c r="H145" s="1872"/>
      <c r="I145" s="1873"/>
      <c r="J145" s="1066"/>
    </row>
    <row r="146" spans="1:10" x14ac:dyDescent="0.2">
      <c r="A146" s="1067" t="s">
        <v>695</v>
      </c>
      <c r="B146" s="1872" t="s">
        <v>86</v>
      </c>
      <c r="C146" s="1872">
        <f t="shared" si="19"/>
        <v>1.51880111593707</v>
      </c>
      <c r="D146" s="1872">
        <v>1</v>
      </c>
      <c r="E146" s="1872">
        <v>2</v>
      </c>
      <c r="F146" s="1872"/>
      <c r="G146" s="1872"/>
      <c r="H146" s="1872"/>
      <c r="I146" s="1873"/>
      <c r="J146" s="1066"/>
    </row>
    <row r="147" spans="1:10" x14ac:dyDescent="0.2">
      <c r="A147" s="1067" t="s">
        <v>695</v>
      </c>
      <c r="B147" s="1872" t="s">
        <v>43</v>
      </c>
      <c r="C147" s="1872">
        <f t="shared" si="19"/>
        <v>37.466895549211095</v>
      </c>
      <c r="D147" s="1872">
        <v>1</v>
      </c>
      <c r="E147" s="1872">
        <v>2</v>
      </c>
      <c r="F147" s="1872"/>
      <c r="G147" s="1872"/>
      <c r="H147" s="1872"/>
      <c r="I147" s="1873"/>
      <c r="J147" s="1066"/>
    </row>
    <row r="148" spans="1:10" x14ac:dyDescent="0.2">
      <c r="A148" s="1067" t="s">
        <v>695</v>
      </c>
      <c r="B148" s="1872" t="s">
        <v>49</v>
      </c>
      <c r="C148" s="1872">
        <f t="shared" si="19"/>
        <v>19.519613647787541</v>
      </c>
      <c r="D148" s="1872">
        <v>1</v>
      </c>
      <c r="E148" s="1872">
        <v>2</v>
      </c>
      <c r="F148" s="1872"/>
      <c r="G148" s="1872"/>
      <c r="H148" s="1872"/>
      <c r="I148" s="1873"/>
      <c r="J148" s="1066"/>
    </row>
    <row r="149" spans="1:10" x14ac:dyDescent="0.2">
      <c r="A149" s="1067" t="s">
        <v>695</v>
      </c>
      <c r="B149" s="1872" t="s">
        <v>96</v>
      </c>
      <c r="C149" s="1872">
        <f t="shared" si="19"/>
        <v>3.500324245665869</v>
      </c>
      <c r="D149" s="1872">
        <v>1</v>
      </c>
      <c r="E149" s="1872">
        <v>2</v>
      </c>
      <c r="F149" s="1872"/>
      <c r="G149" s="1872"/>
      <c r="H149" s="1872"/>
      <c r="I149" s="1873"/>
      <c r="J149" s="1066"/>
    </row>
    <row r="150" spans="1:10" x14ac:dyDescent="0.2">
      <c r="A150" s="1067" t="s">
        <v>695</v>
      </c>
      <c r="B150" s="1872" t="s">
        <v>51</v>
      </c>
      <c r="C150" s="1872">
        <f t="shared" si="19"/>
        <v>28.098820342590567</v>
      </c>
      <c r="D150" s="1872">
        <v>1</v>
      </c>
      <c r="E150" s="1872">
        <v>2</v>
      </c>
      <c r="F150" s="1872"/>
      <c r="G150" s="1872"/>
      <c r="H150" s="1872"/>
      <c r="I150" s="1873"/>
      <c r="J150" s="1066"/>
    </row>
    <row r="151" spans="1:10" x14ac:dyDescent="0.2">
      <c r="A151" s="1067" t="s">
        <v>695</v>
      </c>
      <c r="B151" s="1872" t="s">
        <v>685</v>
      </c>
      <c r="C151" s="1872">
        <f t="shared" si="19"/>
        <v>246.29534806732627</v>
      </c>
      <c r="D151" s="1872">
        <v>1</v>
      </c>
      <c r="E151" s="1872">
        <v>2</v>
      </c>
      <c r="F151" s="1872"/>
      <c r="G151" s="1872"/>
      <c r="H151" s="1872"/>
      <c r="I151" s="1873"/>
      <c r="J151" s="1066"/>
    </row>
    <row r="152" spans="1:10" x14ac:dyDescent="0.2">
      <c r="A152" s="1067" t="s">
        <v>695</v>
      </c>
      <c r="B152" s="1872" t="s">
        <v>60</v>
      </c>
      <c r="C152" s="1872">
        <f t="shared" si="19"/>
        <v>22.578712525969269</v>
      </c>
      <c r="D152" s="1872">
        <v>1</v>
      </c>
      <c r="E152" s="1872">
        <v>2</v>
      </c>
      <c r="F152" s="1872"/>
      <c r="G152" s="1872"/>
      <c r="H152" s="1872"/>
      <c r="I152" s="1873"/>
      <c r="J152" s="1066"/>
    </row>
    <row r="153" spans="1:10" x14ac:dyDescent="0.2">
      <c r="A153" s="1067" t="s">
        <v>685</v>
      </c>
      <c r="B153" s="1872" t="s">
        <v>31</v>
      </c>
      <c r="C153" s="1872">
        <f t="shared" si="19"/>
        <v>0</v>
      </c>
      <c r="D153" s="1872">
        <v>2</v>
      </c>
      <c r="E153" s="1872">
        <v>3</v>
      </c>
      <c r="F153" s="1872"/>
      <c r="G153" s="1872"/>
      <c r="H153" s="1872"/>
      <c r="I153" s="1873"/>
      <c r="J153" s="1066"/>
    </row>
    <row r="154" spans="1:10" x14ac:dyDescent="0.2">
      <c r="A154" s="1067" t="s">
        <v>685</v>
      </c>
      <c r="B154" s="1872" t="s">
        <v>86</v>
      </c>
      <c r="C154" s="1872">
        <f t="shared" ref="C154:C168" si="20">+INDEX($A$75:$I$85,MATCH(A154,$A$75:$A$85,0),MATCH(B154,$A$75:$I$75,0))</f>
        <v>0.76139875374487964</v>
      </c>
      <c r="D154" s="1872">
        <v>2</v>
      </c>
      <c r="E154" s="1872">
        <v>3</v>
      </c>
      <c r="F154" s="1872"/>
      <c r="G154" s="1872"/>
      <c r="H154" s="1872"/>
      <c r="I154" s="1873"/>
      <c r="J154" s="1066"/>
    </row>
    <row r="155" spans="1:10" ht="16" customHeight="1" x14ac:dyDescent="0.2">
      <c r="A155" s="1067" t="s">
        <v>685</v>
      </c>
      <c r="B155" s="1872" t="s">
        <v>43</v>
      </c>
      <c r="C155" s="1872">
        <f t="shared" si="20"/>
        <v>24.592904468682796</v>
      </c>
      <c r="D155" s="1872">
        <v>2</v>
      </c>
      <c r="E155" s="1872">
        <v>3</v>
      </c>
      <c r="F155" s="1872"/>
      <c r="G155" s="1872"/>
      <c r="H155" s="1872"/>
      <c r="I155" s="1873"/>
      <c r="J155" s="1066"/>
    </row>
    <row r="156" spans="1:10" ht="16" customHeight="1" x14ac:dyDescent="0.2">
      <c r="A156" s="1067" t="s">
        <v>685</v>
      </c>
      <c r="B156" s="1872" t="s">
        <v>49</v>
      </c>
      <c r="C156" s="1872">
        <f t="shared" si="20"/>
        <v>0</v>
      </c>
      <c r="D156" s="1872">
        <v>2</v>
      </c>
      <c r="E156" s="1872">
        <v>3</v>
      </c>
      <c r="F156" s="1872"/>
      <c r="G156" s="1872"/>
      <c r="H156" s="1872"/>
      <c r="I156" s="1873"/>
      <c r="J156" s="1066"/>
    </row>
    <row r="157" spans="1:10" x14ac:dyDescent="0.2">
      <c r="A157" s="1067" t="s">
        <v>685</v>
      </c>
      <c r="B157" s="1872" t="s">
        <v>96</v>
      </c>
      <c r="C157" s="1872">
        <f t="shared" si="20"/>
        <v>3.2192406326817502</v>
      </c>
      <c r="D157" s="1872">
        <v>2</v>
      </c>
      <c r="E157" s="1872">
        <v>3</v>
      </c>
      <c r="F157" s="1872"/>
      <c r="G157" s="1872"/>
      <c r="H157" s="1872"/>
      <c r="I157" s="1873"/>
      <c r="J157" s="1066"/>
    </row>
    <row r="158" spans="1:10" x14ac:dyDescent="0.2">
      <c r="A158" s="1067" t="s">
        <v>685</v>
      </c>
      <c r="B158" s="1872" t="s">
        <v>51</v>
      </c>
      <c r="C158" s="1872">
        <f t="shared" si="20"/>
        <v>4.6292354839568999</v>
      </c>
      <c r="D158" s="1872">
        <v>2</v>
      </c>
      <c r="E158" s="1872">
        <v>3</v>
      </c>
      <c r="F158" s="1872"/>
      <c r="G158" s="1872"/>
      <c r="H158" s="1872"/>
      <c r="I158" s="1873"/>
      <c r="J158" s="1066"/>
    </row>
    <row r="159" spans="1:10" x14ac:dyDescent="0.2">
      <c r="A159" s="1067" t="s">
        <v>685</v>
      </c>
      <c r="B159" s="1872" t="s">
        <v>685</v>
      </c>
      <c r="C159" s="1872">
        <f t="shared" si="20"/>
        <v>242.06564326313932</v>
      </c>
      <c r="D159" s="1872">
        <v>2</v>
      </c>
      <c r="E159" s="1872">
        <v>3</v>
      </c>
      <c r="F159" s="1872"/>
      <c r="G159" s="1872"/>
      <c r="H159" s="1872"/>
      <c r="I159" s="1873"/>
      <c r="J159" s="1066"/>
    </row>
    <row r="160" spans="1:10" x14ac:dyDescent="0.2">
      <c r="A160" s="1067" t="s">
        <v>685</v>
      </c>
      <c r="B160" s="1872" t="s">
        <v>60</v>
      </c>
      <c r="C160" s="1872">
        <f t="shared" si="20"/>
        <v>0</v>
      </c>
      <c r="D160" s="1872">
        <v>2</v>
      </c>
      <c r="E160" s="1872">
        <v>3</v>
      </c>
      <c r="F160" s="1872"/>
      <c r="G160" s="1872"/>
      <c r="H160" s="1872"/>
      <c r="I160" s="1873"/>
      <c r="J160" s="1066"/>
    </row>
    <row r="161" spans="1:10" x14ac:dyDescent="0.2">
      <c r="A161" s="1067" t="s">
        <v>60</v>
      </c>
      <c r="B161" s="1872" t="s">
        <v>31</v>
      </c>
      <c r="C161" s="1872">
        <f t="shared" si="20"/>
        <v>1.8031514849845134</v>
      </c>
      <c r="D161" s="1872">
        <v>2</v>
      </c>
      <c r="E161" s="1872">
        <v>3</v>
      </c>
      <c r="F161" s="1872"/>
      <c r="G161" s="1872"/>
      <c r="H161" s="1872"/>
      <c r="I161" s="1873"/>
      <c r="J161" s="1066"/>
    </row>
    <row r="162" spans="1:10" x14ac:dyDescent="0.2">
      <c r="A162" s="1067" t="s">
        <v>60</v>
      </c>
      <c r="B162" s="1872" t="s">
        <v>86</v>
      </c>
      <c r="C162" s="1872">
        <f t="shared" si="20"/>
        <v>0.1381468697340576</v>
      </c>
      <c r="D162" s="1872">
        <v>2</v>
      </c>
      <c r="E162" s="1872">
        <v>3</v>
      </c>
      <c r="F162" s="1872"/>
      <c r="G162" s="1872"/>
      <c r="H162" s="1872"/>
      <c r="I162" s="1873"/>
      <c r="J162" s="1066"/>
    </row>
    <row r="163" spans="1:10" x14ac:dyDescent="0.2">
      <c r="A163" s="1067" t="s">
        <v>60</v>
      </c>
      <c r="B163" s="1872" t="s">
        <v>43</v>
      </c>
      <c r="C163" s="1872">
        <f t="shared" si="20"/>
        <v>7.033266083706109</v>
      </c>
      <c r="D163" s="1872">
        <v>2</v>
      </c>
      <c r="E163" s="1872">
        <v>3</v>
      </c>
      <c r="F163" s="1872"/>
      <c r="G163" s="1872"/>
      <c r="H163" s="1872"/>
      <c r="I163" s="1873"/>
      <c r="J163" s="1066"/>
    </row>
    <row r="164" spans="1:10" x14ac:dyDescent="0.2">
      <c r="A164" s="1067" t="s">
        <v>60</v>
      </c>
      <c r="B164" s="1872" t="s">
        <v>49</v>
      </c>
      <c r="C164" s="1872">
        <f t="shared" si="20"/>
        <v>7.0329111243247073</v>
      </c>
      <c r="D164" s="1872">
        <v>2</v>
      </c>
      <c r="E164" s="1872">
        <v>3</v>
      </c>
      <c r="F164" s="1872"/>
      <c r="G164" s="1872"/>
      <c r="H164" s="1872"/>
      <c r="I164" s="1873"/>
      <c r="J164" s="1066"/>
    </row>
    <row r="165" spans="1:10" x14ac:dyDescent="0.2">
      <c r="A165" s="1067" t="s">
        <v>60</v>
      </c>
      <c r="B165" s="1872" t="s">
        <v>96</v>
      </c>
      <c r="C165" s="1872">
        <f t="shared" si="20"/>
        <v>0.56939190698627706</v>
      </c>
      <c r="D165" s="1872">
        <v>2</v>
      </c>
      <c r="E165" s="1872">
        <v>3</v>
      </c>
      <c r="F165" s="1872"/>
      <c r="G165" s="1872"/>
      <c r="H165" s="1872"/>
      <c r="I165" s="1873"/>
      <c r="J165" s="1066"/>
    </row>
    <row r="166" spans="1:10" x14ac:dyDescent="0.2">
      <c r="A166" s="1067" t="s">
        <v>60</v>
      </c>
      <c r="B166" s="1872" t="s">
        <v>51</v>
      </c>
      <c r="C166" s="1872">
        <f t="shared" si="20"/>
        <v>8.4472200589450441</v>
      </c>
      <c r="D166" s="1872">
        <v>2</v>
      </c>
      <c r="E166" s="1872">
        <v>3</v>
      </c>
      <c r="F166" s="1872"/>
      <c r="G166" s="1872"/>
      <c r="H166" s="1872"/>
      <c r="I166" s="1873"/>
      <c r="J166" s="1066"/>
    </row>
    <row r="167" spans="1:10" x14ac:dyDescent="0.2">
      <c r="A167" s="1067" t="s">
        <v>60</v>
      </c>
      <c r="B167" s="1872" t="s">
        <v>685</v>
      </c>
      <c r="C167" s="1872">
        <f t="shared" si="20"/>
        <v>0</v>
      </c>
      <c r="D167" s="1872">
        <v>2</v>
      </c>
      <c r="E167" s="1872">
        <v>3</v>
      </c>
      <c r="F167" s="1872"/>
      <c r="G167" s="1872"/>
      <c r="H167" s="1872"/>
      <c r="I167" s="1873"/>
      <c r="J167" s="1066"/>
    </row>
    <row r="168" spans="1:10" x14ac:dyDescent="0.2">
      <c r="A168" s="1067" t="s">
        <v>60</v>
      </c>
      <c r="B168" s="1872" t="s">
        <v>60</v>
      </c>
      <c r="C168" s="1872">
        <f t="shared" si="20"/>
        <v>25.078934169579298</v>
      </c>
      <c r="D168" s="1872">
        <v>2</v>
      </c>
      <c r="E168" s="1872">
        <v>3</v>
      </c>
      <c r="F168" s="1872"/>
      <c r="G168" s="1872"/>
      <c r="H168" s="1872"/>
      <c r="I168" s="1873"/>
      <c r="J168" s="1066"/>
    </row>
    <row r="169" spans="1:10" x14ac:dyDescent="0.2">
      <c r="A169" s="1067"/>
      <c r="B169" s="1872"/>
      <c r="C169" s="1872"/>
      <c r="D169" s="1872"/>
      <c r="E169" s="1872"/>
      <c r="F169" s="1872"/>
      <c r="G169" s="1872"/>
      <c r="H169" s="1872"/>
      <c r="I169" s="1873"/>
      <c r="J169" s="1066"/>
    </row>
    <row r="170" spans="1:10" ht="15" x14ac:dyDescent="0.2">
      <c r="A170" s="2309" t="s">
        <v>689</v>
      </c>
      <c r="B170" s="2310"/>
      <c r="C170" s="2310"/>
      <c r="D170" s="2310"/>
      <c r="E170" s="2310"/>
      <c r="F170" s="2310"/>
      <c r="G170" s="2310"/>
      <c r="H170" s="2310"/>
      <c r="I170" s="2310"/>
      <c r="J170" s="1066"/>
    </row>
    <row r="171" spans="1:10" ht="17" x14ac:dyDescent="0.2">
      <c r="A171" s="1069" t="s">
        <v>691</v>
      </c>
      <c r="B171" s="1910" t="s">
        <v>31</v>
      </c>
      <c r="C171" s="1910" t="s">
        <v>86</v>
      </c>
      <c r="D171" s="1910" t="s">
        <v>43</v>
      </c>
      <c r="E171" s="1910" t="s">
        <v>49</v>
      </c>
      <c r="F171" s="1910" t="s">
        <v>96</v>
      </c>
      <c r="G171" s="1910" t="s">
        <v>51</v>
      </c>
      <c r="H171" s="1910" t="s">
        <v>60</v>
      </c>
      <c r="I171" s="1874" t="s">
        <v>685</v>
      </c>
      <c r="J171" s="1066"/>
    </row>
    <row r="172" spans="1:10" x14ac:dyDescent="0.2">
      <c r="A172" s="1067" t="s">
        <v>31</v>
      </c>
      <c r="B172" s="1883">
        <f>1-SUM(C172:I172)</f>
        <v>1.3156054921771854E-2</v>
      </c>
      <c r="C172" s="1883">
        <f t="shared" ref="C172:I172" si="21">+(C62/$C9)</f>
        <v>1.1350097129326076E-2</v>
      </c>
      <c r="D172" s="1883">
        <f t="shared" si="21"/>
        <v>0.42082270990149789</v>
      </c>
      <c r="E172" s="1883">
        <f t="shared" si="21"/>
        <v>0.19781425288944915</v>
      </c>
      <c r="F172" s="1883">
        <f t="shared" si="21"/>
        <v>4.7539048172534647E-2</v>
      </c>
      <c r="G172" s="1883">
        <f t="shared" si="21"/>
        <v>0.15563117895981135</v>
      </c>
      <c r="H172" s="1883">
        <f t="shared" si="21"/>
        <v>0.12406614179616818</v>
      </c>
      <c r="I172" s="1883">
        <f t="shared" si="21"/>
        <v>2.9620516229440969E-2</v>
      </c>
      <c r="J172" s="1066"/>
    </row>
    <row r="173" spans="1:10" x14ac:dyDescent="0.2">
      <c r="A173" s="1067" t="s">
        <v>86</v>
      </c>
      <c r="B173" s="1883">
        <f t="shared" ref="B173:B179" si="22">+(B63/$C10)</f>
        <v>0</v>
      </c>
      <c r="C173" s="1883">
        <f>1-SUM(D173:I173)</f>
        <v>1</v>
      </c>
      <c r="D173" s="1883">
        <f t="shared" ref="D173:I173" si="23">+(D63/$C10)</f>
        <v>0</v>
      </c>
      <c r="E173" s="1883">
        <f t="shared" si="23"/>
        <v>0</v>
      </c>
      <c r="F173" s="1883">
        <f t="shared" si="23"/>
        <v>0</v>
      </c>
      <c r="G173" s="1883">
        <f t="shared" si="23"/>
        <v>0</v>
      </c>
      <c r="H173" s="1883">
        <f t="shared" si="23"/>
        <v>0</v>
      </c>
      <c r="I173" s="1883">
        <f t="shared" si="23"/>
        <v>0</v>
      </c>
      <c r="J173" s="1066"/>
    </row>
    <row r="174" spans="1:10" x14ac:dyDescent="0.2">
      <c r="A174" s="1067" t="s">
        <v>43</v>
      </c>
      <c r="B174" s="1883">
        <f t="shared" si="22"/>
        <v>2.1027378247023165E-2</v>
      </c>
      <c r="C174" s="1883">
        <f t="shared" ref="C174:C179" si="24">+(C64/$C11)</f>
        <v>3.2931743099270126E-5</v>
      </c>
      <c r="D174" s="1883">
        <f>1-B174-C174-E174-F174-G174-H174-I174</f>
        <v>0.35050929813553466</v>
      </c>
      <c r="E174" s="1883">
        <f>+(E64/$C11)</f>
        <v>2.3099299451586702E-2</v>
      </c>
      <c r="F174" s="1883">
        <f>+(F64/$C11)</f>
        <v>1.9608844479923395E-4</v>
      </c>
      <c r="G174" s="1883">
        <f>+(G64/$C11)</f>
        <v>0.16605835956332329</v>
      </c>
      <c r="H174" s="1883">
        <f>+(H64/$C11)</f>
        <v>3.7860858532582815E-2</v>
      </c>
      <c r="I174" s="1883">
        <f>+(I64/$C11)</f>
        <v>0.40121578588205087</v>
      </c>
      <c r="J174" s="1066"/>
    </row>
    <row r="175" spans="1:10" x14ac:dyDescent="0.2">
      <c r="A175" s="1067" t="s">
        <v>49</v>
      </c>
      <c r="B175" s="1883">
        <f t="shared" si="22"/>
        <v>3.2062503349144303E-2</v>
      </c>
      <c r="C175" s="1883">
        <f t="shared" si="24"/>
        <v>7.6566674554956471E-3</v>
      </c>
      <c r="D175" s="1883">
        <f>+(D65/$C12)</f>
        <v>0.24954501918761166</v>
      </c>
      <c r="E175" s="1883">
        <f>1-C175-D175-F175-G175-H175-I175-B175</f>
        <v>0.3187337348777961</v>
      </c>
      <c r="F175" s="1883">
        <f>+(F65/$C12)</f>
        <v>2.9541300346180445E-2</v>
      </c>
      <c r="G175" s="1883">
        <f>+(G65/$C12)</f>
        <v>0.10483220922531135</v>
      </c>
      <c r="H175" s="1883">
        <f>+(H65/$C12)</f>
        <v>8.4861839410136003E-2</v>
      </c>
      <c r="I175" s="1883">
        <f>+(I65/$C12)</f>
        <v>0.17276672614832453</v>
      </c>
      <c r="J175" s="1066"/>
    </row>
    <row r="176" spans="1:10" x14ac:dyDescent="0.2">
      <c r="A176" s="1067" t="s">
        <v>96</v>
      </c>
      <c r="B176" s="1883">
        <f t="shared" si="22"/>
        <v>0</v>
      </c>
      <c r="C176" s="1883">
        <f t="shared" si="24"/>
        <v>0</v>
      </c>
      <c r="D176" s="1883">
        <f>+(D66/$C13)</f>
        <v>0</v>
      </c>
      <c r="E176" s="1883">
        <f>+(E66/$C13)</f>
        <v>0</v>
      </c>
      <c r="F176" s="1883">
        <f>1-D176-E176-G176-H176-I176-B176-C176</f>
        <v>1</v>
      </c>
      <c r="G176" s="1883">
        <f>+(G66/$C13)</f>
        <v>0</v>
      </c>
      <c r="H176" s="1883">
        <f>+(H66/$C13)</f>
        <v>0</v>
      </c>
      <c r="I176" s="1883">
        <f>+(I66/$C13)</f>
        <v>0</v>
      </c>
      <c r="J176" s="1066"/>
    </row>
    <row r="177" spans="1:10" x14ac:dyDescent="0.2">
      <c r="A177" s="1067" t="s">
        <v>51</v>
      </c>
      <c r="B177" s="1883">
        <f t="shared" si="22"/>
        <v>8.3220806142414241E-2</v>
      </c>
      <c r="C177" s="1883">
        <f t="shared" si="24"/>
        <v>1.7854378987558053E-4</v>
      </c>
      <c r="D177" s="1883">
        <f>+(D67/$C14)</f>
        <v>0.10070665416112184</v>
      </c>
      <c r="E177" s="1883">
        <f>+(E67/$C14)</f>
        <v>4.1601354325983483E-2</v>
      </c>
      <c r="F177" s="1883">
        <f>+(F67/$C14)</f>
        <v>3.1331110662627089E-4</v>
      </c>
      <c r="G177" s="1883">
        <f>1-E177-F177-H177-I177-B177-C177-D177</f>
        <v>0.20305200061975415</v>
      </c>
      <c r="H177" s="1883">
        <f>+(H67/$C14)</f>
        <v>0.24346160157873961</v>
      </c>
      <c r="I177" s="1883">
        <f>+(I67/$C14)</f>
        <v>0.32746572827548487</v>
      </c>
      <c r="J177" s="1066"/>
    </row>
    <row r="178" spans="1:10" x14ac:dyDescent="0.2">
      <c r="A178" s="1067" t="s">
        <v>60</v>
      </c>
      <c r="B178" s="1883">
        <f t="shared" si="22"/>
        <v>3.5988876995160027E-2</v>
      </c>
      <c r="C178" s="1883">
        <f t="shared" si="24"/>
        <v>2.7572562502523714E-3</v>
      </c>
      <c r="D178" s="1883">
        <f>+(D68/$C15)</f>
        <v>0.14037608601858761</v>
      </c>
      <c r="E178" s="1883">
        <f>+(E68/$C15)</f>
        <v>0.14036900142829006</v>
      </c>
      <c r="F178" s="1883">
        <f>+(F68/$C15)</f>
        <v>1.1364422497616567E-2</v>
      </c>
      <c r="G178" s="1883">
        <f>+(G68/$C15)</f>
        <v>0.16859701815626024</v>
      </c>
      <c r="H178" s="1883">
        <f>1-F178-G178-I178-B178-C178-D178-E178</f>
        <v>0.50054733865383305</v>
      </c>
      <c r="I178" s="1883">
        <f>+(I68/$C15)</f>
        <v>0</v>
      </c>
      <c r="J178" s="1066"/>
    </row>
    <row r="179" spans="1:10" x14ac:dyDescent="0.2">
      <c r="A179" s="1067" t="s">
        <v>692</v>
      </c>
      <c r="B179" s="1883">
        <f t="shared" si="22"/>
        <v>0</v>
      </c>
      <c r="C179" s="1883">
        <f t="shared" si="24"/>
        <v>2.7660228752252776E-3</v>
      </c>
      <c r="D179" s="1883">
        <f>+(D69/$C16)</f>
        <v>8.9341538837610715E-2</v>
      </c>
      <c r="E179" s="1883">
        <f>+(E69/$C16)</f>
        <v>0</v>
      </c>
      <c r="F179" s="1883">
        <f>+(F69/$C16)</f>
        <v>1.1694914375754321E-2</v>
      </c>
      <c r="G179" s="1883">
        <f>+(G69/$C16)</f>
        <v>1.681716863923282E-2</v>
      </c>
      <c r="H179" s="1883">
        <f>+(H69/$C16)</f>
        <v>0</v>
      </c>
      <c r="I179" s="1883">
        <f>1-G179-H179-B179-C179-D179-E179-F179</f>
        <v>0.87938035527217684</v>
      </c>
      <c r="J179" s="1066"/>
    </row>
    <row r="180" spans="1:10" x14ac:dyDescent="0.2">
      <c r="A180" s="1067"/>
      <c r="B180" s="1876"/>
      <c r="C180" s="1876"/>
      <c r="D180" s="1876"/>
      <c r="E180" s="1876"/>
      <c r="F180" s="1876"/>
      <c r="G180" s="1876"/>
      <c r="H180" s="1877"/>
      <c r="I180" s="1877"/>
      <c r="J180" s="1066"/>
    </row>
    <row r="181" spans="1:10" ht="17" x14ac:dyDescent="0.2">
      <c r="A181" s="1878"/>
      <c r="B181" s="1910" t="s">
        <v>703</v>
      </c>
      <c r="C181" s="1910" t="s">
        <v>704</v>
      </c>
      <c r="D181" s="1910" t="s">
        <v>703</v>
      </c>
      <c r="E181" s="1910" t="s">
        <v>704</v>
      </c>
      <c r="F181" s="1876"/>
      <c r="G181" s="1876"/>
      <c r="H181" s="1877"/>
      <c r="I181" s="1877"/>
      <c r="J181" s="1066"/>
    </row>
    <row r="182" spans="1:10" ht="15" x14ac:dyDescent="0.2">
      <c r="A182" s="1879" t="s">
        <v>705</v>
      </c>
      <c r="B182" s="1884">
        <f>+SUM(B70:G70)</f>
        <v>190303.98673410807</v>
      </c>
      <c r="C182" s="1884">
        <f>+SUM(V86:AA86)</f>
        <v>130233.7543387847</v>
      </c>
      <c r="D182" s="1883">
        <f>+B182/SUM(B$182:B$183)</f>
        <v>0.77143143157188587</v>
      </c>
      <c r="E182" s="1883">
        <f>+C182/SUM(C$182:C$183)</f>
        <v>0.54401886701997582</v>
      </c>
      <c r="F182" s="1873"/>
      <c r="G182" s="1873"/>
      <c r="H182" s="1873"/>
      <c r="I182" s="1873"/>
      <c r="J182" s="1066"/>
    </row>
    <row r="183" spans="1:10" ht="15" x14ac:dyDescent="0.2">
      <c r="A183" s="1879" t="s">
        <v>706</v>
      </c>
      <c r="B183" s="1873">
        <f>+H70+I70</f>
        <v>56385.451815654458</v>
      </c>
      <c r="C183" s="1873">
        <f>+AB86+AC86</f>
        <v>109158.22677425759</v>
      </c>
      <c r="D183" s="1883">
        <f>+B183/SUM(B$182:B$183)</f>
        <v>0.22856856842811415</v>
      </c>
      <c r="E183" s="1883">
        <f>+C183/SUM(C$182:C$183)</f>
        <v>0.4559811329800243</v>
      </c>
      <c r="F183" s="1873"/>
      <c r="G183" s="1873"/>
      <c r="H183" s="1873"/>
      <c r="I183" s="1873"/>
      <c r="J183" s="1066"/>
    </row>
    <row r="184" spans="1:10" ht="17" thickBot="1" x14ac:dyDescent="0.25">
      <c r="A184" s="1913"/>
      <c r="B184" s="1065"/>
      <c r="C184" s="1065"/>
      <c r="D184" s="1065"/>
      <c r="E184" s="1065"/>
      <c r="F184" s="1065"/>
      <c r="G184" s="1065"/>
      <c r="H184" s="1065"/>
      <c r="I184" s="1065"/>
      <c r="J184" s="1064"/>
    </row>
    <row r="185" spans="1:10" x14ac:dyDescent="0.2">
      <c r="C185" s="1887"/>
    </row>
  </sheetData>
  <mergeCells count="9">
    <mergeCell ref="A170:I170"/>
    <mergeCell ref="A2:J2"/>
    <mergeCell ref="B74:I74"/>
    <mergeCell ref="B49:I49"/>
    <mergeCell ref="F7:J7"/>
    <mergeCell ref="A87:E87"/>
    <mergeCell ref="B31:I31"/>
    <mergeCell ref="B18:I18"/>
    <mergeCell ref="B60:I60"/>
  </mergeCells>
  <pageMargins left="0.7" right="0.7" top="0.75" bottom="0.75" header="0.3" footer="0.3"/>
  <pageSetup paperSize="9" scale="1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S64"/>
  <sheetViews>
    <sheetView workbookViewId="0">
      <pane xSplit="1" ySplit="8" topLeftCell="B9" activePane="bottomRight" state="frozen"/>
      <selection pane="topRight" activeCell="AR8" sqref="AR8"/>
      <selection pane="bottomLeft" activeCell="AR8" sqref="AR8"/>
      <selection pane="bottomRight" activeCell="A3" sqref="A3:L3"/>
    </sheetView>
  </sheetViews>
  <sheetFormatPr baseColWidth="10" defaultColWidth="10.83203125" defaultRowHeight="16" x14ac:dyDescent="0.2"/>
  <cols>
    <col min="1" max="1" width="19" style="1" customWidth="1"/>
    <col min="2" max="2" width="11.33203125" style="1" customWidth="1"/>
    <col min="3" max="3" width="11.83203125" style="1" customWidth="1"/>
    <col min="4" max="12" width="11.33203125" style="1" customWidth="1"/>
    <col min="13" max="14" width="10.83203125" style="1"/>
    <col min="16" max="16384" width="10.83203125" style="1"/>
  </cols>
  <sheetData>
    <row r="2" spans="1:16" ht="17" thickBot="1" x14ac:dyDescent="0.25">
      <c r="A2" s="954"/>
      <c r="B2" s="954"/>
      <c r="C2" s="954"/>
      <c r="D2" s="954"/>
      <c r="E2" s="954"/>
      <c r="F2" s="954"/>
      <c r="G2" s="954"/>
      <c r="H2" s="954"/>
      <c r="I2" s="954"/>
      <c r="J2" s="954"/>
      <c r="K2" s="954"/>
      <c r="L2" s="954"/>
      <c r="M2" s="954"/>
      <c r="N2" s="954"/>
      <c r="P2" s="954"/>
    </row>
    <row r="3" spans="1:16" ht="32.25" customHeight="1" thickTop="1" x14ac:dyDescent="0.2">
      <c r="A3" s="1951" t="s">
        <v>135</v>
      </c>
      <c r="B3" s="1952"/>
      <c r="C3" s="1952"/>
      <c r="D3" s="1952"/>
      <c r="E3" s="1952"/>
      <c r="F3" s="1952"/>
      <c r="G3" s="1952"/>
      <c r="H3" s="1952"/>
      <c r="I3" s="1952"/>
      <c r="J3" s="1952"/>
      <c r="K3" s="1952"/>
      <c r="L3" s="1953"/>
      <c r="M3" s="954"/>
      <c r="N3" s="954"/>
      <c r="P3" s="954"/>
    </row>
    <row r="4" spans="1:16" ht="12" customHeight="1" x14ac:dyDescent="0.2">
      <c r="A4" s="4"/>
      <c r="B4" s="620"/>
      <c r="C4" s="620"/>
      <c r="D4" s="620"/>
      <c r="E4" s="620"/>
      <c r="F4" s="620"/>
      <c r="G4" s="620"/>
      <c r="H4" s="620"/>
      <c r="I4" s="620"/>
      <c r="J4" s="620"/>
      <c r="K4" s="620"/>
      <c r="L4" s="5"/>
      <c r="M4" s="954"/>
      <c r="N4" s="954"/>
      <c r="P4" s="954"/>
    </row>
    <row r="5" spans="1:16" ht="17" thickBot="1" x14ac:dyDescent="0.25">
      <c r="A5" s="1088"/>
      <c r="B5" s="134" t="s">
        <v>1</v>
      </c>
      <c r="C5" s="134" t="s">
        <v>2</v>
      </c>
      <c r="D5" s="134" t="s">
        <v>3</v>
      </c>
      <c r="E5" s="134" t="s">
        <v>4</v>
      </c>
      <c r="F5" s="134" t="s">
        <v>5</v>
      </c>
      <c r="G5" s="134" t="s">
        <v>6</v>
      </c>
      <c r="H5" s="134" t="s">
        <v>7</v>
      </c>
      <c r="I5" s="134" t="s">
        <v>8</v>
      </c>
      <c r="J5" s="134" t="s">
        <v>9</v>
      </c>
      <c r="K5" s="134" t="s">
        <v>10</v>
      </c>
      <c r="L5" s="135" t="s">
        <v>11</v>
      </c>
      <c r="M5" s="954"/>
      <c r="N5" s="954"/>
      <c r="P5" s="954"/>
    </row>
    <row r="6" spans="1:16" ht="21" customHeight="1" x14ac:dyDescent="0.2">
      <c r="A6" s="1088"/>
      <c r="B6" s="1996" t="s">
        <v>136</v>
      </c>
      <c r="C6" s="1997"/>
      <c r="D6" s="1997"/>
      <c r="E6" s="1997"/>
      <c r="F6" s="1997"/>
      <c r="G6" s="1998"/>
      <c r="H6" s="1999" t="s">
        <v>119</v>
      </c>
      <c r="I6" s="2001" t="s">
        <v>120</v>
      </c>
      <c r="J6" s="2003" t="s">
        <v>121</v>
      </c>
      <c r="K6" s="2005" t="s">
        <v>122</v>
      </c>
      <c r="L6" s="2007" t="s">
        <v>123</v>
      </c>
      <c r="M6" s="954"/>
      <c r="N6" s="954"/>
      <c r="P6" s="954"/>
    </row>
    <row r="7" spans="1:16" ht="85" customHeight="1" x14ac:dyDescent="0.2">
      <c r="A7" s="1088"/>
      <c r="B7" s="2009" t="s">
        <v>137</v>
      </c>
      <c r="C7" s="2011" t="s">
        <v>125</v>
      </c>
      <c r="D7" s="2013" t="s">
        <v>126</v>
      </c>
      <c r="E7" s="1806" t="s">
        <v>127</v>
      </c>
      <c r="F7" s="1806" t="s">
        <v>128</v>
      </c>
      <c r="G7" s="1994" t="s">
        <v>129</v>
      </c>
      <c r="H7" s="2000"/>
      <c r="I7" s="2002"/>
      <c r="J7" s="2004"/>
      <c r="K7" s="2006"/>
      <c r="L7" s="2008"/>
      <c r="M7" s="1098"/>
      <c r="N7" s="954"/>
      <c r="O7" s="169" t="s">
        <v>26</v>
      </c>
      <c r="P7" s="954"/>
    </row>
    <row r="8" spans="1:16" ht="33" customHeight="1" x14ac:dyDescent="0.2">
      <c r="A8" s="1088"/>
      <c r="B8" s="2010"/>
      <c r="C8" s="2012"/>
      <c r="D8" s="2013"/>
      <c r="E8" s="136"/>
      <c r="F8" s="136"/>
      <c r="G8" s="1994"/>
      <c r="H8" s="2000"/>
      <c r="I8" s="2002"/>
      <c r="J8" s="2004"/>
      <c r="K8" s="2006"/>
      <c r="L8" s="2008"/>
      <c r="M8" s="1098"/>
      <c r="N8" s="954"/>
      <c r="O8" s="169"/>
      <c r="P8" s="954"/>
    </row>
    <row r="9" spans="1:16" ht="40" customHeight="1" x14ac:dyDescent="0.2">
      <c r="A9" s="137" t="s">
        <v>28</v>
      </c>
      <c r="B9" s="214">
        <f t="shared" ref="B9:G9" si="0">SUM(B10:B44)</f>
        <v>23569.365024501058</v>
      </c>
      <c r="C9" s="219">
        <f t="shared" si="0"/>
        <v>13940.970631802091</v>
      </c>
      <c r="D9" s="226">
        <f t="shared" si="0"/>
        <v>5294.6355779161286</v>
      </c>
      <c r="E9" s="227">
        <f t="shared" si="0"/>
        <v>552.88837341264343</v>
      </c>
      <c r="F9" s="226">
        <f t="shared" si="0"/>
        <v>4741.7472045034856</v>
      </c>
      <c r="G9" s="220">
        <f t="shared" si="0"/>
        <v>4333.7591429357853</v>
      </c>
      <c r="H9" s="221">
        <f>(G9+D9)/B9</f>
        <v>0.40851311483541919</v>
      </c>
      <c r="I9" s="217">
        <f>D9/(D9+C9)</f>
        <v>0.27525181791469466</v>
      </c>
      <c r="J9" s="222">
        <f>1-I9</f>
        <v>0.72474818208530534</v>
      </c>
      <c r="K9" s="217">
        <f>E9/D9</f>
        <v>0.10442425456413568</v>
      </c>
      <c r="L9" s="218">
        <f>F9/C9</f>
        <v>0.34013034886442051</v>
      </c>
      <c r="M9" s="1098"/>
      <c r="N9" s="954"/>
      <c r="O9" s="225">
        <f>B9-C9-D9-G9</f>
        <v>-3.2815294707688736E-4</v>
      </c>
      <c r="P9" s="225">
        <f>D9-E9-F9</f>
        <v>0</v>
      </c>
    </row>
    <row r="10" spans="1:16" ht="14.25" customHeight="1" x14ac:dyDescent="0.2">
      <c r="A10" s="1088" t="s">
        <v>29</v>
      </c>
      <c r="B10" s="168">
        <f>+TableA1!F10</f>
        <v>672.06429734683604</v>
      </c>
      <c r="C10" s="1099">
        <f>B10-D10-G10</f>
        <v>468.67008658723302</v>
      </c>
      <c r="D10" s="1119">
        <v>97.263896505871102</v>
      </c>
      <c r="E10" s="1120">
        <v>14.216168703844218</v>
      </c>
      <c r="F10" s="1121">
        <f>D10-E10</f>
        <v>83.047727802026884</v>
      </c>
      <c r="G10" s="1122">
        <v>106.1303142537319</v>
      </c>
      <c r="H10" s="1115">
        <f>(G10+D10)/B10</f>
        <v>0.30264099962244562</v>
      </c>
      <c r="I10" s="138">
        <f>D10/(D10+C10)</f>
        <v>0.17186438597356651</v>
      </c>
      <c r="J10" s="1116">
        <f>1-I10</f>
        <v>0.82813561402643354</v>
      </c>
      <c r="K10" s="1117">
        <f>E10/D10</f>
        <v>0.14616079773224069</v>
      </c>
      <c r="L10" s="139">
        <f>F10/C10</f>
        <v>0.1771986951562553</v>
      </c>
      <c r="M10" s="1098"/>
      <c r="N10" s="11"/>
      <c r="O10" s="225">
        <f t="shared" ref="O10:O52" si="1">B10-C10-D10-G10</f>
        <v>0</v>
      </c>
      <c r="P10" s="225">
        <f t="shared" ref="P10:P52" si="2">D10-E10-F10</f>
        <v>0</v>
      </c>
    </row>
    <row r="11" spans="1:16" ht="14.25" customHeight="1" x14ac:dyDescent="0.2">
      <c r="A11" s="1088" t="s">
        <v>30</v>
      </c>
      <c r="B11" s="168">
        <f>+TableA1!F11</f>
        <v>203.4286798002349</v>
      </c>
      <c r="C11" s="1099">
        <v>114.85727974766515</v>
      </c>
      <c r="D11" s="1119">
        <v>46.245531847405729</v>
      </c>
      <c r="E11" s="1120">
        <v>2.7204297855397659</v>
      </c>
      <c r="F11" s="1119">
        <f t="shared" ref="F11:F43" si="3">D11-E11</f>
        <v>43.525102061865965</v>
      </c>
      <c r="G11" s="1122">
        <v>42.325757298490899</v>
      </c>
      <c r="H11" s="1115">
        <f t="shared" ref="H11:H44" si="4">(G11+D11)/B11</f>
        <v>0.43539234110388381</v>
      </c>
      <c r="I11" s="138">
        <f t="shared" ref="I11:I44" si="5">D11/(D11+C11)</f>
        <v>0.28705601962827981</v>
      </c>
      <c r="J11" s="1116">
        <f t="shared" ref="J11:J44" si="6">1-I11</f>
        <v>0.71294398037172013</v>
      </c>
      <c r="K11" s="1117">
        <f t="shared" ref="K11:K44" si="7">E11/D11</f>
        <v>5.882578655417444E-2</v>
      </c>
      <c r="L11" s="139">
        <f t="shared" ref="L11:L44" si="8">F11/C11</f>
        <v>0.37894944192904551</v>
      </c>
      <c r="M11" s="1098"/>
      <c r="N11"/>
      <c r="O11" s="225">
        <f t="shared" si="1"/>
        <v>1.1090667312885216E-4</v>
      </c>
      <c r="P11" s="225">
        <f t="shared" si="2"/>
        <v>0</v>
      </c>
    </row>
    <row r="12" spans="1:16" ht="14.25" customHeight="1" x14ac:dyDescent="0.2">
      <c r="A12" s="1088" t="s">
        <v>31</v>
      </c>
      <c r="B12" s="168">
        <f>+TableA1!F12</f>
        <v>261.0124226564588</v>
      </c>
      <c r="C12" s="1099">
        <v>154.93041160793604</v>
      </c>
      <c r="D12" s="1119">
        <v>52.287727400269944</v>
      </c>
      <c r="E12" s="1120">
        <v>0.67120718586516714</v>
      </c>
      <c r="F12" s="1119">
        <f t="shared" si="3"/>
        <v>51.61652021440478</v>
      </c>
      <c r="G12" s="1122">
        <v>53.794283648252829</v>
      </c>
      <c r="H12" s="1115">
        <f t="shared" si="4"/>
        <v>0.40642514240843836</v>
      </c>
      <c r="I12" s="138">
        <f t="shared" si="5"/>
        <v>0.25233180671601008</v>
      </c>
      <c r="J12" s="1116">
        <f t="shared" si="6"/>
        <v>0.74766819328398992</v>
      </c>
      <c r="K12" s="1117">
        <f t="shared" si="7"/>
        <v>1.2836801659536306E-2</v>
      </c>
      <c r="L12" s="139">
        <f t="shared" si="8"/>
        <v>0.33315938219427549</v>
      </c>
      <c r="M12" s="1098"/>
      <c r="N12"/>
      <c r="O12" s="225">
        <f t="shared" si="1"/>
        <v>0</v>
      </c>
      <c r="P12" s="225">
        <f t="shared" si="2"/>
        <v>0</v>
      </c>
    </row>
    <row r="13" spans="1:16" x14ac:dyDescent="0.2">
      <c r="A13" s="1088" t="s">
        <v>32</v>
      </c>
      <c r="B13" s="168">
        <f>+TableA1!F13</f>
        <v>861.40154797047046</v>
      </c>
      <c r="C13" s="1099">
        <f>B13-D13-G13</f>
        <v>547.53896668271921</v>
      </c>
      <c r="D13" s="1119">
        <v>153.69893471805912</v>
      </c>
      <c r="E13" s="1120">
        <v>51.226723831950324</v>
      </c>
      <c r="F13" s="1119">
        <f t="shared" si="3"/>
        <v>102.4722108861088</v>
      </c>
      <c r="G13" s="1122">
        <v>160.16364656969208</v>
      </c>
      <c r="H13" s="1115">
        <f t="shared" si="4"/>
        <v>0.36436268547141115</v>
      </c>
      <c r="I13" s="138">
        <f t="shared" si="5"/>
        <v>0.21918229806322975</v>
      </c>
      <c r="J13" s="1116">
        <f t="shared" si="6"/>
        <v>0.78081770193677025</v>
      </c>
      <c r="K13" s="1117">
        <f t="shared" si="7"/>
        <v>0.3332926407454882</v>
      </c>
      <c r="L13" s="139">
        <f t="shared" si="8"/>
        <v>0.18715053561747336</v>
      </c>
      <c r="M13" s="954"/>
      <c r="N13"/>
      <c r="O13" s="225">
        <f t="shared" si="1"/>
        <v>0</v>
      </c>
      <c r="P13" s="225">
        <f t="shared" si="2"/>
        <v>0</v>
      </c>
    </row>
    <row r="14" spans="1:16" x14ac:dyDescent="0.2">
      <c r="A14" s="1088" t="s">
        <v>33</v>
      </c>
      <c r="B14" s="168">
        <f>+TableA1!F14</f>
        <v>137.80198608309047</v>
      </c>
      <c r="C14" s="1099">
        <v>62.198900940934621</v>
      </c>
      <c r="D14" s="1119">
        <f>B14-C14-G14</f>
        <v>56.111266903425999</v>
      </c>
      <c r="E14" s="1120">
        <v>7.9971162734140586</v>
      </c>
      <c r="F14" s="1119">
        <f t="shared" si="3"/>
        <v>48.114150630011942</v>
      </c>
      <c r="G14" s="1122">
        <f>+TableA2!G14*$F$61</f>
        <v>19.491818238729849</v>
      </c>
      <c r="H14" s="1115">
        <f t="shared" si="4"/>
        <v>0.54863567130715707</v>
      </c>
      <c r="I14" s="138">
        <f t="shared" si="5"/>
        <v>0.47427256613515661</v>
      </c>
      <c r="J14" s="1116">
        <f t="shared" si="6"/>
        <v>0.52572743386484344</v>
      </c>
      <c r="K14" s="1117">
        <f t="shared" si="7"/>
        <v>0.1425224685655026</v>
      </c>
      <c r="L14" s="139">
        <f t="shared" si="8"/>
        <v>0.77355306769330456</v>
      </c>
      <c r="M14" s="954"/>
      <c r="N14"/>
      <c r="O14" s="225">
        <f t="shared" si="1"/>
        <v>0</v>
      </c>
      <c r="P14" s="225">
        <f t="shared" si="2"/>
        <v>0</v>
      </c>
    </row>
    <row r="15" spans="1:16" x14ac:dyDescent="0.2">
      <c r="A15" s="1088" t="s">
        <v>34</v>
      </c>
      <c r="B15" s="168">
        <f>+TableA1!F15</f>
        <v>105.46442400528483</v>
      </c>
      <c r="C15" s="1099">
        <v>51.58871893897048</v>
      </c>
      <c r="D15" s="1119">
        <v>29.490035062757251</v>
      </c>
      <c r="E15" s="1120">
        <v>1.1001372020936024</v>
      </c>
      <c r="F15" s="1119">
        <f t="shared" si="3"/>
        <v>28.389897860663648</v>
      </c>
      <c r="G15" s="1122">
        <v>24.385670003557095</v>
      </c>
      <c r="H15" s="1115">
        <f t="shared" si="4"/>
        <v>0.51084245303055587</v>
      </c>
      <c r="I15" s="138">
        <f t="shared" si="5"/>
        <v>0.36372087146441395</v>
      </c>
      <c r="J15" s="1116">
        <f t="shared" si="6"/>
        <v>0.63627912853558599</v>
      </c>
      <c r="K15" s="1117">
        <f t="shared" si="7"/>
        <v>3.7305388065915109E-2</v>
      </c>
      <c r="L15" s="139">
        <f t="shared" si="8"/>
        <v>0.55031213111240329</v>
      </c>
      <c r="M15" s="954"/>
      <c r="N15"/>
      <c r="O15" s="225">
        <f t="shared" si="1"/>
        <v>0</v>
      </c>
      <c r="P15" s="225">
        <f t="shared" si="2"/>
        <v>0</v>
      </c>
    </row>
    <row r="16" spans="1:16" x14ac:dyDescent="0.2">
      <c r="A16" s="1088" t="s">
        <v>35</v>
      </c>
      <c r="B16" s="168">
        <f>+TableA1!F16</f>
        <v>156.43854767909247</v>
      </c>
      <c r="C16" s="1099">
        <v>90.782021808565418</v>
      </c>
      <c r="D16" s="1119">
        <v>35.862416053016176</v>
      </c>
      <c r="E16" s="1120">
        <v>2.7357690883658168</v>
      </c>
      <c r="F16" s="1119">
        <f t="shared" si="3"/>
        <v>33.126646964650362</v>
      </c>
      <c r="G16" s="1122">
        <v>29.793961182876043</v>
      </c>
      <c r="H16" s="1115">
        <f t="shared" si="4"/>
        <v>0.41969436695727519</v>
      </c>
      <c r="I16" s="138">
        <f t="shared" si="5"/>
        <v>0.28317403163187216</v>
      </c>
      <c r="J16" s="1116">
        <f t="shared" si="6"/>
        <v>0.71682596836812784</v>
      </c>
      <c r="K16" s="1117">
        <f t="shared" si="7"/>
        <v>7.6285130492085948E-2</v>
      </c>
      <c r="L16" s="139">
        <f t="shared" si="8"/>
        <v>0.36490316369584108</v>
      </c>
      <c r="M16" s="954"/>
      <c r="N16"/>
      <c r="O16" s="225">
        <f t="shared" si="1"/>
        <v>1.486346348293921E-4</v>
      </c>
      <c r="P16" s="225">
        <f t="shared" si="2"/>
        <v>0</v>
      </c>
    </row>
    <row r="17" spans="1:16" x14ac:dyDescent="0.2">
      <c r="A17" s="1088" t="s">
        <v>36</v>
      </c>
      <c r="B17" s="168">
        <f>+TableA1!F17</f>
        <v>13.555235404959081</v>
      </c>
      <c r="C17" s="1099">
        <v>7.653004073602105</v>
      </c>
      <c r="D17" s="1119">
        <v>3.653820346716441</v>
      </c>
      <c r="E17" s="1120">
        <v>0.13164622102147266</v>
      </c>
      <c r="F17" s="1119">
        <f t="shared" si="3"/>
        <v>3.5221741256949683</v>
      </c>
      <c r="G17" s="1122">
        <v>2.2483000779673912</v>
      </c>
      <c r="H17" s="1115">
        <f t="shared" si="4"/>
        <v>0.43541260984110874</v>
      </c>
      <c r="I17" s="138">
        <f t="shared" si="5"/>
        <v>0.32315177196441358</v>
      </c>
      <c r="J17" s="1116">
        <f t="shared" si="6"/>
        <v>0.67684822803558642</v>
      </c>
      <c r="K17" s="1117">
        <f t="shared" si="7"/>
        <v>3.6029746547275775E-2</v>
      </c>
      <c r="L17" s="139">
        <f t="shared" si="8"/>
        <v>0.46023418932235804</v>
      </c>
      <c r="M17" s="954"/>
      <c r="N17"/>
      <c r="O17" s="225">
        <f t="shared" si="1"/>
        <v>1.109066731439512E-4</v>
      </c>
      <c r="P17" s="225">
        <f t="shared" si="2"/>
        <v>0</v>
      </c>
    </row>
    <row r="18" spans="1:16" x14ac:dyDescent="0.2">
      <c r="A18" s="1088" t="s">
        <v>37</v>
      </c>
      <c r="B18" s="168">
        <f>+TableA1!F18</f>
        <v>121.94743245506339</v>
      </c>
      <c r="C18" s="1099">
        <v>72.22020741766012</v>
      </c>
      <c r="D18" s="1119">
        <v>24.432740093538687</v>
      </c>
      <c r="E18" s="1120">
        <v>2.6063068188749847</v>
      </c>
      <c r="F18" s="1119">
        <f t="shared" si="3"/>
        <v>21.826433274663703</v>
      </c>
      <c r="G18" s="1122">
        <v>25.294484943864585</v>
      </c>
      <c r="H18" s="1115">
        <f t="shared" si="4"/>
        <v>0.40777590832613336</v>
      </c>
      <c r="I18" s="138">
        <f t="shared" si="5"/>
        <v>0.25278836003121125</v>
      </c>
      <c r="J18" s="1116">
        <f t="shared" si="6"/>
        <v>0.7472116399687887</v>
      </c>
      <c r="K18" s="1117">
        <f t="shared" si="7"/>
        <v>0.10667271901951883</v>
      </c>
      <c r="L18" s="139">
        <f t="shared" si="8"/>
        <v>0.30222058417027547</v>
      </c>
      <c r="M18" s="954"/>
      <c r="N18"/>
      <c r="O18" s="225">
        <f t="shared" si="1"/>
        <v>0</v>
      </c>
      <c r="P18" s="225">
        <f t="shared" si="2"/>
        <v>0</v>
      </c>
    </row>
    <row r="19" spans="1:16" x14ac:dyDescent="0.2">
      <c r="A19" s="1088" t="s">
        <v>38</v>
      </c>
      <c r="B19" s="168">
        <f>+TableA1!F19</f>
        <v>1208.8882825990756</v>
      </c>
      <c r="C19" s="1099">
        <v>812.93925974231945</v>
      </c>
      <c r="D19" s="1119">
        <v>149.87040555243172</v>
      </c>
      <c r="E19" s="1120">
        <v>35.820637291925216</v>
      </c>
      <c r="F19" s="1119">
        <f t="shared" si="3"/>
        <v>114.04976826050651</v>
      </c>
      <c r="G19" s="1122">
        <v>246.07861730432458</v>
      </c>
      <c r="H19" s="1115">
        <f t="shared" si="4"/>
        <v>0.32753152508474737</v>
      </c>
      <c r="I19" s="138">
        <f t="shared" si="5"/>
        <v>0.15565943192578038</v>
      </c>
      <c r="J19" s="1116">
        <f t="shared" si="6"/>
        <v>0.84434056807421964</v>
      </c>
      <c r="K19" s="1117">
        <f t="shared" si="7"/>
        <v>0.23901074504928507</v>
      </c>
      <c r="L19" s="139">
        <f t="shared" si="8"/>
        <v>0.14029309926138556</v>
      </c>
      <c r="M19" s="954"/>
      <c r="N19"/>
      <c r="O19" s="225">
        <f t="shared" si="1"/>
        <v>0</v>
      </c>
      <c r="P19" s="225">
        <f t="shared" si="2"/>
        <v>0</v>
      </c>
    </row>
    <row r="20" spans="1:16" x14ac:dyDescent="0.2">
      <c r="A20" s="1088" t="s">
        <v>39</v>
      </c>
      <c r="B20" s="168">
        <f>+TableA1!F20</f>
        <v>1955.0417619077721</v>
      </c>
      <c r="C20" s="1099">
        <v>1145.721386910129</v>
      </c>
      <c r="D20" s="1119">
        <v>477.86247350716854</v>
      </c>
      <c r="E20" s="1120">
        <v>-14.800495531015606</v>
      </c>
      <c r="F20" s="1119">
        <f>D20-E20</f>
        <v>492.66296903818414</v>
      </c>
      <c r="G20" s="1122">
        <v>331.45790149047474</v>
      </c>
      <c r="H20" s="1115">
        <f t="shared" si="4"/>
        <v>0.4139657734000991</v>
      </c>
      <c r="I20" s="138">
        <f t="shared" si="5"/>
        <v>0.29432571064382668</v>
      </c>
      <c r="J20" s="1116">
        <f t="shared" si="6"/>
        <v>0.70567428935617338</v>
      </c>
      <c r="K20" s="1117">
        <f t="shared" si="7"/>
        <v>-3.0972290881915381E-2</v>
      </c>
      <c r="L20" s="139">
        <f t="shared" si="8"/>
        <v>0.43000242001839223</v>
      </c>
      <c r="M20" s="954"/>
      <c r="N20"/>
      <c r="O20" s="225">
        <f t="shared" si="1"/>
        <v>0</v>
      </c>
      <c r="P20" s="225">
        <f t="shared" si="2"/>
        <v>0</v>
      </c>
    </row>
    <row r="21" spans="1:16" x14ac:dyDescent="0.2">
      <c r="A21" s="1088" t="s">
        <v>40</v>
      </c>
      <c r="B21" s="168">
        <f>+TableA1!F21</f>
        <v>57.459378101921011</v>
      </c>
      <c r="C21" s="1099">
        <v>24.420737995184432</v>
      </c>
      <c r="D21" s="1119">
        <v>15.691846030483809</v>
      </c>
      <c r="E21" s="1120">
        <v>1.2365813461630173</v>
      </c>
      <c r="F21" s="1119">
        <f t="shared" si="3"/>
        <v>14.455264684320792</v>
      </c>
      <c r="G21" s="1122">
        <v>17.346794076252777</v>
      </c>
      <c r="H21" s="1115">
        <f t="shared" si="4"/>
        <v>0.57499125813949636</v>
      </c>
      <c r="I21" s="138">
        <f t="shared" si="5"/>
        <v>0.39119509280286008</v>
      </c>
      <c r="J21" s="1116">
        <f t="shared" si="6"/>
        <v>0.60880490719713998</v>
      </c>
      <c r="K21" s="1117">
        <f t="shared" si="7"/>
        <v>7.8804070837858661E-2</v>
      </c>
      <c r="L21" s="139">
        <f t="shared" si="8"/>
        <v>0.59192579221689579</v>
      </c>
      <c r="M21" s="954"/>
      <c r="N21"/>
      <c r="O21" s="225">
        <f t="shared" si="1"/>
        <v>0</v>
      </c>
      <c r="P21" s="225">
        <f t="shared" si="2"/>
        <v>0</v>
      </c>
    </row>
    <row r="22" spans="1:16" x14ac:dyDescent="0.2">
      <c r="A22" s="1088" t="s">
        <v>41</v>
      </c>
      <c r="B22" s="168">
        <f>+TableA1!F22</f>
        <v>63.378081676854649</v>
      </c>
      <c r="C22" s="1099">
        <v>32.21090993708215</v>
      </c>
      <c r="D22" s="1119">
        <v>18.714850581296485</v>
      </c>
      <c r="E22" s="1120">
        <v>0.9780959967064341</v>
      </c>
      <c r="F22" s="1119">
        <f t="shared" si="3"/>
        <v>17.736754584590052</v>
      </c>
      <c r="G22" s="1122">
        <v>12.452321158476011</v>
      </c>
      <c r="H22" s="1115">
        <f t="shared" si="4"/>
        <v>0.4917657795116665</v>
      </c>
      <c r="I22" s="138">
        <f t="shared" si="5"/>
        <v>0.36749280503218928</v>
      </c>
      <c r="J22" s="1116">
        <f t="shared" si="6"/>
        <v>0.63250719496781072</v>
      </c>
      <c r="K22" s="1117">
        <f t="shared" si="7"/>
        <v>5.2263094084434615E-2</v>
      </c>
      <c r="L22" s="139">
        <f t="shared" si="8"/>
        <v>0.55064431955618176</v>
      </c>
      <c r="M22" s="954"/>
      <c r="N22"/>
      <c r="O22" s="225">
        <f t="shared" si="1"/>
        <v>0</v>
      </c>
      <c r="P22" s="225">
        <f t="shared" si="2"/>
        <v>0</v>
      </c>
    </row>
    <row r="23" spans="1:16" x14ac:dyDescent="0.2">
      <c r="A23" s="1088" t="s">
        <v>42</v>
      </c>
      <c r="B23" s="168">
        <f>+TableA1!F23</f>
        <v>7.8626017902984664</v>
      </c>
      <c r="C23" s="1099">
        <f>+B23*$C$61</f>
        <v>4.6522290068914876</v>
      </c>
      <c r="D23" s="1119">
        <f>B23-C23-G23</f>
        <v>1.7974770396604092</v>
      </c>
      <c r="E23" s="1120">
        <f>+B23*$E$61</f>
        <v>0.17686161711807702</v>
      </c>
      <c r="F23" s="1119">
        <f t="shared" si="3"/>
        <v>1.6206154225423322</v>
      </c>
      <c r="G23" s="1122">
        <f>+TableA2!G23*$F$61</f>
        <v>1.4128957437465697</v>
      </c>
      <c r="H23" s="1115">
        <f t="shared" si="4"/>
        <v>0.40830921735960285</v>
      </c>
      <c r="I23" s="138">
        <f t="shared" si="5"/>
        <v>0.27869131192752045</v>
      </c>
      <c r="J23" s="1116">
        <f t="shared" si="6"/>
        <v>0.7213086880724795</v>
      </c>
      <c r="K23" s="1117">
        <f t="shared" si="7"/>
        <v>9.8394367892171153E-2</v>
      </c>
      <c r="L23" s="139">
        <f t="shared" si="8"/>
        <v>0.34835246075411713</v>
      </c>
      <c r="M23" s="954"/>
      <c r="N23"/>
      <c r="O23" s="225">
        <f t="shared" si="1"/>
        <v>0</v>
      </c>
      <c r="P23" s="225">
        <f t="shared" si="2"/>
        <v>0</v>
      </c>
    </row>
    <row r="24" spans="1:16" x14ac:dyDescent="0.2">
      <c r="A24" s="1088" t="s">
        <v>43</v>
      </c>
      <c r="B24" s="168">
        <f>+TableA1!F24</f>
        <v>198.23817651684283</v>
      </c>
      <c r="C24" s="1099">
        <v>54.273519257280192</v>
      </c>
      <c r="D24" s="1119">
        <v>90.893910558204396</v>
      </c>
      <c r="E24" s="1120">
        <v>7.5018704410425672</v>
      </c>
      <c r="F24" s="1119">
        <f t="shared" si="3"/>
        <v>83.392040117161827</v>
      </c>
      <c r="G24" s="1122">
        <v>53.070746701358274</v>
      </c>
      <c r="H24" s="1115">
        <f t="shared" si="4"/>
        <v>0.72622064926697438</v>
      </c>
      <c r="I24" s="138">
        <f t="shared" si="5"/>
        <v>0.62613156872540432</v>
      </c>
      <c r="J24" s="1116">
        <f t="shared" si="6"/>
        <v>0.37386843127459568</v>
      </c>
      <c r="K24" s="1117">
        <f t="shared" si="7"/>
        <v>8.2534356756921626E-2</v>
      </c>
      <c r="L24" s="139">
        <f t="shared" si="8"/>
        <v>1.5365143307152633</v>
      </c>
      <c r="M24" s="954"/>
      <c r="N24"/>
      <c r="O24" s="225">
        <f t="shared" si="1"/>
        <v>0</v>
      </c>
      <c r="P24" s="225">
        <f t="shared" si="2"/>
        <v>0</v>
      </c>
    </row>
    <row r="25" spans="1:16" x14ac:dyDescent="0.2">
      <c r="A25" s="1088" t="s">
        <v>44</v>
      </c>
      <c r="B25" s="168">
        <f>+TableA1!F25</f>
        <v>156.86592670691022</v>
      </c>
      <c r="C25" s="1099">
        <v>88.265835810285637</v>
      </c>
      <c r="D25" s="1119">
        <v>47.457278843727011</v>
      </c>
      <c r="E25" s="1120">
        <f>+B25*$E$61</f>
        <v>3.5285471918903748</v>
      </c>
      <c r="F25" s="1119">
        <f t="shared" si="3"/>
        <v>43.928731651836635</v>
      </c>
      <c r="G25" s="1122">
        <v>21.14281207862545</v>
      </c>
      <c r="H25" s="1115">
        <f t="shared" si="4"/>
        <v>0.43731670964163888</v>
      </c>
      <c r="I25" s="138">
        <f t="shared" si="5"/>
        <v>0.3496624651202988</v>
      </c>
      <c r="J25" s="1116">
        <f t="shared" si="6"/>
        <v>0.65033753487970114</v>
      </c>
      <c r="K25" s="1117">
        <f t="shared" si="7"/>
        <v>7.4352075758696484E-2</v>
      </c>
      <c r="L25" s="139">
        <f t="shared" si="8"/>
        <v>0.49768668985648024</v>
      </c>
      <c r="M25" s="954"/>
      <c r="N25"/>
      <c r="O25" s="225">
        <f t="shared" si="1"/>
        <v>-2.5727882047021922E-8</v>
      </c>
      <c r="P25" s="225">
        <f t="shared" si="2"/>
        <v>0</v>
      </c>
    </row>
    <row r="26" spans="1:16" x14ac:dyDescent="0.2">
      <c r="A26" s="1088" t="s">
        <v>45</v>
      </c>
      <c r="B26" s="168">
        <f>+TableA1!F26</f>
        <v>795.37641170331563</v>
      </c>
      <c r="C26" s="1099">
        <v>455.78683293795103</v>
      </c>
      <c r="D26" s="1119">
        <v>156.92296089763431</v>
      </c>
      <c r="E26" s="1120">
        <v>5.653911290188419</v>
      </c>
      <c r="F26" s="1119">
        <f t="shared" si="3"/>
        <v>151.26904960744588</v>
      </c>
      <c r="G26" s="1122">
        <v>182.66650696105734</v>
      </c>
      <c r="H26" s="1115">
        <f t="shared" si="4"/>
        <v>0.42695441159922448</v>
      </c>
      <c r="I26" s="138">
        <f t="shared" si="5"/>
        <v>0.25611302851108508</v>
      </c>
      <c r="J26" s="1116">
        <f t="shared" si="6"/>
        <v>0.74388697148891492</v>
      </c>
      <c r="K26" s="1117">
        <f t="shared" si="7"/>
        <v>3.6029853488914472E-2</v>
      </c>
      <c r="L26" s="139">
        <f t="shared" si="8"/>
        <v>0.33188551900980218</v>
      </c>
      <c r="M26" s="954"/>
      <c r="N26"/>
      <c r="O26" s="225">
        <f t="shared" si="1"/>
        <v>1.1090667294411105E-4</v>
      </c>
      <c r="P26" s="225">
        <f t="shared" si="2"/>
        <v>0</v>
      </c>
    </row>
    <row r="27" spans="1:16" x14ac:dyDescent="0.2">
      <c r="A27" s="1088" t="s">
        <v>46</v>
      </c>
      <c r="B27" s="168">
        <f>+TableA1!F27</f>
        <v>2443.427856470912</v>
      </c>
      <c r="C27" s="1099">
        <f>B27-D27-G27</f>
        <v>1332.0768877366427</v>
      </c>
      <c r="D27" s="1119">
        <v>471.3276648175048</v>
      </c>
      <c r="E27" s="1120">
        <v>-14.69878357486941</v>
      </c>
      <c r="F27" s="1119">
        <f t="shared" si="3"/>
        <v>486.02644839237422</v>
      </c>
      <c r="G27" s="1122">
        <v>640.0233039167648</v>
      </c>
      <c r="H27" s="1115">
        <f t="shared" si="4"/>
        <v>0.4548327325446041</v>
      </c>
      <c r="I27" s="138">
        <f t="shared" si="5"/>
        <v>0.26135437228988206</v>
      </c>
      <c r="J27" s="1116">
        <f t="shared" si="6"/>
        <v>0.73864562771011788</v>
      </c>
      <c r="K27" s="1117">
        <f t="shared" si="7"/>
        <v>-3.1185913053842679E-2</v>
      </c>
      <c r="L27" s="139">
        <f t="shared" si="8"/>
        <v>0.36486365979834023</v>
      </c>
      <c r="M27" s="954"/>
      <c r="N27"/>
      <c r="O27" s="225">
        <f t="shared" si="1"/>
        <v>0</v>
      </c>
      <c r="P27" s="225">
        <f t="shared" si="2"/>
        <v>0</v>
      </c>
    </row>
    <row r="28" spans="1:16" x14ac:dyDescent="0.2">
      <c r="A28" s="1088" t="s">
        <v>47</v>
      </c>
      <c r="B28" s="168">
        <f>C28+D28+G28</f>
        <v>776.97252593029702</v>
      </c>
      <c r="C28" s="1099">
        <v>385.60359631616285</v>
      </c>
      <c r="D28" s="1119">
        <v>213.34942304674635</v>
      </c>
      <c r="E28" s="1120">
        <v>24.138901965464576</v>
      </c>
      <c r="F28" s="1119">
        <f t="shared" si="3"/>
        <v>189.21052108128177</v>
      </c>
      <c r="G28" s="1122">
        <v>178.01950656738782</v>
      </c>
      <c r="H28" s="1115">
        <f t="shared" si="4"/>
        <v>0.50371012687422134</v>
      </c>
      <c r="I28" s="138">
        <f t="shared" si="5"/>
        <v>0.35620393611786211</v>
      </c>
      <c r="J28" s="1116">
        <f t="shared" si="6"/>
        <v>0.64379606388213784</v>
      </c>
      <c r="K28" s="1117">
        <f t="shared" si="7"/>
        <v>0.11314256969035991</v>
      </c>
      <c r="L28" s="139">
        <f>F28/C28</f>
        <v>0.49068660896550587</v>
      </c>
      <c r="M28" s="954"/>
      <c r="N28"/>
      <c r="O28" s="225">
        <f t="shared" si="1"/>
        <v>0</v>
      </c>
      <c r="P28" s="225">
        <f t="shared" si="2"/>
        <v>0</v>
      </c>
    </row>
    <row r="29" spans="1:16" x14ac:dyDescent="0.2">
      <c r="A29" s="1088" t="s">
        <v>48</v>
      </c>
      <c r="B29" s="168">
        <f>+TableA1!F29</f>
        <v>15.789667712516593</v>
      </c>
      <c r="C29" s="1099">
        <v>8.7351116109305185</v>
      </c>
      <c r="D29" s="1119">
        <v>3.5420341836547964</v>
      </c>
      <c r="E29" s="1120">
        <v>3.3419507818365966E-2</v>
      </c>
      <c r="F29" s="1119">
        <f t="shared" si="3"/>
        <v>3.5086146758364305</v>
      </c>
      <c r="G29" s="1122">
        <v>3.5125230269980117</v>
      </c>
      <c r="H29" s="1115">
        <f t="shared" si="4"/>
        <v>0.44678313306496031</v>
      </c>
      <c r="I29" s="138">
        <f t="shared" si="5"/>
        <v>0.28850632247252184</v>
      </c>
      <c r="J29" s="1116">
        <f t="shared" si="6"/>
        <v>0.71149367752747816</v>
      </c>
      <c r="K29" s="1117">
        <f t="shared" si="7"/>
        <v>9.4351172477625655E-3</v>
      </c>
      <c r="L29" s="139">
        <f t="shared" si="8"/>
        <v>0.4016679845791542</v>
      </c>
      <c r="M29" s="954"/>
      <c r="N29"/>
      <c r="O29" s="225">
        <f t="shared" si="1"/>
        <v>-1.1090667335622584E-6</v>
      </c>
      <c r="P29" s="225">
        <f t="shared" si="2"/>
        <v>0</v>
      </c>
    </row>
    <row r="30" spans="1:16" x14ac:dyDescent="0.2">
      <c r="A30" s="1088" t="s">
        <v>49</v>
      </c>
      <c r="B30" s="168">
        <f>+TableA1!F30</f>
        <v>25.812973640810995</v>
      </c>
      <c r="C30" s="1099">
        <v>16.264463616511343</v>
      </c>
      <c r="D30" s="1119">
        <v>5.7481819623604951</v>
      </c>
      <c r="E30" s="1120">
        <v>2.617619299535634</v>
      </c>
      <c r="F30" s="1119">
        <f t="shared" si="3"/>
        <v>3.1305626628248611</v>
      </c>
      <c r="G30" s="1122">
        <v>3.8004389686123021</v>
      </c>
      <c r="H30" s="1115">
        <f t="shared" si="4"/>
        <v>0.36991557283722531</v>
      </c>
      <c r="I30" s="138">
        <f t="shared" si="5"/>
        <v>0.26113090049828958</v>
      </c>
      <c r="J30" s="1116">
        <f t="shared" si="6"/>
        <v>0.73886909950171042</v>
      </c>
      <c r="K30" s="1117">
        <f t="shared" si="7"/>
        <v>0.45538212197804306</v>
      </c>
      <c r="L30" s="139">
        <f t="shared" si="8"/>
        <v>0.19247869076031376</v>
      </c>
      <c r="M30" s="954"/>
      <c r="N30"/>
      <c r="O30" s="225">
        <f t="shared" si="1"/>
        <v>-1.1090667314483937E-4</v>
      </c>
      <c r="P30" s="225">
        <f t="shared" si="2"/>
        <v>0</v>
      </c>
    </row>
    <row r="31" spans="1:16" x14ac:dyDescent="0.2">
      <c r="A31" s="1088" t="s">
        <v>50</v>
      </c>
      <c r="B31" s="168">
        <f>+TableA1!F31</f>
        <v>539.63509070108421</v>
      </c>
      <c r="C31" s="1099">
        <v>129.55605808508906</v>
      </c>
      <c r="D31" s="1119">
        <v>308.94393689858964</v>
      </c>
      <c r="E31" s="1120">
        <v>32.216456221995756</v>
      </c>
      <c r="F31" s="1119">
        <f t="shared" si="3"/>
        <v>276.72748067659387</v>
      </c>
      <c r="G31" s="1122">
        <v>101.13509571740556</v>
      </c>
      <c r="H31" s="1115">
        <f t="shared" si="4"/>
        <v>0.75991913736230143</v>
      </c>
      <c r="I31" s="138">
        <f t="shared" si="5"/>
        <v>0.70454718456744514</v>
      </c>
      <c r="J31" s="1116">
        <f t="shared" si="6"/>
        <v>0.29545281543255486</v>
      </c>
      <c r="K31" s="1117">
        <f t="shared" si="7"/>
        <v>0.10427929593119271</v>
      </c>
      <c r="L31" s="139">
        <f t="shared" si="8"/>
        <v>2.1359671231649116</v>
      </c>
      <c r="M31" s="954"/>
      <c r="N31"/>
      <c r="O31" s="225">
        <f t="shared" si="1"/>
        <v>0</v>
      </c>
      <c r="P31" s="225">
        <f t="shared" si="2"/>
        <v>0</v>
      </c>
    </row>
    <row r="32" spans="1:16" x14ac:dyDescent="0.2">
      <c r="A32" s="1088" t="s">
        <v>51</v>
      </c>
      <c r="B32" s="168">
        <f>+TableA1!F32</f>
        <v>450.70808365468542</v>
      </c>
      <c r="C32" s="1099">
        <v>260.66839015636731</v>
      </c>
      <c r="D32" s="1119">
        <v>122.74706956842888</v>
      </c>
      <c r="E32" s="1120">
        <v>1.3053715429003647</v>
      </c>
      <c r="F32" s="1119">
        <f t="shared" si="3"/>
        <v>121.44169802552852</v>
      </c>
      <c r="G32" s="1122">
        <v>67.292623929889231</v>
      </c>
      <c r="H32" s="1115">
        <f t="shared" si="4"/>
        <v>0.42164696039469962</v>
      </c>
      <c r="I32" s="138">
        <f t="shared" si="5"/>
        <v>0.32014115877469562</v>
      </c>
      <c r="J32" s="1116">
        <f t="shared" si="6"/>
        <v>0.67985884122530438</v>
      </c>
      <c r="K32" s="1117">
        <f t="shared" si="7"/>
        <v>1.0634645270880767E-2</v>
      </c>
      <c r="L32" s="139">
        <f t="shared" si="8"/>
        <v>0.46588578673723813</v>
      </c>
      <c r="M32" s="954"/>
      <c r="N32"/>
      <c r="O32" s="225">
        <f t="shared" si="1"/>
        <v>0</v>
      </c>
      <c r="P32" s="225">
        <f t="shared" si="2"/>
        <v>0</v>
      </c>
    </row>
    <row r="33" spans="1:19" x14ac:dyDescent="0.2">
      <c r="A33" s="1088" t="s">
        <v>52</v>
      </c>
      <c r="B33" s="168">
        <f>+TableA1!F33</f>
        <v>110.9119754528496</v>
      </c>
      <c r="C33" s="1099">
        <v>54.636935790372917</v>
      </c>
      <c r="D33" s="1119">
        <v>40.519529502395059</v>
      </c>
      <c r="E33" s="1120">
        <f>+B33*$E$61</f>
        <v>2.4948575369231323</v>
      </c>
      <c r="F33" s="1119">
        <f t="shared" si="3"/>
        <v>38.024671965471924</v>
      </c>
      <c r="G33" s="1122">
        <f>+TableA2!G33*$F$61</f>
        <v>15.756207522308994</v>
      </c>
      <c r="H33" s="1115">
        <f t="shared" si="4"/>
        <v>0.50739098997139176</v>
      </c>
      <c r="I33" s="138">
        <f t="shared" si="5"/>
        <v>0.42582003627108878</v>
      </c>
      <c r="J33" s="1116">
        <f t="shared" si="6"/>
        <v>0.57417996372891122</v>
      </c>
      <c r="K33" s="1117">
        <f t="shared" si="7"/>
        <v>6.1571730164726231E-2</v>
      </c>
      <c r="L33" s="139">
        <f t="shared" si="8"/>
        <v>0.69595176624403432</v>
      </c>
      <c r="M33" s="954"/>
      <c r="N33"/>
      <c r="O33" s="225">
        <f t="shared" si="1"/>
        <v>-6.9736222736693776E-4</v>
      </c>
      <c r="P33" s="225">
        <f t="shared" si="2"/>
        <v>0</v>
      </c>
      <c r="Q33" s="954"/>
      <c r="R33" s="954"/>
      <c r="S33" s="954"/>
    </row>
    <row r="34" spans="1:19" x14ac:dyDescent="0.2">
      <c r="A34" s="1088" t="s">
        <v>53</v>
      </c>
      <c r="B34" s="168">
        <f>+TableA1!F34</f>
        <v>227.26315067631907</v>
      </c>
      <c r="C34" s="1099">
        <v>114.60526549115365</v>
      </c>
      <c r="D34" s="1119">
        <v>70.203903267380241</v>
      </c>
      <c r="E34" s="1120">
        <v>9.142791809743029</v>
      </c>
      <c r="F34" s="1119">
        <f t="shared" si="3"/>
        <v>61.06111145763721</v>
      </c>
      <c r="G34" s="1122">
        <v>42.453981917785192</v>
      </c>
      <c r="H34" s="1115">
        <f t="shared" si="4"/>
        <v>0.4957155827942345</v>
      </c>
      <c r="I34" s="138">
        <f t="shared" si="5"/>
        <v>0.37987240426965263</v>
      </c>
      <c r="J34" s="1116">
        <f t="shared" si="6"/>
        <v>0.62012759573034737</v>
      </c>
      <c r="K34" s="1117">
        <f t="shared" si="7"/>
        <v>0.1302319583986887</v>
      </c>
      <c r="L34" s="139">
        <f t="shared" si="8"/>
        <v>0.53279499153859122</v>
      </c>
      <c r="M34" s="954"/>
      <c r="N34"/>
      <c r="O34" s="225">
        <f t="shared" si="1"/>
        <v>0</v>
      </c>
      <c r="P34" s="225">
        <f t="shared" si="2"/>
        <v>0</v>
      </c>
      <c r="Q34" s="954"/>
      <c r="R34" s="954"/>
      <c r="S34" s="954"/>
    </row>
    <row r="35" spans="1:19" x14ac:dyDescent="0.2">
      <c r="A35" s="1088" t="s">
        <v>54</v>
      </c>
      <c r="B35" s="168">
        <f>+TableA1!F35</f>
        <v>219.12534818941506</v>
      </c>
      <c r="C35" s="1099">
        <v>104.39766547287439</v>
      </c>
      <c r="D35" s="1119">
        <v>80.254145112083833</v>
      </c>
      <c r="E35" s="1120">
        <v>2.7316620241411327</v>
      </c>
      <c r="F35" s="1119">
        <f t="shared" si="3"/>
        <v>77.522483087942703</v>
      </c>
      <c r="G35" s="1122">
        <v>34.473537604456823</v>
      </c>
      <c r="H35" s="1115">
        <f t="shared" si="4"/>
        <v>0.52357102299898417</v>
      </c>
      <c r="I35" s="138">
        <f t="shared" si="5"/>
        <v>0.43462419814810821</v>
      </c>
      <c r="J35" s="1116">
        <f t="shared" si="6"/>
        <v>0.56537580185189173</v>
      </c>
      <c r="K35" s="1117">
        <f t="shared" si="7"/>
        <v>3.4037644041015738E-2</v>
      </c>
      <c r="L35" s="139">
        <f t="shared" si="8"/>
        <v>0.74256912486309712</v>
      </c>
      <c r="M35" s="954"/>
      <c r="N35"/>
      <c r="O35" s="225">
        <f t="shared" si="1"/>
        <v>0</v>
      </c>
      <c r="P35" s="225">
        <f t="shared" si="2"/>
        <v>0</v>
      </c>
      <c r="Q35" s="954"/>
      <c r="R35" s="954"/>
      <c r="S35" s="954"/>
    </row>
    <row r="36" spans="1:19" x14ac:dyDescent="0.2">
      <c r="A36" s="1088" t="s">
        <v>55</v>
      </c>
      <c r="B36" s="168">
        <f>+TableA1!F36</f>
        <v>93.25897817245766</v>
      </c>
      <c r="C36" s="1099">
        <v>53.761702594883424</v>
      </c>
      <c r="D36" s="1119">
        <v>23.199564358587892</v>
      </c>
      <c r="E36" s="1120">
        <v>2.0908924549081194</v>
      </c>
      <c r="F36" s="1119">
        <f t="shared" si="3"/>
        <v>21.108671903679774</v>
      </c>
      <c r="G36" s="1122">
        <v>16.297711218986336</v>
      </c>
      <c r="H36" s="1115">
        <f t="shared" si="4"/>
        <v>0.42352249994134106</v>
      </c>
      <c r="I36" s="138">
        <f t="shared" si="5"/>
        <v>0.30144467830309646</v>
      </c>
      <c r="J36" s="1116">
        <f t="shared" si="6"/>
        <v>0.6985553216969036</v>
      </c>
      <c r="K36" s="1117">
        <f t="shared" si="7"/>
        <v>9.0126367141636604E-2</v>
      </c>
      <c r="L36" s="139">
        <f t="shared" si="8"/>
        <v>0.39263399194668946</v>
      </c>
      <c r="M36" s="954"/>
      <c r="N36"/>
      <c r="O36" s="225">
        <f t="shared" si="1"/>
        <v>0</v>
      </c>
      <c r="P36" s="225">
        <f t="shared" si="2"/>
        <v>0</v>
      </c>
      <c r="Q36" s="954"/>
      <c r="R36" s="954"/>
      <c r="S36" s="954"/>
    </row>
    <row r="37" spans="1:19" x14ac:dyDescent="0.2">
      <c r="A37" s="1088" t="s">
        <v>56</v>
      </c>
      <c r="B37" s="168">
        <f>+TableA1!F37</f>
        <v>40.681291929654115</v>
      </c>
      <c r="C37" s="1099">
        <v>20.182797487742043</v>
      </c>
      <c r="D37" s="1119">
        <v>9.9271110253432813</v>
      </c>
      <c r="E37" s="1120">
        <v>0.30852905588476354</v>
      </c>
      <c r="F37" s="1119">
        <f t="shared" si="3"/>
        <v>9.6185819694585177</v>
      </c>
      <c r="G37" s="1122">
        <v>10.571383416568791</v>
      </c>
      <c r="H37" s="1115">
        <f t="shared" si="4"/>
        <v>0.50388012448960484</v>
      </c>
      <c r="I37" s="138">
        <f t="shared" si="5"/>
        <v>0.32969582159404787</v>
      </c>
      <c r="J37" s="1116">
        <f t="shared" si="6"/>
        <v>0.67030417840595213</v>
      </c>
      <c r="K37" s="1117">
        <f t="shared" si="7"/>
        <v>3.107944044315698E-2</v>
      </c>
      <c r="L37" s="139">
        <f t="shared" si="8"/>
        <v>0.47657327857054171</v>
      </c>
      <c r="M37" s="954"/>
      <c r="N37"/>
      <c r="O37" s="225">
        <f t="shared" si="1"/>
        <v>0</v>
      </c>
      <c r="P37" s="225">
        <f t="shared" si="2"/>
        <v>0</v>
      </c>
      <c r="Q37" s="954"/>
      <c r="R37" s="954"/>
      <c r="S37" s="954"/>
    </row>
    <row r="38" spans="1:19" x14ac:dyDescent="0.2">
      <c r="A38" s="1088" t="s">
        <v>57</v>
      </c>
      <c r="B38" s="168">
        <f>+TableA1!F38</f>
        <v>22.013766401710626</v>
      </c>
      <c r="C38" s="1099">
        <v>14.141094249599904</v>
      </c>
      <c r="D38" s="1119">
        <v>2.680655879883636</v>
      </c>
      <c r="E38" s="1120">
        <v>-2.4480429962990798E-3</v>
      </c>
      <c r="F38" s="1119">
        <f t="shared" si="3"/>
        <v>2.6831039228799352</v>
      </c>
      <c r="G38" s="1122">
        <v>5.1920162722270842</v>
      </c>
      <c r="H38" s="1115">
        <f t="shared" si="4"/>
        <v>0.35762495197091571</v>
      </c>
      <c r="I38" s="138">
        <f t="shared" si="5"/>
        <v>0.15935653895995286</v>
      </c>
      <c r="J38" s="1116">
        <f t="shared" si="6"/>
        <v>0.84064346104004717</v>
      </c>
      <c r="K38" s="1117">
        <f t="shared" si="7"/>
        <v>-9.1322538438068607E-4</v>
      </c>
      <c r="L38" s="139">
        <f t="shared" si="8"/>
        <v>0.18973806945356075</v>
      </c>
      <c r="M38" s="954"/>
      <c r="N38"/>
      <c r="O38" s="225">
        <f t="shared" si="1"/>
        <v>0</v>
      </c>
      <c r="P38" s="225">
        <f t="shared" si="2"/>
        <v>0</v>
      </c>
      <c r="Q38" s="954"/>
      <c r="R38" s="954"/>
      <c r="S38" s="954"/>
    </row>
    <row r="39" spans="1:19" x14ac:dyDescent="0.2">
      <c r="A39" s="1088" t="s">
        <v>58</v>
      </c>
      <c r="B39" s="168">
        <f>+TableA1!F39</f>
        <v>641.19251291230933</v>
      </c>
      <c r="C39" s="1099">
        <v>371.05269286947726</v>
      </c>
      <c r="D39" s="1119">
        <v>141.43151679293393</v>
      </c>
      <c r="E39" s="1120">
        <v>15.135433683909326</v>
      </c>
      <c r="F39" s="1119">
        <f t="shared" si="3"/>
        <v>126.29608310902461</v>
      </c>
      <c r="G39" s="1122">
        <v>128.70830324989825</v>
      </c>
      <c r="H39" s="1115">
        <f t="shared" si="4"/>
        <v>0.42130844419229363</v>
      </c>
      <c r="I39" s="138">
        <f t="shared" si="5"/>
        <v>0.2759724380310159</v>
      </c>
      <c r="J39" s="1116">
        <f t="shared" si="6"/>
        <v>0.7240275619689841</v>
      </c>
      <c r="K39" s="1117">
        <f t="shared" si="7"/>
        <v>0.10701598927252337</v>
      </c>
      <c r="L39" s="139">
        <f t="shared" si="8"/>
        <v>0.34037236634056972</v>
      </c>
      <c r="M39" s="954"/>
      <c r="N39"/>
      <c r="O39" s="225">
        <f t="shared" si="1"/>
        <v>0</v>
      </c>
      <c r="P39" s="225">
        <f t="shared" si="2"/>
        <v>0</v>
      </c>
      <c r="Q39" s="954"/>
      <c r="R39" s="954"/>
      <c r="S39" s="954"/>
    </row>
    <row r="40" spans="1:19" x14ac:dyDescent="0.2">
      <c r="A40" s="1088" t="s">
        <v>59</v>
      </c>
      <c r="B40" s="168">
        <f>+TableA1!F40</f>
        <v>269.43791827255546</v>
      </c>
      <c r="C40" s="1099">
        <v>156.5661996473911</v>
      </c>
      <c r="D40" s="1119">
        <v>57.64186900499962</v>
      </c>
      <c r="E40" s="1120">
        <v>1.0889357606148116</v>
      </c>
      <c r="F40" s="1119">
        <f t="shared" si="3"/>
        <v>56.552933244384811</v>
      </c>
      <c r="G40" s="1122">
        <v>55.229849620164742</v>
      </c>
      <c r="H40" s="1115">
        <f t="shared" si="4"/>
        <v>0.41891549396171718</v>
      </c>
      <c r="I40" s="138">
        <f t="shared" si="5"/>
        <v>0.26909289350131255</v>
      </c>
      <c r="J40" s="1116">
        <f t="shared" si="6"/>
        <v>0.7309071064986874</v>
      </c>
      <c r="K40" s="1117">
        <f t="shared" si="7"/>
        <v>1.8891402714932122E-2</v>
      </c>
      <c r="L40" s="139">
        <f t="shared" si="8"/>
        <v>0.36120780456924861</v>
      </c>
      <c r="M40" s="954"/>
      <c r="N40"/>
      <c r="O40" s="225">
        <f t="shared" si="1"/>
        <v>0</v>
      </c>
      <c r="P40" s="225">
        <f t="shared" si="2"/>
        <v>0</v>
      </c>
      <c r="Q40" s="954"/>
      <c r="R40" s="954"/>
      <c r="S40" s="954"/>
    </row>
    <row r="41" spans="1:19" x14ac:dyDescent="0.2">
      <c r="A41" s="1088" t="s">
        <v>60</v>
      </c>
      <c r="B41" s="168">
        <f>+TableA1!F41</f>
        <v>418.96218472725457</v>
      </c>
      <c r="C41" s="1099">
        <v>285.58877294959063</v>
      </c>
      <c r="D41" s="1119">
        <v>43.027734961517311</v>
      </c>
      <c r="E41" s="1120">
        <v>6.1228571636389333</v>
      </c>
      <c r="F41" s="1119">
        <f t="shared" si="3"/>
        <v>36.904877797878378</v>
      </c>
      <c r="G41" s="1122">
        <v>90.345676920055567</v>
      </c>
      <c r="H41" s="1115">
        <f t="shared" si="4"/>
        <v>0.31834236297101443</v>
      </c>
      <c r="I41" s="138">
        <f t="shared" si="5"/>
        <v>0.13093601181215303</v>
      </c>
      <c r="J41" s="1116">
        <f t="shared" si="6"/>
        <v>0.86906398818784703</v>
      </c>
      <c r="K41" s="1117">
        <f t="shared" si="7"/>
        <v>0.14230024353164369</v>
      </c>
      <c r="L41" s="139">
        <f t="shared" si="8"/>
        <v>0.12922383963739523</v>
      </c>
      <c r="M41" s="954"/>
      <c r="N41"/>
      <c r="O41" s="225">
        <f t="shared" si="1"/>
        <v>-1.0390894544798357E-7</v>
      </c>
      <c r="P41" s="225">
        <f t="shared" si="2"/>
        <v>0</v>
      </c>
      <c r="Q41" s="954"/>
      <c r="R41" s="954"/>
      <c r="S41" s="954"/>
    </row>
    <row r="42" spans="1:19" x14ac:dyDescent="0.2">
      <c r="A42" s="1088" t="s">
        <v>61</v>
      </c>
      <c r="B42" s="168">
        <f>+TableA1!F42</f>
        <v>436.54209967687609</v>
      </c>
      <c r="C42" s="1099">
        <v>169.57876977612943</v>
      </c>
      <c r="D42" s="1119">
        <v>208.55153926154807</v>
      </c>
      <c r="E42" s="1120">
        <v>23.184110787868718</v>
      </c>
      <c r="F42" s="1119">
        <f t="shared" si="3"/>
        <v>185.36742847367935</v>
      </c>
      <c r="G42" s="1122">
        <f>+TableA2!G42*$F$61</f>
        <v>58.411790639198593</v>
      </c>
      <c r="H42" s="1115">
        <f t="shared" si="4"/>
        <v>0.61154085733850216</v>
      </c>
      <c r="I42" s="138">
        <f t="shared" si="5"/>
        <v>0.55153351708912512</v>
      </c>
      <c r="J42" s="1116">
        <f t="shared" si="6"/>
        <v>0.44846648291087488</v>
      </c>
      <c r="K42" s="1117">
        <f t="shared" si="7"/>
        <v>0.11116729643885834</v>
      </c>
      <c r="L42" s="139">
        <f t="shared" si="8"/>
        <v>1.0931051612085252</v>
      </c>
      <c r="M42" s="954"/>
      <c r="N42" s="105"/>
      <c r="O42" s="225">
        <f t="shared" si="1"/>
        <v>0</v>
      </c>
      <c r="P42" s="225">
        <f t="shared" si="2"/>
        <v>0</v>
      </c>
      <c r="Q42" s="105"/>
      <c r="R42" s="105"/>
      <c r="S42" s="106"/>
    </row>
    <row r="43" spans="1:19" x14ac:dyDescent="0.2">
      <c r="A43" s="1088" t="s">
        <v>62</v>
      </c>
      <c r="B43" s="168">
        <f>+TableA1!F43</f>
        <v>1440.0278055748649</v>
      </c>
      <c r="C43" s="1099">
        <v>914.7102185487629</v>
      </c>
      <c r="D43" s="1119">
        <v>333.91592633050448</v>
      </c>
      <c r="E43" s="1120">
        <v>18.102651460174624</v>
      </c>
      <c r="F43" s="1119">
        <f t="shared" si="3"/>
        <v>315.81327487032985</v>
      </c>
      <c r="G43" s="1122">
        <v>191.40166069559771</v>
      </c>
      <c r="H43" s="1115">
        <f t="shared" si="4"/>
        <v>0.36479683586136952</v>
      </c>
      <c r="I43" s="138">
        <f t="shared" si="5"/>
        <v>0.26742666545941307</v>
      </c>
      <c r="J43" s="1116">
        <f t="shared" si="6"/>
        <v>0.73257333454058693</v>
      </c>
      <c r="K43" s="1117">
        <f t="shared" si="7"/>
        <v>5.4213201685555178E-2</v>
      </c>
      <c r="L43" s="139">
        <f t="shared" si="8"/>
        <v>0.34526046442488051</v>
      </c>
      <c r="M43" s="954"/>
      <c r="N43"/>
      <c r="O43" s="225">
        <f t="shared" si="1"/>
        <v>0</v>
      </c>
      <c r="P43" s="225">
        <f t="shared" si="2"/>
        <v>0</v>
      </c>
      <c r="Q43" s="954"/>
      <c r="R43" s="954"/>
      <c r="S43" s="954"/>
    </row>
    <row r="44" spans="1:19" x14ac:dyDescent="0.2">
      <c r="A44" s="1088" t="s">
        <v>63</v>
      </c>
      <c r="B44" s="168">
        <f>+TableA1!F44</f>
        <v>8421.3765999999996</v>
      </c>
      <c r="C44" s="1099">
        <v>5360.1337000000003</v>
      </c>
      <c r="D44" s="1119">
        <v>1699.3661999999997</v>
      </c>
      <c r="E44" s="1120">
        <v>303.37359999999995</v>
      </c>
      <c r="F44" s="1119">
        <f>D44-E44</f>
        <v>1395.9925999999998</v>
      </c>
      <c r="G44" s="1122">
        <v>1361.8767</v>
      </c>
      <c r="H44" s="1115">
        <f t="shared" si="4"/>
        <v>0.36350860974439736</v>
      </c>
      <c r="I44" s="138">
        <f t="shared" si="5"/>
        <v>0.24072047936426769</v>
      </c>
      <c r="J44" s="1116">
        <f t="shared" si="6"/>
        <v>0.75927952063573234</v>
      </c>
      <c r="K44" s="1117">
        <f t="shared" si="7"/>
        <v>0.17852161588243901</v>
      </c>
      <c r="L44" s="139">
        <f t="shared" si="8"/>
        <v>0.26043988417676966</v>
      </c>
      <c r="M44" s="954"/>
      <c r="N44" s="85"/>
      <c r="O44" s="225">
        <f t="shared" si="1"/>
        <v>0</v>
      </c>
      <c r="P44" s="225">
        <f t="shared" si="2"/>
        <v>0</v>
      </c>
      <c r="Q44" s="954"/>
      <c r="R44" s="954"/>
      <c r="S44" s="954"/>
    </row>
    <row r="45" spans="1:19" ht="40" customHeight="1" x14ac:dyDescent="0.2">
      <c r="A45" s="140" t="s">
        <v>64</v>
      </c>
      <c r="B45" s="232">
        <f t="shared" ref="B45:G45" si="9">SUM(B46:B52)</f>
        <v>8417.5286702232133</v>
      </c>
      <c r="C45" s="1110">
        <f t="shared" si="9"/>
        <v>4264.816588853183</v>
      </c>
      <c r="D45" s="223">
        <f t="shared" si="9"/>
        <v>2892.6736026455983</v>
      </c>
      <c r="E45" s="223">
        <f t="shared" si="9"/>
        <v>35.963796296323743</v>
      </c>
      <c r="F45" s="223">
        <f t="shared" si="9"/>
        <v>2856.709806349274</v>
      </c>
      <c r="G45" s="1123">
        <f t="shared" si="9"/>
        <v>1260.0384774477184</v>
      </c>
      <c r="H45" s="1124">
        <f>(G45+D45)/B45</f>
        <v>0.49334100812551157</v>
      </c>
      <c r="I45" s="215">
        <f>D45/(D45+C45)</f>
        <v>0.40414635930361942</v>
      </c>
      <c r="J45" s="224">
        <f>1-I45</f>
        <v>0.59585364069638058</v>
      </c>
      <c r="K45" s="215">
        <f>E45/D45</f>
        <v>1.2432718390153582E-2</v>
      </c>
      <c r="L45" s="216">
        <f>F45/C45</f>
        <v>0.66983180796467701</v>
      </c>
      <c r="M45" s="954"/>
      <c r="N45" s="954"/>
      <c r="O45" s="225">
        <f t="shared" si="1"/>
        <v>1.2767136468028184E-6</v>
      </c>
      <c r="P45" s="225">
        <f t="shared" si="2"/>
        <v>0</v>
      </c>
      <c r="Q45" s="954"/>
      <c r="R45" s="954"/>
      <c r="S45" s="954"/>
    </row>
    <row r="46" spans="1:19" x14ac:dyDescent="0.2">
      <c r="A46" s="1088" t="s">
        <v>65</v>
      </c>
      <c r="B46" s="168">
        <f>+TableA1!F46</f>
        <v>987.70778556038204</v>
      </c>
      <c r="C46" s="1099">
        <v>629.29120526045574</v>
      </c>
      <c r="D46" s="1119">
        <f>B46-C46-G46</f>
        <v>195.49770050907927</v>
      </c>
      <c r="E46" s="1120">
        <v>1.3288631111688225</v>
      </c>
      <c r="F46" s="1119">
        <f>D46-E46</f>
        <v>194.16883739791044</v>
      </c>
      <c r="G46" s="1122">
        <f>+TableA2!G46*$F$62</f>
        <v>162.91887979084703</v>
      </c>
      <c r="H46" s="1115">
        <f t="shared" ref="H46:H52" si="10">(G46+D46)/B46</f>
        <v>0.36287714396882725</v>
      </c>
      <c r="I46" s="138">
        <f t="shared" ref="I46:I52" si="11">D46/(D46+C46)</f>
        <v>0.2370275583746829</v>
      </c>
      <c r="J46" s="1116">
        <f t="shared" ref="J46:J52" si="12">1-I46</f>
        <v>0.76297244162531708</v>
      </c>
      <c r="K46" s="1117">
        <f t="shared" ref="K46:K52" si="13">E46/D46</f>
        <v>6.7973337165012212E-3</v>
      </c>
      <c r="L46" s="139">
        <f t="shared" ref="L46:L51" si="14">F46/C46</f>
        <v>0.30855164632015852</v>
      </c>
      <c r="M46" s="954"/>
      <c r="N46" s="954"/>
      <c r="O46" s="225">
        <f t="shared" si="1"/>
        <v>0</v>
      </c>
      <c r="P46" s="225">
        <f t="shared" si="2"/>
        <v>0</v>
      </c>
      <c r="Q46" s="954"/>
      <c r="R46" s="954"/>
      <c r="S46" s="954"/>
    </row>
    <row r="47" spans="1:19" x14ac:dyDescent="0.2">
      <c r="A47" s="1088" t="s">
        <v>66</v>
      </c>
      <c r="B47" s="168">
        <f>+TableA1!F47</f>
        <v>5523.3790716286385</v>
      </c>
      <c r="C47" s="1099">
        <v>2772.8839473044236</v>
      </c>
      <c r="D47" s="1119">
        <f>B47-C47-G47</f>
        <v>1906.3654101597481</v>
      </c>
      <c r="E47" s="1120">
        <v>22.671035034582214</v>
      </c>
      <c r="F47" s="1119">
        <f t="shared" ref="F47:F52" si="15">D47-E47</f>
        <v>1883.6943751251658</v>
      </c>
      <c r="G47" s="1122">
        <v>844.12971416446669</v>
      </c>
      <c r="H47" s="1115">
        <f t="shared" si="10"/>
        <v>0.49797326756955618</v>
      </c>
      <c r="I47" s="138">
        <f t="shared" si="11"/>
        <v>0.40740838209846242</v>
      </c>
      <c r="J47" s="1116">
        <f t="shared" si="12"/>
        <v>0.59259161790153758</v>
      </c>
      <c r="K47" s="1117">
        <f t="shared" si="13"/>
        <v>1.1892281990514319E-2</v>
      </c>
      <c r="L47" s="139">
        <f t="shared" si="14"/>
        <v>0.67932679871306667</v>
      </c>
      <c r="M47" s="954"/>
      <c r="N47" s="954"/>
      <c r="O47" s="225">
        <f t="shared" si="1"/>
        <v>0</v>
      </c>
      <c r="P47" s="225">
        <f t="shared" si="2"/>
        <v>0</v>
      </c>
      <c r="Q47" s="954"/>
      <c r="R47" s="954"/>
      <c r="S47" s="954"/>
    </row>
    <row r="48" spans="1:19" x14ac:dyDescent="0.2">
      <c r="A48" s="1088" t="s">
        <v>67</v>
      </c>
      <c r="B48" s="168">
        <f>+TableA1!F48</f>
        <v>97.612859020116034</v>
      </c>
      <c r="C48" s="1099">
        <v>49.734472420009197</v>
      </c>
      <c r="D48" s="1119">
        <f>B48-C48-G48</f>
        <v>33.300141909710767</v>
      </c>
      <c r="E48" s="1120">
        <v>6.2898428593306139</v>
      </c>
      <c r="F48" s="1119">
        <f t="shared" si="15"/>
        <v>27.010299050380155</v>
      </c>
      <c r="G48" s="1122">
        <f>+TableA2!G48*$F$62</f>
        <v>14.578244690396067</v>
      </c>
      <c r="H48" s="1115">
        <f t="shared" si="10"/>
        <v>0.49049261624680074</v>
      </c>
      <c r="I48" s="138">
        <f t="shared" si="11"/>
        <v>0.40103927956454533</v>
      </c>
      <c r="J48" s="1116">
        <f t="shared" si="12"/>
        <v>0.59896072043545467</v>
      </c>
      <c r="K48" s="1117">
        <f t="shared" si="13"/>
        <v>0.1888833650134209</v>
      </c>
      <c r="L48" s="139">
        <f t="shared" si="14"/>
        <v>0.54309008894831179</v>
      </c>
      <c r="M48" s="954"/>
      <c r="N48" s="954"/>
      <c r="O48" s="225">
        <f t="shared" si="1"/>
        <v>0</v>
      </c>
      <c r="P48" s="225">
        <f t="shared" si="2"/>
        <v>0</v>
      </c>
      <c r="Q48" s="954"/>
      <c r="R48" s="954"/>
      <c r="S48" s="954"/>
    </row>
    <row r="49" spans="1:16" x14ac:dyDescent="0.2">
      <c r="A49" s="1088" t="s">
        <v>68</v>
      </c>
      <c r="B49" s="168">
        <f>+TableA1!F49</f>
        <v>27.462161051015293</v>
      </c>
      <c r="C49" s="1099">
        <v>14.181859728130364</v>
      </c>
      <c r="D49" s="1119">
        <v>10.859412357061322</v>
      </c>
      <c r="E49" s="1120">
        <v>-5.3605354865875379E-2</v>
      </c>
      <c r="F49" s="1119">
        <f t="shared" si="15"/>
        <v>10.913017711927196</v>
      </c>
      <c r="G49" s="1122">
        <v>2.4208889658236061</v>
      </c>
      <c r="H49" s="1115">
        <f>(G49+D49)/B49</f>
        <v>0.48358544319271429</v>
      </c>
      <c r="I49" s="138">
        <f>D49/(D49+C49)</f>
        <v>0.43366057124083179</v>
      </c>
      <c r="J49" s="1116">
        <f>1-I49</f>
        <v>0.56633942875916821</v>
      </c>
      <c r="K49" s="1117">
        <f>E49/D49</f>
        <v>-4.9363034668278849E-3</v>
      </c>
      <c r="L49" s="139">
        <f>F49/C49</f>
        <v>0.76950540487160013</v>
      </c>
      <c r="M49" s="954"/>
      <c r="N49" s="954"/>
      <c r="O49" s="225">
        <f t="shared" si="1"/>
        <v>0</v>
      </c>
      <c r="P49" s="225">
        <f t="shared" si="2"/>
        <v>0</v>
      </c>
    </row>
    <row r="50" spans="1:16" x14ac:dyDescent="0.2">
      <c r="A50" s="1088" t="s">
        <v>69</v>
      </c>
      <c r="B50" s="168">
        <f>+TableA1!F50</f>
        <v>806.65022403685839</v>
      </c>
      <c r="C50" s="1099">
        <v>282.3499783576317</v>
      </c>
      <c r="D50" s="1119">
        <f>B50-C50-G50</f>
        <v>400.1431351791926</v>
      </c>
      <c r="E50" s="1120">
        <f>+B50*$E$62</f>
        <v>3.4464039834242941</v>
      </c>
      <c r="F50" s="1119">
        <f t="shared" si="15"/>
        <v>396.69673119576828</v>
      </c>
      <c r="G50" s="1122">
        <v>124.15711050003411</v>
      </c>
      <c r="H50" s="1115">
        <f t="shared" si="10"/>
        <v>0.64997223090744438</v>
      </c>
      <c r="I50" s="138">
        <f t="shared" si="11"/>
        <v>0.58629622371655288</v>
      </c>
      <c r="J50" s="1116">
        <f t="shared" si="12"/>
        <v>0.41370377628344712</v>
      </c>
      <c r="K50" s="1117">
        <f t="shared" si="13"/>
        <v>8.6129279261055458E-3</v>
      </c>
      <c r="L50" s="139">
        <f t="shared" si="14"/>
        <v>1.4049823325762825</v>
      </c>
      <c r="M50" s="954"/>
      <c r="N50" s="954"/>
      <c r="O50" s="225">
        <f t="shared" si="1"/>
        <v>0</v>
      </c>
      <c r="P50" s="225">
        <f t="shared" si="2"/>
        <v>0</v>
      </c>
    </row>
    <row r="51" spans="1:16" x14ac:dyDescent="0.2">
      <c r="A51" s="1088" t="s">
        <v>70</v>
      </c>
      <c r="B51" s="168">
        <f>+TableA1!F51</f>
        <v>810.92385311543865</v>
      </c>
      <c r="C51" s="1099">
        <v>445.85926516693706</v>
      </c>
      <c r="D51" s="1119">
        <v>282.42814261790539</v>
      </c>
      <c r="E51" s="1120">
        <f>+B51*$E$62</f>
        <v>3.4646630154572708</v>
      </c>
      <c r="F51" s="1119">
        <f t="shared" si="15"/>
        <v>278.9634796024481</v>
      </c>
      <c r="G51" s="1122">
        <v>82.636444053881306</v>
      </c>
      <c r="H51" s="1115">
        <f t="shared" si="10"/>
        <v>0.45018355949115002</v>
      </c>
      <c r="I51" s="138">
        <f t="shared" si="11"/>
        <v>0.38779764636730196</v>
      </c>
      <c r="J51" s="1116">
        <f t="shared" si="12"/>
        <v>0.61220235363269804</v>
      </c>
      <c r="K51" s="1117">
        <f t="shared" si="13"/>
        <v>1.226741422912866E-2</v>
      </c>
      <c r="L51" s="139">
        <f t="shared" si="14"/>
        <v>0.62567608525080121</v>
      </c>
      <c r="M51" s="954"/>
      <c r="N51" s="954"/>
      <c r="O51" s="225">
        <f t="shared" si="1"/>
        <v>1.2767148831471786E-6</v>
      </c>
      <c r="P51" s="225">
        <f t="shared" si="2"/>
        <v>0</v>
      </c>
    </row>
    <row r="52" spans="1:16" ht="17" thickBot="1" x14ac:dyDescent="0.25">
      <c r="A52" s="1125" t="s">
        <v>71</v>
      </c>
      <c r="B52" s="165">
        <f>+TableA1!F52</f>
        <v>163.79271581076557</v>
      </c>
      <c r="C52" s="1126">
        <v>70.515860615595457</v>
      </c>
      <c r="D52" s="1127">
        <f>B52-C52-G52</f>
        <v>64.07965991290078</v>
      </c>
      <c r="E52" s="1128">
        <v>-1.1834063527735983</v>
      </c>
      <c r="F52" s="1127">
        <f t="shared" si="15"/>
        <v>65.263066265674382</v>
      </c>
      <c r="G52" s="1129">
        <v>29.197195282269334</v>
      </c>
      <c r="H52" s="1130">
        <f t="shared" si="10"/>
        <v>0.56948109525783519</v>
      </c>
      <c r="I52" s="141">
        <f t="shared" si="11"/>
        <v>0.47609058355945794</v>
      </c>
      <c r="J52" s="1131">
        <f t="shared" si="12"/>
        <v>0.52390941644054201</v>
      </c>
      <c r="K52" s="1132">
        <f t="shared" si="13"/>
        <v>-1.8467737724921197E-2</v>
      </c>
      <c r="L52" s="142">
        <f>F52/C52</f>
        <v>0.92550903720007416</v>
      </c>
      <c r="M52" s="954"/>
      <c r="N52" s="954"/>
      <c r="O52" s="225">
        <f t="shared" si="1"/>
        <v>0</v>
      </c>
      <c r="P52" s="225">
        <f t="shared" si="2"/>
        <v>0</v>
      </c>
    </row>
    <row r="53" spans="1:16" ht="17" thickTop="1" x14ac:dyDescent="0.2">
      <c r="A53" s="954"/>
      <c r="B53" s="1027"/>
      <c r="C53" s="1027"/>
      <c r="D53" s="1133"/>
      <c r="E53" s="1133"/>
      <c r="F53" s="1133"/>
      <c r="G53" s="1133"/>
      <c r="H53" s="954"/>
      <c r="I53" s="954"/>
      <c r="J53" s="954"/>
      <c r="K53" s="954"/>
      <c r="L53" s="954"/>
      <c r="M53" s="954"/>
      <c r="N53" s="954"/>
      <c r="P53" s="954"/>
    </row>
    <row r="54" spans="1:16" s="2" customFormat="1" ht="17" thickBot="1" x14ac:dyDescent="0.25">
      <c r="B54" s="954"/>
      <c r="C54" s="954"/>
      <c r="D54" s="954"/>
      <c r="E54" s="954"/>
      <c r="F54" s="954"/>
      <c r="G54" s="954"/>
      <c r="H54" s="954"/>
      <c r="I54" s="954"/>
      <c r="J54" s="954"/>
      <c r="K54" s="954"/>
      <c r="L54" s="954"/>
      <c r="M54" s="954"/>
    </row>
    <row r="55" spans="1:16" s="2" customFormat="1" ht="47.25" customHeight="1" thickBot="1" x14ac:dyDescent="0.25">
      <c r="A55" s="1995" t="s">
        <v>138</v>
      </c>
      <c r="B55" s="1979"/>
      <c r="C55" s="1979"/>
      <c r="D55" s="1979"/>
      <c r="E55" s="1979"/>
      <c r="F55" s="1979"/>
      <c r="G55" s="1979"/>
      <c r="H55" s="1979"/>
      <c r="I55" s="1979"/>
      <c r="J55" s="1979"/>
      <c r="K55" s="1979"/>
      <c r="L55" s="1980"/>
      <c r="M55" s="954"/>
    </row>
    <row r="56" spans="1:16" s="2" customFormat="1" x14ac:dyDescent="0.2">
      <c r="A56" s="954"/>
      <c r="B56" s="954"/>
      <c r="C56" s="954"/>
      <c r="D56" s="954"/>
      <c r="E56" s="954"/>
      <c r="F56" s="954"/>
      <c r="G56" s="954"/>
      <c r="H56" s="954"/>
      <c r="I56" s="954"/>
      <c r="J56" s="954"/>
      <c r="K56" s="954"/>
      <c r="L56" s="954"/>
      <c r="M56" s="954"/>
    </row>
    <row r="57" spans="1:16" s="2" customFormat="1" x14ac:dyDescent="0.2">
      <c r="A57" s="954"/>
      <c r="B57" s="954"/>
      <c r="C57" s="954"/>
      <c r="D57" s="954"/>
      <c r="E57" s="954"/>
      <c r="F57" s="954"/>
      <c r="G57" s="954"/>
      <c r="H57" s="954"/>
      <c r="I57" s="954"/>
      <c r="J57" s="954"/>
      <c r="K57" s="954"/>
      <c r="L57" s="954"/>
      <c r="M57" s="954"/>
    </row>
    <row r="58" spans="1:16" s="2" customFormat="1" x14ac:dyDescent="0.2">
      <c r="A58" s="954"/>
      <c r="B58" s="954"/>
      <c r="C58" s="954"/>
      <c r="D58" s="954"/>
      <c r="E58" s="954"/>
      <c r="F58" s="954"/>
      <c r="G58" s="954"/>
      <c r="H58" s="954"/>
      <c r="I58" s="954"/>
      <c r="J58" s="954"/>
      <c r="K58" s="954"/>
      <c r="L58" s="954"/>
      <c r="M58" s="954"/>
    </row>
    <row r="59" spans="1:16" s="2" customFormat="1" x14ac:dyDescent="0.2">
      <c r="A59" s="954"/>
      <c r="B59" s="128" t="s">
        <v>112</v>
      </c>
      <c r="C59" s="1993" t="s">
        <v>139</v>
      </c>
      <c r="D59" s="1993"/>
      <c r="E59" s="1993"/>
      <c r="F59" s="128" t="s">
        <v>140</v>
      </c>
      <c r="G59" s="128"/>
      <c r="H59" s="954"/>
      <c r="I59" s="954"/>
      <c r="J59" s="954"/>
      <c r="K59" s="954"/>
      <c r="L59" s="954"/>
      <c r="M59" s="954"/>
    </row>
    <row r="60" spans="1:16" x14ac:dyDescent="0.2">
      <c r="A60" s="954"/>
      <c r="B60" s="1767"/>
      <c r="C60" s="128" t="s">
        <v>125</v>
      </c>
      <c r="D60" s="128" t="s">
        <v>141</v>
      </c>
      <c r="E60" s="128" t="s">
        <v>127</v>
      </c>
      <c r="F60" s="128" t="s">
        <v>134</v>
      </c>
      <c r="G60" s="128"/>
      <c r="H60" s="1003"/>
      <c r="I60" s="954"/>
      <c r="J60" s="954"/>
      <c r="K60" s="954"/>
      <c r="L60" s="954"/>
      <c r="M60" s="954"/>
      <c r="N60" s="954"/>
      <c r="P60" s="954"/>
    </row>
    <row r="61" spans="1:16" s="2" customFormat="1" x14ac:dyDescent="0.2">
      <c r="A61" s="954"/>
      <c r="B61" s="128" t="s">
        <v>115</v>
      </c>
      <c r="C61" s="130">
        <f>(SUM(C11:C12)+SUM(C14:C22)+SUM(C24:C26)+SUM(C28:C44))/(SUM(B11:B12)+SUM(B14:B22)+SUM(B24:B26)+SUM(B28:B44))</f>
        <v>0.59169078264039721</v>
      </c>
      <c r="D61" s="132">
        <f>+TableA2!D101</f>
        <v>0.17664274579679837</v>
      </c>
      <c r="E61" s="130">
        <f>(SUM(E11:E12,E26,E27:E32)+SUM(E14:E22)+SUM(E24)+SUM(E34:E44))/(SUM(D11:D12)+SUM(B14:B22)+SUM(B24)+SUM(B34:B44,B26,B27:B32))</f>
        <v>2.2494032107324018E-2</v>
      </c>
      <c r="F61" s="130">
        <f>(SUM(G11:G13,G25:G26,G27:G32)+SUM(G15:G22)+SUM(G24)+SUM(G34:G41,G43:G44))/(SUM(TableA2!G11:G13,TableA2!G25:G26,TableA2!G27:G32)+SUM(TableA2!G15:G22)+SUM(TableA2!G24)+SUM(TableA2!G34:G41,TableA2!G43:G44))</f>
        <v>0.93076135951684424</v>
      </c>
      <c r="G61" s="129"/>
      <c r="H61" s="108"/>
      <c r="I61" s="954"/>
      <c r="J61" s="954"/>
      <c r="L61" s="954"/>
      <c r="M61" s="954"/>
    </row>
    <row r="62" spans="1:16" x14ac:dyDescent="0.2">
      <c r="A62" s="954"/>
      <c r="B62" s="128" t="s">
        <v>117</v>
      </c>
      <c r="C62" s="130"/>
      <c r="D62" s="130">
        <f>+TableA2!D103</f>
        <v>0</v>
      </c>
      <c r="E62" s="130">
        <f>+SUM(E46:E49,E52)/SUM(B46:B49,B52)</f>
        <v>4.2724887202991923E-3</v>
      </c>
      <c r="F62" s="132">
        <f>+SUM(G47,G49:G52)/SUM(TableA2!G47,TableA2!G49:G52)</f>
        <v>0.84434226565789416</v>
      </c>
      <c r="G62" s="128"/>
      <c r="H62" s="954"/>
      <c r="I62" s="954"/>
      <c r="J62" s="954"/>
      <c r="K62" s="954"/>
      <c r="L62" s="954"/>
      <c r="M62" s="954"/>
      <c r="N62" s="954"/>
      <c r="P62" s="954"/>
    </row>
    <row r="63" spans="1:16" x14ac:dyDescent="0.2">
      <c r="A63" s="954"/>
      <c r="B63" s="128"/>
      <c r="C63" s="131"/>
      <c r="D63" s="132"/>
      <c r="E63" s="128"/>
      <c r="F63" s="128"/>
      <c r="G63" s="128"/>
      <c r="H63" s="954"/>
      <c r="I63" s="954"/>
      <c r="J63" s="954"/>
      <c r="K63" s="954"/>
      <c r="L63" s="954"/>
      <c r="M63" s="954"/>
      <c r="N63" s="954"/>
      <c r="P63" s="954"/>
    </row>
    <row r="64" spans="1:16" x14ac:dyDescent="0.2">
      <c r="A64" s="954"/>
      <c r="B64" s="128"/>
      <c r="C64" s="128"/>
      <c r="D64" s="128"/>
      <c r="E64" s="128"/>
      <c r="F64" s="128"/>
      <c r="G64" s="128"/>
      <c r="H64" s="954"/>
      <c r="I64" s="954"/>
      <c r="J64" s="954"/>
      <c r="K64" s="954"/>
      <c r="L64" s="954"/>
      <c r="M64" s="954"/>
      <c r="N64" s="954"/>
      <c r="P64" s="954"/>
    </row>
  </sheetData>
  <mergeCells count="13">
    <mergeCell ref="C59:E59"/>
    <mergeCell ref="G7:G8"/>
    <mergeCell ref="A55:L55"/>
    <mergeCell ref="A3:L3"/>
    <mergeCell ref="B6:G6"/>
    <mergeCell ref="H6:H8"/>
    <mergeCell ref="I6:I8"/>
    <mergeCell ref="J6:J8"/>
    <mergeCell ref="K6:K8"/>
    <mergeCell ref="L6:L8"/>
    <mergeCell ref="B7:B8"/>
    <mergeCell ref="C7:C8"/>
    <mergeCell ref="D7:D8"/>
  </mergeCells>
  <pageMargins left="0.75" right="0.75" top="1" bottom="1" header="0.5" footer="0.5"/>
  <pageSetup scale="47"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Z97"/>
  <sheetViews>
    <sheetView workbookViewId="0">
      <pane xSplit="1" ySplit="8" topLeftCell="B82" activePane="bottomRight" state="frozen"/>
      <selection pane="topRight" activeCell="B1" sqref="B1"/>
      <selection pane="bottomLeft" activeCell="A9" sqref="A9"/>
      <selection pane="bottomRight" activeCell="A94" sqref="A94:P94"/>
    </sheetView>
  </sheetViews>
  <sheetFormatPr baseColWidth="10" defaultColWidth="10.83203125" defaultRowHeight="16" x14ac:dyDescent="0.2"/>
  <cols>
    <col min="1" max="1" width="19" style="1" customWidth="1"/>
    <col min="2" max="2" width="14.83203125" style="1" customWidth="1"/>
    <col min="3" max="3" width="13.5" style="1" customWidth="1"/>
    <col min="4" max="4" width="11.33203125" style="1" customWidth="1"/>
    <col min="5" max="5" width="11.6640625" style="1" customWidth="1"/>
    <col min="6" max="16" width="11.33203125" style="1" customWidth="1"/>
    <col min="17" max="16384" width="10.83203125" style="1"/>
  </cols>
  <sheetData>
    <row r="1" spans="1:20" x14ac:dyDescent="0.2">
      <c r="A1" s="954"/>
      <c r="B1" s="954"/>
      <c r="C1" s="954"/>
      <c r="D1" s="954"/>
      <c r="E1" s="954"/>
      <c r="F1" s="954"/>
      <c r="G1"/>
      <c r="H1" s="954"/>
      <c r="I1" s="954"/>
      <c r="J1" s="954"/>
      <c r="K1" s="954"/>
      <c r="L1" s="954"/>
      <c r="M1" s="954"/>
      <c r="N1" s="954"/>
      <c r="O1" s="1000"/>
      <c r="P1" s="954"/>
      <c r="Q1" s="954"/>
      <c r="R1" s="954"/>
      <c r="S1" s="954"/>
      <c r="T1" s="954"/>
    </row>
    <row r="2" spans="1:20" ht="17" thickBot="1" x14ac:dyDescent="0.25">
      <c r="A2" s="954"/>
      <c r="B2" s="954"/>
      <c r="C2" s="954"/>
      <c r="D2" s="954"/>
      <c r="E2" s="954"/>
      <c r="F2" s="954"/>
      <c r="G2" s="954"/>
      <c r="H2" s="954"/>
      <c r="I2" s="954"/>
      <c r="J2" s="954"/>
      <c r="K2" s="954"/>
      <c r="L2" s="954"/>
      <c r="M2" s="954"/>
      <c r="N2" s="954"/>
      <c r="O2" s="954"/>
      <c r="P2" s="954"/>
      <c r="Q2" s="954"/>
      <c r="R2" s="954"/>
      <c r="S2" s="954"/>
      <c r="T2" s="954"/>
    </row>
    <row r="3" spans="1:20" ht="32.25" customHeight="1" thickTop="1" x14ac:dyDescent="0.2">
      <c r="A3" s="1951" t="s">
        <v>707</v>
      </c>
      <c r="B3" s="1952"/>
      <c r="C3" s="1952"/>
      <c r="D3" s="1952"/>
      <c r="E3" s="1952"/>
      <c r="F3" s="1952"/>
      <c r="G3" s="1952"/>
      <c r="H3" s="1952"/>
      <c r="I3" s="1952"/>
      <c r="J3" s="1952"/>
      <c r="K3" s="1952"/>
      <c r="L3" s="1952"/>
      <c r="M3" s="1952"/>
      <c r="N3" s="1952"/>
      <c r="O3" s="1952"/>
      <c r="P3" s="1953"/>
      <c r="Q3" s="954"/>
      <c r="R3" s="954"/>
      <c r="S3" s="954"/>
      <c r="T3" s="954"/>
    </row>
    <row r="4" spans="1:20" ht="12" customHeight="1" x14ac:dyDescent="0.2">
      <c r="A4" s="4"/>
      <c r="B4" s="620"/>
      <c r="C4" s="620"/>
      <c r="D4" s="620"/>
      <c r="E4" s="620"/>
      <c r="F4" s="620"/>
      <c r="G4" s="620"/>
      <c r="H4" s="620"/>
      <c r="I4" s="620"/>
      <c r="J4" s="620"/>
      <c r="K4" s="620"/>
      <c r="L4" s="620"/>
      <c r="M4" s="620"/>
      <c r="N4" s="620"/>
      <c r="O4" s="620"/>
      <c r="P4" s="5"/>
      <c r="Q4" s="954"/>
      <c r="R4" s="954"/>
      <c r="S4" s="954"/>
      <c r="T4" s="1019"/>
    </row>
    <row r="5" spans="1:20" ht="17" thickBot="1" x14ac:dyDescent="0.25">
      <c r="A5" s="1074"/>
      <c r="B5" s="126" t="s">
        <v>1</v>
      </c>
      <c r="C5" s="126" t="s">
        <v>2</v>
      </c>
      <c r="D5" s="126" t="s">
        <v>3</v>
      </c>
      <c r="E5" s="126" t="s">
        <v>4</v>
      </c>
      <c r="F5" s="126" t="s">
        <v>5</v>
      </c>
      <c r="G5" s="126" t="s">
        <v>6</v>
      </c>
      <c r="H5" s="126" t="s">
        <v>7</v>
      </c>
      <c r="I5" s="126" t="s">
        <v>8</v>
      </c>
      <c r="J5" s="126" t="s">
        <v>9</v>
      </c>
      <c r="K5" s="126" t="s">
        <v>10</v>
      </c>
      <c r="L5" s="687" t="s">
        <v>11</v>
      </c>
      <c r="M5" s="687" t="s">
        <v>12</v>
      </c>
      <c r="N5" s="687" t="s">
        <v>13</v>
      </c>
      <c r="O5" s="687" t="s">
        <v>177</v>
      </c>
      <c r="P5" s="418" t="s">
        <v>178</v>
      </c>
      <c r="Q5" s="954"/>
      <c r="R5" s="954"/>
      <c r="S5" s="954"/>
      <c r="T5" s="954"/>
    </row>
    <row r="6" spans="1:20" ht="21" customHeight="1" x14ac:dyDescent="0.2">
      <c r="A6" s="1074"/>
      <c r="B6" s="1964" t="s">
        <v>14</v>
      </c>
      <c r="C6" s="1966"/>
      <c r="D6" s="1964" t="s">
        <v>14</v>
      </c>
      <c r="E6" s="1965"/>
      <c r="F6" s="1965"/>
      <c r="G6" s="1965"/>
      <c r="H6" s="1965"/>
      <c r="I6" s="1966"/>
      <c r="J6" s="1986" t="s">
        <v>119</v>
      </c>
      <c r="K6" s="1988" t="s">
        <v>120</v>
      </c>
      <c r="L6" s="1989" t="s">
        <v>121</v>
      </c>
      <c r="M6" s="2322" t="s">
        <v>708</v>
      </c>
      <c r="N6" s="1850"/>
      <c r="O6" s="1850"/>
      <c r="P6" s="2320" t="s">
        <v>709</v>
      </c>
      <c r="Q6" s="954"/>
      <c r="R6" s="954"/>
      <c r="S6" s="954"/>
      <c r="T6" s="954"/>
    </row>
    <row r="7" spans="1:20" ht="85" customHeight="1" x14ac:dyDescent="0.2">
      <c r="A7" s="1074"/>
      <c r="B7" s="1983" t="s">
        <v>18</v>
      </c>
      <c r="C7" s="2324" t="s">
        <v>710</v>
      </c>
      <c r="D7" s="1983" t="s">
        <v>124</v>
      </c>
      <c r="E7" s="1967" t="s">
        <v>125</v>
      </c>
      <c r="F7" s="1984" t="s">
        <v>126</v>
      </c>
      <c r="G7" s="1803" t="s">
        <v>127</v>
      </c>
      <c r="H7" s="1803" t="s">
        <v>128</v>
      </c>
      <c r="I7" s="1985" t="s">
        <v>129</v>
      </c>
      <c r="J7" s="1987"/>
      <c r="K7" s="1975"/>
      <c r="L7" s="1990"/>
      <c r="M7" s="2323"/>
      <c r="N7" s="1852" t="s">
        <v>711</v>
      </c>
      <c r="O7" s="1852" t="s">
        <v>712</v>
      </c>
      <c r="P7" s="2321"/>
      <c r="Q7" s="1571"/>
      <c r="R7" s="1571"/>
      <c r="S7" s="317"/>
      <c r="T7" s="954"/>
    </row>
    <row r="8" spans="1:20" x14ac:dyDescent="0.2">
      <c r="A8" s="1074"/>
      <c r="B8" s="1960"/>
      <c r="C8" s="2325"/>
      <c r="D8" s="1960"/>
      <c r="E8" s="2319"/>
      <c r="F8" s="1984"/>
      <c r="G8" s="127"/>
      <c r="H8" s="127"/>
      <c r="I8" s="1985"/>
      <c r="J8" s="1987"/>
      <c r="K8" s="1975"/>
      <c r="L8" s="1990"/>
      <c r="M8" s="2323"/>
      <c r="N8" s="1803"/>
      <c r="O8" s="1803"/>
      <c r="P8" s="2321"/>
      <c r="Q8" s="954"/>
      <c r="R8" s="954"/>
      <c r="S8" s="954"/>
      <c r="T8" s="954"/>
    </row>
    <row r="9" spans="1:20" ht="40" customHeight="1" x14ac:dyDescent="0.2">
      <c r="A9" s="190" t="s">
        <v>28</v>
      </c>
      <c r="B9" s="174">
        <f>D9+TableA1!C9+TableA1!H9+TableA1!I9</f>
        <v>46716.271974377982</v>
      </c>
      <c r="C9" s="174">
        <f>B9-TableA1!M9</f>
        <v>38857.261593910247</v>
      </c>
      <c r="D9" s="174">
        <f>E9+F9+I9</f>
        <v>26591.987339920481</v>
      </c>
      <c r="E9" s="201">
        <f>SUM(E10:E44)</f>
        <v>15382.439705866644</v>
      </c>
      <c r="F9" s="202">
        <f>SUM(F10:F44)</f>
        <v>6553.3680058405735</v>
      </c>
      <c r="G9" s="202">
        <f>SUM(G10:G44)</f>
        <v>-49.321734412235458</v>
      </c>
      <c r="H9" s="202">
        <f>SUM(H10:H44)</f>
        <v>6602.6897402528084</v>
      </c>
      <c r="I9" s="203">
        <f>SUM(I10:I44)</f>
        <v>4656.1796282132627</v>
      </c>
      <c r="J9" s="204">
        <f>(F9+I9)/D9</f>
        <v>0.42153854432781773</v>
      </c>
      <c r="K9" s="423">
        <f>F9/(D9-I9)</f>
        <v>0.29875207204442344</v>
      </c>
      <c r="L9" s="205">
        <f>1-K9</f>
        <v>0.70124792795557656</v>
      </c>
      <c r="M9" s="1572">
        <f>K9-TableA2!I9</f>
        <v>7.5182710713601053E-3</v>
      </c>
      <c r="N9" s="202">
        <f>SUM(N10:N44)</f>
        <v>153.40275416985259</v>
      </c>
      <c r="O9" s="442">
        <f>SUM(O10:O44)</f>
        <v>2.9596329701207758</v>
      </c>
      <c r="P9" s="443">
        <f>SUM(P10:P44)</f>
        <v>150.44312119973182</v>
      </c>
      <c r="Q9" s="954"/>
      <c r="R9" s="954"/>
      <c r="S9" s="1573"/>
      <c r="T9" s="1574"/>
    </row>
    <row r="10" spans="1:20" ht="14.25" customHeight="1" x14ac:dyDescent="0.2">
      <c r="A10" s="1088" t="s">
        <v>29</v>
      </c>
      <c r="B10" s="168">
        <f>D10+TableA1!C10+TableA1!H10+TableA1!I10</f>
        <v>1241.2229370343659</v>
      </c>
      <c r="C10" s="168">
        <f>B10-TableA1!M10</f>
        <v>1015.4989063527441</v>
      </c>
      <c r="D10" s="168">
        <f t="shared" ref="D10:D11" si="0">E10+F10+I10</f>
        <v>784.98496664919276</v>
      </c>
      <c r="E10" s="1575">
        <f>TableA2!C10</f>
        <v>496.98457655004552</v>
      </c>
      <c r="F10" s="1100">
        <f t="shared" ref="F10:F11" si="1">G10+H10</f>
        <v>173.93973304365139</v>
      </c>
      <c r="G10" s="1101">
        <f>TableA2!E10-TableA6!D10*TableC2!D$95-O10</f>
        <v>-17.866772354273554</v>
      </c>
      <c r="H10" s="1107">
        <f>TableA2!F10+TableA6!D10+N10</f>
        <v>191.80650539792495</v>
      </c>
      <c r="I10" s="1108">
        <f>TableA2!G10</f>
        <v>114.06065705549587</v>
      </c>
      <c r="J10" s="1103">
        <f t="shared" ref="J10:J11" si="2">(F10+I10)/D10</f>
        <v>0.36688650399066008</v>
      </c>
      <c r="K10" s="422">
        <f t="shared" ref="K10:K11" si="3">F10/(D10-I10)</f>
        <v>0.25925388386804327</v>
      </c>
      <c r="L10" s="1104">
        <f t="shared" ref="L10:L11" si="4">1-K10</f>
        <v>0.74074611613195673</v>
      </c>
      <c r="M10" s="1576">
        <f>K10-TableA2!I10</f>
        <v>1.2263560866600659E-2</v>
      </c>
      <c r="N10" s="1577">
        <f>TableC4!C11/1000</f>
        <v>12.959094629306808</v>
      </c>
      <c r="O10" s="1577">
        <f>N10*TableC2!D$95</f>
        <v>2.0323809908045196</v>
      </c>
      <c r="P10" s="444">
        <f t="shared" ref="P10:P11" si="5">N10-O10</f>
        <v>10.926713638502289</v>
      </c>
      <c r="Q10" s="1139"/>
      <c r="R10" s="1139"/>
      <c r="S10" s="1578"/>
      <c r="T10" s="1574"/>
    </row>
    <row r="11" spans="1:20" ht="14.25" customHeight="1" x14ac:dyDescent="0.2">
      <c r="A11" s="1074" t="s">
        <v>30</v>
      </c>
      <c r="B11" s="168">
        <f>D11+TableA1!C11+TableA1!H11+TableA1!I11</f>
        <v>385.0923418207438</v>
      </c>
      <c r="C11" s="168">
        <f>B11-TableA1!M11</f>
        <v>316.54979968452596</v>
      </c>
      <c r="D11" s="168">
        <f t="shared" si="0"/>
        <v>219.86346926471094</v>
      </c>
      <c r="E11" s="1575">
        <f>TableA2!C11</f>
        <v>124.3274896607254</v>
      </c>
      <c r="F11" s="1100">
        <f t="shared" si="1"/>
        <v>50.646947275799384</v>
      </c>
      <c r="G11" s="1101">
        <f>TableA2!E11-TableA6!D11*TableC2!D$95-O11</f>
        <v>-0.89953515180933219</v>
      </c>
      <c r="H11" s="1107">
        <f>TableA2!F11+TableA6!D11+N11</f>
        <v>51.546482427608716</v>
      </c>
      <c r="I11" s="1108">
        <f>TableA2!G11</f>
        <v>44.889032328186154</v>
      </c>
      <c r="J11" s="1103">
        <f t="shared" si="2"/>
        <v>0.43452411591378215</v>
      </c>
      <c r="K11" s="422">
        <f t="shared" si="3"/>
        <v>0.28945340909525258</v>
      </c>
      <c r="L11" s="1104">
        <f t="shared" si="4"/>
        <v>0.71054659090474748</v>
      </c>
      <c r="M11" s="1576">
        <f>K11-TableA2!I11</f>
        <v>1.2506536578508365E-2</v>
      </c>
      <c r="N11" s="1577">
        <f>TableC4!C12/1000</f>
        <v>3.5894388002507043</v>
      </c>
      <c r="O11" s="1577">
        <f>N11*TableC2!D$95</f>
        <v>0.5629333988184585</v>
      </c>
      <c r="P11" s="444">
        <f t="shared" si="5"/>
        <v>3.0265054014322459</v>
      </c>
      <c r="Q11" s="1139"/>
      <c r="R11" s="1139"/>
      <c r="S11" s="1573"/>
      <c r="T11" s="1574"/>
    </row>
    <row r="12" spans="1:20" ht="14.25" customHeight="1" x14ac:dyDescent="0.2">
      <c r="A12" s="1074" t="s">
        <v>31</v>
      </c>
      <c r="B12" s="168">
        <f>D12+TableA1!C12+TableA1!H12+TableA1!I12</f>
        <v>447.90071839767779</v>
      </c>
      <c r="C12" s="168">
        <f>B12-TableA1!M12</f>
        <v>359.81386960007251</v>
      </c>
      <c r="D12" s="168">
        <f t="shared" ref="D12:D73" si="6">E12+F12+I12</f>
        <v>276.08487671029923</v>
      </c>
      <c r="E12" s="1575">
        <f>TableA2!C12</f>
        <v>166.52659153848629</v>
      </c>
      <c r="F12" s="1100">
        <f t="shared" ref="F12:F73" si="7">G12+H12</f>
        <v>52.311033161906707</v>
      </c>
      <c r="G12" s="1101">
        <f>TableA2!E12-TableA6!D12*TableC2!F$95-O12</f>
        <v>-14.823985993522784</v>
      </c>
      <c r="H12" s="1107">
        <f>TableA2!F12+TableA6!D12+N12</f>
        <v>67.13501915542949</v>
      </c>
      <c r="I12" s="1108">
        <f>TableA2!G12</f>
        <v>57.247252009906191</v>
      </c>
      <c r="J12" s="1103">
        <f t="shared" ref="J12:J73" si="8">(F12+I12)/D12</f>
        <v>0.39682827425123457</v>
      </c>
      <c r="K12" s="422">
        <f t="shared" ref="K12:K73" si="9">F12/(D12-I12)</f>
        <v>0.23904039917050313</v>
      </c>
      <c r="L12" s="1104">
        <f t="shared" ref="L12:L73" si="10">1-K12</f>
        <v>0.76095960082949687</v>
      </c>
      <c r="M12" s="1576">
        <f>K12-TableA2!I12</f>
        <v>-2.4562454015201129E-2</v>
      </c>
      <c r="N12" s="1577">
        <f>-TableA7!P12</f>
        <v>-13.106870602869716</v>
      </c>
      <c r="O12" s="1577">
        <f>N12*TableC2!F$95</f>
        <v>-3.0770320403472247</v>
      </c>
      <c r="P12" s="444">
        <f t="shared" ref="P12" si="11">N12-O12</f>
        <v>-10.029838562522491</v>
      </c>
      <c r="Q12" s="1139"/>
      <c r="R12" s="1139"/>
      <c r="S12" s="1573"/>
      <c r="T12" s="1574"/>
    </row>
    <row r="13" spans="1:20" ht="14.25" customHeight="1" x14ac:dyDescent="0.2">
      <c r="A13" s="1088" t="s">
        <v>32</v>
      </c>
      <c r="B13" s="168">
        <f>D13+TableA1!C13+TableA1!H13+TableA1!I13</f>
        <v>1575.5727272845493</v>
      </c>
      <c r="C13" s="168">
        <f>B13-TableA1!M13</f>
        <v>1308.8347603734917</v>
      </c>
      <c r="D13" s="168">
        <f t="shared" ref="D13:D44" si="12">E13+F13+I13</f>
        <v>979.7031379333032</v>
      </c>
      <c r="E13" s="1575">
        <f>TableA2!C13</f>
        <v>613.39428253347273</v>
      </c>
      <c r="F13" s="1100">
        <f t="shared" ref="F13:F44" si="13">G13+H13</f>
        <v>197.27802273493688</v>
      </c>
      <c r="G13" s="1101">
        <f>TableA2!E13-TableA6!D13*TableC2!D$95-O13</f>
        <v>35.404953487971213</v>
      </c>
      <c r="H13" s="1107">
        <f>TableA2!F13+TableA6!D13+N13</f>
        <v>161.87306924696566</v>
      </c>
      <c r="I13" s="1108">
        <f>TableA2!G13</f>
        <v>169.03083266489352</v>
      </c>
      <c r="J13" s="1103">
        <f t="shared" ref="J13:J44" si="14">(F13+I13)/D13</f>
        <v>0.37389780762830238</v>
      </c>
      <c r="K13" s="422">
        <f t="shared" ref="K13:K44" si="15">F13/(D13-I13)</f>
        <v>0.24335113146565318</v>
      </c>
      <c r="L13" s="1104">
        <f t="shared" ref="L13:L44" si="16">1-K13</f>
        <v>0.75664886853434687</v>
      </c>
      <c r="M13" s="1576">
        <f>K13-TableA2!I13</f>
        <v>1.5185346820580758E-2</v>
      </c>
      <c r="N13" s="1577">
        <f>TableC4!C14/1000</f>
        <v>18.916079243072261</v>
      </c>
      <c r="O13" s="1577">
        <f>N13*TableC2!D$95</f>
        <v>2.9666177286204793</v>
      </c>
      <c r="P13" s="444">
        <f t="shared" ref="P13:P44" si="17">N13-O13</f>
        <v>15.949461514451782</v>
      </c>
      <c r="Q13" s="1139"/>
      <c r="R13" s="1139"/>
      <c r="S13" s="1578"/>
      <c r="T13" s="1574"/>
    </row>
    <row r="14" spans="1:20" ht="14.25" customHeight="1" x14ac:dyDescent="0.2">
      <c r="A14" s="1088" t="s">
        <v>33</v>
      </c>
      <c r="B14" s="168">
        <f>D14+TableA1!C14+TableA1!H14+TableA1!I14</f>
        <v>225.78080700869211</v>
      </c>
      <c r="C14" s="168">
        <f>B14-TableA1!M14</f>
        <v>198.41855211159856</v>
      </c>
      <c r="D14" s="168">
        <f t="shared" si="12"/>
        <v>158.54491377418532</v>
      </c>
      <c r="E14" s="1575">
        <f>TableA2!C14</f>
        <v>67.029473521292758</v>
      </c>
      <c r="F14" s="1100">
        <f t="shared" si="13"/>
        <v>70.573640252892559</v>
      </c>
      <c r="G14" s="1101">
        <f>TableA2!E14-TableA6!D14*TableC2!D$95-O14</f>
        <v>-2.1507590802656877</v>
      </c>
      <c r="H14" s="1107">
        <f>TableA2!F14+TableA6!D14+N14</f>
        <v>72.724399333158246</v>
      </c>
      <c r="I14" s="1108">
        <f>TableA2!G14</f>
        <v>20.941800000000001</v>
      </c>
      <c r="J14" s="1103">
        <f t="shared" si="14"/>
        <v>0.57722091535044462</v>
      </c>
      <c r="K14" s="422">
        <f t="shared" si="15"/>
        <v>0.51287822140934969</v>
      </c>
      <c r="L14" s="1104">
        <f t="shared" si="16"/>
        <v>0.48712177859065031</v>
      </c>
      <c r="M14" s="1576">
        <f>K14-TableA2!I14</f>
        <v>1.5974526685013701E-2</v>
      </c>
      <c r="N14" s="1577">
        <f>TableC4!C15/1000</f>
        <v>5.1819143745614014</v>
      </c>
      <c r="O14" s="1577">
        <f>N14*TableC2!D$95</f>
        <v>0.81268210257668516</v>
      </c>
      <c r="P14" s="444">
        <f t="shared" si="17"/>
        <v>4.3692322719847159</v>
      </c>
      <c r="Q14" s="1139"/>
      <c r="R14" s="1139"/>
      <c r="S14" s="1573"/>
      <c r="T14" s="1574"/>
    </row>
    <row r="15" spans="1:20" ht="14.25" customHeight="1" x14ac:dyDescent="0.2">
      <c r="A15" s="1088" t="s">
        <v>34</v>
      </c>
      <c r="B15" s="168">
        <f>D15+TableA1!C15+TableA1!H15+TableA1!I15</f>
        <v>188.31444883225225</v>
      </c>
      <c r="C15" s="168">
        <f>B15-TableA1!M15</f>
        <v>148.93126879261609</v>
      </c>
      <c r="D15" s="168">
        <f t="shared" si="12"/>
        <v>113.63805267391089</v>
      </c>
      <c r="E15" s="1575">
        <f>TableA2!C15</f>
        <v>54.009329742364955</v>
      </c>
      <c r="F15" s="1100">
        <f t="shared" si="13"/>
        <v>34.123524496666107</v>
      </c>
      <c r="G15" s="1101">
        <f>TableA2!E15-TableA6!D15*TableC2!D$95-O15</f>
        <v>-1.214541873895207</v>
      </c>
      <c r="H15" s="1107">
        <f>TableA2!F15+TableA6!D15+N15</f>
        <v>35.338066370561314</v>
      </c>
      <c r="I15" s="1108">
        <f>TableA2!G15</f>
        <v>25.505198434879823</v>
      </c>
      <c r="J15" s="1103">
        <f t="shared" si="14"/>
        <v>0.52472496253216361</v>
      </c>
      <c r="K15" s="422">
        <f t="shared" si="15"/>
        <v>0.38718279115433374</v>
      </c>
      <c r="L15" s="1104">
        <f t="shared" si="16"/>
        <v>0.61281720884566626</v>
      </c>
      <c r="M15" s="1576">
        <f>K15-TableA2!I15</f>
        <v>1.049912972528172E-2</v>
      </c>
      <c r="N15" s="1577">
        <f>TableC4!C16/1000</f>
        <v>1.7606284926203615</v>
      </c>
      <c r="O15" s="1577">
        <f>N15*TableC2!D$95</f>
        <v>0.27612020612753585</v>
      </c>
      <c r="P15" s="444">
        <f t="shared" si="17"/>
        <v>1.4845082864928256</v>
      </c>
      <c r="Q15" s="1139"/>
      <c r="R15" s="1139"/>
      <c r="S15" s="1573"/>
      <c r="T15" s="1574"/>
    </row>
    <row r="16" spans="1:20" ht="14.25" customHeight="1" x14ac:dyDescent="0.2">
      <c r="A16" s="1088" t="s">
        <v>35</v>
      </c>
      <c r="B16" s="168">
        <f>D16+TableA1!C16+TableA1!H16+TableA1!I16</f>
        <v>303.79572827729891</v>
      </c>
      <c r="C16" s="168">
        <f>B16-TableA1!M16</f>
        <v>253.74435271577585</v>
      </c>
      <c r="D16" s="168">
        <f t="shared" si="12"/>
        <v>173.8136996909941</v>
      </c>
      <c r="E16" s="1575">
        <f>TableA2!C16</f>
        <v>98.579989289388223</v>
      </c>
      <c r="F16" s="1100">
        <f t="shared" si="13"/>
        <v>43.754381094586641</v>
      </c>
      <c r="G16" s="1101">
        <f>TableA2!E16-TableA6!D16*TableC2!D$95-O16</f>
        <v>-10.899984276818733</v>
      </c>
      <c r="H16" s="1107">
        <f>TableA2!F16+TableA6!D16+N16</f>
        <v>54.654365371405376</v>
      </c>
      <c r="I16" s="1108">
        <f>TableA2!G16</f>
        <v>31.479329307019256</v>
      </c>
      <c r="J16" s="1103">
        <f t="shared" si="14"/>
        <v>0.43284108522720788</v>
      </c>
      <c r="K16" s="422">
        <f t="shared" si="15"/>
        <v>0.3074055899256844</v>
      </c>
      <c r="L16" s="1104">
        <f t="shared" si="16"/>
        <v>0.69259441007431555</v>
      </c>
      <c r="M16" s="1576">
        <f>K16-TableA2!I16</f>
        <v>1.2368648393325632E-2</v>
      </c>
      <c r="N16" s="1577">
        <f>TableC4!C17/1000</f>
        <v>2.9617661722785193</v>
      </c>
      <c r="O16" s="1577">
        <f>N16*TableC2!D$95</f>
        <v>0.46449520124143978</v>
      </c>
      <c r="P16" s="444">
        <f t="shared" si="17"/>
        <v>2.4972709710370795</v>
      </c>
      <c r="Q16" s="1139"/>
      <c r="R16" s="1139"/>
      <c r="S16" s="1843"/>
      <c r="T16" s="1574"/>
    </row>
    <row r="17" spans="1:20" ht="14.25" customHeight="1" x14ac:dyDescent="0.2">
      <c r="A17" s="1088" t="s">
        <v>36</v>
      </c>
      <c r="B17" s="168">
        <f>D17+TableA1!C17+TableA1!H17+TableA1!I17</f>
        <v>22.665739841195911</v>
      </c>
      <c r="C17" s="168">
        <f>B17-TableA1!M17</f>
        <v>19.049184136655725</v>
      </c>
      <c r="D17" s="168">
        <f t="shared" si="12"/>
        <v>14.505337737961762</v>
      </c>
      <c r="E17" s="1575">
        <f>TableA2!C17</f>
        <v>7.9577756114007627</v>
      </c>
      <c r="F17" s="1100">
        <f t="shared" si="13"/>
        <v>4.2397051651154865</v>
      </c>
      <c r="G17" s="1101">
        <f>TableA2!E17-TableA6!D17*TableC2!D$95-O17</f>
        <v>-8.3690303314067405E-2</v>
      </c>
      <c r="H17" s="1107">
        <f>TableA2!F17+TableA6!D17+N17</f>
        <v>4.3233954684295535</v>
      </c>
      <c r="I17" s="1108">
        <f>TableA2!G17</f>
        <v>2.3078569614455131</v>
      </c>
      <c r="J17" s="1103">
        <f t="shared" si="14"/>
        <v>0.45138984316273073</v>
      </c>
      <c r="K17" s="422">
        <f t="shared" si="15"/>
        <v>0.3475885916769117</v>
      </c>
      <c r="L17" s="1104">
        <f t="shared" si="16"/>
        <v>0.6524114083230883</v>
      </c>
      <c r="M17" s="1576">
        <f>K17-TableA2!I17</f>
        <v>1.1178629317833977E-2</v>
      </c>
      <c r="N17" s="1577">
        <f>TableC4!C18/1000</f>
        <v>0.24369349684162625</v>
      </c>
      <c r="O17" s="1577">
        <f>N17*TableC2!D$95</f>
        <v>3.8218567325184763E-2</v>
      </c>
      <c r="P17" s="444">
        <f t="shared" si="17"/>
        <v>0.20547492951644147</v>
      </c>
      <c r="Q17" s="1139"/>
      <c r="R17" s="1139"/>
      <c r="S17" s="1573"/>
      <c r="T17" s="1574"/>
    </row>
    <row r="18" spans="1:20" ht="14.25" customHeight="1" x14ac:dyDescent="0.2">
      <c r="A18" s="1088" t="s">
        <v>37</v>
      </c>
      <c r="B18" s="168">
        <f>D18+TableA1!C18+TableA1!H18+TableA1!I18</f>
        <v>234.75391828426905</v>
      </c>
      <c r="C18" s="168">
        <f>B18-TableA1!M18</f>
        <v>190.70733304528181</v>
      </c>
      <c r="D18" s="168">
        <f t="shared" si="12"/>
        <v>130.06023697015809</v>
      </c>
      <c r="E18" s="1575">
        <f>TableA2!C18</f>
        <v>75.447591606139355</v>
      </c>
      <c r="F18" s="1100">
        <f t="shared" si="13"/>
        <v>28.837934525442272</v>
      </c>
      <c r="G18" s="1101">
        <f>TableA2!E18-TableA6!D18*TableC2!D$95-O18</f>
        <v>1.0282122276002768</v>
      </c>
      <c r="H18" s="1107">
        <f>TableA2!F18+TableA6!D18+N18</f>
        <v>27.809722297841994</v>
      </c>
      <c r="I18" s="1108">
        <f>TableA2!G18</f>
        <v>25.774710838576446</v>
      </c>
      <c r="J18" s="1103">
        <f t="shared" si="14"/>
        <v>0.41990270536374169</v>
      </c>
      <c r="K18" s="422">
        <f t="shared" si="15"/>
        <v>0.27652863820292933</v>
      </c>
      <c r="L18" s="1104">
        <f t="shared" si="16"/>
        <v>0.72347136179707072</v>
      </c>
      <c r="M18" s="1576">
        <f>K18-TableA2!I18</f>
        <v>1.6236791215999413E-2</v>
      </c>
      <c r="N18" s="1577">
        <f>TableC4!C19/1000</f>
        <v>2.7148693656359137</v>
      </c>
      <c r="O18" s="1577">
        <f>N18*TableC2!D$95</f>
        <v>0.42577425731253415</v>
      </c>
      <c r="P18" s="444">
        <f t="shared" si="17"/>
        <v>2.2890951083233797</v>
      </c>
      <c r="Q18" s="1139"/>
      <c r="R18" s="1139"/>
      <c r="S18" s="1573"/>
      <c r="T18" s="1574"/>
    </row>
    <row r="19" spans="1:20" ht="14.25" customHeight="1" x14ac:dyDescent="0.2">
      <c r="A19" s="1088" t="s">
        <v>38</v>
      </c>
      <c r="B19" s="168">
        <f>D19+TableA1!C19+TableA1!H19+TableA1!I19</f>
        <v>2460.614272483208</v>
      </c>
      <c r="C19" s="168">
        <f>B19-TableA1!M19</f>
        <v>2025.0815489147635</v>
      </c>
      <c r="D19" s="168">
        <f t="shared" si="12"/>
        <v>1335.518199577597</v>
      </c>
      <c r="E19" s="1575">
        <f>TableA2!C19</f>
        <v>871.38042208861668</v>
      </c>
      <c r="F19" s="1100">
        <f t="shared" si="13"/>
        <v>201.73037069772113</v>
      </c>
      <c r="G19" s="1101">
        <f>TableA2!E19-TableA6!D19*TableC2!D$95-O19</f>
        <v>-18.012286415645686</v>
      </c>
      <c r="H19" s="1107">
        <f>TableA2!F19+TableA6!D19+N19</f>
        <v>219.74265711336682</v>
      </c>
      <c r="I19" s="1108">
        <f>TableA2!G19</f>
        <v>262.40740679125923</v>
      </c>
      <c r="J19" s="1103">
        <f t="shared" si="14"/>
        <v>0.3475338468886307</v>
      </c>
      <c r="K19" s="422">
        <f t="shared" si="15"/>
        <v>0.18798652669770208</v>
      </c>
      <c r="L19" s="1104">
        <f t="shared" si="16"/>
        <v>0.81201347330229789</v>
      </c>
      <c r="M19" s="1576">
        <f>K19-TableA2!I19</f>
        <v>2.0999669358550216E-2</v>
      </c>
      <c r="N19" s="1577">
        <f>TableC4!C20/1000</f>
        <v>32.084129887442167</v>
      </c>
      <c r="O19" s="1577">
        <f>N19*TableC2!D$95</f>
        <v>5.0317693909168248</v>
      </c>
      <c r="P19" s="444">
        <f t="shared" si="17"/>
        <v>27.052360496525342</v>
      </c>
      <c r="Q19" s="1139"/>
      <c r="R19" s="1139"/>
      <c r="S19" s="1573"/>
      <c r="T19" s="1574"/>
    </row>
    <row r="20" spans="1:20" ht="14.25" customHeight="1" x14ac:dyDescent="0.2">
      <c r="A20" s="1088" t="s">
        <v>39</v>
      </c>
      <c r="B20" s="168">
        <f>D20+TableA1!C20+TableA1!H20+TableA1!I20</f>
        <v>3421.9046221208609</v>
      </c>
      <c r="C20" s="168">
        <f>B20-TableA1!M20</f>
        <v>2827.3117660633047</v>
      </c>
      <c r="D20" s="168">
        <f t="shared" si="12"/>
        <v>2119.2669287134859</v>
      </c>
      <c r="E20" s="1575">
        <f>TableA2!C20</f>
        <v>1223.0067020902579</v>
      </c>
      <c r="F20" s="1100">
        <f t="shared" si="13"/>
        <v>553.43993646918989</v>
      </c>
      <c r="G20" s="1101">
        <f>TableA2!E20-TableA6!D20*TableC2!D$95-O20</f>
        <v>-54.513836551872288</v>
      </c>
      <c r="H20" s="1107">
        <f>TableA2!F20+TableA6!D20+N20</f>
        <v>607.95377302106215</v>
      </c>
      <c r="I20" s="1108">
        <f>TableA2!G20</f>
        <v>342.82029015403828</v>
      </c>
      <c r="J20" s="1103">
        <f t="shared" si="14"/>
        <v>0.4229104953604445</v>
      </c>
      <c r="K20" s="422">
        <f t="shared" si="15"/>
        <v>0.31154323718835947</v>
      </c>
      <c r="L20" s="1104">
        <f t="shared" si="16"/>
        <v>0.68845676281164048</v>
      </c>
      <c r="M20" s="1576">
        <f>K20-TableA2!I20</f>
        <v>1.8421022430486433E-2</v>
      </c>
      <c r="N20" s="1577">
        <f>TableC4!C21/1000</f>
        <v>54.904338589641874</v>
      </c>
      <c r="O20" s="1577">
        <f>N20*TableC2!D$95</f>
        <v>8.6106736044609029</v>
      </c>
      <c r="P20" s="444">
        <f t="shared" si="17"/>
        <v>46.293664985180968</v>
      </c>
      <c r="Q20" s="1139"/>
      <c r="R20" s="1139"/>
      <c r="S20" s="1573"/>
      <c r="T20" s="1574"/>
    </row>
    <row r="21" spans="1:20" ht="14.25" customHeight="1" x14ac:dyDescent="0.2">
      <c r="A21" s="1088" t="s">
        <v>40</v>
      </c>
      <c r="B21" s="168">
        <f>D21+TableA1!C21+TableA1!H21+TableA1!I21</f>
        <v>195.74287713149539</v>
      </c>
      <c r="C21" s="168">
        <f>B21-TableA1!M21</f>
        <v>157.59828976531816</v>
      </c>
      <c r="D21" s="168">
        <f t="shared" si="12"/>
        <v>66.257153703902489</v>
      </c>
      <c r="E21" s="1575">
        <f>TableA2!C21</f>
        <v>27.693378982519995</v>
      </c>
      <c r="F21" s="1100">
        <f t="shared" si="13"/>
        <v>20.721551663663334</v>
      </c>
      <c r="G21" s="1101">
        <f>TableA2!E21-TableA6!D21*TableC2!D$95-O21</f>
        <v>-2.9327448922934218</v>
      </c>
      <c r="H21" s="1107">
        <f>TableA2!F21+TableA6!D21+N21</f>
        <v>23.654296555956755</v>
      </c>
      <c r="I21" s="1108">
        <f>TableA2!G21</f>
        <v>17.842223057719163</v>
      </c>
      <c r="J21" s="1103">
        <f t="shared" si="14"/>
        <v>0.58203186472091284</v>
      </c>
      <c r="K21" s="422">
        <f t="shared" si="15"/>
        <v>0.42799920163258293</v>
      </c>
      <c r="L21" s="1104">
        <f t="shared" si="16"/>
        <v>0.57200079836741713</v>
      </c>
      <c r="M21" s="1576">
        <f>K21-TableA2!I21</f>
        <v>1.0618541945894677E-2</v>
      </c>
      <c r="N21" s="1577">
        <f>TableC4!C22/1000</f>
        <v>1.0465124601954992</v>
      </c>
      <c r="O21" s="1577">
        <f>N21*TableC2!D$95</f>
        <v>0.1641250482060238</v>
      </c>
      <c r="P21" s="444">
        <f t="shared" si="17"/>
        <v>0.88238741198947535</v>
      </c>
      <c r="Q21" s="1139"/>
      <c r="R21" s="1139"/>
      <c r="S21" s="1573"/>
      <c r="T21" s="1574"/>
    </row>
    <row r="22" spans="1:20" ht="14.25" customHeight="1" x14ac:dyDescent="0.2">
      <c r="A22" s="1088" t="s">
        <v>41</v>
      </c>
      <c r="B22" s="168">
        <f>D22+TableA1!C22+TableA1!H22+TableA1!I22</f>
        <v>123.73450066919588</v>
      </c>
      <c r="C22" s="168">
        <f>B22-TableA1!M22</f>
        <v>102.92285146976509</v>
      </c>
      <c r="D22" s="168">
        <f t="shared" si="12"/>
        <v>68.619696627417696</v>
      </c>
      <c r="E22" s="1575">
        <f>TableA2!C22</f>
        <v>34.2062595652135</v>
      </c>
      <c r="F22" s="1100">
        <f t="shared" si="13"/>
        <v>21.562419010241033</v>
      </c>
      <c r="G22" s="1101">
        <f>TableA2!E22-TableA6!D22*TableC2!D$95-O22</f>
        <v>-1.5007596269518664</v>
      </c>
      <c r="H22" s="1107">
        <f>TableA2!F22+TableA6!D22+N22</f>
        <v>23.063178637192898</v>
      </c>
      <c r="I22" s="1108">
        <f>TableA2!G22</f>
        <v>12.851018051963162</v>
      </c>
      <c r="J22" s="1103">
        <f t="shared" si="14"/>
        <v>0.50150960662297595</v>
      </c>
      <c r="K22" s="422">
        <f t="shared" si="15"/>
        <v>0.38664030708684033</v>
      </c>
      <c r="L22" s="1104">
        <f t="shared" si="16"/>
        <v>0.61335969291315973</v>
      </c>
      <c r="M22" s="1576">
        <f>K22-TableA2!I22</f>
        <v>2.3043161525735711E-2</v>
      </c>
      <c r="N22" s="1577">
        <f>TableC4!C23/1000</f>
        <v>2.3948890539900791</v>
      </c>
      <c r="O22" s="1577">
        <f>N22*TableC2!D$95</f>
        <v>0.37559159244102325</v>
      </c>
      <c r="P22" s="444">
        <f t="shared" si="17"/>
        <v>2.0192974615490558</v>
      </c>
      <c r="Q22" s="1139"/>
      <c r="R22" s="1139"/>
      <c r="S22" s="1573"/>
      <c r="T22" s="1574"/>
    </row>
    <row r="23" spans="1:20" ht="14.25" customHeight="1" x14ac:dyDescent="0.2">
      <c r="A23" s="1088" t="s">
        <v>42</v>
      </c>
      <c r="B23" s="168">
        <f>D23+TableA1!C23+TableA1!H23+TableA1!I23</f>
        <v>17.148694706588422</v>
      </c>
      <c r="C23" s="168">
        <f>B23-TableA1!M23</f>
        <v>14.695447814619875</v>
      </c>
      <c r="D23" s="168">
        <f t="shared" si="12"/>
        <v>9.1659344830108154</v>
      </c>
      <c r="E23" s="1575">
        <f>TableA2!C23</f>
        <v>5.1275502981429524</v>
      </c>
      <c r="F23" s="1100">
        <f t="shared" si="13"/>
        <v>2.5203841848678628</v>
      </c>
      <c r="G23" s="1101">
        <f>TableA2!E23-TableA6!D23*TableC2!D$95-O23</f>
        <v>-6.6359555418799787E-2</v>
      </c>
      <c r="H23" s="1107">
        <f>TableA2!F23+TableA6!D23+N23</f>
        <v>2.5867437402866624</v>
      </c>
      <c r="I23" s="1108">
        <f>TableA2!G23</f>
        <v>1.518</v>
      </c>
      <c r="J23" s="1103">
        <f t="shared" si="14"/>
        <v>0.44058619362303575</v>
      </c>
      <c r="K23" s="422">
        <f t="shared" si="15"/>
        <v>0.32955096444231641</v>
      </c>
      <c r="L23" s="1104">
        <f t="shared" si="16"/>
        <v>0.67044903555768354</v>
      </c>
      <c r="M23" s="1576">
        <f>K23-TableA2!I23</f>
        <v>3.3997067284633087E-2</v>
      </c>
      <c r="N23" s="1577">
        <f>TableC4!C24/1000</f>
        <v>0.43774676216057212</v>
      </c>
      <c r="O23" s="1577">
        <f>N23*TableC2!D$95</f>
        <v>6.8652033467631463E-2</v>
      </c>
      <c r="P23" s="444">
        <f t="shared" si="17"/>
        <v>0.36909472869294069</v>
      </c>
      <c r="Q23" s="1139"/>
      <c r="R23" s="1139"/>
      <c r="S23" s="1573"/>
      <c r="T23" s="1574"/>
    </row>
    <row r="24" spans="1:20" ht="14.25" customHeight="1" x14ac:dyDescent="0.2">
      <c r="A24" s="1088" t="s">
        <v>43</v>
      </c>
      <c r="B24" s="168">
        <f>D24+TableA1!C24+TableA1!H24+TableA1!I24</f>
        <v>234.4649664601981</v>
      </c>
      <c r="C24" s="168">
        <f>B24-TableA1!M24</f>
        <v>171.49064246409756</v>
      </c>
      <c r="D24" s="168">
        <f t="shared" si="12"/>
        <v>160.20782723128787</v>
      </c>
      <c r="E24" s="1575">
        <f>TableA2!C24</f>
        <v>61.361034049457722</v>
      </c>
      <c r="F24" s="1100">
        <f t="shared" si="13"/>
        <v>44.71500300394694</v>
      </c>
      <c r="G24" s="1101">
        <f>TableA2!E24-TableA6!D24*TableC2!H$95-O24</f>
        <v>-23.261135220678916</v>
      </c>
      <c r="H24" s="1107">
        <f>TableA2!F24+TableA6!D24+N24</f>
        <v>67.976138224625856</v>
      </c>
      <c r="I24" s="1108">
        <f>TableA2!G24</f>
        <v>54.131790177883211</v>
      </c>
      <c r="J24" s="1103">
        <f t="shared" si="14"/>
        <v>0.61699103527025312</v>
      </c>
      <c r="K24" s="422">
        <f t="shared" si="15"/>
        <v>0.42153726935928881</v>
      </c>
      <c r="L24" s="1104">
        <f t="shared" si="16"/>
        <v>0.57846273064071119</v>
      </c>
      <c r="M24" s="1576">
        <f>K24-TableA2!I24</f>
        <v>-0.20022366435044336</v>
      </c>
      <c r="N24" s="1577">
        <f>-TableA7!P24</f>
        <v>-106.3289638729139</v>
      </c>
      <c r="O24" s="1577">
        <f>N24*TableC2!H$95</f>
        <v>-2.5980015194057184</v>
      </c>
      <c r="P24" s="444">
        <f t="shared" si="17"/>
        <v>-103.73096235350819</v>
      </c>
      <c r="Q24" s="1139"/>
      <c r="R24" s="1139"/>
      <c r="S24" s="1573"/>
      <c r="T24" s="1574"/>
    </row>
    <row r="25" spans="1:20" ht="14.25" customHeight="1" x14ac:dyDescent="0.2">
      <c r="A25" s="1088" t="s">
        <v>44</v>
      </c>
      <c r="B25" s="168">
        <f>D25+TableA1!C25+TableA1!H25+TableA1!I25</f>
        <v>299.66778302323962</v>
      </c>
      <c r="C25" s="168">
        <f>B25-TableA1!M25</f>
        <v>260.69763416425855</v>
      </c>
      <c r="D25" s="168">
        <f t="shared" si="12"/>
        <v>169.18486196643065</v>
      </c>
      <c r="E25" s="1575">
        <f>TableA2!C25</f>
        <v>91.954332974943853</v>
      </c>
      <c r="F25" s="1100">
        <f t="shared" si="13"/>
        <v>54.438913401107698</v>
      </c>
      <c r="G25" s="1101">
        <f>TableA2!E25-TableA6!D25*TableC2!D$95-O25</f>
        <v>-6.280754075894146E-2</v>
      </c>
      <c r="H25" s="1107">
        <f>TableA2!F25+TableA6!D25+N25</f>
        <v>54.501720941866637</v>
      </c>
      <c r="I25" s="1108">
        <f>TableA2!G25</f>
        <v>22.791615590379109</v>
      </c>
      <c r="J25" s="1103">
        <f t="shared" si="14"/>
        <v>0.45648604782862162</v>
      </c>
      <c r="K25" s="422">
        <f t="shared" si="15"/>
        <v>0.37186765611622746</v>
      </c>
      <c r="L25" s="1104">
        <f t="shared" si="16"/>
        <v>0.62813234388377248</v>
      </c>
      <c r="M25" s="1576">
        <f>K25-TableA2!I25</f>
        <v>2.4721800539052596E-3</v>
      </c>
      <c r="N25" s="1577">
        <f>TableC4!C26/1000</f>
        <v>0.68065831999156556</v>
      </c>
      <c r="O25" s="1577">
        <f>N25*TableC2!D$95</f>
        <v>0.1067479689248781</v>
      </c>
      <c r="P25" s="444">
        <f t="shared" si="17"/>
        <v>0.57391035106668742</v>
      </c>
      <c r="Q25" s="1139"/>
      <c r="R25" s="1139"/>
      <c r="S25" s="1573"/>
      <c r="T25" s="1574"/>
    </row>
    <row r="26" spans="1:20" ht="14.25" customHeight="1" x14ac:dyDescent="0.2">
      <c r="A26" s="1088" t="s">
        <v>45</v>
      </c>
      <c r="B26" s="168">
        <f>D26+TableA1!C26+TableA1!H26+TableA1!I26</f>
        <v>1851.4893038344358</v>
      </c>
      <c r="C26" s="168">
        <f>B26-TableA1!M26</f>
        <v>1520.5029775181677</v>
      </c>
      <c r="D26" s="168">
        <f t="shared" si="12"/>
        <v>891.89315939402081</v>
      </c>
      <c r="E26" s="1575">
        <f>TableA2!C26</f>
        <v>491.69619556839115</v>
      </c>
      <c r="F26" s="1100">
        <f t="shared" si="13"/>
        <v>213.52007156369916</v>
      </c>
      <c r="G26" s="1101">
        <f>TableA2!E26-TableA6!D26*TableC2!D$95-O26</f>
        <v>-21.076819372445968</v>
      </c>
      <c r="H26" s="1107">
        <f>TableA2!F26+TableA6!D26+N26</f>
        <v>234.59689093614512</v>
      </c>
      <c r="I26" s="1108">
        <f>TableA2!G26</f>
        <v>186.6768922619305</v>
      </c>
      <c r="J26" s="1103">
        <f t="shared" si="14"/>
        <v>0.44870504904145198</v>
      </c>
      <c r="K26" s="422">
        <f t="shared" si="15"/>
        <v>0.30277247068055207</v>
      </c>
      <c r="L26" s="1104">
        <f t="shared" si="16"/>
        <v>0.69722752931944787</v>
      </c>
      <c r="M26" s="1576">
        <f>K26-TableA2!I26</f>
        <v>1.9453228191403049E-2</v>
      </c>
      <c r="N26" s="1577">
        <f>TableC4!C27/1000</f>
        <v>22.702482961511631</v>
      </c>
      <c r="O26" s="1577">
        <f>N26*TableC2!D$95</f>
        <v>3.5604412294894869</v>
      </c>
      <c r="P26" s="444">
        <f t="shared" si="17"/>
        <v>19.142041732022143</v>
      </c>
      <c r="Q26" s="1139"/>
      <c r="R26" s="1139"/>
      <c r="S26" s="1573"/>
      <c r="T26" s="1574"/>
    </row>
    <row r="27" spans="1:20" ht="14.25" customHeight="1" x14ac:dyDescent="0.2">
      <c r="A27" s="1088" t="s">
        <v>46</v>
      </c>
      <c r="B27" s="168">
        <f>D27+TableA1!C27+TableA1!H27+TableA1!I27</f>
        <v>4375.8429460408979</v>
      </c>
      <c r="C27" s="168">
        <f>B27-TableA1!M27</f>
        <v>3383.9336383286545</v>
      </c>
      <c r="D27" s="168">
        <f t="shared" si="12"/>
        <v>2740.9698663769186</v>
      </c>
      <c r="E27" s="1575">
        <f>TableA2!C27</f>
        <v>1514.0182782989034</v>
      </c>
      <c r="F27" s="1100">
        <f t="shared" si="13"/>
        <v>566.94382065652383</v>
      </c>
      <c r="G27" s="1101">
        <f>TableA2!E27-TableA6!D27*TableC2!D$95-O27</f>
        <v>-75.745916908016312</v>
      </c>
      <c r="H27" s="1107">
        <f>TableA2!F27+TableA6!D27+N27</f>
        <v>642.68973756454011</v>
      </c>
      <c r="I27" s="1108">
        <f>TableA2!G27</f>
        <v>660.00776742149105</v>
      </c>
      <c r="J27" s="1103">
        <f t="shared" si="14"/>
        <v>0.4476341032161108</v>
      </c>
      <c r="K27" s="422">
        <f t="shared" si="15"/>
        <v>0.27244312663892839</v>
      </c>
      <c r="L27" s="1104">
        <f t="shared" si="16"/>
        <v>0.72755687336107155</v>
      </c>
      <c r="M27" s="1576">
        <f>K27-TableA2!I27</f>
        <v>2.5305435462888992E-3</v>
      </c>
      <c r="N27" s="1577">
        <f>TableC4!C28/1000</f>
        <v>8.5543737634504904</v>
      </c>
      <c r="O27" s="1577">
        <f>N27*TableC2!D$95</f>
        <v>1.3415865168355263</v>
      </c>
      <c r="P27" s="444">
        <f t="shared" si="17"/>
        <v>7.2127872466149636</v>
      </c>
      <c r="Q27" s="1139"/>
      <c r="R27" s="1139"/>
      <c r="S27" s="1573"/>
      <c r="T27" s="1574"/>
    </row>
    <row r="28" spans="1:20" ht="14.25" customHeight="1" x14ac:dyDescent="0.2">
      <c r="A28" s="1088" t="s">
        <v>47</v>
      </c>
      <c r="B28" s="168">
        <f>D28+TableA1!C28+TableA1!H28+TableA1!I28</f>
        <v>1386.8404413498845</v>
      </c>
      <c r="C28" s="168">
        <f>B28-TableA1!M28</f>
        <v>1116.6036264059001</v>
      </c>
      <c r="D28" s="168">
        <f t="shared" si="12"/>
        <v>847.53906201057941</v>
      </c>
      <c r="E28" s="1575">
        <f>TableA2!C28</f>
        <v>414.68018379403401</v>
      </c>
      <c r="F28" s="1100">
        <f t="shared" si="13"/>
        <v>249.05998195320453</v>
      </c>
      <c r="G28" s="1101">
        <f>TableA2!E28-TableA6!D28*TableC2!D$95-O28</f>
        <v>-3.9917195854139731</v>
      </c>
      <c r="H28" s="1107">
        <f>TableA2!F28+TableA6!D28+N28</f>
        <v>253.05170153861849</v>
      </c>
      <c r="I28" s="1108">
        <f>TableA2!G28</f>
        <v>183.79889626334088</v>
      </c>
      <c r="J28" s="1103">
        <f t="shared" si="14"/>
        <v>0.5107243991677427</v>
      </c>
      <c r="K28" s="422">
        <f t="shared" si="15"/>
        <v>0.37523717081791014</v>
      </c>
      <c r="L28" s="1104">
        <f t="shared" si="16"/>
        <v>0.62476282918208992</v>
      </c>
      <c r="M28" s="1576">
        <f>K28-TableA2!I28</f>
        <v>3.8607428181524628E-3</v>
      </c>
      <c r="N28" s="1577">
        <f>TableC4!C29/1000</f>
        <v>4.8346318555725984</v>
      </c>
      <c r="O28" s="1577">
        <f>N28*TableC2!D$95</f>
        <v>0.75821761950736855</v>
      </c>
      <c r="P28" s="444">
        <f t="shared" si="17"/>
        <v>4.0764142360652302</v>
      </c>
      <c r="Q28" s="1139"/>
      <c r="R28" s="1139"/>
      <c r="S28" s="1573"/>
      <c r="T28" s="1574"/>
    </row>
    <row r="29" spans="1:20" ht="14.25" customHeight="1" x14ac:dyDescent="0.2">
      <c r="A29" s="1074" t="s">
        <v>48</v>
      </c>
      <c r="B29" s="168">
        <f>D29+TableA1!C29+TableA1!H29+TableA1!I29</f>
        <v>27.178692320530274</v>
      </c>
      <c r="C29" s="168">
        <f>B29-TableA1!M29</f>
        <v>20.969301630701857</v>
      </c>
      <c r="D29" s="168">
        <f t="shared" si="12"/>
        <v>17.035039343074274</v>
      </c>
      <c r="E29" s="1575">
        <f>TableA2!C29</f>
        <v>9.2021529203390635</v>
      </c>
      <c r="F29" s="1100">
        <f t="shared" si="13"/>
        <v>4.2197422074609223</v>
      </c>
      <c r="G29" s="1101">
        <f>TableA2!E29-TableA6!D29*TableC2!D$95-O29</f>
        <v>-0.16711190773478191</v>
      </c>
      <c r="H29" s="1107">
        <f>TableA2!F29+TableA6!D29+N29</f>
        <v>4.3868541151957041</v>
      </c>
      <c r="I29" s="1108">
        <f>TableA2!G29</f>
        <v>3.6131442152742888</v>
      </c>
      <c r="J29" s="1103">
        <f t="shared" si="14"/>
        <v>0.45981029247929095</v>
      </c>
      <c r="K29" s="422">
        <f t="shared" si="15"/>
        <v>0.31439242873540396</v>
      </c>
      <c r="L29" s="1104">
        <f t="shared" si="16"/>
        <v>0.68560757126459604</v>
      </c>
      <c r="M29" s="1576">
        <f>K29-TableA2!I29</f>
        <v>8.7668869617354983E-3</v>
      </c>
      <c r="N29" s="1577">
        <f>TableC4!C30/1000</f>
        <v>0.20097896727392819</v>
      </c>
      <c r="O29" s="1577">
        <f>N29*TableC2!D$95</f>
        <v>3.1519627282859383E-2</v>
      </c>
      <c r="P29" s="444">
        <f t="shared" si="17"/>
        <v>0.16945933999106882</v>
      </c>
      <c r="Q29" s="1139"/>
      <c r="R29" s="1139"/>
      <c r="S29" s="1573"/>
      <c r="T29" s="1574"/>
    </row>
    <row r="30" spans="1:20" s="25" customFormat="1" ht="14.25" customHeight="1" x14ac:dyDescent="0.2">
      <c r="A30" s="1074" t="s">
        <v>49</v>
      </c>
      <c r="B30" s="168">
        <f>D30+TableA1!C30+TableA1!H30+TableA1!I30</f>
        <v>52.141031577291947</v>
      </c>
      <c r="C30" s="168">
        <f>B30-TableA1!M30</f>
        <v>45.255279868497382</v>
      </c>
      <c r="D30" s="168">
        <f t="shared" si="12"/>
        <v>33.587676040442652</v>
      </c>
      <c r="E30" s="1575">
        <f>TableA2!C30</f>
        <v>21.552271978652684</v>
      </c>
      <c r="F30" s="1100">
        <f t="shared" si="13"/>
        <v>7.8568842444310789</v>
      </c>
      <c r="G30" s="1101">
        <f>TableA2!E30-TableA6!D30*0.625-O30</f>
        <v>-36.370975411157787</v>
      </c>
      <c r="H30" s="1107">
        <f>TableA2!F30+TableA6!D30+N30</f>
        <v>44.227859655588865</v>
      </c>
      <c r="I30" s="1108">
        <f>TableA2!G30</f>
        <v>4.1785198173588904</v>
      </c>
      <c r="J30" s="1103">
        <f t="shared" si="14"/>
        <v>0.35832797861031634</v>
      </c>
      <c r="K30" s="422">
        <f t="shared" si="15"/>
        <v>0.26715775810881892</v>
      </c>
      <c r="L30" s="1104">
        <f t="shared" si="16"/>
        <v>0.73284224189118108</v>
      </c>
      <c r="M30" s="1576">
        <f>K30-TableA2!I30</f>
        <v>-0.11798723247826243</v>
      </c>
      <c r="N30" s="1577">
        <f>-TableA7!P30</f>
        <v>-46.799572185855702</v>
      </c>
      <c r="O30" s="1577">
        <f>N30*0.625</f>
        <v>-29.249732616159815</v>
      </c>
      <c r="P30" s="444">
        <f t="shared" si="17"/>
        <v>-17.549839569695887</v>
      </c>
      <c r="Q30" s="1139"/>
      <c r="R30" s="1139"/>
      <c r="S30" s="1579"/>
      <c r="T30" s="1580"/>
    </row>
    <row r="31" spans="1:20" ht="14.25" customHeight="1" x14ac:dyDescent="0.2">
      <c r="A31" s="1074" t="s">
        <v>50</v>
      </c>
      <c r="B31" s="168">
        <f>D31+TableA1!C31+TableA1!H31+TableA1!I31</f>
        <v>1159.1017765569741</v>
      </c>
      <c r="C31" s="168">
        <f>B31-TableA1!M31</f>
        <v>1016.9968385217933</v>
      </c>
      <c r="D31" s="168">
        <f t="shared" si="12"/>
        <v>591.56098487293673</v>
      </c>
      <c r="E31" s="1575">
        <f>TableA2!C31</f>
        <v>140.22820286912128</v>
      </c>
      <c r="F31" s="1100">
        <f t="shared" si="13"/>
        <v>348.97559683019364</v>
      </c>
      <c r="G31" s="1101">
        <f>TableA2!E31-TableA6!D31*TableC2!D$95-O31</f>
        <v>10.835019426759914</v>
      </c>
      <c r="H31" s="1107">
        <f>TableA2!F31+TableA6!D31+N31</f>
        <v>338.14057740343372</v>
      </c>
      <c r="I31" s="1108">
        <f>TableA2!G31</f>
        <v>102.35718517362183</v>
      </c>
      <c r="J31" s="1103">
        <f t="shared" si="14"/>
        <v>0.76295224591384891</v>
      </c>
      <c r="K31" s="422">
        <f t="shared" si="15"/>
        <v>0.71335422383204838</v>
      </c>
      <c r="L31" s="1104">
        <f t="shared" si="16"/>
        <v>0.28664577616795162</v>
      </c>
      <c r="M31" s="1576">
        <f>K31-TableA2!I31</f>
        <v>6.6194304456361763E-3</v>
      </c>
      <c r="N31" s="1577">
        <f>TableC4!C32/1000</f>
        <v>13.095889552074285</v>
      </c>
      <c r="O31" s="1577">
        <f>N31*TableC2!D$95</f>
        <v>2.0538346037785664</v>
      </c>
      <c r="P31" s="444">
        <f t="shared" si="17"/>
        <v>11.042054948295718</v>
      </c>
      <c r="Q31" s="1139"/>
      <c r="R31" s="1139"/>
      <c r="S31" s="1573"/>
      <c r="T31" s="1574"/>
    </row>
    <row r="32" spans="1:20" ht="14.25" customHeight="1" x14ac:dyDescent="0.2">
      <c r="A32" s="1074" t="s">
        <v>51</v>
      </c>
      <c r="B32" s="168">
        <f>D32+TableA1!C32+TableA1!H32+TableA1!I32</f>
        <v>745.53259170703814</v>
      </c>
      <c r="C32" s="168">
        <f>B32-TableA1!M32</f>
        <v>621.58883913538966</v>
      </c>
      <c r="D32" s="168">
        <f t="shared" si="12"/>
        <v>488.67162763969122</v>
      </c>
      <c r="E32" s="1575">
        <f>TableA2!C32</f>
        <v>282.03899700441076</v>
      </c>
      <c r="F32" s="1100">
        <f t="shared" si="13"/>
        <v>134.84052297595466</v>
      </c>
      <c r="G32" s="1101">
        <f>TableA2!E32-TableA6!D32*TableC2!K$95-O32</f>
        <v>-2.902101220363452</v>
      </c>
      <c r="H32" s="1107">
        <f>TableA2!F32+TableA6!D32+N32</f>
        <v>137.7426241963181</v>
      </c>
      <c r="I32" s="1108">
        <f>TableA2!G32</f>
        <v>71.792107659325765</v>
      </c>
      <c r="J32" s="1103">
        <f t="shared" si="14"/>
        <v>0.42284556529980366</v>
      </c>
      <c r="K32" s="422">
        <f t="shared" si="15"/>
        <v>0.3234520203398466</v>
      </c>
      <c r="L32" s="1104">
        <f t="shared" si="16"/>
        <v>0.67654797966015345</v>
      </c>
      <c r="M32" s="1576">
        <f>K32-TableA2!I32</f>
        <v>-1.9644765186238089E-2</v>
      </c>
      <c r="N32" s="1577">
        <f>-TableA7!P32</f>
        <v>-57.353364287520073</v>
      </c>
      <c r="O32" s="1577">
        <f>N32*TableC2!K$95</f>
        <v>-24.860276691798649</v>
      </c>
      <c r="P32" s="444">
        <f t="shared" si="17"/>
        <v>-32.49308759572142</v>
      </c>
      <c r="Q32" s="1139"/>
      <c r="R32" s="1139"/>
      <c r="S32" s="1573"/>
      <c r="T32" s="1574"/>
    </row>
    <row r="33" spans="1:20" ht="14.25" customHeight="1" x14ac:dyDescent="0.2">
      <c r="A33" s="1074" t="s">
        <v>52</v>
      </c>
      <c r="B33" s="168">
        <f>D33+TableA1!C33+TableA1!H33+TableA1!I33</f>
        <v>176.85731694060109</v>
      </c>
      <c r="C33" s="168">
        <f>B33-TableA1!M33</f>
        <v>154.93949342300186</v>
      </c>
      <c r="D33" s="168">
        <f t="shared" si="12"/>
        <v>119.00902809316653</v>
      </c>
      <c r="E33" s="1575">
        <f>TableA2!C33</f>
        <v>57.141860911103748</v>
      </c>
      <c r="F33" s="1100">
        <f t="shared" si="13"/>
        <v>44.938867182062786</v>
      </c>
      <c r="G33" s="1101">
        <f>TableA2!E33-TableA6!D33*TableC2!D$95-O33</f>
        <v>-0.20824305848172037</v>
      </c>
      <c r="H33" s="1107">
        <f>TableA2!F33+TableA6!D33+N33</f>
        <v>45.147110240544507</v>
      </c>
      <c r="I33" s="1108">
        <f>TableA2!G33</f>
        <v>16.9283</v>
      </c>
      <c r="J33" s="1103">
        <f t="shared" si="14"/>
        <v>0.51985272187610765</v>
      </c>
      <c r="K33" s="422">
        <f t="shared" si="15"/>
        <v>0.44022870939016234</v>
      </c>
      <c r="L33" s="1104">
        <f t="shared" si="16"/>
        <v>0.55977129060983766</v>
      </c>
      <c r="M33" s="1576">
        <f>K33-TableA2!I33</f>
        <v>7.1335819274978007E-3</v>
      </c>
      <c r="N33" s="1577">
        <f>TableC4!C34/1000</f>
        <v>1.5234433952929838</v>
      </c>
      <c r="O33" s="1577">
        <f>N33*TableC2!D$95</f>
        <v>0.23892235420197525</v>
      </c>
      <c r="P33" s="444">
        <f t="shared" si="17"/>
        <v>1.2845210410910086</v>
      </c>
      <c r="Q33" s="1139"/>
      <c r="R33" s="1139"/>
      <c r="S33" s="1573"/>
      <c r="T33" s="1574"/>
    </row>
    <row r="34" spans="1:20" ht="14.25" customHeight="1" x14ac:dyDescent="0.2">
      <c r="A34" s="1074" t="s">
        <v>53</v>
      </c>
      <c r="B34" s="168">
        <f>D34+TableA1!C34+TableA1!H34+TableA1!I34</f>
        <v>390.97611727653754</v>
      </c>
      <c r="C34" s="168">
        <f>B34-TableA1!M34</f>
        <v>322.55665126101479</v>
      </c>
      <c r="D34" s="168">
        <f t="shared" si="12"/>
        <v>248.44943101123573</v>
      </c>
      <c r="E34" s="1575">
        <f>TableA2!C34</f>
        <v>120.45063054869772</v>
      </c>
      <c r="F34" s="1100">
        <f t="shared" si="13"/>
        <v>84.318405450877194</v>
      </c>
      <c r="G34" s="1101">
        <f>TableA2!E34-TableA6!D34*TableC2!D$95-O34</f>
        <v>2.9728689299984654</v>
      </c>
      <c r="H34" s="1107">
        <f>TableA2!F34+TableA6!D34+N34</f>
        <v>81.345536520878724</v>
      </c>
      <c r="I34" s="1108">
        <f>TableA2!G34</f>
        <v>43.680395011660849</v>
      </c>
      <c r="J34" s="1103">
        <f t="shared" si="14"/>
        <v>0.51519055584695428</v>
      </c>
      <c r="K34" s="422">
        <f t="shared" si="15"/>
        <v>0.41177322068875805</v>
      </c>
      <c r="L34" s="1104">
        <f t="shared" si="16"/>
        <v>0.5882267793112419</v>
      </c>
      <c r="M34" s="1576">
        <f>K34-TableA2!I34</f>
        <v>1.2910222894438328E-2</v>
      </c>
      <c r="N34" s="1577">
        <f>TableC4!C35/1000</f>
        <v>5.2156647064681243</v>
      </c>
      <c r="O34" s="1577">
        <f>N34*TableC2!D$95</f>
        <v>0.81797518322488438</v>
      </c>
      <c r="P34" s="444">
        <f t="shared" si="17"/>
        <v>4.3976895232432396</v>
      </c>
      <c r="Q34" s="1139"/>
      <c r="R34" s="1139"/>
      <c r="S34" s="1573"/>
      <c r="T34" s="1574"/>
    </row>
    <row r="35" spans="1:20" ht="14.25" customHeight="1" x14ac:dyDescent="0.2">
      <c r="A35" s="1074" t="s">
        <v>54</v>
      </c>
      <c r="B35" s="168">
        <f>D35+TableA1!C35+TableA1!H35+TableA1!I35</f>
        <v>480.18269634199908</v>
      </c>
      <c r="C35" s="168">
        <f>B35-TableA1!M35</f>
        <v>425.52425357770676</v>
      </c>
      <c r="D35" s="168">
        <f t="shared" si="12"/>
        <v>238.01556542277899</v>
      </c>
      <c r="E35" s="1575">
        <f>TableA2!C35</f>
        <v>110.83432816023345</v>
      </c>
      <c r="F35" s="1100">
        <f t="shared" si="13"/>
        <v>90.845914275411971</v>
      </c>
      <c r="G35" s="1101">
        <f>TableA2!E35-TableA6!D35*TableC2!D$95-O35</f>
        <v>-0.63453893401917327</v>
      </c>
      <c r="H35" s="1107">
        <f>TableA2!F35+TableA6!D35+N35</f>
        <v>91.480453209431147</v>
      </c>
      <c r="I35" s="1108">
        <f>TableA2!G35</f>
        <v>36.335322987133573</v>
      </c>
      <c r="J35" s="1103">
        <f t="shared" si="14"/>
        <v>0.53434000014510741</v>
      </c>
      <c r="K35" s="422">
        <f t="shared" si="15"/>
        <v>0.45044528496340036</v>
      </c>
      <c r="L35" s="1104">
        <f t="shared" si="16"/>
        <v>0.54955471503659958</v>
      </c>
      <c r="M35" s="1576">
        <f>K35-TableA2!I35</f>
        <v>8.6246521401181497E-3</v>
      </c>
      <c r="N35" s="1577">
        <f>TableC4!C36/1000</f>
        <v>3.6958663942036614</v>
      </c>
      <c r="O35" s="1577">
        <f>N35*TableC2!D$95</f>
        <v>0.57962448913258358</v>
      </c>
      <c r="P35" s="444">
        <f t="shared" si="17"/>
        <v>3.1162419050710777</v>
      </c>
      <c r="Q35" s="1139"/>
      <c r="R35" s="1139"/>
      <c r="S35" s="1573"/>
      <c r="T35" s="1574"/>
    </row>
    <row r="36" spans="1:20" ht="14.25" customHeight="1" x14ac:dyDescent="0.2">
      <c r="A36" s="1074" t="s">
        <v>55</v>
      </c>
      <c r="B36" s="168">
        <f>D36+TableA1!C36+TableA1!H36+TableA1!I36</f>
        <v>201.64468136171513</v>
      </c>
      <c r="C36" s="168">
        <f>B36-TableA1!M36</f>
        <v>167.24963844637796</v>
      </c>
      <c r="D36" s="168">
        <f t="shared" si="12"/>
        <v>103.9783374334673</v>
      </c>
      <c r="E36" s="1575">
        <f>TableA2!C36</f>
        <v>57.993657247362911</v>
      </c>
      <c r="F36" s="1100">
        <f t="shared" si="13"/>
        <v>28.682713478069537</v>
      </c>
      <c r="G36" s="1101">
        <f>TableA2!E36-TableA6!D36*TableC2!D$95-O36</f>
        <v>-0.57354172162739325</v>
      </c>
      <c r="H36" s="1107">
        <f>TableA2!F36+TableA6!D36+N36</f>
        <v>29.25625519969693</v>
      </c>
      <c r="I36" s="1108">
        <f>TableA2!G36</f>
        <v>17.301966708034854</v>
      </c>
      <c r="J36" s="1103">
        <f t="shared" si="14"/>
        <v>0.44225250490784818</v>
      </c>
      <c r="K36" s="422">
        <f t="shared" si="15"/>
        <v>0.33091733350175334</v>
      </c>
      <c r="L36" s="1104">
        <f t="shared" si="16"/>
        <v>0.66908266649824666</v>
      </c>
      <c r="M36" s="1576">
        <f>K36-TableA2!I36</f>
        <v>1.762340700856474E-2</v>
      </c>
      <c r="N36" s="1577">
        <f>TableC4!C37/1000</f>
        <v>2.6381822918681346</v>
      </c>
      <c r="O36" s="1577">
        <f>N36*TableC2!D$95</f>
        <v>0.41374738696207086</v>
      </c>
      <c r="P36" s="444">
        <f t="shared" si="17"/>
        <v>2.2244349049060639</v>
      </c>
      <c r="Q36" s="1139"/>
      <c r="R36" s="1139"/>
      <c r="S36" s="1573"/>
      <c r="T36" s="1574"/>
    </row>
    <row r="37" spans="1:20" ht="14.25" customHeight="1" x14ac:dyDescent="0.2">
      <c r="A37" s="1074" t="s">
        <v>56</v>
      </c>
      <c r="B37" s="168">
        <f>D37+TableA1!C37+TableA1!H37+TableA1!I37</f>
        <v>88.038361945990872</v>
      </c>
      <c r="C37" s="168">
        <f>B37-TableA1!M37</f>
        <v>70.403218283031819</v>
      </c>
      <c r="D37" s="168">
        <f t="shared" si="12"/>
        <v>43.893843896484348</v>
      </c>
      <c r="E37" s="1575">
        <f>TableA2!C37</f>
        <v>21.242901141118761</v>
      </c>
      <c r="F37" s="1100">
        <f t="shared" si="13"/>
        <v>11.442992743221307</v>
      </c>
      <c r="G37" s="1101">
        <f>TableA2!E37-TableA6!D37*TableC2!D$95-O37</f>
        <v>-0.79837087436315313</v>
      </c>
      <c r="H37" s="1107">
        <f>TableA2!F37+TableA6!D37+N37</f>
        <v>12.24136361758446</v>
      </c>
      <c r="I37" s="1108">
        <f>TableA2!G37</f>
        <v>11.207950012144281</v>
      </c>
      <c r="J37" s="1103">
        <f t="shared" si="14"/>
        <v>0.51603916961074814</v>
      </c>
      <c r="K37" s="422">
        <f t="shared" si="15"/>
        <v>0.35008963755779943</v>
      </c>
      <c r="L37" s="1104">
        <f t="shared" si="16"/>
        <v>0.64991036244220057</v>
      </c>
      <c r="M37" s="1576">
        <f>K37-TableA2!I37</f>
        <v>1.0854600476850662E-2</v>
      </c>
      <c r="N37" s="1577">
        <f>TableC4!C38/1000</f>
        <v>0.63681356041207426</v>
      </c>
      <c r="O37" s="1577">
        <f>N37*TableC2!D$95</f>
        <v>9.9871774370805397E-2</v>
      </c>
      <c r="P37" s="444">
        <f t="shared" si="17"/>
        <v>0.53694178604126885</v>
      </c>
      <c r="Q37" s="1139"/>
      <c r="R37" s="1139"/>
      <c r="S37" s="1573"/>
      <c r="T37" s="1574"/>
    </row>
    <row r="38" spans="1:20" ht="14.25" customHeight="1" x14ac:dyDescent="0.2">
      <c r="A38" s="1074" t="s">
        <v>57</v>
      </c>
      <c r="B38" s="168">
        <f>D38+TableA1!C38+TableA1!H38+TableA1!I38</f>
        <v>42.966680070154545</v>
      </c>
      <c r="C38" s="168">
        <f>B38-TableA1!M38</f>
        <v>34.099613252211178</v>
      </c>
      <c r="D38" s="168">
        <f t="shared" si="12"/>
        <v>23.66569355529694</v>
      </c>
      <c r="E38" s="1575">
        <f>TableA2!C38</f>
        <v>14.942894708531718</v>
      </c>
      <c r="F38" s="1100">
        <f t="shared" si="13"/>
        <v>3.274506310451605</v>
      </c>
      <c r="G38" s="1101">
        <f>TableA2!E38-TableA6!D38*TableC2!D$95-O38</f>
        <v>-0.36855118705690693</v>
      </c>
      <c r="H38" s="1107">
        <f>TableA2!F38+TableA6!D38+N38</f>
        <v>3.6430574975085119</v>
      </c>
      <c r="I38" s="1108">
        <f>TableA2!G38</f>
        <v>5.4482925363136179</v>
      </c>
      <c r="J38" s="1103">
        <f t="shared" si="14"/>
        <v>0.36858412057029505</v>
      </c>
      <c r="K38" s="422">
        <f t="shared" si="15"/>
        <v>0.17974607393444472</v>
      </c>
      <c r="L38" s="1104">
        <f t="shared" si="16"/>
        <v>0.82025392606555525</v>
      </c>
      <c r="M38" s="1576">
        <f>K38-TableA2!I38</f>
        <v>8.6434782796283305E-3</v>
      </c>
      <c r="N38" s="1577">
        <f>TableC4!C39/1000</f>
        <v>0.22529901009808276</v>
      </c>
      <c r="O38" s="1577">
        <f>N38*TableC2!D$95</f>
        <v>3.5333751197008739E-2</v>
      </c>
      <c r="P38" s="444">
        <f t="shared" si="17"/>
        <v>0.18996525890107402</v>
      </c>
      <c r="Q38" s="1139"/>
      <c r="R38" s="1139"/>
      <c r="S38" s="1573"/>
      <c r="T38" s="1574"/>
    </row>
    <row r="39" spans="1:20" x14ac:dyDescent="0.2">
      <c r="A39" s="1074" t="s">
        <v>58</v>
      </c>
      <c r="B39" s="168">
        <f>D39+TableA1!C39+TableA1!H39+TableA1!I39</f>
        <v>1209.899512812462</v>
      </c>
      <c r="C39" s="168">
        <f>B39-TableA1!M39</f>
        <v>1000.0929229597572</v>
      </c>
      <c r="D39" s="168">
        <f t="shared" si="12"/>
        <v>691.08475024701318</v>
      </c>
      <c r="E39" s="1575">
        <f>TableA2!C39</f>
        <v>393.17191976124013</v>
      </c>
      <c r="F39" s="1100">
        <f t="shared" si="13"/>
        <v>164.30799761658403</v>
      </c>
      <c r="G39" s="1101">
        <f>TableA2!E39-TableA6!D39*TableC2!D$95-O39</f>
        <v>-9.0077359869128184</v>
      </c>
      <c r="H39" s="1107">
        <f>TableA2!F39+TableA6!D39+N39</f>
        <v>173.31573360349685</v>
      </c>
      <c r="I39" s="1108">
        <f>TableA2!G39</f>
        <v>133.60483286918893</v>
      </c>
      <c r="J39" s="1103">
        <f t="shared" si="14"/>
        <v>0.43108002365743203</v>
      </c>
      <c r="K39" s="422">
        <f t="shared" si="15"/>
        <v>0.29473348275831535</v>
      </c>
      <c r="L39" s="1104">
        <f t="shared" si="16"/>
        <v>0.70526651724168465</v>
      </c>
      <c r="M39" s="1576">
        <f>K39-TableA2!I39</f>
        <v>1.566007374782602E-2</v>
      </c>
      <c r="N39" s="1577">
        <f>TableC4!C40/1000</f>
        <v>14.362071520602967</v>
      </c>
      <c r="O39" s="1577">
        <f>N39*TableC2!D$95</f>
        <v>2.2524105257351446</v>
      </c>
      <c r="P39" s="444">
        <f t="shared" si="17"/>
        <v>12.109660994867824</v>
      </c>
      <c r="Q39" s="1139"/>
      <c r="R39" s="1139"/>
      <c r="S39" s="1573"/>
      <c r="T39" s="1574"/>
    </row>
    <row r="40" spans="1:20" x14ac:dyDescent="0.2">
      <c r="A40" s="1074" t="s">
        <v>59</v>
      </c>
      <c r="B40" s="168">
        <f>D40+TableA1!C40+TableA1!H40+TableA1!I40</f>
        <v>505.11968629490775</v>
      </c>
      <c r="C40" s="168">
        <f>B40-TableA1!M40</f>
        <v>423.55146230586041</v>
      </c>
      <c r="D40" s="168">
        <f t="shared" si="12"/>
        <v>295.02692935971481</v>
      </c>
      <c r="E40" s="1575">
        <f>TableA2!C40</f>
        <v>164.05430760342725</v>
      </c>
      <c r="F40" s="1100">
        <f t="shared" si="13"/>
        <v>73.321031169102838</v>
      </c>
      <c r="G40" s="1101">
        <f>TableA2!E40-TableA6!D40*TableC2!D$95-O40</f>
        <v>1.4121787549372631</v>
      </c>
      <c r="H40" s="1107">
        <f>TableA2!F40+TableA6!D40+N40</f>
        <v>71.90885241416558</v>
      </c>
      <c r="I40" s="1108">
        <f>TableA2!G40</f>
        <v>57.651590587184749</v>
      </c>
      <c r="J40" s="1103">
        <f t="shared" si="14"/>
        <v>0.44393446401836012</v>
      </c>
      <c r="K40" s="422">
        <f t="shared" si="15"/>
        <v>0.30888226025604232</v>
      </c>
      <c r="L40" s="1104">
        <f t="shared" si="16"/>
        <v>0.69111773974395763</v>
      </c>
      <c r="M40" s="1576">
        <f>K40-TableA2!I40</f>
        <v>2.1623423049974166E-2</v>
      </c>
      <c r="N40" s="1577">
        <f>TableC4!C41/1000</f>
        <v>8.5410900580049951</v>
      </c>
      <c r="O40" s="1577">
        <f>N40*TableC2!D$95</f>
        <v>1.3395032269756146</v>
      </c>
      <c r="P40" s="444">
        <f t="shared" si="17"/>
        <v>7.2015868310293802</v>
      </c>
      <c r="Q40" s="1139"/>
      <c r="R40" s="1139"/>
      <c r="S40" s="1573"/>
      <c r="T40" s="1574"/>
    </row>
    <row r="41" spans="1:20" x14ac:dyDescent="0.2">
      <c r="A41" s="1074" t="s">
        <v>60</v>
      </c>
      <c r="B41" s="168">
        <f>D41+TableA1!C41+TableA1!H41+TableA1!I41</f>
        <v>626.63587828634672</v>
      </c>
      <c r="C41" s="168">
        <f>B41-TableA1!M41</f>
        <v>486.33856183891066</v>
      </c>
      <c r="D41" s="168">
        <f t="shared" si="12"/>
        <v>430.86705107550193</v>
      </c>
      <c r="E41" s="1575">
        <f>TableA2!C41</f>
        <v>321.15382930461016</v>
      </c>
      <c r="F41" s="1100">
        <f t="shared" si="13"/>
        <v>12.187140520326732</v>
      </c>
      <c r="G41" s="1101">
        <f>TableA2!E41-TableA6!D41*TableC2!M$95-O41</f>
        <v>-24.549373684050142</v>
      </c>
      <c r="H41" s="1107">
        <f>TableA2!F41+TableA6!D41+N41</f>
        <v>36.736514204376874</v>
      </c>
      <c r="I41" s="1108">
        <f>TableA2!G41</f>
        <v>97.526081250565014</v>
      </c>
      <c r="J41" s="1103">
        <f t="shared" si="14"/>
        <v>0.2546335847613152</v>
      </c>
      <c r="K41" s="422">
        <f t="shared" si="15"/>
        <v>3.6560583977202507E-2</v>
      </c>
      <c r="L41" s="1104">
        <f t="shared" si="16"/>
        <v>0.96343941602279748</v>
      </c>
      <c r="M41" s="1576">
        <f>K41-TableA2!I41</f>
        <v>-0.13142280044504173</v>
      </c>
      <c r="N41" s="1577">
        <f>-TableA7!P41</f>
        <v>-58.152724672949248</v>
      </c>
      <c r="O41" s="1577">
        <f>N41*TableC2!M$95</f>
        <v>-5.4992043739123462</v>
      </c>
      <c r="P41" s="444">
        <f t="shared" si="17"/>
        <v>-52.653520299036899</v>
      </c>
      <c r="Q41" s="1139"/>
      <c r="R41" s="1139"/>
      <c r="S41" s="1573"/>
      <c r="T41" s="1574"/>
    </row>
    <row r="42" spans="1:20" x14ac:dyDescent="0.2">
      <c r="A42" s="1074" t="s">
        <v>61</v>
      </c>
      <c r="B42" s="168">
        <f>D42+TableA1!C42+TableA1!H42+TableA1!I42</f>
        <v>863.57834771447119</v>
      </c>
      <c r="C42" s="168">
        <f>B42-TableA1!M42</f>
        <v>737.4293567001032</v>
      </c>
      <c r="D42" s="168">
        <f t="shared" si="12"/>
        <v>465.95237294747596</v>
      </c>
      <c r="E42" s="1575">
        <f>TableA2!C42</f>
        <v>180.37437743772173</v>
      </c>
      <c r="F42" s="1100">
        <f t="shared" si="13"/>
        <v>222.82099550975423</v>
      </c>
      <c r="G42" s="1101">
        <f>TableA2!E42-TableA6!D42*TableC2!D$95-O42</f>
        <v>5.2460093834438544</v>
      </c>
      <c r="H42" s="1107">
        <f>TableA2!F42+TableA6!D42+N42</f>
        <v>217.57498612631036</v>
      </c>
      <c r="I42" s="1108">
        <f>TableA2!G42</f>
        <v>62.756999999999998</v>
      </c>
      <c r="J42" s="1103">
        <f t="shared" si="14"/>
        <v>0.61289095643675517</v>
      </c>
      <c r="K42" s="422">
        <f t="shared" si="15"/>
        <v>0.55263777925046031</v>
      </c>
      <c r="L42" s="1104">
        <f t="shared" si="16"/>
        <v>0.44736222074953969</v>
      </c>
      <c r="M42" s="1576">
        <f>K42-TableA2!I42</f>
        <v>4.7036739365931002E-3</v>
      </c>
      <c r="N42" s="1577">
        <f>TableC4!C43/1000</f>
        <v>4.9754928205897597</v>
      </c>
      <c r="O42" s="1577">
        <f>N42*TableC2!D$95</f>
        <v>0.78030891182649653</v>
      </c>
      <c r="P42" s="444">
        <f t="shared" si="17"/>
        <v>4.195183908763263</v>
      </c>
      <c r="Q42" s="1139"/>
      <c r="R42" s="1139"/>
      <c r="S42" s="1573"/>
      <c r="T42" s="1574"/>
    </row>
    <row r="43" spans="1:20" x14ac:dyDescent="0.2">
      <c r="A43" s="1074" t="s">
        <v>62</v>
      </c>
      <c r="B43" s="168">
        <f>D43+TableA1!C43+TableA1!H43+TableA1!I43</f>
        <v>2912.9485053029748</v>
      </c>
      <c r="C43" s="168">
        <f>B43-TableA1!M43</f>
        <v>2538.5051897173389</v>
      </c>
      <c r="D43" s="168">
        <f t="shared" si="12"/>
        <v>1671.3975042258912</v>
      </c>
      <c r="E43" s="1575">
        <f>TableA2!C43</f>
        <v>1012.5690365062753</v>
      </c>
      <c r="F43" s="1100">
        <f t="shared" si="13"/>
        <v>454.00679770456736</v>
      </c>
      <c r="G43" s="1101">
        <f>TableA2!E43-TableA6!D43*TableC2!D$95-O43</f>
        <v>-32.545092597221611</v>
      </c>
      <c r="H43" s="1107">
        <f>TableA2!F43+TableA6!D43+N43</f>
        <v>486.551890301789</v>
      </c>
      <c r="I43" s="1108">
        <f>TableA2!G43</f>
        <v>204.82167001504862</v>
      </c>
      <c r="J43" s="1103">
        <f t="shared" si="14"/>
        <v>0.39417820479799798</v>
      </c>
      <c r="K43" s="422">
        <f t="shared" si="15"/>
        <v>0.3095692613460157</v>
      </c>
      <c r="L43" s="1104">
        <f t="shared" si="16"/>
        <v>0.6904307386539843</v>
      </c>
      <c r="M43" s="1576">
        <f>K43-TableA2!I43</f>
        <v>2.5307308296441178E-2</v>
      </c>
      <c r="N43" s="1577">
        <f>TableC4!C44/1000</f>
        <v>61.500900683046368</v>
      </c>
      <c r="O43" s="1577">
        <f>N43*TableC2!D$95</f>
        <v>9.6452155834181248</v>
      </c>
      <c r="P43" s="444">
        <f t="shared" si="17"/>
        <v>51.855685099628246</v>
      </c>
      <c r="Q43" s="1139"/>
      <c r="R43" s="1139"/>
      <c r="S43" s="1573"/>
      <c r="T43" s="1574"/>
    </row>
    <row r="44" spans="1:20" x14ac:dyDescent="0.2">
      <c r="A44" s="1074" t="s">
        <v>63</v>
      </c>
      <c r="B44" s="168">
        <f>D44+TableA1!C44+TableA1!H44+TableA1!I44</f>
        <v>18240.920323266942</v>
      </c>
      <c r="C44" s="168">
        <f>B44-TableA1!M44</f>
        <v>15399.374523266943</v>
      </c>
      <c r="D44" s="168">
        <f t="shared" si="12"/>
        <v>9869.9701232669413</v>
      </c>
      <c r="E44" s="1575">
        <f>TableA2!C44</f>
        <v>6036.1069000000007</v>
      </c>
      <c r="F44" s="1100">
        <f t="shared" si="13"/>
        <v>2282.9705232669398</v>
      </c>
      <c r="G44" s="1101">
        <f>TableA2!E44-TableA6!D44*TableC2!D$95-O44</f>
        <v>251.00831466343806</v>
      </c>
      <c r="H44" s="1107">
        <f>TableA2!F44+TableA6!D44+N44</f>
        <v>2031.9622086035019</v>
      </c>
      <c r="I44" s="1108">
        <f>TableA2!G44</f>
        <v>1550.8926999999999</v>
      </c>
      <c r="J44" s="1103">
        <f t="shared" si="14"/>
        <v>0.38843716600815181</v>
      </c>
      <c r="K44" s="422">
        <f t="shared" si="15"/>
        <v>0.27442592575011843</v>
      </c>
      <c r="L44" s="1104">
        <f t="shared" si="16"/>
        <v>0.72557407424988152</v>
      </c>
      <c r="M44" s="1576">
        <f>K44-TableA2!I44</f>
        <v>1.0637914066997267E-2</v>
      </c>
      <c r="N44" s="1577">
        <f>TableC4!C45/1000</f>
        <v>142.56530860350179</v>
      </c>
      <c r="O44" s="1577">
        <f>N44*TableC2!D$95</f>
        <v>22.358585336561887</v>
      </c>
      <c r="P44" s="444">
        <f t="shared" si="17"/>
        <v>120.2067232669399</v>
      </c>
      <c r="Q44" s="1139"/>
      <c r="R44" s="1139"/>
      <c r="S44" s="1573"/>
      <c r="T44" s="1574"/>
    </row>
    <row r="45" spans="1:20" ht="40" customHeight="1" x14ac:dyDescent="0.2">
      <c r="A45" s="187" t="s">
        <v>64</v>
      </c>
      <c r="B45" s="168">
        <f>D45+TableA1!C45+TableA1!H45+TableA1!I45</f>
        <v>17809.44305859978</v>
      </c>
      <c r="C45" s="168">
        <f>B45-TableA1!M45</f>
        <v>15256.58509023859</v>
      </c>
      <c r="D45" s="168">
        <f t="shared" si="6"/>
        <v>9545.2288959891157</v>
      </c>
      <c r="E45" s="207">
        <f>SUM(E46:E52)</f>
        <v>4635.4243070321654</v>
      </c>
      <c r="F45" s="208">
        <f t="shared" ref="F45:I45" si="18">SUM(F46:F52)</f>
        <v>3417.4731865180097</v>
      </c>
      <c r="G45" s="209">
        <f t="shared" si="18"/>
        <v>157.77248356116846</v>
      </c>
      <c r="H45" s="175">
        <f t="shared" si="18"/>
        <v>3259.7007029568408</v>
      </c>
      <c r="I45" s="781">
        <f t="shared" si="18"/>
        <v>1492.331402438941</v>
      </c>
      <c r="J45" s="195">
        <f t="shared" si="8"/>
        <v>0.51437264024334084</v>
      </c>
      <c r="K45" s="176">
        <f t="shared" si="9"/>
        <v>0.424378081213026</v>
      </c>
      <c r="L45" s="196">
        <f t="shared" si="10"/>
        <v>0.575621918786974</v>
      </c>
      <c r="M45" s="1581">
        <f>K45-TableA2!I45</f>
        <v>6.9176574567444971E-3</v>
      </c>
      <c r="N45" s="175">
        <f>SUM(N46:N52)</f>
        <v>102.59915789568896</v>
      </c>
      <c r="O45" s="445">
        <f>SUM(O46:O52)</f>
        <v>6.971000313910797</v>
      </c>
      <c r="P45" s="446">
        <f>SUM(P46:P52)</f>
        <v>95.628157581778169</v>
      </c>
      <c r="Q45" s="1139"/>
      <c r="R45" s="1139"/>
      <c r="S45" s="1573"/>
      <c r="T45" s="1574"/>
    </row>
    <row r="46" spans="1:20" x14ac:dyDescent="0.2">
      <c r="A46" s="1088" t="s">
        <v>65</v>
      </c>
      <c r="B46" s="168">
        <f>D46+TableA1!C46+TableA1!H46+TableA1!I46</f>
        <v>2469.2901668611826</v>
      </c>
      <c r="C46" s="168">
        <f>B46-TableA1!M46</f>
        <v>2091.1959975872232</v>
      </c>
      <c r="D46" s="168">
        <f t="shared" si="6"/>
        <v>1118.3141189625433</v>
      </c>
      <c r="E46" s="1575">
        <f>TableA2!C46</f>
        <v>683.84777930021517</v>
      </c>
      <c r="F46" s="1100">
        <f t="shared" si="7"/>
        <v>241.51273966232807</v>
      </c>
      <c r="G46" s="1101">
        <f>TableA2!E46-TableA6!D46*TableC2!D$95-O46</f>
        <v>-47.035024951681443</v>
      </c>
      <c r="H46" s="1107">
        <f>TableA2!F46+TableA6!D46+N46</f>
        <v>288.54776461400951</v>
      </c>
      <c r="I46" s="1108">
        <f>TableA2!G46</f>
        <v>192.95359999999999</v>
      </c>
      <c r="J46" s="1103">
        <f t="shared" si="8"/>
        <v>0.38850116643915866</v>
      </c>
      <c r="K46" s="24">
        <f t="shared" si="9"/>
        <v>0.26099313155600928</v>
      </c>
      <c r="L46" s="1104">
        <f t="shared" si="10"/>
        <v>0.73900686844399077</v>
      </c>
      <c r="M46" s="1576">
        <f>K46-TableA2!I46</f>
        <v>1.0732440289047795E-2</v>
      </c>
      <c r="N46" s="1577">
        <f>TableC4!C47/1000</f>
        <v>14.212064614009524</v>
      </c>
      <c r="O46" s="1577">
        <f>N46*TableC2!N$95</f>
        <v>0.96562495168143825</v>
      </c>
      <c r="P46" s="444">
        <f t="shared" ref="P46:P52" si="19">N46-O46</f>
        <v>13.246439662328086</v>
      </c>
      <c r="Q46" s="1139"/>
      <c r="R46" s="1139"/>
      <c r="S46" s="1573"/>
      <c r="T46" s="1574"/>
    </row>
    <row r="47" spans="1:20" x14ac:dyDescent="0.2">
      <c r="A47" s="1074" t="s">
        <v>66</v>
      </c>
      <c r="B47" s="168">
        <f>D47+TableA1!C47+TableA1!H47+TableA1!I47</f>
        <v>11119.48344059084</v>
      </c>
      <c r="C47" s="168">
        <f>B47-TableA1!M47</f>
        <v>9640.1718220236653</v>
      </c>
      <c r="D47" s="168">
        <f t="shared" si="6"/>
        <v>6268.2582259294122</v>
      </c>
      <c r="E47" s="1575">
        <f>TableA2!C47</f>
        <v>3000.3468631285727</v>
      </c>
      <c r="F47" s="1100">
        <f t="shared" si="7"/>
        <v>2318.564469335543</v>
      </c>
      <c r="G47" s="1101">
        <f>TableA2!E47-TableA6!D47*TableC2!D$95-O47</f>
        <v>189.33458886333739</v>
      </c>
      <c r="H47" s="1107">
        <f>TableA2!F47+TableA6!D47+N47</f>
        <v>2129.2298804722054</v>
      </c>
      <c r="I47" s="1108">
        <f>TableA2!G47</f>
        <v>949.34689346529626</v>
      </c>
      <c r="J47" s="1103">
        <f t="shared" si="8"/>
        <v>0.52134281087571133</v>
      </c>
      <c r="K47" s="24">
        <f t="shared" si="9"/>
        <v>0.43590959209718794</v>
      </c>
      <c r="L47" s="1104">
        <f t="shared" si="10"/>
        <v>0.56409040790281206</v>
      </c>
      <c r="M47" s="1576">
        <f>K47-TableA2!I47</f>
        <v>6.0469916317176242E-3</v>
      </c>
      <c r="N47" s="1577">
        <f>TableC4!C48/1000</f>
        <v>60.525807931300939</v>
      </c>
      <c r="O47" s="1577">
        <f>N47*TableC2!N$95</f>
        <v>4.112367340458766</v>
      </c>
      <c r="P47" s="444">
        <f t="shared" si="19"/>
        <v>56.413440590842171</v>
      </c>
      <c r="Q47" s="1139"/>
      <c r="R47" s="1139"/>
      <c r="S47" s="1573"/>
      <c r="T47" s="1574"/>
    </row>
    <row r="48" spans="1:20" x14ac:dyDescent="0.2">
      <c r="A48" s="1074" t="s">
        <v>67</v>
      </c>
      <c r="B48" s="168">
        <f>D48+TableA1!C48+TableA1!H48+TableA1!I48</f>
        <v>292.82784154635203</v>
      </c>
      <c r="C48" s="168">
        <f>B48-TableA1!M48</f>
        <v>259.53565568065056</v>
      </c>
      <c r="D48" s="168">
        <f t="shared" si="6"/>
        <v>136.33234971080213</v>
      </c>
      <c r="E48" s="1575">
        <f>TableA2!C48</f>
        <v>54.170478374899503</v>
      </c>
      <c r="F48" s="1100">
        <f t="shared" si="7"/>
        <v>64.896071335902633</v>
      </c>
      <c r="G48" s="1101">
        <f>TableA2!E48-TableA6!D48*TableC2!D$95-O48</f>
        <v>4.8917200874089843</v>
      </c>
      <c r="H48" s="1107">
        <f>TableA2!F48+TableA6!D48+N48</f>
        <v>60.004351248493656</v>
      </c>
      <c r="I48" s="1108">
        <f>TableA2!G48</f>
        <v>17.265799999999999</v>
      </c>
      <c r="J48" s="1103">
        <f t="shared" si="8"/>
        <v>0.60265866106019761</v>
      </c>
      <c r="K48" s="24">
        <f t="shared" si="9"/>
        <v>0.54504032823263238</v>
      </c>
      <c r="L48" s="1104">
        <f t="shared" si="10"/>
        <v>0.45495967176736762</v>
      </c>
      <c r="M48" s="1576">
        <f>K48-TableA2!I48</f>
        <v>5.0544292692408233E-3</v>
      </c>
      <c r="N48" s="1577">
        <f>TableC4!C49/1000</f>
        <v>1.4036174395306298</v>
      </c>
      <c r="O48" s="1577">
        <f>N48*TableC2!N$95</f>
        <v>9.5367426129623442E-2</v>
      </c>
      <c r="P48" s="444">
        <f t="shared" si="19"/>
        <v>1.3082500134010064</v>
      </c>
      <c r="Q48" s="1139"/>
      <c r="R48" s="1139"/>
      <c r="S48" s="1573"/>
      <c r="T48" s="1574"/>
    </row>
    <row r="49" spans="1:26" x14ac:dyDescent="0.2">
      <c r="A49" s="1074" t="s">
        <v>68</v>
      </c>
      <c r="B49" s="168">
        <f>D49+TableA1!C49+TableA1!H49+TableA1!I49</f>
        <v>55.728945250015194</v>
      </c>
      <c r="C49" s="168">
        <f>B49-TableA1!M49</f>
        <v>52.816558147114833</v>
      </c>
      <c r="D49" s="168">
        <f t="shared" si="6"/>
        <v>30.973169713358594</v>
      </c>
      <c r="E49" s="1575">
        <f>TableA2!C49</f>
        <v>15.631819704056245</v>
      </c>
      <c r="F49" s="1100">
        <f t="shared" si="7"/>
        <v>12.740117071398378</v>
      </c>
      <c r="G49" s="1101">
        <f>TableA2!E49-TableA6!D49*TableC2!D$95-O49</f>
        <v>-1.5201430895601185</v>
      </c>
      <c r="H49" s="1107">
        <f>TableA2!F49+TableA6!D49+N49</f>
        <v>14.260260160958497</v>
      </c>
      <c r="I49" s="1108">
        <f>TableA2!G49</f>
        <v>2.601232937903974</v>
      </c>
      <c r="J49" s="1103">
        <f t="shared" si="8"/>
        <v>0.49531094657986185</v>
      </c>
      <c r="K49" s="24">
        <f t="shared" si="9"/>
        <v>0.44903938607463062</v>
      </c>
      <c r="L49" s="1104">
        <f t="shared" si="10"/>
        <v>0.55096061392536932</v>
      </c>
      <c r="M49" s="1576">
        <f>K49-TableA2!I49</f>
        <v>1.9829796718775217E-2</v>
      </c>
      <c r="N49" s="1577">
        <f>TableC4!C50/1000</f>
        <v>1.0575199886874607</v>
      </c>
      <c r="O49" s="1577">
        <f>N49*TableC2!N$95</f>
        <v>7.1852170371634091E-2</v>
      </c>
      <c r="P49" s="444">
        <f t="shared" si="19"/>
        <v>0.98566781831582662</v>
      </c>
      <c r="Q49" s="1139"/>
      <c r="R49" s="1139"/>
      <c r="S49" s="1573"/>
      <c r="T49" s="1574"/>
      <c r="U49" s="954"/>
      <c r="V49" s="954"/>
      <c r="W49" s="954"/>
      <c r="X49" s="954"/>
      <c r="Y49" s="954"/>
      <c r="Z49" s="954"/>
    </row>
    <row r="50" spans="1:26" x14ac:dyDescent="0.2">
      <c r="A50" s="1074" t="s">
        <v>69</v>
      </c>
      <c r="B50" s="168">
        <f>D50+TableA1!C50+TableA1!H50+TableA1!I50</f>
        <v>2141.5870771642799</v>
      </c>
      <c r="C50" s="168">
        <f>B50-TableA1!M50</f>
        <v>1701.5350892334513</v>
      </c>
      <c r="D50" s="168">
        <f t="shared" si="6"/>
        <v>927.84833216225763</v>
      </c>
      <c r="E50" s="1575">
        <f>TableA2!C50</f>
        <v>318.62573018831665</v>
      </c>
      <c r="F50" s="1100">
        <f t="shared" si="7"/>
        <v>400.98167945411836</v>
      </c>
      <c r="G50" s="1101">
        <f>TableA2!E50-TableA6!D50*TableC2!D$95-O50</f>
        <v>15.378173483375601</v>
      </c>
      <c r="H50" s="1107">
        <f>TableA2!F50+TableA6!D50+N50</f>
        <v>385.60350597074279</v>
      </c>
      <c r="I50" s="1108">
        <f>TableA2!G50</f>
        <v>208.24092251982265</v>
      </c>
      <c r="J50" s="1103">
        <f t="shared" si="8"/>
        <v>0.65659718388910471</v>
      </c>
      <c r="K50" s="24">
        <f t="shared" si="9"/>
        <v>0.55722283300746134</v>
      </c>
      <c r="L50" s="1104">
        <f t="shared" si="10"/>
        <v>0.44277716699253866</v>
      </c>
      <c r="M50" s="1576">
        <f>K50-TableA2!I50</f>
        <v>5.5022267210326214E-3</v>
      </c>
      <c r="N50" s="1577">
        <f>TableC4!C51/1000</f>
        <v>9.476399038744594</v>
      </c>
      <c r="O50" s="1577">
        <f>N50*TableC2!N$95</f>
        <v>0.64386474537144578</v>
      </c>
      <c r="P50" s="444">
        <f t="shared" si="19"/>
        <v>8.8325342933731488</v>
      </c>
      <c r="Q50" s="1139"/>
      <c r="R50" s="1139"/>
      <c r="S50" s="1573"/>
      <c r="T50" s="1574"/>
      <c r="U50" s="954"/>
      <c r="V50" s="954"/>
      <c r="W50" s="954"/>
      <c r="X50" s="954"/>
      <c r="Y50" s="954"/>
      <c r="Z50" s="954"/>
    </row>
    <row r="51" spans="1:26" x14ac:dyDescent="0.2">
      <c r="A51" s="1074" t="s">
        <v>70</v>
      </c>
      <c r="B51" s="168">
        <f>D51+TableA1!C51+TableA1!H51+TableA1!I51</f>
        <v>1376.9036836173279</v>
      </c>
      <c r="C51" s="168">
        <f>B51-TableA1!M51</f>
        <v>1215.0747584782719</v>
      </c>
      <c r="D51" s="168">
        <f t="shared" si="6"/>
        <v>867.37993716501126</v>
      </c>
      <c r="E51" s="1575">
        <f>TableA2!C51</f>
        <v>465.66449313355542</v>
      </c>
      <c r="F51" s="1100">
        <f t="shared" si="7"/>
        <v>315.63182790907501</v>
      </c>
      <c r="G51" s="1101">
        <f>TableA2!E51-TableA6!D51*TableC2!D$95-O51</f>
        <v>14.124711968382407</v>
      </c>
      <c r="H51" s="1107">
        <f>TableA2!F51+TableA6!D51+N51</f>
        <v>301.50711594069259</v>
      </c>
      <c r="I51" s="1108">
        <f>TableA2!G51</f>
        <v>86.083616122380846</v>
      </c>
      <c r="J51" s="1103">
        <f t="shared" si="8"/>
        <v>0.4631366565203745</v>
      </c>
      <c r="K51" s="24">
        <f t="shared" si="9"/>
        <v>0.40398478708803875</v>
      </c>
      <c r="L51" s="1104">
        <f t="shared" si="10"/>
        <v>0.59601521291196125</v>
      </c>
      <c r="M51" s="1576">
        <f>K51-TableA2!I51</f>
        <v>8.5413937003187557E-3</v>
      </c>
      <c r="N51" s="1577">
        <f>TableC4!C52/1000</f>
        <v>11.84310434933391</v>
      </c>
      <c r="O51" s="1577">
        <f>N51*TableC2!N$95</f>
        <v>0.80466824319182795</v>
      </c>
      <c r="P51" s="444">
        <f t="shared" si="19"/>
        <v>11.038436106142083</v>
      </c>
      <c r="Q51" s="1139"/>
      <c r="R51" s="1139"/>
      <c r="S51" s="1573"/>
      <c r="T51" s="1574"/>
      <c r="U51" s="954"/>
      <c r="V51" s="954"/>
      <c r="W51" s="954"/>
      <c r="X51" s="954"/>
      <c r="Y51" s="954"/>
      <c r="Z51" s="954"/>
    </row>
    <row r="52" spans="1:26" x14ac:dyDescent="0.2">
      <c r="A52" s="1074" t="s">
        <v>71</v>
      </c>
      <c r="B52" s="168">
        <f>D52+TableA1!C52+TableA1!H52+TableA1!I52</f>
        <v>353.62190356977783</v>
      </c>
      <c r="C52" s="168">
        <f>B52-TableA1!M52</f>
        <v>296.25520908820994</v>
      </c>
      <c r="D52" s="168">
        <f t="shared" si="6"/>
        <v>196.12276234573091</v>
      </c>
      <c r="E52" s="1575">
        <f>TableA2!C52</f>
        <v>97.137143202548756</v>
      </c>
      <c r="F52" s="1100">
        <f t="shared" si="7"/>
        <v>63.146281749644551</v>
      </c>
      <c r="G52" s="1101">
        <f>TableA2!E52-TableA6!D52*TableC2!D$95-O52</f>
        <v>-17.40154280009434</v>
      </c>
      <c r="H52" s="1107">
        <f>TableA2!F52+TableA6!D52+N52</f>
        <v>80.547824549738891</v>
      </c>
      <c r="I52" s="1108">
        <f>TableA2!G52</f>
        <v>35.839337393537583</v>
      </c>
      <c r="J52" s="1103">
        <f t="shared" si="8"/>
        <v>0.50471254819819134</v>
      </c>
      <c r="K52" s="24">
        <f t="shared" si="9"/>
        <v>0.39396638653359684</v>
      </c>
      <c r="L52" s="1104">
        <f t="shared" si="10"/>
        <v>0.60603361346640316</v>
      </c>
      <c r="M52" s="1576">
        <f>K52-TableA2!I52</f>
        <v>1.4730196254811478E-2</v>
      </c>
      <c r="N52" s="1577">
        <f>TableC4!C53/1000</f>
        <v>4.0806445340819</v>
      </c>
      <c r="O52" s="1577">
        <f>N52*TableC2!N$95</f>
        <v>0.27725543670606051</v>
      </c>
      <c r="P52" s="444">
        <f t="shared" si="19"/>
        <v>3.8033890973758395</v>
      </c>
      <c r="Q52" s="1139"/>
      <c r="R52" s="1139"/>
      <c r="S52" s="1573"/>
      <c r="T52" s="1574"/>
      <c r="U52" s="954"/>
      <c r="V52" s="954"/>
      <c r="W52" s="954"/>
      <c r="X52" s="954"/>
      <c r="Y52" s="954"/>
      <c r="Z52" s="954"/>
    </row>
    <row r="53" spans="1:26" ht="40" customHeight="1" x14ac:dyDescent="0.2">
      <c r="A53" s="187" t="s">
        <v>72</v>
      </c>
      <c r="B53" s="168">
        <f>D53+TableA1!C53+TableA1!H53+TableA1!I53</f>
        <v>880.92556851665404</v>
      </c>
      <c r="C53" s="168">
        <f>B53-TableA1!M53</f>
        <v>731.34268759349288</v>
      </c>
      <c r="D53" s="168">
        <f t="shared" si="6"/>
        <v>549.82023190327607</v>
      </c>
      <c r="E53" s="207">
        <f>SUM(E54:E89)</f>
        <v>314.67446275208073</v>
      </c>
      <c r="F53" s="175">
        <f>SUM(F54:F89)</f>
        <v>127.44325569952831</v>
      </c>
      <c r="G53" s="175">
        <f>SUM(G54:G89)</f>
        <v>-23.58887121334535</v>
      </c>
      <c r="H53" s="175">
        <f>SUM(H54:H89)</f>
        <v>151.03212691287365</v>
      </c>
      <c r="I53" s="781">
        <f>SUM(I54:I89)</f>
        <v>107.70251345166704</v>
      </c>
      <c r="J53" s="195">
        <f t="shared" si="8"/>
        <v>0.4276775489639712</v>
      </c>
      <c r="K53" s="176">
        <f t="shared" si="9"/>
        <v>0.28825638598213593</v>
      </c>
      <c r="L53" s="196">
        <f t="shared" si="10"/>
        <v>0.71174361401786412</v>
      </c>
      <c r="M53" s="688">
        <f>K53-TableA2!I53</f>
        <v>-0.16905566045392001</v>
      </c>
      <c r="N53" s="175">
        <f>SUM(N54:N89)</f>
        <v>-334.72013422680857</v>
      </c>
      <c r="O53" s="445">
        <f>N53*TableC2!N$95</f>
        <v>-22.742235010735786</v>
      </c>
      <c r="P53" s="446">
        <f>SUM(P54:P89)</f>
        <v>-311.97789921607279</v>
      </c>
      <c r="Q53" s="954"/>
      <c r="R53" s="954"/>
      <c r="S53" s="1573"/>
      <c r="T53" s="1574"/>
      <c r="U53" s="954"/>
      <c r="V53" s="954"/>
      <c r="W53" s="954"/>
      <c r="X53" s="954"/>
      <c r="Y53" s="954"/>
      <c r="Z53" s="954"/>
    </row>
    <row r="54" spans="1:26" x14ac:dyDescent="0.2">
      <c r="A54" s="1074" t="s">
        <v>73</v>
      </c>
      <c r="B54" s="168">
        <f>D54+TableA1!C54+TableA1!H54+TableA1!I54</f>
        <v>1.904046575412023</v>
      </c>
      <c r="C54" s="168">
        <f>B54-TableA1!M54</f>
        <v>1.564839922503336</v>
      </c>
      <c r="D54" s="168">
        <f t="shared" si="6"/>
        <v>0.98275657541202288</v>
      </c>
      <c r="E54" s="1575">
        <f>TableA2!C54</f>
        <v>0.50910500000000003</v>
      </c>
      <c r="F54" s="1100">
        <f t="shared" si="7"/>
        <v>0.21804957541202286</v>
      </c>
      <c r="G54" s="1101">
        <f>TableA2!E54-TableA6!D54*TableC2!N$95-O54</f>
        <v>-2.630203259424245E-2</v>
      </c>
      <c r="H54" s="1107">
        <f>TableA2!F54+TableA6!D54+N54</f>
        <v>0.24435160800626532</v>
      </c>
      <c r="I54" s="1108">
        <f>TableA2!G54</f>
        <v>0.255602</v>
      </c>
      <c r="J54" s="1103">
        <f t="shared" si="8"/>
        <v>0.48196225521405783</v>
      </c>
      <c r="K54" s="24">
        <f t="shared" si="9"/>
        <v>0.29986688220791408</v>
      </c>
      <c r="L54" s="1104">
        <f t="shared" si="10"/>
        <v>0.70013311779208598</v>
      </c>
      <c r="M54" s="1576">
        <f>K54-TableA2!I54</f>
        <v>-0.38867733477999372</v>
      </c>
      <c r="N54" s="1577">
        <f>-TableA7!P54</f>
        <v>-0.97359327582033472</v>
      </c>
      <c r="O54" s="1577">
        <f>N54*TableC2!N$95</f>
        <v>-6.6149851232357615E-2</v>
      </c>
      <c r="P54" s="444">
        <f>N54-O54</f>
        <v>-0.90744342458797711</v>
      </c>
      <c r="Q54" s="954"/>
      <c r="R54" s="954"/>
      <c r="S54" s="1573"/>
      <c r="T54" s="1574"/>
      <c r="U54" s="954"/>
      <c r="V54" s="954"/>
      <c r="W54" s="954"/>
      <c r="X54" s="954"/>
      <c r="Y54" s="954"/>
      <c r="Z54" s="954"/>
    </row>
    <row r="55" spans="1:26" x14ac:dyDescent="0.2">
      <c r="A55" s="1074" t="s">
        <v>74</v>
      </c>
      <c r="B55" s="168">
        <f>D55+TableA1!C55+TableA1!H55+TableA1!I55</f>
        <v>0.19717262648607711</v>
      </c>
      <c r="C55" s="168">
        <f>B55-TableA1!M55</f>
        <v>0.16507134962092579</v>
      </c>
      <c r="D55" s="168">
        <f t="shared" si="6"/>
        <v>9.3004626486077102E-2</v>
      </c>
      <c r="E55" s="1575">
        <f>TableA2!C55</f>
        <v>4.8179904000000003E-2</v>
      </c>
      <c r="F55" s="1100">
        <f t="shared" si="7"/>
        <v>2.0635446486077104E-2</v>
      </c>
      <c r="G55" s="1101">
        <f>TableA2!E55-TableA6!D55*TableC2!N$95-O55</f>
        <v>-2.4891290258261204E-3</v>
      </c>
      <c r="H55" s="1107">
        <f>TableA2!F55+TableA6!D55+N55</f>
        <v>2.3124575511903223E-2</v>
      </c>
      <c r="I55" s="1108">
        <f>TableA2!G55</f>
        <v>2.4189275999999999E-2</v>
      </c>
      <c r="J55" s="1103">
        <f t="shared" si="8"/>
        <v>0.48196228703512312</v>
      </c>
      <c r="K55" s="24">
        <f t="shared" si="9"/>
        <v>0.29986690964034424</v>
      </c>
      <c r="L55" s="1104">
        <f t="shared" si="10"/>
        <v>0.70013309035965576</v>
      </c>
      <c r="M55" s="1576">
        <f>K55-TableA2!I55</f>
        <v>-0.38867756256120545</v>
      </c>
      <c r="N55" s="1577">
        <f>-TableA7!P55</f>
        <v>-0.21683698740995794</v>
      </c>
      <c r="O55" s="1577">
        <f>N55*TableC2!N$95</f>
        <v>-1.473277888731874E-2</v>
      </c>
      <c r="P55" s="444">
        <f t="shared" ref="P55:P90" si="20">N55-O55</f>
        <v>-0.20210420852263919</v>
      </c>
      <c r="Q55" s="954"/>
      <c r="R55" s="954"/>
      <c r="S55" s="1573"/>
      <c r="T55" s="1574"/>
      <c r="U55" s="954"/>
      <c r="V55" s="954"/>
      <c r="W55" s="954"/>
      <c r="X55" s="954"/>
      <c r="Y55" s="954"/>
      <c r="Z55" s="954"/>
    </row>
    <row r="56" spans="1:26" x14ac:dyDescent="0.2">
      <c r="A56" s="1074" t="s">
        <v>75</v>
      </c>
      <c r="B56" s="168">
        <f>D56+TableA1!C56+TableA1!H56+TableA1!I56</f>
        <v>0.71338092811285936</v>
      </c>
      <c r="C56" s="168">
        <f>B56-TableA1!M56</f>
        <v>0.54871092680294176</v>
      </c>
      <c r="D56" s="168">
        <f t="shared" si="6"/>
        <v>0.26613592811285924</v>
      </c>
      <c r="E56" s="1575">
        <f>TableA2!C56</f>
        <v>9.4220399999999996E-2</v>
      </c>
      <c r="F56" s="1100">
        <f t="shared" si="7"/>
        <v>4.783152811285922E-2</v>
      </c>
      <c r="G56" s="1101">
        <f>TableA2!E56-TableA6!D56*TableC2!N$95-O56</f>
        <v>2.6092139596029379E-3</v>
      </c>
      <c r="H56" s="1107">
        <f>TableA2!F56+TableA6!D56+N56</f>
        <v>4.5222314153256282E-2</v>
      </c>
      <c r="I56" s="1108">
        <f>TableA2!G56</f>
        <v>0.124084</v>
      </c>
      <c r="J56" s="1103">
        <f t="shared" si="8"/>
        <v>0.64596888263788133</v>
      </c>
      <c r="K56" s="24">
        <f t="shared" si="9"/>
        <v>0.33671861232927025</v>
      </c>
      <c r="L56" s="1104">
        <f t="shared" si="10"/>
        <v>0.66328138767072975</v>
      </c>
      <c r="M56" s="1576">
        <f>K56-TableA2!I56</f>
        <v>-0.54454576171534808</v>
      </c>
      <c r="N56" s="1577">
        <f>-TableA7!P56</f>
        <v>-0.79166765632839253</v>
      </c>
      <c r="O56" s="1577">
        <f>N56*TableC2!N$95</f>
        <v>-5.3789091391851819E-2</v>
      </c>
      <c r="P56" s="444">
        <f t="shared" si="20"/>
        <v>-0.73787856493654069</v>
      </c>
      <c r="Q56" s="954"/>
      <c r="R56" s="954"/>
      <c r="S56" s="1573"/>
      <c r="T56" s="1574"/>
      <c r="U56" s="954"/>
      <c r="V56" s="954"/>
      <c r="W56" s="954"/>
      <c r="X56" s="954"/>
      <c r="Y56" s="954"/>
      <c r="Z56" s="954"/>
    </row>
    <row r="57" spans="1:26" x14ac:dyDescent="0.2">
      <c r="A57" s="1074" t="s">
        <v>76</v>
      </c>
      <c r="B57" s="168">
        <f>D57+TableA1!C57+TableA1!H57+TableA1!I57</f>
        <v>1.6930966495213298</v>
      </c>
      <c r="C57" s="168">
        <f>B57-TableA1!M57</f>
        <v>1.3914702353874158</v>
      </c>
      <c r="D57" s="168">
        <f t="shared" si="6"/>
        <v>0.87387664952132971</v>
      </c>
      <c r="E57" s="1575">
        <f>TableA2!C57</f>
        <v>0.45270100000000002</v>
      </c>
      <c r="F57" s="1100">
        <f t="shared" si="7"/>
        <v>0.19389164952132967</v>
      </c>
      <c r="G57" s="1101">
        <f>TableA2!E57-TableA6!D57*TableC2!N$95-O57</f>
        <v>-2.3388120459409724E-2</v>
      </c>
      <c r="H57" s="1107">
        <f>TableA2!F57+TableA6!D57+N57</f>
        <v>0.21727976998073939</v>
      </c>
      <c r="I57" s="1108">
        <f>TableA2!G57</f>
        <v>0.22728400000000001</v>
      </c>
      <c r="J57" s="1103">
        <f t="shared" si="8"/>
        <v>0.48196235676056887</v>
      </c>
      <c r="K57" s="24">
        <f t="shared" si="9"/>
        <v>0.29986677031492237</v>
      </c>
      <c r="L57" s="1104">
        <f t="shared" si="10"/>
        <v>0.70013322968507763</v>
      </c>
      <c r="M57" s="1576">
        <f>K57-TableA2!I57</f>
        <v>-0.38867657620959506</v>
      </c>
      <c r="N57" s="1577">
        <f>-TableA7!P57</f>
        <v>-0.86572413769996781</v>
      </c>
      <c r="O57" s="1577">
        <f>N57*TableC2!N$95</f>
        <v>-5.8820787221297528E-2</v>
      </c>
      <c r="P57" s="444">
        <f t="shared" si="20"/>
        <v>-0.80690335047867023</v>
      </c>
      <c r="Q57" s="954"/>
      <c r="R57" s="954"/>
      <c r="S57" s="1573"/>
      <c r="T57" s="1574"/>
      <c r="U57" s="954"/>
      <c r="V57" s="954"/>
      <c r="W57" s="954"/>
      <c r="X57" s="954"/>
      <c r="Y57" s="954"/>
      <c r="Z57" s="954"/>
    </row>
    <row r="58" spans="1:26" x14ac:dyDescent="0.2">
      <c r="A58" s="1074" t="s">
        <v>77</v>
      </c>
      <c r="B58" s="168">
        <f>D58+TableA1!C58+TableA1!H58+TableA1!I58</f>
        <v>5.4836330583576762</v>
      </c>
      <c r="C58" s="168">
        <f>B58-TableA1!M58</f>
        <v>4.1275196597056034</v>
      </c>
      <c r="D58" s="168">
        <f t="shared" si="6"/>
        <v>1.8004230583576772</v>
      </c>
      <c r="E58" s="1575">
        <f>TableA2!C58</f>
        <v>0.49227100000000001</v>
      </c>
      <c r="F58" s="1100">
        <f t="shared" si="7"/>
        <v>0.28628205835767723</v>
      </c>
      <c r="G58" s="1101">
        <f>TableA2!E58-TableA6!D58*TableC2!N$95-O58</f>
        <v>5.0010148977780167E-2</v>
      </c>
      <c r="H58" s="1107">
        <f>TableA2!F58+TableA6!D58+N58</f>
        <v>0.23627190937989706</v>
      </c>
      <c r="I58" s="1108">
        <f>TableA2!G58</f>
        <v>1.0218700000000001</v>
      </c>
      <c r="J58" s="1103">
        <f t="shared" si="8"/>
        <v>0.72658037358783711</v>
      </c>
      <c r="K58" s="24">
        <f t="shared" si="9"/>
        <v>0.36771040237331598</v>
      </c>
      <c r="L58" s="1104">
        <f t="shared" si="10"/>
        <v>0.63228959762668402</v>
      </c>
      <c r="M58" s="1576">
        <f>K58-TableA2!I58</f>
        <v>-0.55696028984632873</v>
      </c>
      <c r="N58" s="1577">
        <f>-TableA7!P58</f>
        <v>-7.3311788434424798</v>
      </c>
      <c r="O58" s="1577">
        <f>N58*TableC2!N$95</f>
        <v>-0.49810983898066757</v>
      </c>
      <c r="P58" s="444">
        <f t="shared" si="20"/>
        <v>-6.8330690044618123</v>
      </c>
      <c r="Q58" s="954"/>
      <c r="R58" s="954"/>
      <c r="S58" s="1573"/>
      <c r="T58" s="1574"/>
      <c r="U58" s="954"/>
      <c r="V58" s="954"/>
      <c r="W58" s="954"/>
      <c r="X58" s="954"/>
      <c r="Y58" s="954"/>
      <c r="Z58" s="954"/>
    </row>
    <row r="59" spans="1:26" x14ac:dyDescent="0.2">
      <c r="A59" s="1074" t="s">
        <v>78</v>
      </c>
      <c r="B59" s="168">
        <f>D59+TableA1!C59+TableA1!H59+TableA1!I59</f>
        <v>24.439764064432428</v>
      </c>
      <c r="C59" s="168">
        <f>B59-TableA1!M59</f>
        <v>23.128304024499705</v>
      </c>
      <c r="D59" s="168">
        <f t="shared" si="6"/>
        <v>15.431064064432423</v>
      </c>
      <c r="E59" s="1575">
        <f>TableA2!C59</f>
        <v>10.122538414747584</v>
      </c>
      <c r="F59" s="1100">
        <f t="shared" si="7"/>
        <v>4.2640656496848397</v>
      </c>
      <c r="G59" s="1101">
        <f>TableA2!E59-TableA6!D59*TableC2!N$95-O59</f>
        <v>-0.59437914804600833</v>
      </c>
      <c r="H59" s="1107">
        <f>TableA2!F59+TableA6!D59+N59</f>
        <v>4.858444797730848</v>
      </c>
      <c r="I59" s="1108">
        <f>TableA2!G59</f>
        <v>1.0444599999999999</v>
      </c>
      <c r="J59" s="1103">
        <f t="shared" si="8"/>
        <v>0.34401552786762374</v>
      </c>
      <c r="K59" s="24">
        <f t="shared" si="9"/>
        <v>0.2963913951192112</v>
      </c>
      <c r="L59" s="1104">
        <f t="shared" si="10"/>
        <v>0.7036086048807888</v>
      </c>
      <c r="M59" s="1576">
        <f>K59-TableA2!I59</f>
        <v>-0.2232468477126377</v>
      </c>
      <c r="N59" s="1577">
        <f>-TableA7!P59</f>
        <v>-7.9601858461284136</v>
      </c>
      <c r="O59" s="1577">
        <f>N59*TableC2!N$95</f>
        <v>-0.54084710995937968</v>
      </c>
      <c r="P59" s="444">
        <f t="shared" si="20"/>
        <v>-7.4193387361690339</v>
      </c>
      <c r="Q59" s="954"/>
      <c r="R59" s="954"/>
      <c r="S59" s="1573"/>
      <c r="T59" s="1574"/>
      <c r="U59" s="954"/>
      <c r="V59" s="954"/>
      <c r="W59" s="954"/>
      <c r="X59" s="954"/>
      <c r="Y59" s="954"/>
      <c r="Z59" s="954"/>
    </row>
    <row r="60" spans="1:26" x14ac:dyDescent="0.2">
      <c r="A60" s="1074" t="s">
        <v>79</v>
      </c>
      <c r="B60" s="168">
        <f>D60+TableA1!C60+TableA1!H60+TableA1!I60</f>
        <v>2.4353190802159537</v>
      </c>
      <c r="C60" s="168">
        <f>B60-TableA1!M60</f>
        <v>1.8822397028465354</v>
      </c>
      <c r="D60" s="168">
        <f t="shared" si="6"/>
        <v>0.93314908021595411</v>
      </c>
      <c r="E60" s="1575">
        <f>TableA2!C60</f>
        <v>0.34493299999999999</v>
      </c>
      <c r="F60" s="1100">
        <f t="shared" si="7"/>
        <v>0.17145508021595407</v>
      </c>
      <c r="G60" s="1101">
        <f>TableA2!E60-TableA6!D60*TableC2!N$95-O60</f>
        <v>5.8999723218556288E-3</v>
      </c>
      <c r="H60" s="1107">
        <f>TableA2!F60+TableA6!D60+N60</f>
        <v>0.16555510789409844</v>
      </c>
      <c r="I60" s="1108">
        <f>TableA2!G60</f>
        <v>0.41676099999999999</v>
      </c>
      <c r="J60" s="1103">
        <f t="shared" si="8"/>
        <v>0.63035595564197111</v>
      </c>
      <c r="K60" s="24">
        <f t="shared" si="9"/>
        <v>0.33202757148122269</v>
      </c>
      <c r="L60" s="1104">
        <f t="shared" si="10"/>
        <v>0.66797242851877736</v>
      </c>
      <c r="M60" s="1576">
        <f>K60-TableA2!I60</f>
        <v>-0.53855229456355636</v>
      </c>
      <c r="N60" s="1577">
        <f>-TableA7!P60</f>
        <v>-4.6272367930221332</v>
      </c>
      <c r="O60" s="1577">
        <f>N60*TableC2!N$95</f>
        <v>-0.31439311782160578</v>
      </c>
      <c r="P60" s="444">
        <f t="shared" si="20"/>
        <v>-4.3128436752005275</v>
      </c>
      <c r="Q60" s="954"/>
      <c r="R60" s="954"/>
      <c r="S60" s="1573"/>
      <c r="T60" s="1574"/>
      <c r="U60" s="954"/>
      <c r="V60" s="954"/>
      <c r="W60" s="954"/>
      <c r="X60" s="954"/>
      <c r="Y60" s="954"/>
      <c r="Z60" s="954"/>
    </row>
    <row r="61" spans="1:26" x14ac:dyDescent="0.2">
      <c r="A61" s="1074" t="s">
        <v>80</v>
      </c>
      <c r="B61" s="168">
        <f>D61+TableA1!C61+TableA1!H61+TableA1!I61</f>
        <v>0.92955556055348176</v>
      </c>
      <c r="C61" s="168">
        <f>B61-TableA1!M61</f>
        <v>0.71931704385238748</v>
      </c>
      <c r="D61" s="168">
        <f t="shared" si="6"/>
        <v>0.35854556055348169</v>
      </c>
      <c r="E61" s="1575">
        <f>TableA2!C61</f>
        <v>0.13389599999999999</v>
      </c>
      <c r="F61" s="1100">
        <f t="shared" si="7"/>
        <v>6.6228560553481697E-2</v>
      </c>
      <c r="G61" s="1101">
        <f>TableA2!E61-TableA6!D61*TableC2!N$95-O61</f>
        <v>1.9634228989567903E-3</v>
      </c>
      <c r="H61" s="1107">
        <f>TableA2!F61+TableA6!D61+N61</f>
        <v>6.4265137654524906E-2</v>
      </c>
      <c r="I61" s="1108">
        <f>TableA2!G61</f>
        <v>0.15842100000000001</v>
      </c>
      <c r="J61" s="1103">
        <f t="shared" si="8"/>
        <v>0.62655791974301223</v>
      </c>
      <c r="K61" s="24">
        <f t="shared" si="9"/>
        <v>0.33093669447825041</v>
      </c>
      <c r="L61" s="1104">
        <f t="shared" si="10"/>
        <v>0.66906330552174964</v>
      </c>
      <c r="M61" s="1576">
        <f>K61-TableA2!I61</f>
        <v>-0.53690114095865282</v>
      </c>
      <c r="N61" s="1577">
        <f>-TableA7!P61</f>
        <v>-0.89802440091367575</v>
      </c>
      <c r="O61" s="1577">
        <f>N61*TableC2!N$95</f>
        <v>-6.1015397290427743E-2</v>
      </c>
      <c r="P61" s="444">
        <f t="shared" si="20"/>
        <v>-0.83700900362324804</v>
      </c>
      <c r="Q61" s="954"/>
      <c r="R61" s="954"/>
      <c r="S61" s="1573"/>
      <c r="T61" s="1574"/>
      <c r="U61" s="954"/>
      <c r="V61" s="954"/>
      <c r="W61" s="954"/>
      <c r="X61" s="954"/>
      <c r="Y61" s="954"/>
      <c r="Z61" s="954"/>
    </row>
    <row r="62" spans="1:26" s="25" customFormat="1" x14ac:dyDescent="0.2">
      <c r="A62" s="1074" t="s">
        <v>81</v>
      </c>
      <c r="B62" s="168">
        <f>D62+TableA1!C62+TableA1!H62+TableA1!I62</f>
        <v>5.6631101917458935</v>
      </c>
      <c r="C62" s="168">
        <f>B62-TableA1!M62</f>
        <v>5.4278508642700691</v>
      </c>
      <c r="D62" s="168">
        <f t="shared" si="6"/>
        <v>4.5822301917458956</v>
      </c>
      <c r="E62" s="1575">
        <f>TableA2!C62</f>
        <v>3.0988699999999998</v>
      </c>
      <c r="F62" s="1100">
        <f t="shared" si="7"/>
        <v>1.2695661917458958</v>
      </c>
      <c r="G62" s="1101">
        <f>TableA2!E62-TableA6!D62*TableC2!N$95-O62</f>
        <v>-0.21777702331263793</v>
      </c>
      <c r="H62" s="1107">
        <f>TableA2!F62+TableA6!D62+N62</f>
        <v>1.4873432150585337</v>
      </c>
      <c r="I62" s="1108">
        <f>TableA2!G62</f>
        <v>0.21379400000000001</v>
      </c>
      <c r="J62" s="1103">
        <f t="shared" si="8"/>
        <v>0.32372013837670477</v>
      </c>
      <c r="K62" s="24">
        <f t="shared" si="9"/>
        <v>0.29062257888640447</v>
      </c>
      <c r="L62" s="1104">
        <f t="shared" si="10"/>
        <v>0.70937742111359547</v>
      </c>
      <c r="M62" s="1576">
        <f>K62-TableA2!I62</f>
        <v>-4.050497282118054E-2</v>
      </c>
      <c r="N62" s="1577">
        <f>-TableA7!P62</f>
        <v>-23.950680817428665</v>
      </c>
      <c r="O62" s="1577">
        <f>N62*TableC2!N$95</f>
        <v>-1.6273057880886164</v>
      </c>
      <c r="P62" s="444">
        <f t="shared" si="20"/>
        <v>-22.323375029340049</v>
      </c>
      <c r="Q62" s="1109"/>
      <c r="R62" s="1109"/>
      <c r="S62" s="1573"/>
      <c r="T62" s="1574"/>
      <c r="U62" s="1109"/>
      <c r="V62" s="1109"/>
      <c r="W62" s="1109"/>
      <c r="X62" s="1109"/>
      <c r="Y62" s="1109"/>
      <c r="Z62" s="1109"/>
    </row>
    <row r="63" spans="1:26" x14ac:dyDescent="0.2">
      <c r="A63" s="1074" t="s">
        <v>82</v>
      </c>
      <c r="B63" s="168">
        <f>D63+TableA1!C63+TableA1!H63+TableA1!I63</f>
        <v>0.27383723462337189</v>
      </c>
      <c r="C63" s="168">
        <f>B63-TableA1!M63</f>
        <v>0.22555529406954411</v>
      </c>
      <c r="D63" s="168">
        <f t="shared" si="6"/>
        <v>0.13988323462337182</v>
      </c>
      <c r="E63" s="1575">
        <f>TableA2!C63</f>
        <v>7.2464799999999996E-2</v>
      </c>
      <c r="F63" s="1100">
        <f t="shared" si="7"/>
        <v>3.1036646623371821E-2</v>
      </c>
      <c r="G63" s="1101">
        <f>TableA2!E63-TableA6!D63*TableC2!N$95-O63</f>
        <v>-3.7437825687445594E-3</v>
      </c>
      <c r="H63" s="1107">
        <f>TableA2!F63+TableA6!D63+N63</f>
        <v>3.478042919211638E-2</v>
      </c>
      <c r="I63" s="1108">
        <f>TableA2!G63</f>
        <v>3.6381787999999998E-2</v>
      </c>
      <c r="J63" s="1103">
        <f t="shared" si="8"/>
        <v>0.48196222231271946</v>
      </c>
      <c r="K63" s="24">
        <f t="shared" si="9"/>
        <v>0.29986679061897659</v>
      </c>
      <c r="L63" s="1104">
        <f t="shared" si="10"/>
        <v>0.70013320938102341</v>
      </c>
      <c r="M63" s="1576">
        <f>K63-TableA2!I63</f>
        <v>-0.3886766283405324</v>
      </c>
      <c r="N63" s="1577">
        <f>-TableA7!P63</f>
        <v>-0.13857833606997835</v>
      </c>
      <c r="O63" s="1577">
        <f>N63*TableC2!N$95</f>
        <v>-9.4155706933501618E-3</v>
      </c>
      <c r="P63" s="444">
        <f t="shared" si="20"/>
        <v>-0.12916276537662819</v>
      </c>
      <c r="Q63" s="23"/>
      <c r="R63" s="23"/>
      <c r="S63" s="1573"/>
      <c r="T63" s="1574"/>
      <c r="U63" s="23"/>
      <c r="V63" s="23"/>
      <c r="W63" s="23"/>
      <c r="X63" s="23"/>
      <c r="Y63" s="23"/>
      <c r="Z63" s="23"/>
    </row>
    <row r="64" spans="1:26" x14ac:dyDescent="0.2">
      <c r="A64" s="1074" t="s">
        <v>83</v>
      </c>
      <c r="B64" s="168">
        <f>D64+TableA1!C64+TableA1!H64+TableA1!I64</f>
        <v>0.60951398240869525</v>
      </c>
      <c r="C64" s="168">
        <f>B64-TableA1!M64</f>
        <v>0.50092868232463317</v>
      </c>
      <c r="D64" s="168">
        <f t="shared" si="6"/>
        <v>0.31459498240869521</v>
      </c>
      <c r="E64" s="1575">
        <f>TableA2!C64</f>
        <v>0.16297200000000001</v>
      </c>
      <c r="F64" s="1100">
        <f t="shared" si="7"/>
        <v>6.9800870408695204E-2</v>
      </c>
      <c r="G64" s="1101">
        <f>TableA2!E64-TableA6!D64*TableC2!N$95-O64</f>
        <v>-8.4196739976576396E-3</v>
      </c>
      <c r="H64" s="1107">
        <f>TableA2!F64+TableA6!D64+N64</f>
        <v>7.8220544406352843E-2</v>
      </c>
      <c r="I64" s="1108">
        <f>TableA2!G64</f>
        <v>8.1822112000000002E-2</v>
      </c>
      <c r="J64" s="1103">
        <f t="shared" si="8"/>
        <v>0.48196249427690946</v>
      </c>
      <c r="K64" s="24">
        <f t="shared" si="9"/>
        <v>0.29986686286138525</v>
      </c>
      <c r="L64" s="1104">
        <f t="shared" si="10"/>
        <v>0.7001331371386148</v>
      </c>
      <c r="M64" s="1576">
        <f>K64-TableA2!I64</f>
        <v>-0.38867736689281623</v>
      </c>
      <c r="N64" s="1577">
        <f>-TableA7!P64</f>
        <v>-29.046851153404386</v>
      </c>
      <c r="O64" s="1577">
        <f>N64*TableC2!N$95</f>
        <v>-1.9735601408577472</v>
      </c>
      <c r="P64" s="444">
        <f t="shared" si="20"/>
        <v>-27.07329101254664</v>
      </c>
      <c r="Q64" s="23"/>
      <c r="R64" s="23"/>
      <c r="S64" s="1573"/>
      <c r="T64" s="1574"/>
      <c r="U64" s="23"/>
      <c r="V64" s="23"/>
      <c r="W64" s="23"/>
      <c r="X64" s="23"/>
      <c r="Y64" s="23"/>
      <c r="Z64" s="23"/>
    </row>
    <row r="65" spans="1:26" x14ac:dyDescent="0.2">
      <c r="A65" s="1074" t="s">
        <v>84</v>
      </c>
      <c r="B65" s="168">
        <f>D65+TableA1!C65+TableA1!H65+TableA1!I65</f>
        <v>3.3178854666271431</v>
      </c>
      <c r="C65" s="168">
        <f>B65-TableA1!M65</f>
        <v>2.9017332036006138</v>
      </c>
      <c r="D65" s="168">
        <f t="shared" si="6"/>
        <v>1.9603554666271434</v>
      </c>
      <c r="E65" s="1575">
        <f>TableA2!C65</f>
        <v>1.41639</v>
      </c>
      <c r="F65" s="1100">
        <f t="shared" si="7"/>
        <v>0.23038346662714337</v>
      </c>
      <c r="G65" s="1101">
        <f>TableA2!E65-TableA6!D65*TableC2!N$95-O65</f>
        <v>-0.44943145183563837</v>
      </c>
      <c r="H65" s="1107">
        <f>TableA2!F65+TableA6!D65+N65</f>
        <v>0.67981491846278175</v>
      </c>
      <c r="I65" s="1108">
        <f>TableA2!G65</f>
        <v>0.31358200000000003</v>
      </c>
      <c r="J65" s="1103">
        <f t="shared" si="8"/>
        <v>0.27748307686414342</v>
      </c>
      <c r="K65" s="24">
        <f t="shared" si="9"/>
        <v>0.13989991416306077</v>
      </c>
      <c r="L65" s="1104">
        <f t="shared" si="10"/>
        <v>0.8601000858369392</v>
      </c>
      <c r="M65" s="1576">
        <f>K65-TableA2!I65</f>
        <v>-0.15380431516427798</v>
      </c>
      <c r="N65" s="1577">
        <f>-TableA7!P65</f>
        <v>-22.241009225666584</v>
      </c>
      <c r="O65" s="1577">
        <f>N65*TableC2!N$95</f>
        <v>-1.511143809303422</v>
      </c>
      <c r="P65" s="444">
        <f t="shared" si="20"/>
        <v>-20.729865416363161</v>
      </c>
      <c r="Q65" s="23"/>
      <c r="R65" s="23"/>
      <c r="S65" s="1573"/>
      <c r="T65" s="1574"/>
      <c r="U65" s="23"/>
      <c r="V65" s="23"/>
      <c r="W65" s="23"/>
      <c r="X65" s="23"/>
      <c r="Y65" s="23"/>
      <c r="Z65" s="23"/>
    </row>
    <row r="66" spans="1:26" x14ac:dyDescent="0.2">
      <c r="A66" s="1074" t="s">
        <v>85</v>
      </c>
      <c r="B66" s="168">
        <f>D66+TableA1!C66+TableA1!H66+TableA1!I66</f>
        <v>3.0625643747213225</v>
      </c>
      <c r="C66" s="168">
        <f>B66-TableA1!M66</f>
        <v>2.6699218141132413</v>
      </c>
      <c r="D66" s="168">
        <f t="shared" si="6"/>
        <v>2.2072943747213225</v>
      </c>
      <c r="E66" s="1575">
        <f>TableA2!C66</f>
        <v>1.3583099999999999</v>
      </c>
      <c r="F66" s="1100">
        <f t="shared" si="7"/>
        <v>0.53959837472132244</v>
      </c>
      <c r="G66" s="1101">
        <f>TableA2!E66-TableA6!D66*TableC2!N$95-O66</f>
        <v>-0.11234028758014758</v>
      </c>
      <c r="H66" s="1107">
        <f>TableA2!F66+TableA6!D66+N66</f>
        <v>0.65193866230147002</v>
      </c>
      <c r="I66" s="1108">
        <f>TableA2!G66</f>
        <v>0.30938599999999999</v>
      </c>
      <c r="J66" s="1103">
        <f t="shared" si="8"/>
        <v>0.3846267106210105</v>
      </c>
      <c r="K66" s="24">
        <f t="shared" si="9"/>
        <v>0.28431213113781312</v>
      </c>
      <c r="L66" s="1104">
        <f t="shared" si="10"/>
        <v>0.71568786886218683</v>
      </c>
      <c r="M66" s="1576">
        <f>K66-TableA2!I66</f>
        <v>7.617079039216676E-2</v>
      </c>
      <c r="N66" s="1577">
        <f>-TableA7!P66</f>
        <v>-11.0354105348083</v>
      </c>
      <c r="O66" s="1577">
        <f>N66*TableC2!N$95</f>
        <v>-0.74979027001853726</v>
      </c>
      <c r="P66" s="444">
        <f t="shared" si="20"/>
        <v>-10.285620264789763</v>
      </c>
      <c r="Q66" s="23"/>
      <c r="R66" s="23"/>
      <c r="S66" s="1573"/>
      <c r="T66" s="1574"/>
      <c r="U66" s="23"/>
      <c r="V66" s="23"/>
      <c r="W66" s="23"/>
      <c r="X66" s="23"/>
      <c r="Y66" s="23"/>
      <c r="Z66" s="23"/>
    </row>
    <row r="67" spans="1:26" x14ac:dyDescent="0.2">
      <c r="A67" s="1074" t="s">
        <v>86</v>
      </c>
      <c r="B67" s="168">
        <f>D67+TableA1!C67+TableA1!H67+TableA1!I67</f>
        <v>19.129341162482643</v>
      </c>
      <c r="C67" s="168">
        <f>B67-TableA1!M67</f>
        <v>16.949971181754428</v>
      </c>
      <c r="D67" s="168">
        <f t="shared" si="6"/>
        <v>9.5314911624826415</v>
      </c>
      <c r="E67" s="1575">
        <f>TableA2!C67</f>
        <v>5.5453299999999999</v>
      </c>
      <c r="F67" s="1100">
        <f t="shared" si="7"/>
        <v>2.6929911624826421</v>
      </c>
      <c r="G67" s="1101">
        <f>TableA2!E67-TableA6!D67*TableC2!N$95-O67</f>
        <v>3.1437450723019622E-2</v>
      </c>
      <c r="H67" s="1107">
        <f>TableA2!F67+TableA6!D67+N67</f>
        <v>2.6615537117596224</v>
      </c>
      <c r="I67" s="1108">
        <f>TableA2!G67</f>
        <v>1.2931699999999999</v>
      </c>
      <c r="J67" s="1103">
        <f t="shared" si="8"/>
        <v>0.41820960587707007</v>
      </c>
      <c r="K67" s="24">
        <f t="shared" si="9"/>
        <v>0.3268859163620057</v>
      </c>
      <c r="L67" s="1104">
        <f t="shared" si="10"/>
        <v>0.6731140836379943</v>
      </c>
      <c r="M67" s="1576">
        <f>K67-TableA2!I67</f>
        <v>-3.3483328745600449E-2</v>
      </c>
      <c r="N67" s="1577">
        <f>-TableA7!P67</f>
        <v>-4.220454615709551</v>
      </c>
      <c r="O67" s="1577">
        <f>N67*TableC2!N$95</f>
        <v>-0.28675469715715629</v>
      </c>
      <c r="P67" s="444">
        <f t="shared" si="20"/>
        <v>-3.9336999185523949</v>
      </c>
      <c r="Q67" s="23"/>
      <c r="R67" s="23"/>
      <c r="S67" s="1573"/>
      <c r="T67" s="1574"/>
      <c r="U67" s="23"/>
      <c r="V67" s="23"/>
      <c r="W67" s="23"/>
      <c r="X67" s="23"/>
      <c r="Y67" s="23"/>
      <c r="Z67" s="23"/>
    </row>
    <row r="68" spans="1:26" x14ac:dyDescent="0.2">
      <c r="A68" s="1074" t="s">
        <v>87</v>
      </c>
      <c r="B68" s="168">
        <f>D68+TableA1!C68+TableA1!H68+TableA1!I68</f>
        <v>3.9161398666478502</v>
      </c>
      <c r="C68" s="168">
        <f>B68-TableA1!M68</f>
        <v>3.0748758261479203</v>
      </c>
      <c r="D68" s="168">
        <f t="shared" si="6"/>
        <v>2.4373298666478505</v>
      </c>
      <c r="E68" s="1575">
        <f>TableA2!C68</f>
        <v>1.2626299999999999</v>
      </c>
      <c r="F68" s="1100">
        <f t="shared" si="7"/>
        <v>0.54078386664785039</v>
      </c>
      <c r="G68" s="1101">
        <f>TableA2!E68-TableA6!D68*TableC2!N$95-O68</f>
        <v>-6.5231927376861509E-2</v>
      </c>
      <c r="H68" s="1107">
        <f>TableA2!F68+TableA6!D68+N68</f>
        <v>0.60601579402471195</v>
      </c>
      <c r="I68" s="1108">
        <f>TableA2!G68</f>
        <v>0.63391600000000004</v>
      </c>
      <c r="J68" s="1103">
        <f t="shared" si="8"/>
        <v>0.48196179053246424</v>
      </c>
      <c r="K68" s="24">
        <f t="shared" si="9"/>
        <v>0.29986675640519977</v>
      </c>
      <c r="L68" s="1104">
        <f t="shared" si="10"/>
        <v>0.70013324359480023</v>
      </c>
      <c r="M68" s="1576">
        <f>K68-TableA2!I68</f>
        <v>-0.38867605523699367</v>
      </c>
      <c r="N68" s="1577">
        <f>-TableA7!P68</f>
        <v>-4.9132386020923846</v>
      </c>
      <c r="O68" s="1577">
        <f>N68*TableC2!N$95</f>
        <v>-0.33382523346172405</v>
      </c>
      <c r="P68" s="444">
        <f t="shared" si="20"/>
        <v>-4.5794133686306608</v>
      </c>
      <c r="Q68" s="23"/>
      <c r="R68" s="23"/>
      <c r="S68" s="1573"/>
      <c r="T68" s="1574"/>
      <c r="U68" s="23"/>
      <c r="V68" s="23"/>
      <c r="W68" s="23"/>
      <c r="X68" s="23"/>
      <c r="Y68" s="23"/>
      <c r="Z68" s="23"/>
    </row>
    <row r="69" spans="1:26" x14ac:dyDescent="0.2">
      <c r="A69" s="1074" t="s">
        <v>88</v>
      </c>
      <c r="B69" s="168">
        <f>D69+TableA1!C69+TableA1!H69+TableA1!I69</f>
        <v>0.67284404675502052</v>
      </c>
      <c r="C69" s="168">
        <f>B69-TableA1!M69</f>
        <v>0.54209838904698993</v>
      </c>
      <c r="D69" s="168">
        <f t="shared" si="6"/>
        <v>0.18267004675502058</v>
      </c>
      <c r="E69" s="1575">
        <f>TableA2!C69</f>
        <v>7.3907048000000003E-2</v>
      </c>
      <c r="F69" s="1100">
        <f t="shared" si="7"/>
        <v>3.4313374755020588E-2</v>
      </c>
      <c r="G69" s="1101">
        <f>TableA2!E69-TableA6!D69*TableC2!N$95-O69</f>
        <v>-1.1592802410926514E-3</v>
      </c>
      <c r="H69" s="1107">
        <f>TableA2!F69+TableA6!D69+N69</f>
        <v>3.547265499611324E-2</v>
      </c>
      <c r="I69" s="1108">
        <f>TableA2!G69</f>
        <v>7.4449624000000006E-2</v>
      </c>
      <c r="J69" s="1103">
        <f t="shared" si="8"/>
        <v>0.59540685890819878</v>
      </c>
      <c r="K69" s="24">
        <f t="shared" si="9"/>
        <v>0.31706930985379761</v>
      </c>
      <c r="L69" s="1104">
        <f t="shared" si="10"/>
        <v>0.68293069014620245</v>
      </c>
      <c r="M69" s="1576">
        <f>K69-TableA2!I69</f>
        <v>-0.5120016462160859</v>
      </c>
      <c r="N69" s="1577">
        <f>-TableA7!P69</f>
        <v>-0.36611708689079836</v>
      </c>
      <c r="O69" s="1577">
        <f>N69*TableC2!N$95</f>
        <v>-2.487547052031994E-2</v>
      </c>
      <c r="P69" s="444">
        <f t="shared" si="20"/>
        <v>-0.3412416163704784</v>
      </c>
      <c r="Q69" s="23"/>
      <c r="R69" s="23"/>
      <c r="S69" s="1573"/>
      <c r="T69" s="1574"/>
      <c r="U69" s="23"/>
      <c r="V69" s="23"/>
      <c r="W69" s="23"/>
      <c r="X69" s="23"/>
      <c r="Y69" s="23"/>
      <c r="Z69" s="23"/>
    </row>
    <row r="70" spans="1:26" x14ac:dyDescent="0.2">
      <c r="A70" s="1074" t="s">
        <v>89</v>
      </c>
      <c r="B70" s="168">
        <f>D70+TableA1!C70+TableA1!H70+TableA1!I70</f>
        <v>2.7548527983833471</v>
      </c>
      <c r="C70" s="168">
        <f>B70-TableA1!M70</f>
        <v>2.1891609433451586</v>
      </c>
      <c r="D70" s="168">
        <f t="shared" si="6"/>
        <v>1.6389327983833466</v>
      </c>
      <c r="E70" s="1575">
        <f>TableA2!C70</f>
        <v>0.84902900000000003</v>
      </c>
      <c r="F70" s="1100">
        <f t="shared" si="7"/>
        <v>0.36363879838334656</v>
      </c>
      <c r="G70" s="1101">
        <f>TableA2!E70-TableA6!D70*TableC2!N$95-O70</f>
        <v>-4.3863782408339533E-2</v>
      </c>
      <c r="H70" s="1107">
        <f>TableA2!F70+TableA6!D70+N70</f>
        <v>0.40750258079168611</v>
      </c>
      <c r="I70" s="1108">
        <f>TableA2!G70</f>
        <v>0.42626500000000001</v>
      </c>
      <c r="J70" s="1103">
        <f t="shared" si="8"/>
        <v>0.48196228616726233</v>
      </c>
      <c r="K70" s="24">
        <f t="shared" si="9"/>
        <v>0.29986678863587141</v>
      </c>
      <c r="L70" s="1104">
        <f t="shared" si="10"/>
        <v>0.70013321136412854</v>
      </c>
      <c r="M70" s="1576">
        <f>K70-TableA2!I70</f>
        <v>-0.38867666063677958</v>
      </c>
      <c r="N70" s="1577">
        <f>-TableA7!P70</f>
        <v>-1.6236441277636195</v>
      </c>
      <c r="O70" s="1577">
        <f>N70*TableC2!N$95</f>
        <v>-0.11031692614696591</v>
      </c>
      <c r="P70" s="444">
        <f t="shared" si="20"/>
        <v>-1.5133272016166537</v>
      </c>
      <c r="Q70" s="23"/>
      <c r="R70" s="23"/>
      <c r="S70" s="1573"/>
      <c r="T70" s="1574"/>
      <c r="U70" s="23"/>
      <c r="V70" s="23"/>
      <c r="W70" s="23"/>
      <c r="X70" s="23"/>
      <c r="Y70" s="23"/>
      <c r="Z70" s="23"/>
    </row>
    <row r="71" spans="1:26" x14ac:dyDescent="0.2">
      <c r="A71" s="1074" t="s">
        <v>90</v>
      </c>
      <c r="B71" s="168">
        <f>D71+TableA1!C71+TableA1!H71+TableA1!I71</f>
        <v>1.6998722299728628</v>
      </c>
      <c r="C71" s="168">
        <f>B71-TableA1!M71</f>
        <v>1.3970389561850109</v>
      </c>
      <c r="D71" s="168">
        <f t="shared" si="6"/>
        <v>0.87737222997286313</v>
      </c>
      <c r="E71" s="1575">
        <f>TableA2!C71</f>
        <v>0.45451200000000003</v>
      </c>
      <c r="F71" s="1100">
        <f t="shared" si="7"/>
        <v>0.19466722997286312</v>
      </c>
      <c r="G71" s="1101">
        <f>TableA2!E71-TableA6!D71*TableC2!N$95-O71</f>
        <v>-2.3481753160564459E-2</v>
      </c>
      <c r="H71" s="1107">
        <f>TableA2!F71+TableA6!D71+N71</f>
        <v>0.21814898313342757</v>
      </c>
      <c r="I71" s="1108">
        <f>TableA2!G71</f>
        <v>0.22819300000000001</v>
      </c>
      <c r="J71" s="1103">
        <f t="shared" si="8"/>
        <v>0.48196217697241461</v>
      </c>
      <c r="K71" s="24">
        <f t="shared" si="9"/>
        <v>0.29986669472003991</v>
      </c>
      <c r="L71" s="1104">
        <f t="shared" si="10"/>
        <v>0.70013330527996009</v>
      </c>
      <c r="M71" s="1576">
        <f>K71-TableA2!I71</f>
        <v>-0.38867588062565495</v>
      </c>
      <c r="N71" s="1577">
        <f>-TableA7!P71</f>
        <v>-0.86918360757516799</v>
      </c>
      <c r="O71" s="1577">
        <f>N71*TableC2!N$95</f>
        <v>-5.9055837548031245E-2</v>
      </c>
      <c r="P71" s="444">
        <f t="shared" si="20"/>
        <v>-0.81012777002713676</v>
      </c>
      <c r="Q71" s="954"/>
      <c r="R71" s="954"/>
      <c r="S71" s="1573"/>
      <c r="T71" s="1574"/>
      <c r="U71" s="954"/>
      <c r="V71" s="954"/>
      <c r="W71" s="954"/>
      <c r="X71" s="954"/>
      <c r="Y71" s="954"/>
      <c r="Z71" s="954"/>
    </row>
    <row r="72" spans="1:26" x14ac:dyDescent="0.2">
      <c r="A72" s="1074" t="s">
        <v>91</v>
      </c>
      <c r="B72" s="168">
        <f>D72+TableA1!C72+TableA1!H72+TableA1!I72</f>
        <v>292.86646080880678</v>
      </c>
      <c r="C72" s="168">
        <f>B72-TableA1!M72</f>
        <v>253.54923142658379</v>
      </c>
      <c r="D72" s="168">
        <f t="shared" si="6"/>
        <v>202.5564608088068</v>
      </c>
      <c r="E72" s="1575">
        <f>TableA2!C72</f>
        <v>117.069</v>
      </c>
      <c r="F72" s="1100">
        <f t="shared" si="7"/>
        <v>55.860760808806809</v>
      </c>
      <c r="G72" s="1101">
        <f>TableA2!E72-TableA6!D72*TableC2!N$95-O72</f>
        <v>-0.32803796096654469</v>
      </c>
      <c r="H72" s="1107">
        <f>TableA2!F72+TableA6!D72+N72</f>
        <v>56.188798769773356</v>
      </c>
      <c r="I72" s="1108">
        <f>TableA2!G72</f>
        <v>29.6267</v>
      </c>
      <c r="J72" s="1103">
        <f t="shared" si="8"/>
        <v>0.4220426268678662</v>
      </c>
      <c r="K72" s="24">
        <f t="shared" si="9"/>
        <v>0.32302572181642653</v>
      </c>
      <c r="L72" s="1104">
        <f t="shared" si="10"/>
        <v>0.67697427818357347</v>
      </c>
      <c r="M72" s="1576">
        <f>K72-TableA2!I72</f>
        <v>-5.908276981766164E-2</v>
      </c>
      <c r="N72" s="1577">
        <f>-TableA7!P72</f>
        <v>-39.035168909870336</v>
      </c>
      <c r="O72" s="1577">
        <f>N72*TableC2!N$95</f>
        <v>-2.6522067072024265</v>
      </c>
      <c r="P72" s="444">
        <f t="shared" si="20"/>
        <v>-36.382962202667912</v>
      </c>
      <c r="Q72" s="954"/>
      <c r="R72" s="954"/>
      <c r="S72" s="1573"/>
      <c r="T72" s="1574"/>
      <c r="U72" s="954"/>
      <c r="V72" s="954"/>
      <c r="W72" s="954"/>
      <c r="X72" s="954"/>
      <c r="Y72" s="954"/>
      <c r="Z72" s="954"/>
    </row>
    <row r="73" spans="1:26" x14ac:dyDescent="0.2">
      <c r="A73" s="1074" t="s">
        <v>92</v>
      </c>
      <c r="B73" s="168">
        <f>D73+TableA1!C73+TableA1!H73+TableA1!I73</f>
        <v>4.6000780332629274</v>
      </c>
      <c r="C73" s="168">
        <f>B73-TableA1!M73</f>
        <v>3.7805713040884594</v>
      </c>
      <c r="D73" s="168">
        <f t="shared" si="6"/>
        <v>2.374288033262927</v>
      </c>
      <c r="E73" s="1575">
        <f>TableA2!C73</f>
        <v>1.22997</v>
      </c>
      <c r="F73" s="1100">
        <f t="shared" si="7"/>
        <v>0.52679603326292701</v>
      </c>
      <c r="G73" s="1101">
        <f>TableA2!E73-TableA6!D73*TableC2!N$95-O73</f>
        <v>-6.3544166301929023E-2</v>
      </c>
      <c r="H73" s="1107">
        <f>TableA2!F73+TableA6!D73+N73</f>
        <v>0.59034019956485606</v>
      </c>
      <c r="I73" s="1108">
        <f>TableA2!G73</f>
        <v>0.61752200000000002</v>
      </c>
      <c r="J73" s="1103">
        <f t="shared" si="8"/>
        <v>0.48196259983264045</v>
      </c>
      <c r="K73" s="24">
        <f t="shared" si="9"/>
        <v>0.29986692780283503</v>
      </c>
      <c r="L73" s="1104">
        <f t="shared" si="10"/>
        <v>0.70013307219716503</v>
      </c>
      <c r="M73" s="1576">
        <f>K73-TableA2!I73</f>
        <v>-0.38867792840266763</v>
      </c>
      <c r="N73" s="1577">
        <f>-TableA7!P73</f>
        <v>-3.0545895810023342</v>
      </c>
      <c r="O73" s="1577">
        <f>N73*TableC2!N$95</f>
        <v>-0.20754112767362817</v>
      </c>
      <c r="P73" s="444">
        <f t="shared" si="20"/>
        <v>-2.8470484533287062</v>
      </c>
      <c r="Q73" s="954"/>
      <c r="R73" s="954"/>
      <c r="S73" s="1573"/>
      <c r="T73" s="1574"/>
      <c r="U73" s="954"/>
      <c r="V73" s="954"/>
      <c r="W73" s="954"/>
      <c r="X73" s="954"/>
      <c r="Y73" s="954"/>
      <c r="Z73" s="954"/>
    </row>
    <row r="74" spans="1:26" x14ac:dyDescent="0.2">
      <c r="A74" s="1088" t="s">
        <v>93</v>
      </c>
      <c r="B74" s="168">
        <f>D74+TableA1!C74+TableA1!H74+TableA1!I74</f>
        <v>42.13443741344031</v>
      </c>
      <c r="C74" s="168">
        <f>B74-TableA1!M74</f>
        <v>36.16715195626918</v>
      </c>
      <c r="D74" s="168">
        <f t="shared" ref="D74:D91" si="21">E74+F74+I74</f>
        <v>25.927237413440306</v>
      </c>
      <c r="E74" s="1575">
        <f>TableA2!C74</f>
        <v>15.218728393333157</v>
      </c>
      <c r="F74" s="1100">
        <f t="shared" ref="F74:F90" si="22">G74+H74</f>
        <v>6.2119890201071488</v>
      </c>
      <c r="G74" s="1101">
        <f>TableA2!E74-TableA6!D74*TableC2!N$95-O74</f>
        <v>-1.0924388576814459</v>
      </c>
      <c r="H74" s="1107">
        <f>TableA2!F74+TableA6!D74+N74</f>
        <v>7.3044278777885943</v>
      </c>
      <c r="I74" s="1108">
        <f>TableA2!G74</f>
        <v>4.4965200000000003</v>
      </c>
      <c r="J74" s="1115">
        <f t="shared" ref="J74:J91" si="23">(F74+I74)/D74</f>
        <v>0.41302159768691793</v>
      </c>
      <c r="K74" s="138">
        <f t="shared" ref="K74:K91" si="24">F74/(D74-I74)</f>
        <v>0.28986379225043074</v>
      </c>
      <c r="L74" s="1116">
        <f t="shared" ref="L74:L91" si="25">1-K74</f>
        <v>0.7101362077495692</v>
      </c>
      <c r="M74" s="1576">
        <f>K74-TableA2!I74</f>
        <v>-0.18089185262499319</v>
      </c>
      <c r="N74" s="1577">
        <f>-TableA7!P74</f>
        <v>-7.9265912025883249</v>
      </c>
      <c r="O74" s="1577">
        <f>N74*TableC2!N$95</f>
        <v>-0.53856455447386808</v>
      </c>
      <c r="P74" s="444">
        <f t="shared" si="20"/>
        <v>-7.3880266481144572</v>
      </c>
      <c r="Q74" s="954"/>
      <c r="R74" s="954"/>
      <c r="S74" s="1573"/>
      <c r="T74" s="1574"/>
      <c r="U74" s="954"/>
      <c r="V74" s="954"/>
      <c r="W74" s="954"/>
      <c r="X74" s="954"/>
      <c r="Y74" s="954"/>
      <c r="Z74" s="954"/>
    </row>
    <row r="75" spans="1:26" s="25" customFormat="1" x14ac:dyDescent="0.2">
      <c r="A75" s="1074" t="s">
        <v>94</v>
      </c>
      <c r="B75" s="168">
        <f>D75+TableA1!C75+TableA1!H75+TableA1!I75</f>
        <v>6.3040611287160111</v>
      </c>
      <c r="C75" s="168">
        <f>B75-TableA1!M75</f>
        <v>5.513642922019506</v>
      </c>
      <c r="D75" s="168">
        <f t="shared" si="21"/>
        <v>4.7537811287160103</v>
      </c>
      <c r="E75" s="1575">
        <f>TableA2!C75</f>
        <v>2.9184000000000001</v>
      </c>
      <c r="F75" s="1100">
        <f t="shared" si="22"/>
        <v>1.1678541287160102</v>
      </c>
      <c r="G75" s="1101">
        <f>TableA2!E75-TableA6!D75*TableC2!N$95-O75</f>
        <v>-0.23287014781925172</v>
      </c>
      <c r="H75" s="1107">
        <f>TableA2!F75+TableA6!D75+N75</f>
        <v>1.4007242765352619</v>
      </c>
      <c r="I75" s="1108">
        <f>TableA2!G75</f>
        <v>0.66752699999999998</v>
      </c>
      <c r="J75" s="1103">
        <f t="shared" si="23"/>
        <v>0.38608869003856394</v>
      </c>
      <c r="K75" s="24">
        <f t="shared" si="24"/>
        <v>0.28580066044080699</v>
      </c>
      <c r="L75" s="1104">
        <f t="shared" si="25"/>
        <v>0.71419933955919301</v>
      </c>
      <c r="M75" s="1576">
        <f>K75-TableA2!I75</f>
        <v>2.6122048793649211E-3</v>
      </c>
      <c r="N75" s="1577">
        <f>-TableA7!P75</f>
        <v>1.5976646471228539E-2</v>
      </c>
      <c r="O75" s="1577">
        <f>N75*TableC2!N$95</f>
        <v>1.0855177552179078E-3</v>
      </c>
      <c r="P75" s="444">
        <f t="shared" si="20"/>
        <v>1.4891128716010631E-2</v>
      </c>
      <c r="Q75" s="1109"/>
      <c r="R75" s="1109"/>
      <c r="S75" s="1573"/>
      <c r="T75" s="1574"/>
      <c r="U75" s="1109"/>
      <c r="V75" s="1109"/>
      <c r="W75" s="1109"/>
      <c r="X75" s="1109"/>
      <c r="Y75" s="1109"/>
      <c r="Z75" s="1109"/>
    </row>
    <row r="76" spans="1:26" x14ac:dyDescent="0.2">
      <c r="A76" s="1074" t="s">
        <v>95</v>
      </c>
      <c r="B76" s="168">
        <f>D76+TableA1!C76+TableA1!H76+TableA1!I76</f>
        <v>37.875724384860689</v>
      </c>
      <c r="C76" s="168">
        <f>B76-TableA1!M76</f>
        <v>33.350293329601442</v>
      </c>
      <c r="D76" s="168">
        <f t="shared" si="21"/>
        <v>17.677724384860682</v>
      </c>
      <c r="E76" s="1575">
        <f>TableA2!C76</f>
        <v>10.102600000000001</v>
      </c>
      <c r="F76" s="1100">
        <f t="shared" si="22"/>
        <v>4.1650843848606822</v>
      </c>
      <c r="G76" s="1101">
        <f>TableA2!E76-TableA6!D76*TableC2!N$95-O76</f>
        <v>-0.68379070975456502</v>
      </c>
      <c r="H76" s="1107">
        <f>TableA2!F76+TableA6!D76+N76</f>
        <v>4.8488750946152468</v>
      </c>
      <c r="I76" s="1108">
        <f>TableA2!G76</f>
        <v>3.41004</v>
      </c>
      <c r="J76" s="1103">
        <f t="shared" si="23"/>
        <v>0.42851241596164202</v>
      </c>
      <c r="K76" s="24">
        <f t="shared" si="24"/>
        <v>0.29192434262705014</v>
      </c>
      <c r="L76" s="1104">
        <f t="shared" si="25"/>
        <v>0.70807565737294986</v>
      </c>
      <c r="M76" s="1576">
        <f>K76-TableA2!I76</f>
        <v>-0.24481216864019517</v>
      </c>
      <c r="N76" s="1577">
        <f>-TableA7!P76</f>
        <v>-9.0073525686775824</v>
      </c>
      <c r="O76" s="1577">
        <f>N76*TableC2!N$95</f>
        <v>-0.61199583770068133</v>
      </c>
      <c r="P76" s="444">
        <f t="shared" si="20"/>
        <v>-8.3953567309769017</v>
      </c>
      <c r="Q76" s="954"/>
      <c r="R76" s="954"/>
      <c r="S76" s="1573"/>
      <c r="T76" s="1574"/>
      <c r="U76" s="954"/>
      <c r="V76" s="954"/>
      <c r="W76" s="954"/>
      <c r="X76" s="954"/>
      <c r="Y76" s="954"/>
      <c r="Z76" s="954"/>
    </row>
    <row r="77" spans="1:26" x14ac:dyDescent="0.2">
      <c r="A77" s="1074" t="s">
        <v>96</v>
      </c>
      <c r="B77" s="168">
        <f>D77+TableA1!C77+TableA1!H77+TableA1!I77</f>
        <v>8.8015181705795076</v>
      </c>
      <c r="C77" s="168">
        <f>B77-TableA1!M77</f>
        <v>7.6529983873623433</v>
      </c>
      <c r="D77" s="168">
        <f t="shared" si="21"/>
        <v>4.9286581705795083</v>
      </c>
      <c r="E77" s="1575">
        <f>TableA2!C77</f>
        <v>2.7482700000000002</v>
      </c>
      <c r="F77" s="1100">
        <f t="shared" si="22"/>
        <v>1.3896231705795081</v>
      </c>
      <c r="G77" s="1101">
        <f>TableA2!E77-TableA6!D77*TableC2!N$95-O77</f>
        <v>7.0555014235770486E-2</v>
      </c>
      <c r="H77" s="1107">
        <f>TableA2!F77+TableA6!D77+N77</f>
        <v>1.3190681563437376</v>
      </c>
      <c r="I77" s="1108">
        <f>TableA2!G77</f>
        <v>0.79076500000000005</v>
      </c>
      <c r="J77" s="1103">
        <f t="shared" si="23"/>
        <v>0.44238981384321474</v>
      </c>
      <c r="K77" s="24">
        <f t="shared" si="24"/>
        <v>0.33582867253793619</v>
      </c>
      <c r="L77" s="1104">
        <f t="shared" si="25"/>
        <v>0.66417132746206375</v>
      </c>
      <c r="M77" s="1576">
        <f>K77-TableA2!I77</f>
        <v>-0.12347717033973776</v>
      </c>
      <c r="N77" s="1577">
        <f>-TableA7!P77</f>
        <v>-12.327426958163089</v>
      </c>
      <c r="O77" s="1577">
        <f>N77*TableC2!N$95</f>
        <v>-0.8375750733006565</v>
      </c>
      <c r="P77" s="444">
        <f t="shared" si="20"/>
        <v>-11.489851884862432</v>
      </c>
      <c r="Q77" s="954"/>
      <c r="R77" s="954"/>
      <c r="S77" s="1573"/>
      <c r="T77" s="1574"/>
      <c r="U77" s="954"/>
      <c r="V77" s="954"/>
      <c r="W77" s="954"/>
      <c r="X77" s="954"/>
      <c r="Y77" s="954"/>
      <c r="Z77" s="954"/>
    </row>
    <row r="78" spans="1:26" x14ac:dyDescent="0.2">
      <c r="A78" s="1074" t="s">
        <v>97</v>
      </c>
      <c r="B78" s="168">
        <f>D78+TableA1!C78+TableA1!H78+TableA1!I78</f>
        <v>0.18478325332043657</v>
      </c>
      <c r="C78" s="168">
        <f>B78-TableA1!M78</f>
        <v>0.16164301326538585</v>
      </c>
      <c r="D78" s="168">
        <f t="shared" si="21"/>
        <v>0.13429625332043657</v>
      </c>
      <c r="E78" s="1575">
        <f>TableA2!C78</f>
        <v>8.3486143999999998E-2</v>
      </c>
      <c r="F78" s="1100">
        <f t="shared" si="22"/>
        <v>3.3373351320436576E-2</v>
      </c>
      <c r="G78" s="1101">
        <f>TableA2!E78-TableA6!D78*TableC2!N$95-O78</f>
        <v>-6.6969161737789789E-3</v>
      </c>
      <c r="H78" s="1107">
        <f>TableA2!F78+TableA6!D78+N78</f>
        <v>4.0070267494215557E-2</v>
      </c>
      <c r="I78" s="1108">
        <f>TableA2!G78</f>
        <v>1.7436758E-2</v>
      </c>
      <c r="J78" s="1103">
        <f t="shared" si="23"/>
        <v>0.37834346129673097</v>
      </c>
      <c r="K78" s="24">
        <f t="shared" si="24"/>
        <v>0.28558527682260315</v>
      </c>
      <c r="L78" s="1104">
        <f t="shared" si="25"/>
        <v>0.71441472317739685</v>
      </c>
      <c r="M78" s="1576">
        <f>K78-TableA2!I78</f>
        <v>3.4277873979706941E-2</v>
      </c>
      <c r="N78" s="1577">
        <f>-TableA7!P78</f>
        <v>5.7402704296166882E-3</v>
      </c>
      <c r="O78" s="1577">
        <f>N78*TableC2!N$95</f>
        <v>3.9001710918011513E-4</v>
      </c>
      <c r="P78" s="444">
        <f t="shared" si="20"/>
        <v>5.3502533204365732E-3</v>
      </c>
      <c r="Q78" s="954"/>
      <c r="R78" s="954"/>
      <c r="S78" s="1573"/>
      <c r="T78" s="1574"/>
      <c r="U78" s="954"/>
      <c r="V78" s="954"/>
      <c r="W78" s="954"/>
      <c r="X78" s="954"/>
      <c r="Y78" s="954"/>
      <c r="Z78" s="954"/>
    </row>
    <row r="79" spans="1:26" x14ac:dyDescent="0.2">
      <c r="A79" s="1074" t="s">
        <v>98</v>
      </c>
      <c r="B79" s="168">
        <f>D79+TableA1!C79+TableA1!H79+TableA1!I79</f>
        <v>3.8873477123250519</v>
      </c>
      <c r="C79" s="168">
        <f>B79-TableA1!M79</f>
        <v>3.1948147076767817</v>
      </c>
      <c r="D79" s="168">
        <f t="shared" si="21"/>
        <v>2.0064177123250517</v>
      </c>
      <c r="E79" s="1575">
        <f>TableA2!C79</f>
        <v>1.0394000000000001</v>
      </c>
      <c r="F79" s="1100">
        <f t="shared" si="22"/>
        <v>0.44517471232505146</v>
      </c>
      <c r="G79" s="1101">
        <f>TableA2!E79-TableA6!D79*TableC2!N$95-O79</f>
        <v>-5.3698921525945881E-2</v>
      </c>
      <c r="H79" s="1107">
        <f>TableA2!F79+TableA6!D79+N79</f>
        <v>0.49887363385099737</v>
      </c>
      <c r="I79" s="1108">
        <f>TableA2!G79</f>
        <v>0.52184299999999995</v>
      </c>
      <c r="J79" s="1103">
        <f t="shared" si="23"/>
        <v>0.48196230843898608</v>
      </c>
      <c r="K79" s="24">
        <f t="shared" si="24"/>
        <v>0.29986682962411881</v>
      </c>
      <c r="L79" s="1104">
        <f t="shared" si="25"/>
        <v>0.70013317037588119</v>
      </c>
      <c r="M79" s="1576">
        <f>K79-TableA2!I79</f>
        <v>-0.38867698234911519</v>
      </c>
      <c r="N79" s="1577">
        <f>-TableA7!P79</f>
        <v>-1.9877049751420814</v>
      </c>
      <c r="O79" s="1577">
        <f>N79*TableC2!N$95</f>
        <v>-0.13505268746713289</v>
      </c>
      <c r="P79" s="444">
        <f t="shared" si="20"/>
        <v>-1.8526522876749485</v>
      </c>
      <c r="Q79" s="954"/>
      <c r="R79" s="954"/>
      <c r="S79" s="1573"/>
      <c r="T79" s="1574"/>
      <c r="U79" s="954"/>
      <c r="V79" s="954"/>
      <c r="W79" s="954"/>
      <c r="X79" s="954"/>
      <c r="Y79" s="954"/>
      <c r="Z79" s="954"/>
    </row>
    <row r="80" spans="1:26" x14ac:dyDescent="0.2">
      <c r="A80" s="1074" t="s">
        <v>99</v>
      </c>
      <c r="B80" s="168">
        <f>D80+TableA1!C80+TableA1!H80+TableA1!I80</f>
        <v>0.53820138171553866</v>
      </c>
      <c r="C80" s="168">
        <f>B80-TableA1!M80</f>
        <v>0.44232064365076529</v>
      </c>
      <c r="D80" s="168">
        <f t="shared" si="21"/>
        <v>0.27778838171553871</v>
      </c>
      <c r="E80" s="1575">
        <f>TableA2!C80</f>
        <v>0.14390500000000001</v>
      </c>
      <c r="F80" s="1100">
        <f t="shared" si="22"/>
        <v>6.163445371553871E-2</v>
      </c>
      <c r="G80" s="1101">
        <f>TableA2!E80-TableA6!D80*TableC2!N$95-O80</f>
        <v>-7.4346344885480378E-3</v>
      </c>
      <c r="H80" s="1107">
        <f>TableA2!F80+TableA6!D80+N80</f>
        <v>6.9069088204086748E-2</v>
      </c>
      <c r="I80" s="1108">
        <f>TableA2!G80</f>
        <v>7.2248928000000004E-2</v>
      </c>
      <c r="J80" s="1103">
        <f t="shared" si="23"/>
        <v>0.48196177568231841</v>
      </c>
      <c r="K80" s="24">
        <f t="shared" si="24"/>
        <v>0.2998667778928672</v>
      </c>
      <c r="L80" s="1104">
        <f t="shared" si="25"/>
        <v>0.7001332221071328</v>
      </c>
      <c r="M80" s="1576">
        <f>K80-TableA2!I80</f>
        <v>-0.38867620433999084</v>
      </c>
      <c r="N80" s="1577">
        <f>-TableA7!P80</f>
        <v>-0.27916658691983243</v>
      </c>
      <c r="O80" s="1577">
        <f>N80*TableC2!N$95</f>
        <v>-1.8967703097817805E-2</v>
      </c>
      <c r="P80" s="444">
        <f t="shared" si="20"/>
        <v>-0.26019888382201461</v>
      </c>
      <c r="Q80" s="954"/>
      <c r="R80" s="954"/>
      <c r="S80" s="1573"/>
      <c r="T80" s="1574"/>
      <c r="U80" s="954"/>
      <c r="V80" s="954"/>
      <c r="W80" s="954"/>
      <c r="X80" s="954"/>
      <c r="Y80" s="954"/>
      <c r="Z80" s="954"/>
    </row>
    <row r="81" spans="1:20" x14ac:dyDescent="0.2">
      <c r="A81" s="1074" t="s">
        <v>100</v>
      </c>
      <c r="B81" s="168">
        <f>D81+TableA1!C81+TableA1!H81+TableA1!I81</f>
        <v>5.4987700842501859</v>
      </c>
      <c r="C81" s="168">
        <f>B81-TableA1!M81</f>
        <v>4.0880855990596157</v>
      </c>
      <c r="D81" s="168">
        <f t="shared" si="21"/>
        <v>1.6673400842501878</v>
      </c>
      <c r="E81" s="1575">
        <f>TableA2!C81</f>
        <v>0.36308000000000001</v>
      </c>
      <c r="F81" s="1100">
        <f t="shared" si="22"/>
        <v>0.2412700842501877</v>
      </c>
      <c r="G81" s="1101">
        <f>TableA2!E81-TableA6!D81*TableC2!N$95-O81</f>
        <v>6.7005086194943941E-2</v>
      </c>
      <c r="H81" s="1107">
        <f>TableA2!F81+TableA6!D81+N81</f>
        <v>0.17426499805524376</v>
      </c>
      <c r="I81" s="1108">
        <f>TableA2!G81</f>
        <v>1.0629900000000001</v>
      </c>
      <c r="J81" s="1103">
        <f t="shared" si="23"/>
        <v>0.7822399860534277</v>
      </c>
      <c r="K81" s="24">
        <f t="shared" si="24"/>
        <v>0.39922238870791188</v>
      </c>
      <c r="L81" s="1104">
        <f t="shared" si="25"/>
        <v>0.60077761129208818</v>
      </c>
      <c r="M81" s="1576">
        <f>K81-TableA2!I81</f>
        <v>-0.54736684205226638</v>
      </c>
      <c r="N81" s="1577">
        <f>-TableA7!P81</f>
        <v>-7.2698575780768468</v>
      </c>
      <c r="O81" s="1577">
        <f>N81*TableC2!N$95</f>
        <v>-0.49394342505602468</v>
      </c>
      <c r="P81" s="444">
        <f t="shared" si="20"/>
        <v>-6.775914153020822</v>
      </c>
      <c r="Q81" s="954"/>
      <c r="R81" s="954"/>
      <c r="S81" s="1573"/>
      <c r="T81" s="1574"/>
    </row>
    <row r="82" spans="1:20" x14ac:dyDescent="0.2">
      <c r="A82" s="1074" t="s">
        <v>101</v>
      </c>
      <c r="B82" s="168">
        <f>D82+TableA1!C82+TableA1!H82+TableA1!I82</f>
        <v>0.71089656475822416</v>
      </c>
      <c r="C82" s="168">
        <f>B82-TableA1!M82</f>
        <v>0.53743567271509152</v>
      </c>
      <c r="D82" s="168">
        <f t="shared" si="21"/>
        <v>0.23977556475822406</v>
      </c>
      <c r="E82" s="1575">
        <f>TableA2!C82</f>
        <v>6.9840823999999996E-2</v>
      </c>
      <c r="F82" s="1100">
        <f t="shared" si="22"/>
        <v>3.9226740758224084E-2</v>
      </c>
      <c r="G82" s="1101">
        <f>TableA2!E82-TableA6!D82*TableC2!N$95-O82</f>
        <v>5.7057231903696673E-3</v>
      </c>
      <c r="H82" s="1107">
        <f>TableA2!F82+TableA6!D82+N82</f>
        <v>3.3521017567854416E-2</v>
      </c>
      <c r="I82" s="1108">
        <f>TableA2!G82</f>
        <v>0.13070799999999999</v>
      </c>
      <c r="J82" s="1103">
        <f t="shared" si="23"/>
        <v>0.70872418100475132</v>
      </c>
      <c r="K82" s="24">
        <f t="shared" si="24"/>
        <v>0.35965541951156704</v>
      </c>
      <c r="L82" s="1104">
        <f t="shared" si="25"/>
        <v>0.6403445804884329</v>
      </c>
      <c r="M82" s="1576">
        <f>K82-TableA2!I82</f>
        <v>-0.55679203117279252</v>
      </c>
      <c r="N82" s="1577">
        <f>-TableA7!P82</f>
        <v>-0.79067591979762319</v>
      </c>
      <c r="O82" s="1577">
        <f>N82*TableC2!N$95</f>
        <v>-5.3721708814751738E-2</v>
      </c>
      <c r="P82" s="444">
        <f t="shared" si="20"/>
        <v>-0.7369542109828715</v>
      </c>
      <c r="Q82" s="954"/>
      <c r="R82" s="954"/>
      <c r="S82" s="1573"/>
      <c r="T82" s="1574"/>
    </row>
    <row r="83" spans="1:20" x14ac:dyDescent="0.2">
      <c r="A83" s="1074" t="s">
        <v>102</v>
      </c>
      <c r="B83" s="168">
        <f>D83+TableA1!C83+TableA1!H83+TableA1!I83</f>
        <v>291.31593905864736</v>
      </c>
      <c r="C83" s="168">
        <f>B83-TableA1!M83</f>
        <v>225.19527086669848</v>
      </c>
      <c r="D83" s="168">
        <f t="shared" si="21"/>
        <v>179.56293737298026</v>
      </c>
      <c r="E83" s="1575">
        <f>TableA2!C83</f>
        <v>103.461294</v>
      </c>
      <c r="F83" s="1100">
        <f t="shared" si="22"/>
        <v>31.61113368731322</v>
      </c>
      <c r="G83" s="1101">
        <f>TableA2!E83-TableA6!D83*TableC2!N$95-O83</f>
        <v>-18.046468487697744</v>
      </c>
      <c r="H83" s="1107">
        <f>TableA2!F83+TableA6!D83+N83</f>
        <v>49.657602175010965</v>
      </c>
      <c r="I83" s="1108">
        <f>TableA2!G83</f>
        <v>44.490509685667035</v>
      </c>
      <c r="J83" s="1103">
        <f t="shared" si="23"/>
        <v>0.42381598611803312</v>
      </c>
      <c r="K83" s="24">
        <f t="shared" si="24"/>
        <v>0.2340309878822317</v>
      </c>
      <c r="L83" s="1104">
        <f t="shared" si="25"/>
        <v>0.76596901211776824</v>
      </c>
      <c r="M83" s="1576">
        <f>K83-TableA2!I83</f>
        <v>-7.136719469175784E-2</v>
      </c>
      <c r="N83" s="1577">
        <f>-TableA7!P83</f>
        <v>-70.416271670151048</v>
      </c>
      <c r="O83" s="1577">
        <f>N83*TableC2!N$95</f>
        <v>-4.7843653104454615</v>
      </c>
      <c r="P83" s="444">
        <f t="shared" si="20"/>
        <v>-65.631906359705582</v>
      </c>
      <c r="Q83" s="954"/>
      <c r="R83" s="954"/>
      <c r="S83" s="1573"/>
      <c r="T83" s="1574"/>
    </row>
    <row r="84" spans="1:20" x14ac:dyDescent="0.2">
      <c r="A84" s="1074" t="s">
        <v>103</v>
      </c>
      <c r="B84" s="168">
        <f>D84+TableA1!C84+TableA1!H84+TableA1!I84</f>
        <v>0.47713991547987683</v>
      </c>
      <c r="C84" s="168">
        <f>B84-TableA1!M84</f>
        <v>0.37117500195194641</v>
      </c>
      <c r="D84" s="168">
        <f t="shared" si="21"/>
        <v>0.18933791547987683</v>
      </c>
      <c r="E84" s="1575">
        <f>TableA2!C84</f>
        <v>7.3737880000000006E-2</v>
      </c>
      <c r="F84" s="1100">
        <f t="shared" si="22"/>
        <v>3.5752427479876815E-2</v>
      </c>
      <c r="G84" s="1101">
        <f>TableA2!E84-TableA6!D84*TableC2!N$95-O84</f>
        <v>3.6096687946427647E-4</v>
      </c>
      <c r="H84" s="1107">
        <f>TableA2!F84+TableA6!D84+N84</f>
        <v>3.5391460600412539E-2</v>
      </c>
      <c r="I84" s="1108">
        <f>TableA2!G84</f>
        <v>7.9847608E-2</v>
      </c>
      <c r="J84" s="1103">
        <f t="shared" si="23"/>
        <v>0.6105487914921246</v>
      </c>
      <c r="K84" s="24">
        <f t="shared" si="24"/>
        <v>0.32653509066496811</v>
      </c>
      <c r="L84" s="1104">
        <f t="shared" si="25"/>
        <v>0.67346490933503189</v>
      </c>
      <c r="M84" s="1576">
        <f>K84-TableA2!I84</f>
        <v>-0.52905989086138983</v>
      </c>
      <c r="N84" s="1577">
        <f>-TableA7!P84</f>
        <v>-0.43731622619230615</v>
      </c>
      <c r="O84" s="1577">
        <f>N84*TableC2!N$95</f>
        <v>-2.9713027012992131E-2</v>
      </c>
      <c r="P84" s="444">
        <f t="shared" si="20"/>
        <v>-0.40760319917931404</v>
      </c>
      <c r="Q84" s="954"/>
      <c r="R84" s="954"/>
      <c r="S84" s="1573"/>
      <c r="T84" s="1574"/>
    </row>
    <row r="85" spans="1:20" x14ac:dyDescent="0.2">
      <c r="A85" s="1074" t="s">
        <v>104</v>
      </c>
      <c r="B85" s="168">
        <f>D85+TableA1!C85+TableA1!H85+TableA1!I85</f>
        <v>0.86388267942978259</v>
      </c>
      <c r="C85" s="168">
        <f>B85-TableA1!M85</f>
        <v>0.66491404738169191</v>
      </c>
      <c r="D85" s="168">
        <f t="shared" si="21"/>
        <v>0.3234826794297827</v>
      </c>
      <c r="E85" s="1575">
        <f>TableA2!C85</f>
        <v>0.115233</v>
      </c>
      <c r="F85" s="1100">
        <f t="shared" si="22"/>
        <v>5.8320679429782703E-2</v>
      </c>
      <c r="G85" s="1101">
        <f>TableA2!E85-TableA6!D85*TableC2!N$95-O85</f>
        <v>3.0130928899019319E-3</v>
      </c>
      <c r="H85" s="1107">
        <f>TableA2!F85+TableA6!D85+N85</f>
        <v>5.5307586539880771E-2</v>
      </c>
      <c r="I85" s="1108">
        <f>TableA2!G85</f>
        <v>0.14992900000000001</v>
      </c>
      <c r="J85" s="1103">
        <f t="shared" si="23"/>
        <v>0.64377381749425866</v>
      </c>
      <c r="K85" s="24">
        <f t="shared" si="24"/>
        <v>0.33603827715665574</v>
      </c>
      <c r="L85" s="1104">
        <f t="shared" si="25"/>
        <v>0.66396172284334432</v>
      </c>
      <c r="M85" s="1576">
        <f>K85-TableA2!I85</f>
        <v>-0.54377849590915184</v>
      </c>
      <c r="N85" s="1577">
        <f>-TableA7!P85</f>
        <v>-0.92654576830210822</v>
      </c>
      <c r="O85" s="1577">
        <f>N85*TableC2!N$95</f>
        <v>-6.2953253946328058E-2</v>
      </c>
      <c r="P85" s="444">
        <f t="shared" si="20"/>
        <v>-0.86359251435578011</v>
      </c>
      <c r="Q85" s="954"/>
      <c r="R85" s="954"/>
      <c r="S85" s="1573"/>
      <c r="T85" s="1574"/>
    </row>
    <row r="86" spans="1:20" x14ac:dyDescent="0.2">
      <c r="A86" s="1074" t="s">
        <v>105</v>
      </c>
      <c r="B86" s="168">
        <f>D86+TableA1!C86+TableA1!H86+TableA1!I86</f>
        <v>0.42477528431690809</v>
      </c>
      <c r="C86" s="168">
        <f>B86-TableA1!M86</f>
        <v>0.33365941206153027</v>
      </c>
      <c r="D86" s="168">
        <f t="shared" si="21"/>
        <v>0.17730328431690801</v>
      </c>
      <c r="E86" s="1575">
        <f>TableA2!C86</f>
        <v>7.3914943999999996E-2</v>
      </c>
      <c r="F86" s="1100">
        <f t="shared" si="22"/>
        <v>3.4729972316907998E-2</v>
      </c>
      <c r="G86" s="1101">
        <f>TableA2!E86-TableA6!D86*TableC2!N$95-O86</f>
        <v>-7.4647246774944831E-4</v>
      </c>
      <c r="H86" s="1107">
        <f>TableA2!F86+TableA6!D86+N86</f>
        <v>3.5476444784657446E-2</v>
      </c>
      <c r="I86" s="1108">
        <f>TableA2!G86</f>
        <v>6.8658367999999997E-2</v>
      </c>
      <c r="J86" s="1103">
        <f t="shared" si="23"/>
        <v>0.58311576525629349</v>
      </c>
      <c r="K86" s="24">
        <f t="shared" si="24"/>
        <v>0.31966495528979572</v>
      </c>
      <c r="L86" s="1104">
        <f t="shared" si="25"/>
        <v>0.68033504471020434</v>
      </c>
      <c r="M86" s="1576">
        <f>K86-TableA2!I86</f>
        <v>-0.51199287627030321</v>
      </c>
      <c r="N86" s="1577">
        <f>-TableA7!P86</f>
        <v>-0.37416665279599115</v>
      </c>
      <c r="O86" s="1577">
        <f>N86*TableC2!N$95</f>
        <v>-2.5422390471738981E-2</v>
      </c>
      <c r="P86" s="444">
        <f t="shared" si="20"/>
        <v>-0.34874426232425215</v>
      </c>
      <c r="Q86" s="954"/>
      <c r="R86" s="954"/>
      <c r="S86" s="1573"/>
      <c r="T86" s="1574"/>
    </row>
    <row r="87" spans="1:20" x14ac:dyDescent="0.2">
      <c r="A87" s="1074" t="s">
        <v>106</v>
      </c>
      <c r="B87" s="168">
        <f>D87+TableA1!C87+TableA1!H87+TableA1!I87</f>
        <v>0.42801420846331317</v>
      </c>
      <c r="C87" s="168">
        <f>B87-TableA1!M87</f>
        <v>0.35176332081661754</v>
      </c>
      <c r="D87" s="168">
        <f t="shared" si="21"/>
        <v>0.22091620846331322</v>
      </c>
      <c r="E87" s="1575">
        <f>TableA2!C87</f>
        <v>0.114443</v>
      </c>
      <c r="F87" s="1100">
        <f t="shared" si="22"/>
        <v>4.9015904463313234E-2</v>
      </c>
      <c r="G87" s="1101">
        <f>TableA2!E87-TableA6!D87*TableC2!N$95-O87</f>
        <v>-5.9125112369077665E-3</v>
      </c>
      <c r="H87" s="1107">
        <f>TableA2!F87+TableA6!D87+N87</f>
        <v>5.4928415700221001E-2</v>
      </c>
      <c r="I87" s="1108">
        <f>TableA2!G87</f>
        <v>5.7457304000000001E-2</v>
      </c>
      <c r="J87" s="1103">
        <f t="shared" si="23"/>
        <v>0.48196195835487943</v>
      </c>
      <c r="K87" s="24">
        <f t="shared" si="24"/>
        <v>0.29986683579122103</v>
      </c>
      <c r="L87" s="1104">
        <f t="shared" si="25"/>
        <v>0.70013316420877891</v>
      </c>
      <c r="M87" s="1576">
        <f>K87-TableA2!I87</f>
        <v>-0.38867677023758934</v>
      </c>
      <c r="N87" s="1577">
        <f>-TableA7!P87</f>
        <v>-0.24501896552426217</v>
      </c>
      <c r="O87" s="1577">
        <f>N87*TableC2!N$95</f>
        <v>-1.664757606802442E-2</v>
      </c>
      <c r="P87" s="444">
        <f t="shared" si="20"/>
        <v>-0.22837138945623775</v>
      </c>
      <c r="Q87" s="954"/>
      <c r="R87" s="954"/>
      <c r="S87" s="1573"/>
      <c r="T87" s="1574"/>
    </row>
    <row r="88" spans="1:20" x14ac:dyDescent="0.2">
      <c r="A88" s="1074" t="s">
        <v>107</v>
      </c>
      <c r="B88" s="168">
        <f>D88+TableA1!C88+TableA1!H88+TableA1!I88</f>
        <v>36.448073914761316</v>
      </c>
      <c r="C88" s="168">
        <f>B88-TableA1!M88</f>
        <v>30.15829413397887</v>
      </c>
      <c r="D88" s="168">
        <f t="shared" si="21"/>
        <v>19.364973914761315</v>
      </c>
      <c r="E88" s="1575">
        <f>TableA2!C88</f>
        <v>10.2681</v>
      </c>
      <c r="F88" s="1100">
        <f t="shared" si="22"/>
        <v>4.3573439147613122</v>
      </c>
      <c r="G88" s="1101">
        <f>TableA2!E88-TableA6!D88*TableC2!N$95-O88</f>
        <v>-0.57096507094719939</v>
      </c>
      <c r="H88" s="1107">
        <f>TableA2!F88+TableA6!D88+N88</f>
        <v>4.9283089857085116</v>
      </c>
      <c r="I88" s="1108">
        <f>TableA2!G88</f>
        <v>4.7395300000000002</v>
      </c>
      <c r="J88" s="1103">
        <f t="shared" si="23"/>
        <v>0.46975916181467459</v>
      </c>
      <c r="K88" s="24">
        <f t="shared" si="24"/>
        <v>0.29792900237123665</v>
      </c>
      <c r="L88" s="1104">
        <f t="shared" si="25"/>
        <v>0.70207099762876335</v>
      </c>
      <c r="M88" s="1576">
        <f>K88-TableA2!I88</f>
        <v>-0.36329792619644485</v>
      </c>
      <c r="N88" s="1577">
        <f>-TableA7!P88</f>
        <v>-16.911318951094543</v>
      </c>
      <c r="O88" s="1577">
        <f>N88*TableC2!N$95</f>
        <v>-1.1490231707026433</v>
      </c>
      <c r="P88" s="444">
        <f t="shared" si="20"/>
        <v>-15.7622957803919</v>
      </c>
      <c r="Q88" s="954"/>
      <c r="R88" s="954"/>
      <c r="S88" s="1573"/>
      <c r="T88" s="1574"/>
    </row>
    <row r="89" spans="1:20" x14ac:dyDescent="0.2">
      <c r="A89" s="1074" t="s">
        <v>108</v>
      </c>
      <c r="B89" s="168">
        <f>D89+TableA1!C89+TableA1!H89+TableA1!I89</f>
        <v>68.669534622059814</v>
      </c>
      <c r="C89" s="168">
        <f>B89-TableA1!M89</f>
        <v>56.422813828234865</v>
      </c>
      <c r="D89" s="168">
        <f t="shared" si="21"/>
        <v>42.826402694348964</v>
      </c>
      <c r="E89" s="1575">
        <f>TableA2!C89</f>
        <v>23.088800000000003</v>
      </c>
      <c r="F89" s="1100">
        <f t="shared" si="22"/>
        <v>9.9189526943489632</v>
      </c>
      <c r="G89" s="1101">
        <f>TableA2!E89-TableA6!D89*TableC2!N$95-O89</f>
        <v>-1.1628190559482365</v>
      </c>
      <c r="H89" s="1107">
        <f>TableA2!F89+TableA6!D89+N89</f>
        <v>11.0817717502972</v>
      </c>
      <c r="I89" s="1108">
        <f>TableA2!G89</f>
        <v>9.8186499999999999</v>
      </c>
      <c r="J89" s="1103">
        <f t="shared" si="23"/>
        <v>0.46087463463171946</v>
      </c>
      <c r="K89" s="24">
        <f t="shared" si="24"/>
        <v>0.30050372669106673</v>
      </c>
      <c r="L89" s="1104">
        <f t="shared" si="25"/>
        <v>0.69949627330893327</v>
      </c>
      <c r="M89" s="1576">
        <f>K89-TableA2!I89</f>
        <v>-0.37818792790329692</v>
      </c>
      <c r="N89" s="1577">
        <f>-TableA7!P89</f>
        <v>-41.683062581236264</v>
      </c>
      <c r="O89" s="1577">
        <f>N89*TableC2!N$95</f>
        <v>-2.832115275585227</v>
      </c>
      <c r="P89" s="444">
        <f t="shared" si="20"/>
        <v>-38.85094730565104</v>
      </c>
      <c r="Q89" s="954"/>
      <c r="R89" s="954"/>
      <c r="S89" s="1573"/>
      <c r="T89" s="1574"/>
    </row>
    <row r="90" spans="1:20" ht="40" customHeight="1" x14ac:dyDescent="0.2">
      <c r="A90" s="1582" t="s">
        <v>109</v>
      </c>
      <c r="B90" s="1583">
        <f>D90+TableA1!C90+TableA1!H90+TableA1!I90</f>
        <v>9632.318394912365</v>
      </c>
      <c r="C90" s="1583">
        <f>B90-TableA1!M90</f>
        <v>8253.7051171722451</v>
      </c>
      <c r="D90" s="168">
        <f t="shared" si="21"/>
        <v>4326.0275122289286</v>
      </c>
      <c r="E90" s="1584">
        <f>TableA2!C90</f>
        <v>2089.5387553579658</v>
      </c>
      <c r="F90" s="1585">
        <f t="shared" si="22"/>
        <v>1563.7813422545094</v>
      </c>
      <c r="G90" s="1585">
        <f>TableA2!E90-TableA6!D90*TableC2!D$95-O90</f>
        <v>61.917018236375213</v>
      </c>
      <c r="H90" s="1586">
        <f>TableA2!F90+TableA6!D90+N90</f>
        <v>1501.8643240181341</v>
      </c>
      <c r="I90" s="1587">
        <f>TableA2!G90</f>
        <v>672.70741461645321</v>
      </c>
      <c r="J90" s="1588">
        <f t="shared" si="23"/>
        <v>0.51698440441000371</v>
      </c>
      <c r="K90" s="1589">
        <f t="shared" si="24"/>
        <v>0.4280438889755307</v>
      </c>
      <c r="L90" s="1590">
        <f t="shared" si="25"/>
        <v>0.5719561110244693</v>
      </c>
      <c r="M90" s="1591">
        <f>K90-TableA2!I90</f>
        <v>1.0583465219263066E-2</v>
      </c>
      <c r="N90" s="1592">
        <f>TableC4!C91/1000</f>
        <v>78.718222161267093</v>
      </c>
      <c r="O90" s="1592">
        <f>N90*TableC2!D$95</f>
        <v>12.345416321652717</v>
      </c>
      <c r="P90" s="1593">
        <f t="shared" si="20"/>
        <v>66.372805839614372</v>
      </c>
      <c r="Q90" s="954"/>
      <c r="R90" s="954"/>
      <c r="S90" s="1573"/>
      <c r="T90" s="1574"/>
    </row>
    <row r="91" spans="1:20" ht="40" customHeight="1" thickBot="1" x14ac:dyDescent="0.25">
      <c r="A91" s="210" t="s">
        <v>110</v>
      </c>
      <c r="B91" s="165">
        <f>D91+TableA1!C91+TableA1!H91+TableA1!I91</f>
        <v>75038.958996406785</v>
      </c>
      <c r="C91" s="165">
        <f>B91-TableA1!M91</f>
        <v>63098.894488914579</v>
      </c>
      <c r="D91" s="449">
        <f t="shared" si="21"/>
        <v>41013.063980041799</v>
      </c>
      <c r="E91" s="447">
        <f>E90+E53+E45+E9</f>
        <v>22422.077231008858</v>
      </c>
      <c r="F91" s="447">
        <f>F90+F53+F45+F9</f>
        <v>11662.065790312621</v>
      </c>
      <c r="G91" s="447">
        <f>G90+G53+G45+G9</f>
        <v>146.77889617196286</v>
      </c>
      <c r="H91" s="447">
        <f>H90+H53+H45+H9</f>
        <v>11515.286894140656</v>
      </c>
      <c r="I91" s="166">
        <f>TableA2!G91</f>
        <v>6928.9209587203241</v>
      </c>
      <c r="J91" s="197">
        <f t="shared" si="23"/>
        <v>0.45329426638497144</v>
      </c>
      <c r="K91" s="167">
        <f t="shared" si="24"/>
        <v>0.34215517118964578</v>
      </c>
      <c r="L91" s="198">
        <f t="shared" si="25"/>
        <v>0.65784482881035422</v>
      </c>
      <c r="M91" s="303">
        <f>K91-TableA2!I91</f>
        <v>4.9971510509790873E-3</v>
      </c>
      <c r="N91" s="447">
        <f>N90+N53+N45+N9</f>
        <v>0</v>
      </c>
      <c r="O91" s="447">
        <f>O90+O53+O45+O9</f>
        <v>-0.46618540505149664</v>
      </c>
      <c r="P91" s="448">
        <f>P90+P53+P45+P9</f>
        <v>0.4661854050515899</v>
      </c>
      <c r="Q91" s="954"/>
      <c r="R91" s="954"/>
      <c r="S91" s="1573"/>
      <c r="T91" s="1574"/>
    </row>
    <row r="92" spans="1:20" ht="17" thickTop="1" x14ac:dyDescent="0.2">
      <c r="A92" s="954"/>
      <c r="B92" s="954"/>
      <c r="C92" s="954"/>
      <c r="D92" s="954"/>
      <c r="E92" s="954"/>
      <c r="F92" s="1003"/>
      <c r="G92" s="954"/>
      <c r="H92" s="954"/>
      <c r="I92" s="954"/>
      <c r="J92" s="954"/>
      <c r="K92" s="954"/>
      <c r="L92" s="954"/>
      <c r="M92" s="954"/>
      <c r="N92" s="954"/>
      <c r="O92" s="954"/>
      <c r="P92" s="954"/>
      <c r="Q92" s="954"/>
      <c r="R92" s="954"/>
      <c r="S92" s="954"/>
      <c r="T92" s="954"/>
    </row>
    <row r="93" spans="1:20" s="2" customFormat="1" ht="17" thickBot="1" x14ac:dyDescent="0.25">
      <c r="D93" s="954"/>
      <c r="E93" s="954"/>
      <c r="F93" s="954"/>
      <c r="G93" s="954"/>
      <c r="H93" s="954"/>
      <c r="I93" s="954"/>
      <c r="J93" s="954"/>
      <c r="K93" s="954"/>
      <c r="L93" s="954"/>
      <c r="M93" s="954"/>
      <c r="N93" s="954"/>
      <c r="O93" s="954"/>
      <c r="P93" s="954"/>
    </row>
    <row r="94" spans="1:20" s="2" customFormat="1" ht="57" customHeight="1" thickBot="1" x14ac:dyDescent="0.25">
      <c r="A94" s="1995" t="s">
        <v>1136</v>
      </c>
      <c r="B94" s="1949"/>
      <c r="C94" s="1949"/>
      <c r="D94" s="1949"/>
      <c r="E94" s="1949"/>
      <c r="F94" s="1949"/>
      <c r="G94" s="1949"/>
      <c r="H94" s="1949"/>
      <c r="I94" s="1949"/>
      <c r="J94" s="1949"/>
      <c r="K94" s="1949"/>
      <c r="L94" s="1949"/>
      <c r="M94" s="1949"/>
      <c r="N94" s="1949"/>
      <c r="O94" s="1949"/>
      <c r="P94" s="1950"/>
    </row>
    <row r="95" spans="1:20" s="2" customFormat="1" x14ac:dyDescent="0.2">
      <c r="A95" s="954"/>
      <c r="B95" s="954"/>
      <c r="C95" s="954"/>
      <c r="D95" s="954"/>
      <c r="E95" s="954"/>
      <c r="F95" s="954"/>
      <c r="G95" s="954"/>
      <c r="H95" s="954"/>
      <c r="I95" s="954"/>
      <c r="J95" s="954"/>
      <c r="K95" s="954"/>
      <c r="L95" s="954"/>
      <c r="M95" s="954"/>
      <c r="N95" s="954"/>
      <c r="O95" s="954"/>
      <c r="P95" s="954"/>
    </row>
    <row r="96" spans="1:20" s="2" customFormat="1" x14ac:dyDescent="0.2">
      <c r="A96" s="172"/>
      <c r="B96" s="172"/>
      <c r="C96" s="172"/>
      <c r="D96" s="182"/>
      <c r="E96" s="182"/>
      <c r="F96" s="182"/>
      <c r="G96" s="182"/>
      <c r="H96" s="182"/>
      <c r="I96" s="182"/>
      <c r="J96" s="182"/>
      <c r="K96" s="182"/>
      <c r="L96" s="954"/>
      <c r="M96" s="954"/>
      <c r="N96" s="954"/>
      <c r="O96" s="954"/>
      <c r="P96" s="954"/>
    </row>
    <row r="97" spans="1:13" x14ac:dyDescent="0.2">
      <c r="A97" s="1000" t="s">
        <v>133</v>
      </c>
      <c r="B97" s="1101">
        <f>SUM(B10:B44)-B24-B12-B30-B32-B41</f>
        <v>44609.596787949435</v>
      </c>
      <c r="C97" s="1101">
        <f t="shared" ref="C97:I97" si="26">SUM(C10:C44)-C24-C12-C30-C32-C41</f>
        <v>37172.774401003291</v>
      </c>
      <c r="D97" s="1101">
        <f t="shared" si="26"/>
        <v>25202.568281223259</v>
      </c>
      <c r="E97" s="1101">
        <f t="shared" si="26"/>
        <v>14529.806981991025</v>
      </c>
      <c r="F97" s="1101">
        <f t="shared" si="26"/>
        <v>6301.4574219340084</v>
      </c>
      <c r="G97" s="1101">
        <f t="shared" si="26"/>
        <v>52.585837117537622</v>
      </c>
      <c r="H97" s="1101">
        <f t="shared" si="26"/>
        <v>6248.8715848164684</v>
      </c>
      <c r="I97" s="1101">
        <f t="shared" si="26"/>
        <v>4371.3038772982236</v>
      </c>
      <c r="J97" s="1103">
        <f t="shared" ref="J97" si="27">(F97+I97)/D97</f>
        <v>0.42347911451484055</v>
      </c>
      <c r="K97" s="422">
        <f t="shared" ref="K97" si="28">F97/(D97-I97)</f>
        <v>0.3024999971075536</v>
      </c>
      <c r="L97" s="1104">
        <f t="shared" ref="L97" si="29">1-K97</f>
        <v>0.6975000028924464</v>
      </c>
      <c r="M97" s="422">
        <f>K97-TableA2!I97</f>
        <v>1.250529986731802E-2</v>
      </c>
    </row>
  </sheetData>
  <mergeCells count="15">
    <mergeCell ref="A94:P94"/>
    <mergeCell ref="D7:D8"/>
    <mergeCell ref="D6:I6"/>
    <mergeCell ref="J6:J8"/>
    <mergeCell ref="K6:K8"/>
    <mergeCell ref="L6:L8"/>
    <mergeCell ref="M6:M8"/>
    <mergeCell ref="C7:C8"/>
    <mergeCell ref="A3:P3"/>
    <mergeCell ref="E7:E8"/>
    <mergeCell ref="F7:F8"/>
    <mergeCell ref="P6:P8"/>
    <mergeCell ref="I7:I8"/>
    <mergeCell ref="B7:B8"/>
    <mergeCell ref="B6:C6"/>
  </mergeCells>
  <pageMargins left="0.7" right="0.7" top="0.75" bottom="0.75" header="0.3" footer="0.3"/>
  <pageSetup scale="43" orientation="portrait" horizontalDpi="4294967292" verticalDpi="4294967292"/>
  <ignoredErrors>
    <ignoredError sqref="F53" formula="1"/>
  </ignoredError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A93"/>
  <sheetViews>
    <sheetView workbookViewId="0">
      <pane xSplit="1" ySplit="8" topLeftCell="B42" activePane="bottomRight" state="frozen"/>
      <selection pane="topRight" activeCell="B1" sqref="B1"/>
      <selection pane="bottomLeft" activeCell="A9" sqref="A9"/>
      <selection pane="bottomRight" activeCell="D9" sqref="D9"/>
    </sheetView>
  </sheetViews>
  <sheetFormatPr baseColWidth="10" defaultColWidth="10.83203125" defaultRowHeight="16" x14ac:dyDescent="0.2"/>
  <cols>
    <col min="1" max="1" width="19" style="1" customWidth="1"/>
    <col min="2" max="2" width="14.83203125" style="1" customWidth="1"/>
    <col min="3" max="3" width="13.5" style="1" customWidth="1"/>
    <col min="4" max="17" width="11.33203125" style="1" customWidth="1"/>
    <col min="18" max="16384" width="10.83203125" style="1"/>
  </cols>
  <sheetData>
    <row r="1" spans="1:21" x14ac:dyDescent="0.2">
      <c r="A1" s="954"/>
      <c r="B1" s="954"/>
      <c r="C1" s="1000"/>
      <c r="D1" s="954"/>
      <c r="E1" s="954"/>
      <c r="F1"/>
      <c r="G1" s="954"/>
      <c r="H1" s="954"/>
      <c r="I1" s="1000"/>
      <c r="J1" s="954"/>
      <c r="K1" s="954"/>
      <c r="L1" s="954"/>
      <c r="M1" s="1000"/>
      <c r="N1" s="1000"/>
      <c r="O1" s="1000"/>
      <c r="P1" s="1000"/>
      <c r="Q1" s="954"/>
      <c r="R1" s="954"/>
      <c r="S1" s="954"/>
      <c r="T1" s="954"/>
      <c r="U1" s="954"/>
    </row>
    <row r="2" spans="1:21" ht="17" thickBot="1" x14ac:dyDescent="0.25">
      <c r="A2" s="954"/>
      <c r="B2" s="954"/>
      <c r="C2" s="954"/>
      <c r="D2" s="954"/>
      <c r="E2" s="954"/>
      <c r="F2" s="954"/>
      <c r="G2" s="954"/>
      <c r="H2" s="954"/>
      <c r="I2" s="954"/>
      <c r="J2" s="954"/>
      <c r="K2" s="954"/>
      <c r="L2" s="954"/>
      <c r="M2" s="954"/>
      <c r="N2" s="954"/>
      <c r="O2" s="954"/>
      <c r="P2" s="954"/>
      <c r="Q2" s="954"/>
      <c r="R2" s="954"/>
      <c r="S2" s="954"/>
      <c r="T2" s="954"/>
      <c r="U2" s="954"/>
    </row>
    <row r="3" spans="1:21" ht="32.25" customHeight="1" x14ac:dyDescent="0.2">
      <c r="A3" s="2090" t="s">
        <v>713</v>
      </c>
      <c r="B3" s="2091"/>
      <c r="C3" s="2091"/>
      <c r="D3" s="2091"/>
      <c r="E3" s="2091"/>
      <c r="F3" s="2091"/>
      <c r="G3" s="2091"/>
      <c r="H3" s="2091"/>
      <c r="I3" s="2091"/>
      <c r="J3" s="2091"/>
      <c r="K3" s="2091"/>
      <c r="L3" s="2091"/>
      <c r="M3" s="2091"/>
      <c r="N3" s="2091"/>
      <c r="O3" s="2091"/>
      <c r="P3" s="2091"/>
      <c r="Q3" s="2092"/>
      <c r="R3" s="954"/>
      <c r="S3" s="954"/>
      <c r="T3" s="954"/>
      <c r="U3" s="954"/>
    </row>
    <row r="4" spans="1:21" ht="12" customHeight="1" x14ac:dyDescent="0.2">
      <c r="A4" s="118"/>
      <c r="B4" s="620"/>
      <c r="C4" s="620"/>
      <c r="D4" s="620"/>
      <c r="E4" s="620"/>
      <c r="F4" s="620"/>
      <c r="G4" s="620"/>
      <c r="H4" s="620"/>
      <c r="I4" s="620"/>
      <c r="J4" s="620"/>
      <c r="K4" s="620"/>
      <c r="L4" s="620"/>
      <c r="M4" s="620"/>
      <c r="N4" s="620"/>
      <c r="O4" s="620"/>
      <c r="P4" s="620"/>
      <c r="Q4" s="686"/>
      <c r="R4" s="954"/>
      <c r="S4" s="954"/>
      <c r="T4" s="954"/>
      <c r="U4" s="1019"/>
    </row>
    <row r="5" spans="1:21" ht="17" thickBot="1" x14ac:dyDescent="0.25">
      <c r="A5" s="1231"/>
      <c r="B5" s="126" t="s">
        <v>1</v>
      </c>
      <c r="C5" s="126" t="s">
        <v>2</v>
      </c>
      <c r="D5" s="126" t="s">
        <v>3</v>
      </c>
      <c r="E5" s="126" t="s">
        <v>4</v>
      </c>
      <c r="F5" s="126" t="s">
        <v>5</v>
      </c>
      <c r="G5" s="126" t="s">
        <v>6</v>
      </c>
      <c r="H5" s="126" t="s">
        <v>7</v>
      </c>
      <c r="I5" s="126" t="s">
        <v>8</v>
      </c>
      <c r="J5" s="126" t="s">
        <v>9</v>
      </c>
      <c r="K5" s="126" t="s">
        <v>10</v>
      </c>
      <c r="L5" s="687" t="s">
        <v>12</v>
      </c>
      <c r="M5" s="687" t="s">
        <v>13</v>
      </c>
      <c r="N5" s="687" t="s">
        <v>177</v>
      </c>
      <c r="O5" s="687" t="s">
        <v>178</v>
      </c>
      <c r="P5" s="687" t="s">
        <v>179</v>
      </c>
      <c r="Q5" s="793" t="s">
        <v>619</v>
      </c>
      <c r="R5" s="954"/>
      <c r="S5" s="954"/>
      <c r="T5" s="954"/>
      <c r="U5" s="954"/>
    </row>
    <row r="6" spans="1:21" ht="21" customHeight="1" x14ac:dyDescent="0.2">
      <c r="A6" s="1231"/>
      <c r="B6" s="2329" t="s">
        <v>136</v>
      </c>
      <c r="C6" s="1966"/>
      <c r="D6" s="1964" t="s">
        <v>14</v>
      </c>
      <c r="E6" s="1965"/>
      <c r="F6" s="1965"/>
      <c r="G6" s="1965"/>
      <c r="H6" s="1965"/>
      <c r="I6" s="2330" t="s">
        <v>714</v>
      </c>
      <c r="J6" s="1988" t="s">
        <v>715</v>
      </c>
      <c r="K6" s="2331" t="s">
        <v>716</v>
      </c>
      <c r="L6" s="2322" t="s">
        <v>717</v>
      </c>
      <c r="M6" s="1988" t="s">
        <v>718</v>
      </c>
      <c r="N6" s="2337" t="s">
        <v>719</v>
      </c>
      <c r="O6" s="2326" t="s">
        <v>720</v>
      </c>
      <c r="P6" s="1988" t="s">
        <v>721</v>
      </c>
      <c r="Q6" s="2332" t="s">
        <v>722</v>
      </c>
      <c r="R6" s="954"/>
      <c r="S6" s="954"/>
      <c r="T6" s="954"/>
      <c r="U6" s="954"/>
    </row>
    <row r="7" spans="1:21" ht="85" customHeight="1" x14ac:dyDescent="0.2">
      <c r="A7" s="1231"/>
      <c r="B7" s="1983" t="s">
        <v>351</v>
      </c>
      <c r="C7" s="2324" t="s">
        <v>723</v>
      </c>
      <c r="D7" s="1960" t="s">
        <v>724</v>
      </c>
      <c r="E7" s="2334" t="s">
        <v>332</v>
      </c>
      <c r="F7" s="1852" t="s">
        <v>725</v>
      </c>
      <c r="G7" s="1852" t="s">
        <v>726</v>
      </c>
      <c r="H7" s="2335" t="s">
        <v>350</v>
      </c>
      <c r="I7" s="1987"/>
      <c r="J7" s="1975"/>
      <c r="K7" s="1984"/>
      <c r="L7" s="2336"/>
      <c r="M7" s="1975"/>
      <c r="N7" s="2101"/>
      <c r="O7" s="2327"/>
      <c r="P7" s="1975"/>
      <c r="Q7" s="2111"/>
      <c r="R7" s="1571"/>
      <c r="S7" s="1571"/>
      <c r="T7" s="173"/>
      <c r="U7" s="954"/>
    </row>
    <row r="8" spans="1:21" x14ac:dyDescent="0.2">
      <c r="A8" s="1231"/>
      <c r="B8" s="1960"/>
      <c r="C8" s="2325"/>
      <c r="D8" s="1960"/>
      <c r="E8" s="1984"/>
      <c r="F8" s="127"/>
      <c r="G8" s="127"/>
      <c r="H8" s="1985"/>
      <c r="I8" s="1987"/>
      <c r="J8" s="1975"/>
      <c r="K8" s="1984"/>
      <c r="L8" s="2336"/>
      <c r="M8" s="1975"/>
      <c r="N8" s="2101"/>
      <c r="O8" s="2328"/>
      <c r="P8" s="1975"/>
      <c r="Q8" s="2333"/>
      <c r="R8" s="954"/>
      <c r="S8" s="954"/>
      <c r="T8" s="954"/>
      <c r="U8" s="954"/>
    </row>
    <row r="9" spans="1:21" ht="40" customHeight="1" x14ac:dyDescent="0.2">
      <c r="A9" s="808" t="s">
        <v>28</v>
      </c>
      <c r="B9" s="174">
        <f>TableC5!C9+D9</f>
        <v>38844.802031957195</v>
      </c>
      <c r="C9" s="174">
        <f>TableB1!D11+TableC5!P9</f>
        <v>319.79276331313173</v>
      </c>
      <c r="D9" s="174">
        <f>E9+H9</f>
        <v>-12.459561953050496</v>
      </c>
      <c r="E9" s="202">
        <f t="shared" ref="E9:E73" si="0">F9+G9</f>
        <v>156.45697872844951</v>
      </c>
      <c r="F9" s="202">
        <f>SUM(F10:F44)</f>
        <v>164.77940361060027</v>
      </c>
      <c r="G9" s="202">
        <f>SUM(G10:G44)</f>
        <v>-8.3224248821507505</v>
      </c>
      <c r="H9" s="203">
        <f>SUM(H10:H44)</f>
        <v>-168.91654068150001</v>
      </c>
      <c r="I9" s="423">
        <f>SUM(TableB1!C12:C46)/TableA1!B9</f>
        <v>1.776726018055117E-3</v>
      </c>
      <c r="J9" s="423">
        <f>C9/TableC5!B9</f>
        <v>6.8454255829430346E-3</v>
      </c>
      <c r="K9" s="1572">
        <f>J9-I9</f>
        <v>5.0686995648879171E-3</v>
      </c>
      <c r="L9" s="1594"/>
      <c r="M9" s="753">
        <f>D9/TableC5!B9</f>
        <v>-2.6670711138688613E-4</v>
      </c>
      <c r="N9" s="1595"/>
      <c r="O9" s="1596"/>
      <c r="P9" s="442"/>
      <c r="Q9" s="1597"/>
      <c r="R9" s="954"/>
      <c r="S9" s="954"/>
      <c r="T9" s="1573"/>
      <c r="U9" s="1574"/>
    </row>
    <row r="10" spans="1:21" ht="14.25" customHeight="1" x14ac:dyDescent="0.2">
      <c r="A10" s="1498" t="s">
        <v>29</v>
      </c>
      <c r="B10" s="168">
        <f>TableC5!C10+D10</f>
        <v>975.05377733015894</v>
      </c>
      <c r="C10" s="168">
        <f>TableB1!D12+TableC5!P10</f>
        <v>-16.560906019297711</v>
      </c>
      <c r="D10" s="168">
        <f>E10+H10</f>
        <v>-40.445129022585185</v>
      </c>
      <c r="E10" s="1100">
        <f t="shared" si="0"/>
        <v>-21.514285957985187</v>
      </c>
      <c r="F10" s="1101">
        <f>TableB1!H12-TableA6!H10/(1+TableA5!O10)-TableC5!N10</f>
        <v>-19.688375567018007</v>
      </c>
      <c r="G10" s="1107">
        <f>TableB1!I12+TableC5!O10</f>
        <v>-1.8259103909671803</v>
      </c>
      <c r="H10" s="1108">
        <f>TableB1!F12+TableB1!J12</f>
        <v>-18.930843064599998</v>
      </c>
      <c r="I10" s="1598">
        <f>TableB1!D12/TableA1!B10</f>
        <v>-2.2342277522342281E-2</v>
      </c>
      <c r="J10" s="422">
        <f>C10/TableC5!B10</f>
        <v>-1.3342410557499379E-2</v>
      </c>
      <c r="K10" s="1576">
        <f t="shared" ref="K10:K73" si="1">J10-I10</f>
        <v>8.9998669648429022E-3</v>
      </c>
      <c r="L10" s="1599">
        <f>TableB1b!B12/TableA1!B10</f>
        <v>-2.3992933427533548E-2</v>
      </c>
      <c r="M10" s="422">
        <f>D10/TableC5!B10</f>
        <v>-3.2584903014457725E-2</v>
      </c>
      <c r="N10" s="1600">
        <f>M10-L10</f>
        <v>-8.5919695869241773E-3</v>
      </c>
      <c r="O10" s="1601">
        <f>TableB1!C12/TableA1!B10</f>
        <v>-4.7477908836340649E-2</v>
      </c>
      <c r="P10" s="422">
        <f>J10+M10+TableB1!K12/TableC5!B10</f>
        <v>-4.7059952078911373E-2</v>
      </c>
      <c r="Q10" s="1602">
        <f>P10-O10</f>
        <v>4.1795675742927613E-4</v>
      </c>
      <c r="R10" s="1139"/>
      <c r="S10" s="1139"/>
      <c r="T10" s="1573"/>
      <c r="U10" s="1574"/>
    </row>
    <row r="11" spans="1:21" ht="14.25" customHeight="1" x14ac:dyDescent="0.2">
      <c r="A11" s="1231" t="s">
        <v>30</v>
      </c>
      <c r="B11" s="168">
        <f>TableC5!C11+D11</f>
        <v>310.85061654824818</v>
      </c>
      <c r="C11" s="168">
        <f>TableB1!D13+TableC5!P11</f>
        <v>15.866135006132247</v>
      </c>
      <c r="D11" s="168">
        <f t="shared" ref="D11:D74" si="2">E11+H11</f>
        <v>-5.6991831362778047</v>
      </c>
      <c r="E11" s="1100">
        <f t="shared" si="0"/>
        <v>-1.9361005206778046</v>
      </c>
      <c r="F11" s="1101">
        <f>TableB1!H13-TableA6!H11/(1+TableA5!O11)-TableC5!N11</f>
        <v>-2.4335874414042031</v>
      </c>
      <c r="G11" s="1107">
        <f>TableB1!I13+TableC5!O11</f>
        <v>0.49748692072639855</v>
      </c>
      <c r="H11" s="1108">
        <f>TableB1!F13+TableB1!J13</f>
        <v>-3.7630826156000006</v>
      </c>
      <c r="I11" s="1598">
        <f>TableB1!D13/TableA1!B11</f>
        <v>3.3605794221030189E-2</v>
      </c>
      <c r="J11" s="422">
        <f>C11/TableC5!B11</f>
        <v>4.1200858295742881E-2</v>
      </c>
      <c r="K11" s="1576">
        <f t="shared" si="1"/>
        <v>7.595064074712693E-3</v>
      </c>
      <c r="L11" s="1599">
        <f>TableB1b!B13/TableA1!B11</f>
        <v>-6.9953309200968617E-3</v>
      </c>
      <c r="M11" s="422">
        <f>D11/TableC5!B11</f>
        <v>-1.4799523432046621E-2</v>
      </c>
      <c r="N11" s="1600">
        <f t="shared" ref="N11:N44" si="3">M11-L11</f>
        <v>-7.8041925119497592E-3</v>
      </c>
      <c r="O11" s="1601">
        <f>TableB1!C13/TableA1!B11</f>
        <v>1.6753091840694793E-2</v>
      </c>
      <c r="P11" s="422">
        <f>J11+M11+TableB1!K13/TableC5!B11</f>
        <v>1.6621431302661256E-2</v>
      </c>
      <c r="Q11" s="1602">
        <f t="shared" ref="Q11:Q74" si="4">P11-O11</f>
        <v>-1.3166053803353658E-4</v>
      </c>
      <c r="R11" s="1139"/>
      <c r="S11" s="1139"/>
      <c r="T11" s="1573"/>
      <c r="U11" s="1574"/>
    </row>
    <row r="12" spans="1:21" ht="14.25" customHeight="1" x14ac:dyDescent="0.2">
      <c r="A12" s="1231" t="s">
        <v>31</v>
      </c>
      <c r="B12" s="168">
        <f>TableC5!C12+D12</f>
        <v>366.90384892595705</v>
      </c>
      <c r="C12" s="168">
        <f>TableB1!D14+TableC5!P12</f>
        <v>0.26996925917750936</v>
      </c>
      <c r="D12" s="168">
        <f t="shared" si="2"/>
        <v>7.0899793258845332</v>
      </c>
      <c r="E12" s="1100">
        <f t="shared" si="0"/>
        <v>0.23586779158453419</v>
      </c>
      <c r="F12" s="1101">
        <f>TableB1!H14-TableA6!H12/(1+TableA5!O12)-TableC5!N12</f>
        <v>-2.5040718818786409</v>
      </c>
      <c r="G12" s="1107">
        <f>TableB1!I14+TableC5!O12</f>
        <v>2.7399396734631751</v>
      </c>
      <c r="H12" s="1108">
        <f>TableB1!F14+TableB1!J14</f>
        <v>6.8541115342999994</v>
      </c>
      <c r="I12" s="1598">
        <f>TableB1!D14/TableA1!B12</f>
        <v>2.2626993056897166E-2</v>
      </c>
      <c r="J12" s="422">
        <f>C12/TableC5!B12</f>
        <v>6.0274352794811024E-4</v>
      </c>
      <c r="K12" s="1576">
        <f t="shared" si="1"/>
        <v>-2.2024249528949054E-2</v>
      </c>
      <c r="L12" s="1599">
        <f>TableB1b!B14/TableA1!B12</f>
        <v>9.4992884265912122E-5</v>
      </c>
      <c r="M12" s="422">
        <f>D12/TableC5!B12</f>
        <v>1.5829354664239566E-2</v>
      </c>
      <c r="N12" s="1600">
        <f t="shared" si="3"/>
        <v>1.5734361779973654E-2</v>
      </c>
      <c r="O12" s="1601">
        <f>TableB1!C14/TableA1!B12</f>
        <v>6.4473627393895295E-3</v>
      </c>
      <c r="P12" s="422">
        <f>J12+M12+TableB1!K14/TableC5!B12</f>
        <v>-1.0774779578519647E-4</v>
      </c>
      <c r="Q12" s="1602">
        <f t="shared" si="4"/>
        <v>-6.555110535174726E-3</v>
      </c>
      <c r="R12" s="1139"/>
      <c r="S12" s="1139"/>
      <c r="T12" s="1573"/>
      <c r="U12" s="1574"/>
    </row>
    <row r="13" spans="1:21" ht="14.25" customHeight="1" x14ac:dyDescent="0.2">
      <c r="A13" s="1498" t="s">
        <v>32</v>
      </c>
      <c r="B13" s="168">
        <f>TableC5!C13+D13</f>
        <v>1278.7413417364883</v>
      </c>
      <c r="C13" s="168">
        <f>TableB1!D15+TableC5!P13</f>
        <v>-21.371598347148215</v>
      </c>
      <c r="D13" s="168">
        <f t="shared" si="2"/>
        <v>-30.093418637003381</v>
      </c>
      <c r="E13" s="1100">
        <f t="shared" si="0"/>
        <v>-10.400685796703382</v>
      </c>
      <c r="F13" s="1101">
        <f>TableB1!H15-TableA6!H13/(1+TableA5!O13)-TableC5!N13</f>
        <v>-13.55192372402526</v>
      </c>
      <c r="G13" s="1107">
        <f>TableB1!I15+TableC5!O13</f>
        <v>3.1512379273218789</v>
      </c>
      <c r="H13" s="1108">
        <f>TableB1!F15+TableB1!J15</f>
        <v>-19.6927328403</v>
      </c>
      <c r="I13" s="1598">
        <f>TableB1!D15/TableA1!B13</f>
        <v>-2.3929535215782977E-2</v>
      </c>
      <c r="J13" s="422">
        <f>C13/TableC5!B13</f>
        <v>-1.3564336305808937E-2</v>
      </c>
      <c r="K13" s="1576">
        <f t="shared" si="1"/>
        <v>1.036519890997404E-2</v>
      </c>
      <c r="L13" s="1599">
        <f>TableB1b!B15/TableA1!B13</f>
        <v>-9.0688292698478806E-3</v>
      </c>
      <c r="M13" s="422">
        <f>D13/TableC5!B13</f>
        <v>-1.9099987017970572E-2</v>
      </c>
      <c r="N13" s="1600">
        <f t="shared" si="3"/>
        <v>-1.0031157748122691E-2</v>
      </c>
      <c r="O13" s="1601">
        <f>TableB1!C15/TableA1!B13</f>
        <v>-3.4816261949733154E-2</v>
      </c>
      <c r="P13" s="422">
        <f>J13+M13+TableB1!K15/TableC5!B13</f>
        <v>-3.4463818282470783E-2</v>
      </c>
      <c r="Q13" s="1602">
        <f t="shared" si="4"/>
        <v>3.5244366726237125E-4</v>
      </c>
      <c r="R13" s="1139"/>
      <c r="S13" s="1139"/>
      <c r="T13" s="1573"/>
      <c r="U13" s="1574"/>
    </row>
    <row r="14" spans="1:21" ht="14.25" customHeight="1" x14ac:dyDescent="0.2">
      <c r="A14" s="1498" t="s">
        <v>33</v>
      </c>
      <c r="B14" s="168">
        <f>TableC5!C14+D14</f>
        <v>187.47361197091911</v>
      </c>
      <c r="C14" s="168">
        <f>TableB1!D16+TableC5!P14</f>
        <v>4.4166997626847158</v>
      </c>
      <c r="D14" s="168">
        <f t="shared" si="2"/>
        <v>-10.944940140679446</v>
      </c>
      <c r="E14" s="1100">
        <f t="shared" si="0"/>
        <v>-10.720127140679446</v>
      </c>
      <c r="F14" s="1101">
        <f>TableB1!H16-TableA6!H14/(1+TableA5!O14)-TableC5!N14</f>
        <v>-9.8953964545255921</v>
      </c>
      <c r="G14" s="1107">
        <f>TableB1!I16+TableC5!O14</f>
        <v>-0.8247306861538547</v>
      </c>
      <c r="H14" s="1108">
        <f>TableB1!F16+TableB1!J16</f>
        <v>-0.22481300000000004</v>
      </c>
      <c r="I14" s="1598">
        <f>TableB1!D16/TableA1!B14</f>
        <v>2.1438576893031085E-4</v>
      </c>
      <c r="J14" s="422">
        <f>C14/TableC5!B14</f>
        <v>1.9561892001363435E-2</v>
      </c>
      <c r="K14" s="1576">
        <f t="shared" si="1"/>
        <v>1.9347506232433125E-2</v>
      </c>
      <c r="L14" s="1599">
        <f>TableB1b!B16/TableA1!B14</f>
        <v>-2.969902488844255E-2</v>
      </c>
      <c r="M14" s="422">
        <f>D14/TableC5!B14</f>
        <v>-4.8475954558254757E-2</v>
      </c>
      <c r="N14" s="1600">
        <f t="shared" si="3"/>
        <v>-1.8776929669812207E-2</v>
      </c>
      <c r="O14" s="1601">
        <f>TableB1!C16/TableA1!B14</f>
        <v>-2.1091016637896684E-2</v>
      </c>
      <c r="P14" s="422">
        <f>J14+M14+TableB1!K16/TableC5!B14</f>
        <v>-2.0682870561335855E-2</v>
      </c>
      <c r="Q14" s="1602">
        <f t="shared" si="4"/>
        <v>4.0814607656082871E-4</v>
      </c>
      <c r="R14" s="1139"/>
      <c r="S14" s="1139"/>
      <c r="T14" s="1573"/>
      <c r="U14" s="1574"/>
    </row>
    <row r="15" spans="1:21" ht="14.25" customHeight="1" x14ac:dyDescent="0.2">
      <c r="A15" s="1498" t="s">
        <v>34</v>
      </c>
      <c r="B15" s="168">
        <f>TableC5!C15+D15</f>
        <v>136.3884827948628</v>
      </c>
      <c r="C15" s="168">
        <f>TableB1!D17+TableC5!P15</f>
        <v>12.301531302192826</v>
      </c>
      <c r="D15" s="168">
        <f t="shared" si="2"/>
        <v>-12.542785997753295</v>
      </c>
      <c r="E15" s="1100">
        <f t="shared" si="0"/>
        <v>-14.097121631753296</v>
      </c>
      <c r="F15" s="1101">
        <f>TableB1!H17-TableA6!H15/(1+TableA5!O15)-TableC5!N15</f>
        <v>-13.90188820066699</v>
      </c>
      <c r="G15" s="1107">
        <f>TableB1!I17+TableC5!O15</f>
        <v>-0.19523343108630631</v>
      </c>
      <c r="H15" s="1108">
        <f>TableB1!F17+TableB1!J17</f>
        <v>1.5543356340000001</v>
      </c>
      <c r="I15" s="1598">
        <f>TableB1!D17/TableA1!B15</f>
        <v>5.7897695541206003E-2</v>
      </c>
      <c r="J15" s="422">
        <f>C15/TableC5!B15</f>
        <v>6.5324415510733591E-2</v>
      </c>
      <c r="K15" s="1576">
        <f t="shared" si="1"/>
        <v>7.4267199695275884E-3</v>
      </c>
      <c r="L15" s="1599">
        <f>TableB1b!B17/TableA1!B15</f>
        <v>-5.9189001928478445E-2</v>
      </c>
      <c r="M15" s="422">
        <f>D15/TableC5!B15</f>
        <v>-6.6605542354990638E-2</v>
      </c>
      <c r="N15" s="1600">
        <f t="shared" si="3"/>
        <v>-7.4165404265121929E-3</v>
      </c>
      <c r="O15" s="1601">
        <f>TableB1!C17/TableA1!B15</f>
        <v>-1.2608976247203802E-3</v>
      </c>
      <c r="P15" s="422">
        <f>J15+M15+TableB1!K17/TableC5!B15</f>
        <v>-1.2509577980939412E-3</v>
      </c>
      <c r="Q15" s="1602">
        <f t="shared" si="4"/>
        <v>9.9398266264389985E-6</v>
      </c>
      <c r="R15" s="1139"/>
      <c r="S15" s="1139"/>
      <c r="T15" s="1573"/>
      <c r="U15" s="1574"/>
    </row>
    <row r="16" spans="1:21" ht="14.25" customHeight="1" x14ac:dyDescent="0.2">
      <c r="A16" s="1498" t="s">
        <v>35</v>
      </c>
      <c r="B16" s="168">
        <f>TableC5!C16+D16</f>
        <v>260.92430279403715</v>
      </c>
      <c r="C16" s="168">
        <f>TableB1!D18+TableC5!P16</f>
        <v>24.81608015773708</v>
      </c>
      <c r="D16" s="168">
        <f t="shared" si="2"/>
        <v>7.1799500782613013</v>
      </c>
      <c r="E16" s="1100">
        <f t="shared" si="0"/>
        <v>5.1027230813613009</v>
      </c>
      <c r="F16" s="1101">
        <f>TableB1!H18-TableA6!H16/(1+TableA5!O16)-TableC5!N16</f>
        <v>3.9267460351738306</v>
      </c>
      <c r="G16" s="1107">
        <f>TableB1!I18+TableC5!O16</f>
        <v>1.1759770461874699</v>
      </c>
      <c r="H16" s="1108">
        <f>TableB1!F18+TableB1!J18</f>
        <v>2.0772269969000003</v>
      </c>
      <c r="I16" s="1598">
        <f>TableB1!D18/TableA1!B16</f>
        <v>7.4075418063005646E-2</v>
      </c>
      <c r="J16" s="422">
        <f>C16/TableC5!B16</f>
        <v>8.1686731734046766E-2</v>
      </c>
      <c r="K16" s="1576">
        <f t="shared" si="1"/>
        <v>7.61131367104112E-3</v>
      </c>
      <c r="L16" s="1599">
        <f>TableB1b!B18/TableA1!B16</f>
        <v>3.2118388974895225E-2</v>
      </c>
      <c r="M16" s="422">
        <f>D16/TableC5!B16</f>
        <v>2.363413771146769E-2</v>
      </c>
      <c r="N16" s="1600">
        <f t="shared" si="3"/>
        <v>-8.4842512634275349E-3</v>
      </c>
      <c r="O16" s="1601">
        <f>TableB1!C18/TableA1!B16</f>
        <v>9.019736285808988E-2</v>
      </c>
      <c r="P16" s="422">
        <f>J16+M16+TableB1!K18/TableC5!B16</f>
        <v>8.9457877490600565E-2</v>
      </c>
      <c r="Q16" s="1602">
        <f t="shared" si="4"/>
        <v>-7.3948536748931482E-4</v>
      </c>
      <c r="R16" s="1139"/>
      <c r="S16" s="1139"/>
      <c r="T16" s="1573"/>
      <c r="U16" s="1574"/>
    </row>
    <row r="17" spans="1:21" ht="14.25" customHeight="1" x14ac:dyDescent="0.2">
      <c r="A17" s="1498" t="s">
        <v>36</v>
      </c>
      <c r="B17" s="168">
        <f>TableC5!C17+D17</f>
        <v>18.384414377885491</v>
      </c>
      <c r="C17" s="168">
        <f>TableB1!D19+TableC5!P17</f>
        <v>1.1365925793164415</v>
      </c>
      <c r="D17" s="168">
        <f t="shared" si="2"/>
        <v>-0.66476975877023559</v>
      </c>
      <c r="E17" s="1100">
        <f t="shared" si="0"/>
        <v>-1.1931876305702356</v>
      </c>
      <c r="F17" s="1101">
        <f>TableB1!H19-TableA6!H17/(1+TableA5!O17)-TableC5!N17</f>
        <v>-1.2702481280118934</v>
      </c>
      <c r="G17" s="1107">
        <f>TableB1!I19+TableC5!O17</f>
        <v>7.7060497441657771E-2</v>
      </c>
      <c r="H17" s="1108">
        <f>TableB1!F19+TableB1!J19</f>
        <v>0.52841787179999999</v>
      </c>
      <c r="I17" s="1598">
        <f>TableB1!D19/TableA1!B17</f>
        <v>4.1455809092620283E-2</v>
      </c>
      <c r="J17" s="422">
        <f>C17/TableC5!B17</f>
        <v>5.0145840695243395E-2</v>
      </c>
      <c r="K17" s="1576">
        <f t="shared" si="1"/>
        <v>8.690031602623112E-3</v>
      </c>
      <c r="L17" s="1599">
        <f>TableB1b!B19/TableA1!B17</f>
        <v>-2.0449014969120952E-2</v>
      </c>
      <c r="M17" s="422">
        <f>D17/TableC5!B17</f>
        <v>-2.932927684813488E-2</v>
      </c>
      <c r="N17" s="1600">
        <f t="shared" si="3"/>
        <v>-8.880261879013928E-3</v>
      </c>
      <c r="O17" s="1601">
        <f>TableB1!C19/TableA1!B17</f>
        <v>2.2162274221404658E-2</v>
      </c>
      <c r="P17" s="422">
        <f>J17+M17+TableB1!K19/TableC5!B17</f>
        <v>2.1961580316097983E-2</v>
      </c>
      <c r="Q17" s="1602">
        <f t="shared" si="4"/>
        <v>-2.0069390530667516E-4</v>
      </c>
      <c r="R17" s="1139"/>
      <c r="S17" s="1139"/>
      <c r="T17" s="1573"/>
      <c r="U17" s="1574"/>
    </row>
    <row r="18" spans="1:21" ht="14.25" customHeight="1" x14ac:dyDescent="0.2">
      <c r="A18" s="1498" t="s">
        <v>37</v>
      </c>
      <c r="B18" s="168">
        <f>TableC5!C18+D18</f>
        <v>189.63429441152638</v>
      </c>
      <c r="C18" s="168">
        <f>TableB1!D20+TableC5!P18</f>
        <v>2.1865323562233798</v>
      </c>
      <c r="D18" s="168">
        <f t="shared" si="2"/>
        <v>-1.0730386337554403</v>
      </c>
      <c r="E18" s="1100">
        <f t="shared" si="0"/>
        <v>0.99321215734456003</v>
      </c>
      <c r="F18" s="1101">
        <f>TableB1!H20-TableA6!H18/(1+TableA5!O18)-TableC5!N18</f>
        <v>0.83144233708138593</v>
      </c>
      <c r="G18" s="1107">
        <f>TableB1!I20+TableC5!O18</f>
        <v>0.16176982026317416</v>
      </c>
      <c r="H18" s="1108">
        <f>TableB1!F20+TableB1!J20</f>
        <v>-2.0662507911000003</v>
      </c>
      <c r="I18" s="1598">
        <f>TableB1!D20/TableA1!B18</f>
        <v>-4.4119686883711134E-4</v>
      </c>
      <c r="J18" s="422">
        <f>C18/TableC5!B18</f>
        <v>9.3141463716727244E-3</v>
      </c>
      <c r="K18" s="1576">
        <f t="shared" si="1"/>
        <v>9.7553432405098357E-3</v>
      </c>
      <c r="L18" s="1599">
        <f>TableB1b!B20/TableA1!B18</f>
        <v>5.2311418904336443E-3</v>
      </c>
      <c r="M18" s="422">
        <f>D18/TableC5!B18</f>
        <v>-4.5709083009045776E-3</v>
      </c>
      <c r="N18" s="1600">
        <f t="shared" si="3"/>
        <v>-9.8020501913382227E-3</v>
      </c>
      <c r="O18" s="1601">
        <f>TableB1!C20/TableA1!B18</f>
        <v>-6.3230369427510714E-3</v>
      </c>
      <c r="P18" s="422">
        <f>J18+M18+TableB1!K20/TableC5!B18</f>
        <v>-6.2613807495734489E-3</v>
      </c>
      <c r="Q18" s="1602">
        <f t="shared" si="4"/>
        <v>6.1656193177622547E-5</v>
      </c>
      <c r="R18" s="1139"/>
      <c r="S18" s="1139"/>
      <c r="T18" s="1573"/>
      <c r="U18" s="1574"/>
    </row>
    <row r="19" spans="1:21" ht="14.25" customHeight="1" x14ac:dyDescent="0.2">
      <c r="A19" s="1498" t="s">
        <v>38</v>
      </c>
      <c r="B19" s="168">
        <f>TableC5!C19+D19</f>
        <v>2054.3745445515751</v>
      </c>
      <c r="C19" s="168">
        <f>TableB1!D21+TableC5!P19</f>
        <v>9.0809796794253437</v>
      </c>
      <c r="D19" s="168">
        <f t="shared" si="2"/>
        <v>29.292995636811561</v>
      </c>
      <c r="E19" s="1100">
        <f t="shared" si="0"/>
        <v>17.763610621611562</v>
      </c>
      <c r="F19" s="1101">
        <f>TableB1!H21-TableA6!H19/(1+TableA5!O19)-TableC5!N19</f>
        <v>13.445434172458036</v>
      </c>
      <c r="G19" s="1107">
        <f>TableB1!I21+TableC5!O19</f>
        <v>4.3181764491535244</v>
      </c>
      <c r="H19" s="1108">
        <f>TableB1!F21+TableB1!J21</f>
        <v>11.529385015199997</v>
      </c>
      <c r="I19" s="1598">
        <f>TableB1!D21/TableA1!B19</f>
        <v>-7.3848052636675005E-3</v>
      </c>
      <c r="J19" s="422">
        <f>C19/TableC5!B19</f>
        <v>3.6905336122678755E-3</v>
      </c>
      <c r="K19" s="1576">
        <f t="shared" si="1"/>
        <v>1.1075338875935377E-2</v>
      </c>
      <c r="L19" s="1599">
        <f>TableB1b!B21/TableA1!B19</f>
        <v>2.315345085563833E-2</v>
      </c>
      <c r="M19" s="422">
        <f>D19/TableC5!B19</f>
        <v>1.1904749136990737E-2</v>
      </c>
      <c r="N19" s="1600">
        <f t="shared" si="3"/>
        <v>-1.1248701718647593E-2</v>
      </c>
      <c r="O19" s="1601">
        <f>TableB1!C21/TableA1!B19</f>
        <v>-4.4490049881752295E-3</v>
      </c>
      <c r="P19" s="422">
        <f>J19+M19+TableB1!K21/TableC5!B19</f>
        <v>-4.4000919634334841E-3</v>
      </c>
      <c r="Q19" s="1602">
        <f t="shared" si="4"/>
        <v>4.8913024741745366E-5</v>
      </c>
      <c r="R19" s="1139"/>
      <c r="S19" s="1139"/>
      <c r="T19" s="1573"/>
      <c r="U19" s="1574"/>
    </row>
    <row r="20" spans="1:21" ht="14.25" customHeight="1" x14ac:dyDescent="0.2">
      <c r="A20" s="1498" t="s">
        <v>39</v>
      </c>
      <c r="B20" s="168">
        <f>TableC5!C20+D20</f>
        <v>2844.671338933982</v>
      </c>
      <c r="C20" s="168">
        <f>TableB1!D22+TableC5!P20</f>
        <v>315.26917617218095</v>
      </c>
      <c r="D20" s="168">
        <f t="shared" si="2"/>
        <v>17.359572870677233</v>
      </c>
      <c r="E20" s="1100">
        <f t="shared" si="0"/>
        <v>-5.7257226668227634</v>
      </c>
      <c r="F20" s="1101">
        <f>TableB1!H22-TableA6!H20/(1+TableA5!O20)-TableC5!N20</f>
        <v>-5.5122143522598677</v>
      </c>
      <c r="G20" s="1107">
        <f>TableB1!I22+TableC5!O20</f>
        <v>-0.21350831456289576</v>
      </c>
      <c r="H20" s="1108">
        <f>TableB1!F22+TableB1!J22</f>
        <v>23.085295537499999</v>
      </c>
      <c r="I20" s="1598">
        <f>TableB1!D22/TableA1!B20</f>
        <v>7.9682023373699076E-2</v>
      </c>
      <c r="J20" s="422">
        <f>C20/TableC5!B20</f>
        <v>9.2132660312659556E-2</v>
      </c>
      <c r="K20" s="1576">
        <f t="shared" si="1"/>
        <v>1.245063693896048E-2</v>
      </c>
      <c r="L20" s="1599">
        <f>TableB1b!B22/TableA1!B20</f>
        <v>1.885680508332931E-2</v>
      </c>
      <c r="M20" s="422">
        <f>D20/TableC5!B20</f>
        <v>5.0730732699142125E-3</v>
      </c>
      <c r="N20" s="1600">
        <f t="shared" si="3"/>
        <v>-1.3783731813415096E-2</v>
      </c>
      <c r="O20" s="1601">
        <f>TableB1!C22/TableA1!B20</f>
        <v>8.5370526481578446E-2</v>
      </c>
      <c r="P20" s="422">
        <f>J20+M20+TableB1!K22/TableC5!B20</f>
        <v>8.4215580628617476E-2</v>
      </c>
      <c r="Q20" s="1602">
        <f t="shared" si="4"/>
        <v>-1.1549458529609702E-3</v>
      </c>
      <c r="R20" s="1139"/>
      <c r="S20" s="1139"/>
      <c r="T20" s="1573"/>
      <c r="U20" s="1574"/>
    </row>
    <row r="21" spans="1:21" ht="14.25" customHeight="1" x14ac:dyDescent="0.2">
      <c r="A21" s="1498" t="s">
        <v>40</v>
      </c>
      <c r="B21" s="168">
        <f>TableC5!C21+D21</f>
        <v>157.17664239162912</v>
      </c>
      <c r="C21" s="168">
        <f>TableB1!D23+TableC5!P21</f>
        <v>0.54079524118947531</v>
      </c>
      <c r="D21" s="168">
        <f t="shared" si="2"/>
        <v>-0.42164737368904193</v>
      </c>
      <c r="E21" s="1100">
        <f t="shared" si="0"/>
        <v>-0.23774593888904191</v>
      </c>
      <c r="F21" s="1101">
        <f>TableB1!H23-TableA6!H21/(1+TableA5!O21)-TableC5!N21</f>
        <v>-0.34124687949661903</v>
      </c>
      <c r="G21" s="1107">
        <f>TableB1!I23+TableC5!O21</f>
        <v>0.10350094060757711</v>
      </c>
      <c r="H21" s="1108">
        <f>TableB1!F23+TableB1!J23</f>
        <v>-0.18390143480000004</v>
      </c>
      <c r="I21" s="1598">
        <f>TableB1!D23/TableA1!B21</f>
        <v>-1.7530088910590806E-3</v>
      </c>
      <c r="J21" s="422">
        <f>C21/TableC5!B21</f>
        <v>2.7627837554782745E-3</v>
      </c>
      <c r="K21" s="1576">
        <f t="shared" si="1"/>
        <v>4.5157926465373551E-3</v>
      </c>
      <c r="L21" s="1599">
        <f>TableB1b!B23/TableA1!B21</f>
        <v>2.3644610522424803E-3</v>
      </c>
      <c r="M21" s="422">
        <f>D21/TableC5!B21</f>
        <v>-2.1540879538916213E-3</v>
      </c>
      <c r="N21" s="1600">
        <f t="shared" si="3"/>
        <v>-4.5185490061341021E-3</v>
      </c>
      <c r="O21" s="1601">
        <f>TableB1!C23/TableA1!B21</f>
        <v>-2.3600195967038448E-3</v>
      </c>
      <c r="P21" s="422">
        <f>J21+M21+TableB1!K23/TableC5!B21</f>
        <v>-2.3493808859805097E-3</v>
      </c>
      <c r="Q21" s="1603">
        <f t="shared" si="4"/>
        <v>1.0638710723335099E-5</v>
      </c>
      <c r="R21" s="1139"/>
      <c r="S21" s="1139"/>
      <c r="T21" s="1573"/>
      <c r="U21" s="1574"/>
    </row>
    <row r="22" spans="1:21" ht="14.25" customHeight="1" x14ac:dyDescent="0.2">
      <c r="A22" s="1498" t="s">
        <v>41</v>
      </c>
      <c r="B22" s="168">
        <f>TableC5!C22+D22</f>
        <v>94.887768769265392</v>
      </c>
      <c r="C22" s="168">
        <f>TableB1!D24+TableC5!P22</f>
        <v>12.912571855649055</v>
      </c>
      <c r="D22" s="168">
        <f t="shared" si="2"/>
        <v>-8.0350827004997001</v>
      </c>
      <c r="E22" s="1100">
        <f t="shared" si="0"/>
        <v>-9.6958883624996997</v>
      </c>
      <c r="F22" s="1101">
        <f>TableB1!H24-TableA6!H22/(1+TableA5!O22)-TableC5!N22</f>
        <v>-10.14242240356068</v>
      </c>
      <c r="G22" s="1107">
        <f>TableB1!I24+TableC5!O22</f>
        <v>0.44653404106098027</v>
      </c>
      <c r="H22" s="1108">
        <f>TableB1!F24+TableB1!J24</f>
        <v>1.6608056619999998</v>
      </c>
      <c r="I22" s="1598">
        <f>TableB1!D24/TableA1!B22</f>
        <v>8.9498058640349265E-2</v>
      </c>
      <c r="J22" s="422">
        <f>C22/TableC5!B22</f>
        <v>0.10435708541929473</v>
      </c>
      <c r="K22" s="1576">
        <f t="shared" si="1"/>
        <v>1.4859026778945461E-2</v>
      </c>
      <c r="L22" s="1599">
        <f>TableB1b!B24/TableA1!B22</f>
        <v>-4.9425093007384464E-2</v>
      </c>
      <c r="M22" s="422">
        <f>D22/TableC5!B22</f>
        <v>-6.493809452532151E-2</v>
      </c>
      <c r="N22" s="1600">
        <f t="shared" si="3"/>
        <v>-1.5513001517937046E-2</v>
      </c>
      <c r="O22" s="1601">
        <f>TableB1!C24/TableA1!B22</f>
        <v>2.9975787334679319E-2</v>
      </c>
      <c r="P22" s="422">
        <f>J22+M22+TableB1!K24/TableC5!B22</f>
        <v>2.9486594498842663E-2</v>
      </c>
      <c r="Q22" s="1603">
        <f t="shared" si="4"/>
        <v>-4.8919283583665624E-4</v>
      </c>
      <c r="R22" s="1139"/>
      <c r="S22" s="1139"/>
      <c r="T22" s="1573"/>
      <c r="U22" s="1574"/>
    </row>
    <row r="23" spans="1:21" ht="14.25" customHeight="1" x14ac:dyDescent="0.2">
      <c r="A23" s="1498" t="s">
        <v>42</v>
      </c>
      <c r="B23" s="168">
        <f>TableC5!C23+D23</f>
        <v>14.224749086284454</v>
      </c>
      <c r="C23" s="168">
        <f>TableB1!D25+TableC5!P23</f>
        <v>1.6290201999929406</v>
      </c>
      <c r="D23" s="168">
        <f t="shared" si="2"/>
        <v>-0.47069872833542159</v>
      </c>
      <c r="E23" s="1100">
        <f t="shared" si="0"/>
        <v>-0.11544052663542163</v>
      </c>
      <c r="F23" s="1101">
        <f>TableB1!H25-TableA6!H23/(1+TableA5!O23)-TableC5!N23</f>
        <v>-0.20386569971824312</v>
      </c>
      <c r="G23" s="1107">
        <f>TableB1!I25+TableC5!O23</f>
        <v>8.8425173082821482E-2</v>
      </c>
      <c r="H23" s="1108">
        <f>TableB1!F25+TableB1!J25</f>
        <v>-0.35525820169999994</v>
      </c>
      <c r="I23" s="1598">
        <f>TableB1!D25/TableA1!B23</f>
        <v>7.5086740623123094E-2</v>
      </c>
      <c r="J23" s="422">
        <f>C23/TableC5!B23</f>
        <v>9.4993830601409049E-2</v>
      </c>
      <c r="K23" s="1576">
        <f t="shared" si="1"/>
        <v>1.9907089978285955E-2</v>
      </c>
      <c r="L23" s="1599">
        <f>TableB1b!B25/TableA1!B23</f>
        <v>-6.0552098844029898E-3</v>
      </c>
      <c r="M23" s="422">
        <f>D23/TableC5!B23</f>
        <v>-2.7448079074763751E-2</v>
      </c>
      <c r="N23" s="1600">
        <f t="shared" si="3"/>
        <v>-2.139286919036076E-2</v>
      </c>
      <c r="O23" s="1601">
        <f>TableB1!C25/TableA1!B23</f>
        <v>5.2175424855827608E-2</v>
      </c>
      <c r="P23" s="422">
        <f>J23+M23+TableB1!K25/TableC5!B23</f>
        <v>5.1052442925651018E-2</v>
      </c>
      <c r="Q23" s="1603">
        <f t="shared" si="4"/>
        <v>-1.1229819301765906E-3</v>
      </c>
      <c r="R23" s="1139"/>
      <c r="S23" s="1139"/>
      <c r="T23" s="1573"/>
      <c r="U23" s="1574"/>
    </row>
    <row r="24" spans="1:21" ht="14.25" customHeight="1" x14ac:dyDescent="0.2">
      <c r="A24" s="1498" t="s">
        <v>43</v>
      </c>
      <c r="B24" s="168">
        <f>TableC5!C24+D24</f>
        <v>167.20323607016525</v>
      </c>
      <c r="C24" s="168">
        <f>TableB1!D26+TableC5!P24</f>
        <v>-13.662057106608202</v>
      </c>
      <c r="D24" s="168">
        <f t="shared" si="2"/>
        <v>-4.287406393932315</v>
      </c>
      <c r="E24" s="1100">
        <f t="shared" si="0"/>
        <v>4.5719171510676855</v>
      </c>
      <c r="F24" s="1101">
        <f>TableB1!H26-TableA6!H24/(1+TableA5!O24)-TableC5!N24</f>
        <v>9.6679774613775038</v>
      </c>
      <c r="G24" s="1107">
        <f>TableB1!I26+TableC5!O24</f>
        <v>-5.0960603103098183</v>
      </c>
      <c r="H24" s="1108">
        <f>TableB1!F26+TableB1!J26</f>
        <v>-8.8593235450000005</v>
      </c>
      <c r="I24" s="1598">
        <f>TableB1!D26/TableA1!B24</f>
        <v>0.30992293082579792</v>
      </c>
      <c r="J24" s="422">
        <f>C24/TableC5!B24</f>
        <v>-5.8269076667909883E-2</v>
      </c>
      <c r="K24" s="1576">
        <f t="shared" si="1"/>
        <v>-0.36819200749370778</v>
      </c>
      <c r="L24" s="1599">
        <f>TableB1b!B26/TableA1!B24</f>
        <v>-0.21264704474227827</v>
      </c>
      <c r="M24" s="422">
        <f>D24/TableC5!B24</f>
        <v>-1.8285914772943827E-2</v>
      </c>
      <c r="N24" s="1600">
        <f t="shared" si="3"/>
        <v>0.19436112996933444</v>
      </c>
      <c r="O24" s="1601">
        <f>TableB1!C26/TableA1!B24</f>
        <v>8.5293439300712245E-2</v>
      </c>
      <c r="P24" s="422">
        <f>J24+M24+TableB1!K26/TableC5!B24</f>
        <v>-9.1407120778867798E-2</v>
      </c>
      <c r="Q24" s="1603">
        <f t="shared" si="4"/>
        <v>-0.17670056007958004</v>
      </c>
      <c r="R24" s="1139"/>
      <c r="S24" s="1139"/>
      <c r="T24" s="1573"/>
      <c r="U24" s="1574"/>
    </row>
    <row r="25" spans="1:21" ht="14.25" customHeight="1" x14ac:dyDescent="0.2">
      <c r="A25" s="1498" t="s">
        <v>44</v>
      </c>
      <c r="B25" s="168">
        <f>TableC5!C25+D25</f>
        <v>257.07202381319183</v>
      </c>
      <c r="C25" s="168">
        <f>TableB1!D27+TableC5!P25</f>
        <v>9.5479103510666867</v>
      </c>
      <c r="D25" s="168">
        <f t="shared" si="2"/>
        <v>-3.6256103510666868</v>
      </c>
      <c r="E25" s="1100">
        <f t="shared" si="0"/>
        <v>0.80608964893331336</v>
      </c>
      <c r="F25" s="1101">
        <f>TableB1!H27-TableA6!H25/(1+TableA5!O25)-TableC5!N25</f>
        <v>0.67374168000843448</v>
      </c>
      <c r="G25" s="1107">
        <f>TableB1!I27+TableC5!O25</f>
        <v>0.13234796892487882</v>
      </c>
      <c r="H25" s="1108">
        <f>TableB1!F27+TableB1!J27</f>
        <v>-4.4317000000000002</v>
      </c>
      <c r="I25" s="1598">
        <f>TableB1!D27/TableA1!B25</f>
        <v>3.0003958023600331E-2</v>
      </c>
      <c r="J25" s="422">
        <f>C25/TableC5!B25</f>
        <v>3.1861651108241539E-2</v>
      </c>
      <c r="K25" s="1576">
        <f t="shared" si="1"/>
        <v>1.8576930846412078E-3</v>
      </c>
      <c r="L25" s="1599">
        <f>TableB1b!B27/TableA1!B25</f>
        <v>-1.0203151181259317E-2</v>
      </c>
      <c r="M25" s="422">
        <f>D25/TableC5!B25</f>
        <v>-1.2098765888308775E-2</v>
      </c>
      <c r="N25" s="1600">
        <f t="shared" si="3"/>
        <v>-1.8956147070494575E-3</v>
      </c>
      <c r="O25" s="1601">
        <f>TableB1!C27/TableA1!B25</f>
        <v>5.0460746208066412E-2</v>
      </c>
      <c r="P25" s="422">
        <f>J25+M25+TableB1!K27/TableC5!B25</f>
        <v>5.0364106036815973E-2</v>
      </c>
      <c r="Q25" s="1603">
        <f t="shared" si="4"/>
        <v>-9.6640171250439444E-5</v>
      </c>
      <c r="R25" s="1139"/>
      <c r="S25" s="1139"/>
      <c r="T25" s="1573"/>
      <c r="U25" s="1574"/>
    </row>
    <row r="26" spans="1:21" ht="14.25" customHeight="1" x14ac:dyDescent="0.2">
      <c r="A26" s="1498" t="s">
        <v>45</v>
      </c>
      <c r="B26" s="168">
        <f>TableC5!C26+D26</f>
        <v>1490.1722048768202</v>
      </c>
      <c r="C26" s="168">
        <f>TableB1!D28+TableC5!P26</f>
        <v>72.230453665922141</v>
      </c>
      <c r="D26" s="168">
        <f t="shared" si="2"/>
        <v>-30.330772641347483</v>
      </c>
      <c r="E26" s="1100">
        <f t="shared" si="0"/>
        <v>-18.655778836847485</v>
      </c>
      <c r="F26" s="1101">
        <f>TableB1!H28-TableA6!H26/(1+TableA5!O26)-TableC5!N26</f>
        <v>-21.103644359182233</v>
      </c>
      <c r="G26" s="1107">
        <f>TableB1!I28+TableC5!O26</f>
        <v>2.4478655223347472</v>
      </c>
      <c r="H26" s="1108">
        <f>TableB1!F28+TableB1!J28</f>
        <v>-11.674993804499998</v>
      </c>
      <c r="I26" s="1598">
        <f>TableB1!D28/TableA1!B26</f>
        <v>2.897289712415067E-2</v>
      </c>
      <c r="J26" s="422">
        <f>C26/TableC5!B26</f>
        <v>3.901208260632822E-2</v>
      </c>
      <c r="K26" s="1576">
        <f t="shared" si="1"/>
        <v>1.003918548217755E-2</v>
      </c>
      <c r="L26" s="1599">
        <f>TableB1b!B28/TableA1!B26</f>
        <v>-6.1062280406750458E-3</v>
      </c>
      <c r="M26" s="422">
        <f>D26/TableC5!B26</f>
        <v>-1.6381824393223568E-2</v>
      </c>
      <c r="N26" s="1600">
        <f t="shared" si="3"/>
        <v>-1.0275596352548523E-2</v>
      </c>
      <c r="O26" s="1601">
        <f>TableB1!C28/TableA1!B26</f>
        <v>1.3726564445239758E-2</v>
      </c>
      <c r="P26" s="422">
        <f>J26+M26+TableB1!K28/TableC5!B26</f>
        <v>1.3584650070397483E-2</v>
      </c>
      <c r="Q26" s="1603">
        <f t="shared" si="4"/>
        <v>-1.419143748422752E-4</v>
      </c>
      <c r="R26" s="1139"/>
      <c r="S26" s="1139"/>
      <c r="T26" s="1573"/>
      <c r="U26" s="1574"/>
    </row>
    <row r="27" spans="1:21" ht="14.25" customHeight="1" x14ac:dyDescent="0.2">
      <c r="A27" s="1498" t="s">
        <v>46</v>
      </c>
      <c r="B27" s="168">
        <f>TableC5!C27+D27</f>
        <v>3551.1310304467347</v>
      </c>
      <c r="C27" s="168">
        <f>TableB1!D29+TableC5!P27</f>
        <v>-16.063120384585034</v>
      </c>
      <c r="D27" s="168">
        <f t="shared" si="2"/>
        <v>167.19739211808013</v>
      </c>
      <c r="E27" s="1100">
        <f t="shared" si="0"/>
        <v>62.938771855980143</v>
      </c>
      <c r="F27" s="1101">
        <f>TableB1!H29-TableA6!H27/(1+TableA5!O27)-TableC5!N27</f>
        <v>60.736871113712503</v>
      </c>
      <c r="G27" s="1107">
        <f>TableB1!I29+TableC5!O27</f>
        <v>2.2019007422676364</v>
      </c>
      <c r="H27" s="1108">
        <f>TableB1!F29+TableB1!J29</f>
        <v>104.2586202621</v>
      </c>
      <c r="I27" s="1598">
        <f>TableB1!D29/TableA1!B27</f>
        <v>-5.3279647818995097E-3</v>
      </c>
      <c r="J27" s="422">
        <f>C27/TableC5!B27</f>
        <v>-3.6708630960163584E-3</v>
      </c>
      <c r="K27" s="1576">
        <f t="shared" si="1"/>
        <v>1.6571016858831513E-3</v>
      </c>
      <c r="L27" s="1599">
        <f>TableB1b!B29/TableA1!B27</f>
        <v>3.9923310746183958E-2</v>
      </c>
      <c r="M27" s="422">
        <f>D27/TableC5!B27</f>
        <v>3.8209184877019908E-2</v>
      </c>
      <c r="N27" s="1600">
        <f t="shared" si="3"/>
        <v>-1.7141258691640501E-3</v>
      </c>
      <c r="O27" s="1601">
        <f>TableB1!C29/TableA1!B27</f>
        <v>3.0870981623458065E-2</v>
      </c>
      <c r="P27" s="422">
        <f>J27+M27+TableB1!K29/TableC5!B27</f>
        <v>3.0820285244564306E-2</v>
      </c>
      <c r="Q27" s="1603">
        <f t="shared" si="4"/>
        <v>-5.0696378893759497E-5</v>
      </c>
      <c r="R27" s="1139"/>
      <c r="S27" s="1604" t="s">
        <v>727</v>
      </c>
      <c r="T27" s="1573"/>
      <c r="U27" s="1574"/>
    </row>
    <row r="28" spans="1:21" ht="14.25" customHeight="1" x14ac:dyDescent="0.2">
      <c r="A28" s="1498" t="s">
        <v>47</v>
      </c>
      <c r="B28" s="168">
        <f>TableC5!C28+D28</f>
        <v>1110.1422717978171</v>
      </c>
      <c r="C28" s="168">
        <f>TableB1!D30+TableC5!P28</f>
        <v>111.42881423606524</v>
      </c>
      <c r="D28" s="168">
        <f t="shared" si="2"/>
        <v>-6.4613546080829201</v>
      </c>
      <c r="E28" s="1100">
        <f t="shared" si="0"/>
        <v>-6.4613546080829201</v>
      </c>
      <c r="F28" s="1101">
        <f>TableB1!H30-TableA6!H28/(1+TableA5!O28)-TableC5!N28</f>
        <v>-7.4639914502051283</v>
      </c>
      <c r="G28" s="1107">
        <f>TableB1!I30+TableC5!O28</f>
        <v>1.0026368421222085</v>
      </c>
      <c r="H28" s="1108">
        <f>TableB1!F30+TableB1!J30</f>
        <v>0</v>
      </c>
      <c r="I28" s="1598">
        <f>TableB1!D30/TableA1!B28</f>
        <v>7.7636095454458556E-2</v>
      </c>
      <c r="J28" s="422">
        <f>C28/TableC5!B28</f>
        <v>8.0347248979562302E-2</v>
      </c>
      <c r="K28" s="1576">
        <f t="shared" si="1"/>
        <v>2.7111535251037461E-3</v>
      </c>
      <c r="L28" s="1599">
        <f>TableB1b!B30/TableA1!B28</f>
        <v>-1.7247631014784698E-3</v>
      </c>
      <c r="M28" s="422">
        <f>D28/TableC5!B28</f>
        <v>-4.6590468632380991E-3</v>
      </c>
      <c r="N28" s="1600">
        <f t="shared" si="3"/>
        <v>-2.9342837617596295E-3</v>
      </c>
      <c r="O28" s="1601">
        <f>TableB1!C30/TableA1!B28</f>
        <v>7.2306089591201425E-2</v>
      </c>
      <c r="P28" s="422">
        <f>J28+M28+TableB1!K30/TableC5!B28</f>
        <v>7.2093556437295953E-2</v>
      </c>
      <c r="Q28" s="1603">
        <f t="shared" si="4"/>
        <v>-2.1253315390547256E-4</v>
      </c>
      <c r="R28" s="1139"/>
      <c r="S28" s="1604" t="s">
        <v>728</v>
      </c>
      <c r="T28" s="1573"/>
      <c r="U28" s="1574"/>
    </row>
    <row r="29" spans="1:21" ht="14.25" customHeight="1" x14ac:dyDescent="0.2">
      <c r="A29" s="1231" t="s">
        <v>48</v>
      </c>
      <c r="B29" s="168">
        <f>TableC5!C29+D29</f>
        <v>20.674425443521596</v>
      </c>
      <c r="C29" s="168">
        <f>TableB1!D31+TableC5!P29</f>
        <v>-0.14000398460893121</v>
      </c>
      <c r="D29" s="168">
        <f t="shared" si="2"/>
        <v>-0.29487618718025976</v>
      </c>
      <c r="E29" s="1100">
        <f t="shared" si="0"/>
        <v>-1.1677954464802598</v>
      </c>
      <c r="F29" s="1101">
        <f>TableB1!H31-TableA6!H29/(1+TableA5!O29)-TableC5!N29</f>
        <v>-1.1527260554602903</v>
      </c>
      <c r="G29" s="1107">
        <f>TableB1!I31+TableC5!O29</f>
        <v>-1.5069391019969423E-2</v>
      </c>
      <c r="H29" s="1108">
        <f>TableB1!F31+TableB1!J31</f>
        <v>0.87291925930000003</v>
      </c>
      <c r="I29" s="1598">
        <f>TableB1!D31/TableA1!B29</f>
        <v>-1.1457686989123875E-2</v>
      </c>
      <c r="J29" s="422">
        <f>C29/TableC5!B29</f>
        <v>-5.1512406468200399E-3</v>
      </c>
      <c r="K29" s="1576">
        <f t="shared" si="1"/>
        <v>6.3064463423038349E-3</v>
      </c>
      <c r="L29" s="1599">
        <f>TableB1b!B31/TableA1!B29</f>
        <v>-4.6434807100774207E-3</v>
      </c>
      <c r="M29" s="422">
        <f>D29/TableC5!B29</f>
        <v>-1.0849535500187248E-2</v>
      </c>
      <c r="N29" s="1600">
        <f t="shared" si="3"/>
        <v>-6.2060547901098273E-3</v>
      </c>
      <c r="O29" s="1601">
        <f>TableB1!C31/TableA1!B29</f>
        <v>-1.018600096435069E-2</v>
      </c>
      <c r="P29" s="422">
        <f>J29+M29+TableB1!K31/TableC5!B29</f>
        <v>-1.0122490760211208E-2</v>
      </c>
      <c r="Q29" s="1603">
        <f t="shared" si="4"/>
        <v>6.3510204139482357E-5</v>
      </c>
      <c r="R29" s="1139"/>
      <c r="S29" s="1604" t="s">
        <v>729</v>
      </c>
      <c r="T29" s="1573"/>
      <c r="U29" s="1574"/>
    </row>
    <row r="30" spans="1:21" s="25" customFormat="1" ht="14.25" customHeight="1" x14ac:dyDescent="0.2">
      <c r="A30" s="1231" t="s">
        <v>49</v>
      </c>
      <c r="B30" s="168">
        <f>TableC5!C30+D30</f>
        <v>18.656261023424022</v>
      </c>
      <c r="C30" s="168">
        <f>TableB1!D32+TableC5!P30</f>
        <v>2.1064254897041153</v>
      </c>
      <c r="D30" s="168">
        <f t="shared" si="2"/>
        <v>-26.59901884507336</v>
      </c>
      <c r="E30" s="1100">
        <f t="shared" si="0"/>
        <v>14.019190735426642</v>
      </c>
      <c r="F30" s="1101">
        <f>TableB1!H32-TableA6!H30/(1+TableA5!O30)-TableC5!N30</f>
        <v>28.157442486362154</v>
      </c>
      <c r="G30" s="1107">
        <f>TableB1!I32+TableC5!O30</f>
        <v>-14.138251750935511</v>
      </c>
      <c r="H30" s="1108">
        <f>TableB1!F32+TableB1!J32</f>
        <v>-40.6182095805</v>
      </c>
      <c r="I30" s="1598">
        <f>TableB1!D32/TableA1!B30</f>
        <v>0.3401651052493968</v>
      </c>
      <c r="J30" s="422">
        <f>C30/TableC5!B30</f>
        <v>4.0398615562134164E-2</v>
      </c>
      <c r="K30" s="1576">
        <f t="shared" si="1"/>
        <v>-0.29976648968726266</v>
      </c>
      <c r="L30" s="1599">
        <f>TableB1b!B32/TableA1!B30</f>
        <v>-0.25919779080805933</v>
      </c>
      <c r="M30" s="422">
        <f>D30/TableC5!B30</f>
        <v>-0.51013602992575924</v>
      </c>
      <c r="N30" s="1605">
        <f t="shared" si="3"/>
        <v>-0.25093823911769991</v>
      </c>
      <c r="O30" s="1601">
        <f>TableB1!C32/TableA1!B30</f>
        <v>9.7834696519242745E-2</v>
      </c>
      <c r="P30" s="422">
        <f>J30+M30+TableB1!K32/TableC5!B30</f>
        <v>-0.45104440160158987</v>
      </c>
      <c r="Q30" s="1603">
        <f t="shared" si="4"/>
        <v>-0.54887909812083258</v>
      </c>
      <c r="R30" s="1139"/>
      <c r="S30" s="1606" t="s">
        <v>730</v>
      </c>
      <c r="T30" s="1579"/>
      <c r="U30" s="1580"/>
    </row>
    <row r="31" spans="1:21" ht="14.25" customHeight="1" x14ac:dyDescent="0.2">
      <c r="A31" s="1231" t="s">
        <v>50</v>
      </c>
      <c r="B31" s="168">
        <f>TableC5!C31+D31</f>
        <v>976.9547064839976</v>
      </c>
      <c r="C31" s="168">
        <f>TableB1!D33+TableC5!P31</f>
        <v>-13.309874658504281</v>
      </c>
      <c r="D31" s="168">
        <f t="shared" si="2"/>
        <v>-40.042132037795724</v>
      </c>
      <c r="E31" s="1100">
        <f t="shared" si="0"/>
        <v>-22.792054948295721</v>
      </c>
      <c r="F31" s="1101">
        <f>TableB1!H33-TableA6!H31/(1+TableA5!O31)-TableC5!N31</f>
        <v>-25.246993319874285</v>
      </c>
      <c r="G31" s="1107">
        <f>TableB1!I33+TableC5!O31</f>
        <v>2.4549383715785629</v>
      </c>
      <c r="H31" s="1108">
        <f>TableB1!F33+TableB1!J33</f>
        <v>-17.2500770895</v>
      </c>
      <c r="I31" s="1598">
        <f>TableB1!D33/TableA1!B31</f>
        <v>-2.1211377605229561E-2</v>
      </c>
      <c r="J31" s="422">
        <f>C31/TableC5!B31</f>
        <v>-1.1482921454956507E-2</v>
      </c>
      <c r="K31" s="1576">
        <f t="shared" si="1"/>
        <v>9.7284561502730543E-3</v>
      </c>
      <c r="L31" s="1599">
        <f>TableB1b!B33/TableA1!B31</f>
        <v>-2.5260075717136711E-2</v>
      </c>
      <c r="M31" s="422">
        <f>D31/TableC5!B31</f>
        <v>-3.4545829234028019E-2</v>
      </c>
      <c r="N31" s="1600">
        <f t="shared" si="3"/>
        <v>-9.2857535168913083E-3</v>
      </c>
      <c r="O31" s="1601">
        <f>TableB1!C33/TableA1!B31</f>
        <v>-2.5452806167543043E-2</v>
      </c>
      <c r="P31" s="422">
        <f>J31+M31+TableB1!K33/TableC5!B31</f>
        <v>-2.5210334208700676E-2</v>
      </c>
      <c r="Q31" s="1603">
        <f t="shared" si="4"/>
        <v>2.4247195884236766E-4</v>
      </c>
      <c r="R31" s="1139"/>
      <c r="S31" s="1604" t="s">
        <v>731</v>
      </c>
      <c r="T31" s="1573"/>
      <c r="U31" s="1574"/>
    </row>
    <row r="32" spans="1:21" ht="14.25" customHeight="1" x14ac:dyDescent="0.2">
      <c r="A32" s="1231" t="s">
        <v>51</v>
      </c>
      <c r="B32" s="168">
        <f>TableC5!C32+D32</f>
        <v>625.47550241115164</v>
      </c>
      <c r="C32" s="168">
        <f>TableB1!D34+TableC5!P32</f>
        <v>47.56382022207859</v>
      </c>
      <c r="D32" s="168">
        <f t="shared" si="2"/>
        <v>3.8866632757620003</v>
      </c>
      <c r="E32" s="1100">
        <f t="shared" si="0"/>
        <v>33.036800760761999</v>
      </c>
      <c r="F32" s="1101">
        <f>TableB1!H34-TableA6!H32/(1+TableA5!O32)-TableC5!N32</f>
        <v>36.66690551689765</v>
      </c>
      <c r="G32" s="1107">
        <f>TableB1!I34+TableC5!O32</f>
        <v>-3.6301047561356512</v>
      </c>
      <c r="H32" s="1108">
        <f>TableB1!F34+TableB1!J34</f>
        <v>-29.150137484999998</v>
      </c>
      <c r="I32" s="1598">
        <f>TableB1!D34/TableA1!B32</f>
        <v>0.10561605404010749</v>
      </c>
      <c r="J32" s="422">
        <f>C32/TableC5!B32</f>
        <v>6.3798445233859205E-2</v>
      </c>
      <c r="K32" s="1576">
        <f t="shared" si="1"/>
        <v>-4.1817608806248283E-2</v>
      </c>
      <c r="L32" s="1599">
        <f>TableB1b!B34/TableA1!B32</f>
        <v>4.0611779792872225E-3</v>
      </c>
      <c r="M32" s="422">
        <f>D32/TableC5!B32</f>
        <v>5.2132707798363959E-3</v>
      </c>
      <c r="N32" s="1600">
        <f t="shared" si="3"/>
        <v>1.1520928005491734E-3</v>
      </c>
      <c r="O32" s="1601">
        <f>TableB1!C34/TableA1!B32</f>
        <v>9.2472874257114965E-2</v>
      </c>
      <c r="P32" s="422">
        <f>J32+M32+TableB1!K34/TableC5!B32</f>
        <v>5.1521154090114304E-2</v>
      </c>
      <c r="Q32" s="1603">
        <f t="shared" si="4"/>
        <v>-4.095172016700066E-2</v>
      </c>
      <c r="R32" s="1139"/>
      <c r="S32" s="1139"/>
      <c r="T32" s="1573"/>
      <c r="U32" s="1574"/>
    </row>
    <row r="33" spans="1:21" ht="14.25" customHeight="1" x14ac:dyDescent="0.2">
      <c r="A33" s="1231" t="s">
        <v>52</v>
      </c>
      <c r="B33" s="168">
        <f>TableC5!C33+D33</f>
        <v>147.36698286079505</v>
      </c>
      <c r="C33" s="168">
        <f>TableB1!D35+TableC5!P33</f>
        <v>2.6478648423910087</v>
      </c>
      <c r="D33" s="168">
        <f t="shared" si="2"/>
        <v>-7.5725105622068067</v>
      </c>
      <c r="E33" s="1100">
        <f t="shared" si="0"/>
        <v>-6.6617348188068064</v>
      </c>
      <c r="F33" s="1101">
        <f>TableB1!H35-TableA6!H33/(1+TableA5!O33)-TableC5!N33</f>
        <v>-6.2731296315222389</v>
      </c>
      <c r="G33" s="1107">
        <f>TableB1!I35+TableC5!O33</f>
        <v>-0.38860518728456761</v>
      </c>
      <c r="H33" s="1108">
        <f>TableB1!F35+TableB1!J35</f>
        <v>-0.91077574340000012</v>
      </c>
      <c r="I33" s="1598">
        <f>TableB1!D35/TableA1!B33</f>
        <v>7.7651198428275647E-3</v>
      </c>
      <c r="J33" s="422">
        <f>C33/TableC5!B33</f>
        <v>1.4971757392883636E-2</v>
      </c>
      <c r="K33" s="1576">
        <f t="shared" si="1"/>
        <v>7.2066375500560711E-3</v>
      </c>
      <c r="L33" s="1599">
        <f>TableB1b!B35/TableA1!B33</f>
        <v>-3.581414471929216E-2</v>
      </c>
      <c r="M33" s="422">
        <f>D33/TableC5!B33</f>
        <v>-4.2817061194873225E-2</v>
      </c>
      <c r="N33" s="1600">
        <f t="shared" si="3"/>
        <v>-7.0029164755810655E-3</v>
      </c>
      <c r="O33" s="1601">
        <f>TableB1!C35/TableA1!B33</f>
        <v>-2.9495792856519352E-2</v>
      </c>
      <c r="P33" s="422">
        <f>J33+M33+TableB1!K35/TableC5!B33</f>
        <v>-2.9285506313857085E-2</v>
      </c>
      <c r="Q33" s="1603">
        <f t="shared" si="4"/>
        <v>2.1028654266226632E-4</v>
      </c>
      <c r="R33" s="1139"/>
      <c r="S33" s="1139"/>
      <c r="T33" s="1573"/>
      <c r="U33" s="1574"/>
    </row>
    <row r="34" spans="1:21" ht="14.25" customHeight="1" x14ac:dyDescent="0.2">
      <c r="A34" s="1231" t="s">
        <v>53</v>
      </c>
      <c r="B34" s="168">
        <f>TableC5!C34+D34</f>
        <v>336.05537085604948</v>
      </c>
      <c r="C34" s="168">
        <f>TableB1!D36+TableC5!P34</f>
        <v>25.484479485843238</v>
      </c>
      <c r="D34" s="168">
        <f t="shared" si="2"/>
        <v>13.498719595034679</v>
      </c>
      <c r="E34" s="1100">
        <f t="shared" si="0"/>
        <v>-1.3575000461653195</v>
      </c>
      <c r="F34" s="1101">
        <f>TableB1!H36-TableA6!H34/(1+TableA5!O34)-TableC5!N34</f>
        <v>-0.43707264020082359</v>
      </c>
      <c r="G34" s="1107">
        <f>TableB1!I36+TableC5!O34</f>
        <v>-0.92042740596449579</v>
      </c>
      <c r="H34" s="1108">
        <f>TableB1!F36+TableB1!J36</f>
        <v>14.856219641199997</v>
      </c>
      <c r="I34" s="1598">
        <f>TableB1!D36/TableA1!B34</f>
        <v>5.4547249532653982E-2</v>
      </c>
      <c r="J34" s="422">
        <f>C34/TableC5!B34</f>
        <v>6.5181678265575638E-2</v>
      </c>
      <c r="K34" s="1576">
        <f t="shared" si="1"/>
        <v>1.0634428732921655E-2</v>
      </c>
      <c r="L34" s="1599">
        <f>TableB1b!B36/TableA1!B34</f>
        <v>4.6294381252176359E-2</v>
      </c>
      <c r="M34" s="422">
        <f>D34/TableC5!B34</f>
        <v>3.4525688395148267E-2</v>
      </c>
      <c r="N34" s="1600">
        <f t="shared" si="3"/>
        <v>-1.1768692857028092E-2</v>
      </c>
      <c r="O34" s="1601">
        <f>TableB1!C36/TableA1!B34</f>
        <v>8.2957966808400119E-2</v>
      </c>
      <c r="P34" s="422">
        <f>J34+M34+TableB1!K36/TableC5!B34</f>
        <v>8.2024540523008616E-2</v>
      </c>
      <c r="Q34" s="1602">
        <f t="shared" si="4"/>
        <v>-9.3342628539150319E-4</v>
      </c>
      <c r="R34" s="1139"/>
      <c r="S34" s="1139"/>
      <c r="T34" s="1573"/>
      <c r="U34" s="1574"/>
    </row>
    <row r="35" spans="1:21" ht="14.25" customHeight="1" x14ac:dyDescent="0.2">
      <c r="A35" s="1231" t="s">
        <v>54</v>
      </c>
      <c r="B35" s="168">
        <f>TableC5!C35+D35</f>
        <v>404.14569916932021</v>
      </c>
      <c r="C35" s="168">
        <f>TableB1!D37+TableC5!P35</f>
        <v>17.693241905071076</v>
      </c>
      <c r="D35" s="168">
        <f t="shared" si="2"/>
        <v>-21.378554408386574</v>
      </c>
      <c r="E35" s="1100">
        <f t="shared" si="0"/>
        <v>-20.575554408386573</v>
      </c>
      <c r="F35" s="1101">
        <f>TableB1!H37-TableA6!H35/(1+TableA5!O35)-TableC5!N35</f>
        <v>-19.058446628673977</v>
      </c>
      <c r="G35" s="1107">
        <f>TableB1!I37+TableC5!O35</f>
        <v>-1.5171077797125956</v>
      </c>
      <c r="H35" s="1108">
        <f>TableB1!F37+TableB1!J37</f>
        <v>-0.80299999999999983</v>
      </c>
      <c r="I35" s="1598">
        <f>TableB1!D37/TableA1!B35</f>
        <v>3.0555491513661218E-2</v>
      </c>
      <c r="J35" s="422">
        <f>C35/TableC5!B35</f>
        <v>3.6846896066553537E-2</v>
      </c>
      <c r="K35" s="1576">
        <f t="shared" si="1"/>
        <v>6.2914045528923192E-3</v>
      </c>
      <c r="L35" s="1599">
        <f>TableB1b!B37/TableA1!B35</f>
        <v>-3.8280437313225342E-2</v>
      </c>
      <c r="M35" s="422">
        <f>D35/TableC5!B35</f>
        <v>-4.4521709281169497E-2</v>
      </c>
      <c r="N35" s="1600">
        <f t="shared" si="3"/>
        <v>-6.241271967944155E-3</v>
      </c>
      <c r="O35" s="1601">
        <f>TableB1!C37/TableA1!B35</f>
        <v>-9.7162826273053827E-3</v>
      </c>
      <c r="P35" s="422">
        <f>J35+M35+TableB1!K37/TableC5!B35</f>
        <v>-9.6532268626650028E-3</v>
      </c>
      <c r="Q35" s="1602">
        <f t="shared" si="4"/>
        <v>6.3055764640379888E-5</v>
      </c>
      <c r="R35" s="1139"/>
      <c r="S35" s="1139"/>
      <c r="T35" s="1573"/>
      <c r="U35" s="1574"/>
    </row>
    <row r="36" spans="1:21" ht="14.25" customHeight="1" x14ac:dyDescent="0.2">
      <c r="A36" s="1231" t="s">
        <v>55</v>
      </c>
      <c r="B36" s="168">
        <f>TableC5!C36+D36</f>
        <v>159.91084330552877</v>
      </c>
      <c r="C36" s="168">
        <f>TableB1!D38+TableC5!P36</f>
        <v>5.7357041470060643</v>
      </c>
      <c r="D36" s="168">
        <f t="shared" si="2"/>
        <v>-7.3387951408491734</v>
      </c>
      <c r="E36" s="1100">
        <f t="shared" si="0"/>
        <v>-5.1695264190491734</v>
      </c>
      <c r="F36" s="1101">
        <f>TableB1!H38-TableA6!H36/(1+TableA5!O36)-TableC5!N36</f>
        <v>-4.6991917205980442</v>
      </c>
      <c r="G36" s="1107">
        <f>TableB1!I38+TableC5!O36</f>
        <v>-0.47033469845112913</v>
      </c>
      <c r="H36" s="1108">
        <f>TableB1!F38+TableB1!J38</f>
        <v>-2.1692687218</v>
      </c>
      <c r="I36" s="1598">
        <f>TableB1!D38/TableA1!B36</f>
        <v>1.7607385932403206E-2</v>
      </c>
      <c r="J36" s="422">
        <f>C36/TableC5!B36</f>
        <v>2.8444609142540284E-2</v>
      </c>
      <c r="K36" s="1576">
        <f t="shared" si="1"/>
        <v>1.0837223210137078E-2</v>
      </c>
      <c r="L36" s="1599">
        <f>TableB1b!B38/TableA1!B36</f>
        <v>-2.5646143392219663E-2</v>
      </c>
      <c r="M36" s="422">
        <f>D36/TableC5!B36</f>
        <v>-3.6394687384214537E-2</v>
      </c>
      <c r="N36" s="1600">
        <f t="shared" si="3"/>
        <v>-1.0748543991994874E-2</v>
      </c>
      <c r="O36" s="1601">
        <f>TableB1!C38/TableA1!B36</f>
        <v>3.1141131033729155E-4</v>
      </c>
      <c r="P36" s="422">
        <f>J36+M36+TableB1!K38/TableC5!B36</f>
        <v>3.0797598943604725E-4</v>
      </c>
      <c r="Q36" s="1602">
        <f t="shared" si="4"/>
        <v>-3.4353209012443083E-6</v>
      </c>
      <c r="R36" s="1139"/>
      <c r="S36" s="1139"/>
      <c r="T36" s="1573"/>
      <c r="U36" s="1574"/>
    </row>
    <row r="37" spans="1:21" ht="14.25" customHeight="1" x14ac:dyDescent="0.2">
      <c r="A37" s="1231" t="s">
        <v>56</v>
      </c>
      <c r="B37" s="168">
        <f>TableC5!C37+D37</f>
        <v>68.34592797293115</v>
      </c>
      <c r="C37" s="168">
        <f>TableB1!D39+TableC5!P37</f>
        <v>2.9592869747412687</v>
      </c>
      <c r="D37" s="168">
        <f t="shared" si="2"/>
        <v>-2.0572903101006705</v>
      </c>
      <c r="E37" s="1100">
        <f t="shared" si="0"/>
        <v>-4.6075131704006704</v>
      </c>
      <c r="F37" s="1101">
        <f>TableB1!H39-TableA6!H37/(1+TableA5!O37)-TableC5!N37</f>
        <v>-4.4146073518707505</v>
      </c>
      <c r="G37" s="1107">
        <f>TableB1!I39+TableC5!O37</f>
        <v>-0.19290581852991961</v>
      </c>
      <c r="H37" s="1108">
        <f>TableB1!F39+TableB1!J39</f>
        <v>2.5502228602999999</v>
      </c>
      <c r="I37" s="1598">
        <f>TableB1!D39/TableA1!B37</f>
        <v>2.7683495699521624E-2</v>
      </c>
      <c r="J37" s="422">
        <f>C37/TableC5!B37</f>
        <v>3.3613607856047008E-2</v>
      </c>
      <c r="K37" s="1576">
        <f t="shared" si="1"/>
        <v>5.9301121565253842E-3</v>
      </c>
      <c r="L37" s="1599">
        <f>TableB1b!B39/TableA1!B37</f>
        <v>-1.7375129698240968E-2</v>
      </c>
      <c r="M37" s="422">
        <f>D37/TableC5!B37</f>
        <v>-2.3368112089168152E-2</v>
      </c>
      <c r="N37" s="1600">
        <f t="shared" si="3"/>
        <v>-5.9929823909271839E-3</v>
      </c>
      <c r="O37" s="1601">
        <f>TableB1!C39/TableA1!B37</f>
        <v>-5.3090727454504789E-3</v>
      </c>
      <c r="P37" s="422">
        <f>J37+M37+TableB1!K39/TableC5!B37</f>
        <v>-5.2766929630561673E-3</v>
      </c>
      <c r="Q37" s="1602">
        <f t="shared" si="4"/>
        <v>3.2379782394311579E-5</v>
      </c>
      <c r="R37" s="1139"/>
      <c r="S37" s="1139"/>
      <c r="T37" s="1573"/>
      <c r="U37" s="1574"/>
    </row>
    <row r="38" spans="1:21" ht="14.25" customHeight="1" x14ac:dyDescent="0.2">
      <c r="A38" s="1231" t="s">
        <v>57</v>
      </c>
      <c r="B38" s="168">
        <f>TableC5!C38+D38</f>
        <v>32.494690187742556</v>
      </c>
      <c r="C38" s="168">
        <f>TableB1!D40+TableC5!P38</f>
        <v>3.8888480970010737</v>
      </c>
      <c r="D38" s="168">
        <f t="shared" si="2"/>
        <v>-1.6049230644686221</v>
      </c>
      <c r="E38" s="1100">
        <f t="shared" si="0"/>
        <v>-1.2129735783686222</v>
      </c>
      <c r="F38" s="1101">
        <f>TableB1!H40-TableA6!H38/(1+TableA5!O38)-TableC5!N38</f>
        <v>-1.2249629036088918</v>
      </c>
      <c r="G38" s="1107">
        <f>TableB1!I40+TableC5!O38</f>
        <v>1.1989325240269737E-2</v>
      </c>
      <c r="H38" s="1108">
        <f>TableB1!F40+TableB1!J40</f>
        <v>-0.39194948609999997</v>
      </c>
      <c r="I38" s="1598">
        <f>TableB1!D40/TableA1!B38</f>
        <v>8.6469539664764464E-2</v>
      </c>
      <c r="J38" s="422">
        <f>C38/TableC5!B38</f>
        <v>9.05084612227776E-2</v>
      </c>
      <c r="K38" s="1576">
        <f t="shared" si="1"/>
        <v>4.0389215580131366E-3</v>
      </c>
      <c r="L38" s="1599">
        <f>TableB1b!B40/TableA1!B38</f>
        <v>-3.3077757649479615E-2</v>
      </c>
      <c r="M38" s="422">
        <f>D38/TableC5!B38</f>
        <v>-3.7352736163188731E-2</v>
      </c>
      <c r="N38" s="1600">
        <f t="shared" si="3"/>
        <v>-4.2749785137091156E-3</v>
      </c>
      <c r="O38" s="1601">
        <f>TableB1!C40/TableA1!B38</f>
        <v>4.3643252011520854E-2</v>
      </c>
      <c r="P38" s="422">
        <f>J38+M38+TableB1!K40/TableC5!B38</f>
        <v>4.3450295477430789E-2</v>
      </c>
      <c r="Q38" s="1602">
        <f t="shared" si="4"/>
        <v>-1.9295653409006491E-4</v>
      </c>
      <c r="R38" s="1139"/>
      <c r="S38" s="1139"/>
      <c r="T38" s="1573"/>
      <c r="U38" s="1574"/>
    </row>
    <row r="39" spans="1:21" x14ac:dyDescent="0.2">
      <c r="A39" s="1231" t="s">
        <v>58</v>
      </c>
      <c r="B39" s="168">
        <f>TableC5!C39+D39</f>
        <v>990.06449121847538</v>
      </c>
      <c r="C39" s="168">
        <f>TableB1!D41+TableC5!P39</f>
        <v>41.198411014067823</v>
      </c>
      <c r="D39" s="168">
        <f t="shared" si="2"/>
        <v>-10.028431741281818</v>
      </c>
      <c r="E39" s="1100">
        <f t="shared" si="0"/>
        <v>-3.2399993198818207</v>
      </c>
      <c r="F39" s="1101">
        <f>TableB1!H41-TableA6!H39/(1+TableA5!O39)-TableC5!N39</f>
        <v>-1.0620160574860655</v>
      </c>
      <c r="G39" s="1107">
        <f>TableB1!I41+TableC5!O39</f>
        <v>-2.1779832623957551</v>
      </c>
      <c r="H39" s="1108">
        <f>TableB1!F41+TableB1!J41</f>
        <v>-6.7884324213999978</v>
      </c>
      <c r="I39" s="1598">
        <f>TableB1!D41/TableA1!B39</f>
        <v>2.4285353540989752E-2</v>
      </c>
      <c r="J39" s="422">
        <f>C39/TableC5!B39</f>
        <v>3.4051101416100578E-2</v>
      </c>
      <c r="K39" s="1576">
        <f t="shared" si="1"/>
        <v>9.7657478751108258E-3</v>
      </c>
      <c r="L39" s="1599">
        <f>TableB1b!B41/TableA1!B39</f>
        <v>1.7375579284027404E-3</v>
      </c>
      <c r="M39" s="422">
        <f>D39/TableC5!B39</f>
        <v>-8.2886484663261904E-3</v>
      </c>
      <c r="N39" s="1600">
        <f t="shared" si="3"/>
        <v>-1.0026206394728931E-2</v>
      </c>
      <c r="O39" s="1601">
        <f>TableB1!C41/TableA1!B39</f>
        <v>1.5941881702796305E-2</v>
      </c>
      <c r="P39" s="422">
        <f>J39+M39+TableB1!K41/TableC5!B39</f>
        <v>1.5782322350141979E-2</v>
      </c>
      <c r="Q39" s="1602">
        <f t="shared" si="4"/>
        <v>-1.5955935265432597E-4</v>
      </c>
      <c r="R39" s="1139"/>
      <c r="S39" s="1139"/>
      <c r="T39" s="1573"/>
      <c r="U39" s="1574"/>
    </row>
    <row r="40" spans="1:21" x14ac:dyDescent="0.2">
      <c r="A40" s="1231" t="s">
        <v>59</v>
      </c>
      <c r="B40" s="168">
        <f>TableC5!C40+D40</f>
        <v>422.84571900722335</v>
      </c>
      <c r="C40" s="168">
        <f>TableB1!D42+TableC5!P40</f>
        <v>31.748236119029382</v>
      </c>
      <c r="D40" s="168">
        <f t="shared" si="2"/>
        <v>-0.70574329863707819</v>
      </c>
      <c r="E40" s="1100">
        <f t="shared" si="0"/>
        <v>0.65992005566292233</v>
      </c>
      <c r="F40" s="1101">
        <f>TableB1!H42-TableA6!H40/(1+TableA5!O40)-TableC5!N40</f>
        <v>-0.52702008778259213</v>
      </c>
      <c r="G40" s="1107">
        <f>TableB1!I42+TableC5!O40</f>
        <v>1.1869401434455145</v>
      </c>
      <c r="H40" s="1108">
        <f>TableB1!F42+TableB1!J42</f>
        <v>-1.3656633543000005</v>
      </c>
      <c r="I40" s="1598">
        <f>TableB1!D42/TableA1!B40</f>
        <v>4.9298568006324789E-2</v>
      </c>
      <c r="J40" s="422">
        <f>C40/TableC5!B40</f>
        <v>6.2852897997116616E-2</v>
      </c>
      <c r="K40" s="1576">
        <f t="shared" si="1"/>
        <v>1.3554329990791827E-2</v>
      </c>
      <c r="L40" s="1599">
        <f>TableB1b!B42/TableA1!B40</f>
        <v>1.3046008047079527E-2</v>
      </c>
      <c r="M40" s="422">
        <f>D40/TableC5!B40</f>
        <v>-1.397180347124778E-3</v>
      </c>
      <c r="N40" s="1600">
        <f t="shared" si="3"/>
        <v>-1.4443188394204306E-2</v>
      </c>
      <c r="O40" s="1601">
        <f>TableB1!C42/TableA1!B40</f>
        <v>4.5793039265607412E-2</v>
      </c>
      <c r="P40" s="422">
        <f>J40+M40+TableB1!K42/TableC5!B40</f>
        <v>4.5139924387504846E-2</v>
      </c>
      <c r="Q40" s="1602">
        <f t="shared" si="4"/>
        <v>-6.5311487810256613E-4</v>
      </c>
      <c r="R40" s="1139"/>
      <c r="S40" s="1139"/>
      <c r="T40" s="1573"/>
      <c r="U40" s="1574"/>
    </row>
    <row r="41" spans="1:21" x14ac:dyDescent="0.2">
      <c r="A41" s="1231" t="s">
        <v>60</v>
      </c>
      <c r="B41" s="168">
        <f>TableC5!C41+D41</f>
        <v>555.75724262859558</v>
      </c>
      <c r="C41" s="168">
        <f>TableB1!D43+TableC5!P41</f>
        <v>19.582653288063113</v>
      </c>
      <c r="D41" s="168">
        <f t="shared" si="2"/>
        <v>69.418680789684899</v>
      </c>
      <c r="E41" s="1100">
        <f t="shared" si="0"/>
        <v>83.021680789684893</v>
      </c>
      <c r="F41" s="1101">
        <f>TableB1!H43-TableA6!H41/(1+TableA5!O41)-TableC5!N41</f>
        <v>84.970869975528245</v>
      </c>
      <c r="G41" s="1107">
        <f>TableB1!I43+TableC5!O41</f>
        <v>-1.9491891858433457</v>
      </c>
      <c r="H41" s="1108">
        <f>TableB1!F43+TableB1!J43</f>
        <v>-13.602999999999996</v>
      </c>
      <c r="I41" s="1598">
        <f>TableB1!D43/TableA1!B41</f>
        <v>0.10634079342270167</v>
      </c>
      <c r="J41" s="422">
        <f>C41/TableC5!B41</f>
        <v>3.1250450168310739E-2</v>
      </c>
      <c r="K41" s="1576">
        <f t="shared" si="1"/>
        <v>-7.5090343254390929E-2</v>
      </c>
      <c r="L41" s="1599">
        <f>TableB1b!B43/TableA1!B41</f>
        <v>2.4680438897898893E-2</v>
      </c>
      <c r="M41" s="422">
        <f>D41/TableC5!B41</f>
        <v>0.11077993328362125</v>
      </c>
      <c r="N41" s="1600">
        <f t="shared" si="3"/>
        <v>8.6099494385722355E-2</v>
      </c>
      <c r="O41" s="1601">
        <f>TableB1!C43/TableA1!B41</f>
        <v>0.11150428009322003</v>
      </c>
      <c r="P41" s="422">
        <f>J41+M41+TableB1!K43/TableC5!B41</f>
        <v>0.12087350559655677</v>
      </c>
      <c r="Q41" s="1602">
        <f t="shared" si="4"/>
        <v>9.3692255033367422E-3</v>
      </c>
      <c r="R41" s="1139"/>
      <c r="S41" s="1139"/>
      <c r="T41" s="1573"/>
      <c r="U41" s="1574"/>
    </row>
    <row r="42" spans="1:21" x14ac:dyDescent="0.2">
      <c r="A42" s="1231" t="s">
        <v>61</v>
      </c>
      <c r="B42" s="168">
        <f>TableC5!C42+D42</f>
        <v>723.59100279133997</v>
      </c>
      <c r="C42" s="168">
        <f>TableB1!D44+TableC5!P42</f>
        <v>-19.710816091236737</v>
      </c>
      <c r="D42" s="168">
        <f t="shared" si="2"/>
        <v>-13.838353908763263</v>
      </c>
      <c r="E42" s="1100">
        <f t="shared" si="0"/>
        <v>-7.5143539087632636</v>
      </c>
      <c r="F42" s="1101">
        <f>TableB1!H44-TableA6!H42/(1+TableA5!O42)-TableC5!N42</f>
        <v>-8.1546028205897603</v>
      </c>
      <c r="G42" s="1107">
        <f>TableB1!I44+TableC5!O42</f>
        <v>0.64024891182649646</v>
      </c>
      <c r="H42" s="1108">
        <f>TableB1!F44+TableB1!J44</f>
        <v>-6.3239999999999998</v>
      </c>
      <c r="I42" s="1598">
        <f>TableB1!D44/TableA1!B42</f>
        <v>-2.7817626649949991E-2</v>
      </c>
      <c r="J42" s="422">
        <f>C42/TableC5!B42</f>
        <v>-2.2824583482671815E-2</v>
      </c>
      <c r="K42" s="1576">
        <f t="shared" si="1"/>
        <v>4.9930431672781765E-3</v>
      </c>
      <c r="L42" s="1599">
        <f>TableB1b!B44/TableA1!B42</f>
        <v>-1.1221036676231838E-2</v>
      </c>
      <c r="M42" s="422">
        <f>D42/TableC5!B42</f>
        <v>-1.60244336201661E-2</v>
      </c>
      <c r="N42" s="1600">
        <f t="shared" si="3"/>
        <v>-4.8033969439342621E-3</v>
      </c>
      <c r="O42" s="1601">
        <f>TableB1!C44/TableA1!B42</f>
        <v>-3.7374679133534434E-2</v>
      </c>
      <c r="P42" s="422">
        <f>J42+M42+TableB1!K44/TableC5!B42</f>
        <v>-3.7193116391820082E-2</v>
      </c>
      <c r="Q42" s="1602">
        <f t="shared" si="4"/>
        <v>1.8156274171435283E-4</v>
      </c>
      <c r="R42" s="1139"/>
      <c r="S42" s="1139"/>
      <c r="T42" s="1573"/>
      <c r="U42" s="1574"/>
    </row>
    <row r="43" spans="1:21" x14ac:dyDescent="0.2">
      <c r="A43" s="1231" t="s">
        <v>62</v>
      </c>
      <c r="B43" s="168">
        <f>TableC5!C43+D43</f>
        <v>2447.6188649695537</v>
      </c>
      <c r="C43" s="168">
        <f>TableB1!D45+TableC5!P43</f>
        <v>6.162183228228244</v>
      </c>
      <c r="D43" s="168">
        <f t="shared" si="2"/>
        <v>-90.886324747785238</v>
      </c>
      <c r="E43" s="1100">
        <f t="shared" si="0"/>
        <v>-37.962636971285242</v>
      </c>
      <c r="F43" s="1101">
        <f>TableB1!H45-TableA6!H43/(1+TableA5!O43)-TableC5!N43</f>
        <v>-36.65407280487662</v>
      </c>
      <c r="G43" s="1107">
        <f>TableB1!I45+TableC5!O43</f>
        <v>-1.3085641664086207</v>
      </c>
      <c r="H43" s="1108">
        <f>TableB1!F45+TableB1!J45</f>
        <v>-52.923687776499996</v>
      </c>
      <c r="I43" s="1598">
        <f>TableB1!D45/TableA1!B43</f>
        <v>-1.5970646442764629E-2</v>
      </c>
      <c r="J43" s="422">
        <f>C43/TableC5!B43</f>
        <v>2.1154453012163076E-3</v>
      </c>
      <c r="K43" s="1576">
        <f t="shared" si="1"/>
        <v>1.8086091743980938E-2</v>
      </c>
      <c r="L43" s="1599">
        <f>TableB1b!B45/TableA1!B43</f>
        <v>-1.3641864176004943E-2</v>
      </c>
      <c r="M43" s="422">
        <f>D43/TableC5!B43</f>
        <v>-3.1200800351371877E-2</v>
      </c>
      <c r="N43" s="1600">
        <f t="shared" si="3"/>
        <v>-1.7558936175366933E-2</v>
      </c>
      <c r="O43" s="1601">
        <f>TableB1!C45/TableA1!B43</f>
        <v>-4.2775631597320465E-2</v>
      </c>
      <c r="P43" s="422">
        <f>J43+M43+TableB1!K45/TableC5!B43</f>
        <v>-4.2014148969663219E-2</v>
      </c>
      <c r="Q43" s="1602">
        <f t="shared" si="4"/>
        <v>7.6148262765724645E-4</v>
      </c>
      <c r="R43" s="1139"/>
      <c r="S43" s="1139"/>
      <c r="T43" s="1573"/>
      <c r="U43" s="1574"/>
    </row>
    <row r="44" spans="1:21" x14ac:dyDescent="0.2">
      <c r="A44" s="1231" t="s">
        <v>63</v>
      </c>
      <c r="B44" s="168">
        <f>TableC5!C44+D44</f>
        <v>15449.433800000003</v>
      </c>
      <c r="C44" s="168">
        <f>TableB1!D46+TableC5!P44</f>
        <v>-379.79327673306011</v>
      </c>
      <c r="D44" s="168">
        <f t="shared" si="2"/>
        <v>50.059276733060116</v>
      </c>
      <c r="E44" s="1100">
        <f t="shared" si="0"/>
        <v>146.32227673306011</v>
      </c>
      <c r="F44" s="1101">
        <f>TableB1!H46-TableA6!H44/(1+TableA5!O44)-TableC5!N44</f>
        <v>142.61969139649821</v>
      </c>
      <c r="G44" s="1107">
        <f>TableB1!I46+TableC5!O44</f>
        <v>3.7025853365618886</v>
      </c>
      <c r="H44" s="1108">
        <f>TableB1!F46+TableB1!J46</f>
        <v>-96.262999999999991</v>
      </c>
      <c r="I44" s="1598">
        <f>TableB1!D46/TableA1!B44</f>
        <v>-2.7592732178092962E-2</v>
      </c>
      <c r="J44" s="422">
        <f>C44/TableC5!B44</f>
        <v>-2.0820949272423513E-2</v>
      </c>
      <c r="K44" s="1576">
        <f t="shared" si="1"/>
        <v>6.7717829056694497E-3</v>
      </c>
      <c r="L44" s="1599">
        <f>TableB1b!B46/TableA1!B44</f>
        <v>9.3962082740703546E-3</v>
      </c>
      <c r="M44" s="422">
        <f>D44/TableC5!B44</f>
        <v>2.7443394218003205E-3</v>
      </c>
      <c r="N44" s="1600">
        <f t="shared" si="3"/>
        <v>-6.6518688522700341E-3</v>
      </c>
      <c r="O44" s="1601">
        <f>TableB1!C46/TableA1!B44</f>
        <v>-2.4818779626764924E-2</v>
      </c>
      <c r="P44" s="422">
        <f>J44+M44+TableB1!K46/TableC5!B44</f>
        <v>-2.4655225286322219E-2</v>
      </c>
      <c r="Q44" s="1602">
        <f t="shared" si="4"/>
        <v>1.6355434044270506E-4</v>
      </c>
      <c r="R44" s="1139"/>
      <c r="S44" s="1139"/>
      <c r="T44" s="1573"/>
      <c r="U44" s="1574"/>
    </row>
    <row r="45" spans="1:21" ht="40" customHeight="1" x14ac:dyDescent="0.2">
      <c r="A45" s="1800" t="s">
        <v>64</v>
      </c>
      <c r="B45" s="168">
        <f>TableC5!C45+D45</f>
        <v>14993.510705324537</v>
      </c>
      <c r="C45" s="168">
        <f>TableB1!D47+TableC5!P45</f>
        <v>95.628157581778169</v>
      </c>
      <c r="D45" s="168">
        <f t="shared" si="2"/>
        <v>-263.07438491405253</v>
      </c>
      <c r="E45" s="208">
        <f t="shared" si="0"/>
        <v>-191.30506016625256</v>
      </c>
      <c r="F45" s="209">
        <f>SUM(F46:F52)</f>
        <v>-180.13412432899335</v>
      </c>
      <c r="G45" s="175">
        <f t="shared" ref="G45:H45" si="5">SUM(G46:G52)</f>
        <v>-11.170935837259204</v>
      </c>
      <c r="H45" s="781">
        <f t="shared" si="5"/>
        <v>-71.769324747799999</v>
      </c>
      <c r="I45" s="195"/>
      <c r="J45" s="176"/>
      <c r="K45" s="1581"/>
      <c r="L45" s="1607"/>
      <c r="M45" s="175"/>
      <c r="N45" s="782"/>
      <c r="O45" s="445"/>
      <c r="P45" s="445"/>
      <c r="Q45" s="1602"/>
      <c r="R45" s="1139"/>
      <c r="S45" s="1139"/>
      <c r="T45" s="1573"/>
      <c r="U45" s="1574"/>
    </row>
    <row r="46" spans="1:21" x14ac:dyDescent="0.2">
      <c r="A46" s="1498" t="s">
        <v>65</v>
      </c>
      <c r="B46" s="168">
        <f>TableC5!C46+D46</f>
        <v>2032.4671811383153</v>
      </c>
      <c r="C46" s="168">
        <f>TableB1!D48+TableC5!P46</f>
        <v>-6.0020676267719111</v>
      </c>
      <c r="D46" s="168">
        <f t="shared" si="2"/>
        <v>-58.728816448908077</v>
      </c>
      <c r="E46" s="1100">
        <f t="shared" si="0"/>
        <v>-34.52201063500808</v>
      </c>
      <c r="F46" s="1101">
        <f>TableB1!H48-TableA6!H46/(1+TableA5!O46)-TableC5!N46</f>
        <v>-30.897827550419521</v>
      </c>
      <c r="G46" s="1107">
        <f>TableB1!I48+TableC5!O46</f>
        <v>-3.6241830845885619</v>
      </c>
      <c r="H46" s="1108">
        <f>TableB1!F48+TableB1!J48</f>
        <v>-24.206805813900001</v>
      </c>
      <c r="I46" s="1598">
        <f>TableB1!D48/TableA1!B46</f>
        <v>-7.8372005660718169E-3</v>
      </c>
      <c r="J46" s="422">
        <f>C46/TableC5!B46</f>
        <v>-2.4306854282748749E-3</v>
      </c>
      <c r="K46" s="1576">
        <f t="shared" si="1"/>
        <v>5.406515137796942E-3</v>
      </c>
      <c r="L46" s="1599">
        <f>TableB1b!B48/TableA1!B46</f>
        <v>-1.8518553347766802E-2</v>
      </c>
      <c r="M46" s="422">
        <f>D46/TableC5!B46</f>
        <v>-2.3783683763484435E-2</v>
      </c>
      <c r="N46" s="1600">
        <f t="shared" ref="N46" si="6">M46-L46</f>
        <v>-5.2651304157176337E-3</v>
      </c>
      <c r="O46" s="1601">
        <f>TableB1!C48/TableA1!B46</f>
        <v>-2.5261154657763428E-2</v>
      </c>
      <c r="P46" s="422">
        <f>J46+M46+TableB1!K48/TableC5!B46</f>
        <v>-2.5111315548629842E-2</v>
      </c>
      <c r="Q46" s="1602">
        <f t="shared" si="4"/>
        <v>1.4983910913358642E-4</v>
      </c>
      <c r="R46" s="1139"/>
      <c r="S46" s="1139"/>
      <c r="T46" s="1573"/>
      <c r="U46" s="1574"/>
    </row>
    <row r="47" spans="1:21" x14ac:dyDescent="0.2">
      <c r="A47" s="1231" t="s">
        <v>66</v>
      </c>
      <c r="B47" s="168">
        <f>TableC5!C47+D47</f>
        <v>9542.7014074727285</v>
      </c>
      <c r="C47" s="168">
        <f>TableB1!D49+TableC5!P47</f>
        <v>414.2842048721422</v>
      </c>
      <c r="D47" s="168">
        <f t="shared" si="2"/>
        <v>-97.470414550936582</v>
      </c>
      <c r="E47" s="1100">
        <f t="shared" si="0"/>
        <v>-90.969391617436585</v>
      </c>
      <c r="F47" s="1101">
        <f>TableB1!H49-TableA6!H47/(1+TableA5!O47)-TableC5!N47</f>
        <v>-95.081758957895346</v>
      </c>
      <c r="G47" s="1107">
        <f>TableB1!I49+TableC5!O47</f>
        <v>4.112367340458766</v>
      </c>
      <c r="H47" s="1108">
        <f>TableB1!F49+TableB1!J49</f>
        <v>-6.5010229334999998</v>
      </c>
      <c r="I47" s="1598">
        <f>TableB1!D49/TableA1!B47</f>
        <v>3.2348232839645781E-2</v>
      </c>
      <c r="J47" s="422">
        <f>C47/TableC5!B47</f>
        <v>3.7257504549161768E-2</v>
      </c>
      <c r="K47" s="1576">
        <f t="shared" si="1"/>
        <v>4.9092717095159874E-3</v>
      </c>
      <c r="L47" s="1599">
        <f>TableB1b!B49/TableA1!B47</f>
        <v>-3.71117365795339E-3</v>
      </c>
      <c r="M47" s="422">
        <f>D47/TableC5!B47</f>
        <v>-8.7657322457199895E-3</v>
      </c>
      <c r="N47" s="1600">
        <f t="shared" ref="N47:N52" si="7">M47-L47</f>
        <v>-5.0545585877665999E-3</v>
      </c>
      <c r="O47" s="1601">
        <f>TableB1!C49/TableA1!B47</f>
        <v>2.749367597605417E-2</v>
      </c>
      <c r="P47" s="422">
        <f>J47+M47+TableB1!K49/TableC5!B47</f>
        <v>2.7354189923074666E-2</v>
      </c>
      <c r="Q47" s="1602">
        <f t="shared" si="4"/>
        <v>-1.3948605297950389E-4</v>
      </c>
      <c r="R47" s="1139"/>
      <c r="S47" s="1139"/>
      <c r="T47" s="1573"/>
      <c r="U47" s="1574"/>
    </row>
    <row r="48" spans="1:21" x14ac:dyDescent="0.2">
      <c r="A48" s="1231" t="s">
        <v>67</v>
      </c>
      <c r="B48" s="168">
        <f>TableC5!C48+D48</f>
        <v>252.25768406694957</v>
      </c>
      <c r="C48" s="168">
        <f>TableB1!D50+TableC5!P48</f>
        <v>-17.235038418298995</v>
      </c>
      <c r="D48" s="168">
        <f t="shared" si="2"/>
        <v>-7.2779716137010055</v>
      </c>
      <c r="E48" s="1100">
        <f t="shared" si="0"/>
        <v>-3.056669410701006</v>
      </c>
      <c r="F48" s="1101">
        <f>TableB1!H50-TableA6!H48/(1+TableA5!O48)-TableC5!N48</f>
        <v>-2.6647553484306297</v>
      </c>
      <c r="G48" s="1107">
        <f>TableB1!I50+TableC5!O48</f>
        <v>-0.39191406227037651</v>
      </c>
      <c r="H48" s="1108">
        <f>TableB1!F50+TableB1!J50</f>
        <v>-4.2213022029999996</v>
      </c>
      <c r="I48" s="1598">
        <f>TableB1!D50/TableA1!B48</f>
        <v>-6.3609064262852538E-2</v>
      </c>
      <c r="J48" s="422">
        <f>C48/TableC5!B48</f>
        <v>-5.88572395551085E-2</v>
      </c>
      <c r="K48" s="1576">
        <f t="shared" si="1"/>
        <v>4.7518247077440387E-3</v>
      </c>
      <c r="L48" s="1599">
        <f>TableB1b!B50/TableA1!B48</f>
        <v>-2.0477943073768445E-2</v>
      </c>
      <c r="M48" s="422">
        <f>D48/TableC5!B48</f>
        <v>-2.4854097121598213E-2</v>
      </c>
      <c r="N48" s="1600">
        <f t="shared" si="7"/>
        <v>-4.3761540478297681E-3</v>
      </c>
      <c r="O48" s="1601">
        <f>TableB1!C50/TableA1!B48</f>
        <v>-6.5461390476197173E-2</v>
      </c>
      <c r="P48" s="422">
        <f>J48+M48+TableB1!K50/TableC5!B48</f>
        <v>-6.5168932407608141E-2</v>
      </c>
      <c r="Q48" s="1602">
        <f t="shared" si="4"/>
        <v>2.9245806858903267E-4</v>
      </c>
      <c r="R48" s="1139"/>
      <c r="S48" s="1139"/>
      <c r="T48" s="1573"/>
      <c r="U48" s="1574"/>
    </row>
    <row r="49" spans="1:27" x14ac:dyDescent="0.2">
      <c r="A49" s="1231" t="s">
        <v>68</v>
      </c>
      <c r="B49" s="168">
        <f>TableC5!C49+D49</f>
        <v>49.28369016109901</v>
      </c>
      <c r="C49" s="168">
        <f>TableB1!D51+TableC5!P49</f>
        <v>0.96755981531582658</v>
      </c>
      <c r="D49" s="168">
        <f t="shared" si="2"/>
        <v>-3.5328679860158263</v>
      </c>
      <c r="E49" s="1100">
        <f t="shared" si="0"/>
        <v>-2.9507817780158265</v>
      </c>
      <c r="F49" s="1101">
        <f>TableB1!H51-TableA6!H49/(1+TableA5!O49)-TableC5!N49</f>
        <v>-1.9554452221874608</v>
      </c>
      <c r="G49" s="1107">
        <f>TableB1!I51+TableC5!O49</f>
        <v>-0.99533655582836589</v>
      </c>
      <c r="H49" s="1108">
        <f>TableB1!F51+TableB1!J51</f>
        <v>-0.58208620799999988</v>
      </c>
      <c r="I49" s="1598">
        <f>TableB1!D51/TableA1!B49</f>
        <v>-3.3078039623503336E-4</v>
      </c>
      <c r="J49" s="422">
        <f>C49/TableC5!B49</f>
        <v>1.7361889965350867E-2</v>
      </c>
      <c r="K49" s="1576">
        <f t="shared" si="1"/>
        <v>1.7692670361585901E-2</v>
      </c>
      <c r="L49" s="1599">
        <f>TableB1b!B51/TableA1!B49</f>
        <v>-4.65299172284072E-2</v>
      </c>
      <c r="M49" s="422">
        <f>D49/TableC5!B49</f>
        <v>-6.3393770870172048E-2</v>
      </c>
      <c r="N49" s="1600">
        <f t="shared" si="7"/>
        <v>-1.6863853641764848E-2</v>
      </c>
      <c r="O49" s="1601">
        <f>TableB1!C51/TableA1!B49</f>
        <v>-3.8511145276925361E-2</v>
      </c>
      <c r="P49" s="422">
        <f>J49+M49+TableB1!K51/TableC5!B49</f>
        <v>-3.7830005585821211E-2</v>
      </c>
      <c r="Q49" s="1602">
        <f t="shared" si="4"/>
        <v>6.8113969110415035E-4</v>
      </c>
      <c r="R49" s="1139"/>
      <c r="S49" s="1139"/>
      <c r="T49" s="1573"/>
      <c r="U49" s="1574"/>
      <c r="V49" s="954"/>
      <c r="W49" s="954"/>
      <c r="X49" s="954"/>
      <c r="Y49" s="954"/>
      <c r="Z49" s="954"/>
      <c r="AA49" s="954"/>
    </row>
    <row r="50" spans="1:27" x14ac:dyDescent="0.2">
      <c r="A50" s="1231" t="s">
        <v>69</v>
      </c>
      <c r="B50" s="168">
        <f>TableC5!C50+D50</f>
        <v>1666.0116851860782</v>
      </c>
      <c r="C50" s="168">
        <f>TableB1!D52+TableC5!P50</f>
        <v>-54.416637101426851</v>
      </c>
      <c r="D50" s="168">
        <f t="shared" si="2"/>
        <v>-35.523404047373148</v>
      </c>
      <c r="E50" s="1100">
        <f t="shared" si="0"/>
        <v>-17.513990611873147</v>
      </c>
      <c r="F50" s="1101">
        <f>TableB1!H52-TableA6!H50/(1+TableA5!O50)-TableC5!N50</f>
        <v>-11.445607456944593</v>
      </c>
      <c r="G50" s="1107">
        <f>TableB1!I52+TableC5!O50</f>
        <v>-6.0683831549285543</v>
      </c>
      <c r="H50" s="1108">
        <f>TableB1!F52+TableB1!J52</f>
        <v>-18.009413435499997</v>
      </c>
      <c r="I50" s="1598">
        <f>TableB1!D52/TableA1!B50</f>
        <v>-2.9656095028010171E-2</v>
      </c>
      <c r="J50" s="422">
        <f>C50/TableC5!B50</f>
        <v>-2.540949078450784E-2</v>
      </c>
      <c r="K50" s="1576">
        <f t="shared" si="1"/>
        <v>4.2466042435023305E-3</v>
      </c>
      <c r="L50" s="1599">
        <f>TableB1b!B52/TableA1!B50</f>
        <v>-1.2514740546781975E-2</v>
      </c>
      <c r="M50" s="422">
        <f>D50/TableC5!B50</f>
        <v>-1.658741987480165E-2</v>
      </c>
      <c r="N50" s="1600">
        <f t="shared" si="7"/>
        <v>-4.0726793280196748E-3</v>
      </c>
      <c r="O50" s="1601">
        <f>TableB1!C52/TableA1!B50</f>
        <v>-1.2091091799662794E-2</v>
      </c>
      <c r="P50" s="422">
        <f>J50+M50+TableB1!K52/TableC5!B50</f>
        <v>-1.2041224584781091E-2</v>
      </c>
      <c r="Q50" s="1602">
        <f t="shared" si="4"/>
        <v>4.9867214881703023E-5</v>
      </c>
      <c r="R50" s="1139"/>
      <c r="S50" s="1139"/>
      <c r="T50" s="1573"/>
      <c r="U50" s="1574"/>
      <c r="V50" s="954"/>
      <c r="W50" s="954"/>
      <c r="X50" s="954"/>
      <c r="Y50" s="954"/>
      <c r="Z50" s="954"/>
      <c r="AA50" s="954"/>
    </row>
    <row r="51" spans="1:27" x14ac:dyDescent="0.2">
      <c r="A51" s="1231" t="s">
        <v>70</v>
      </c>
      <c r="B51" s="168">
        <f>TableC5!C51+D51</f>
        <v>1166.1366423721297</v>
      </c>
      <c r="C51" s="168">
        <f>TableB1!D53+TableC5!P51</f>
        <v>122.51618610614209</v>
      </c>
      <c r="D51" s="168">
        <f t="shared" si="2"/>
        <v>-48.938116106142083</v>
      </c>
      <c r="E51" s="1100">
        <f t="shared" si="0"/>
        <v>-34.755606106142082</v>
      </c>
      <c r="F51" s="1101">
        <f>TableB1!H53-TableA6!H51/(1+TableA5!O51)-TableC5!N51</f>
        <v>-30.274864349333907</v>
      </c>
      <c r="G51" s="1107">
        <f>TableB1!I53+TableC5!O51</f>
        <v>-4.4807417568081718</v>
      </c>
      <c r="H51" s="1108">
        <f>TableB1!F53+TableB1!J53</f>
        <v>-14.182510000000001</v>
      </c>
      <c r="I51" s="1598">
        <f>TableB1!D53/TableA1!B51</f>
        <v>8.1616945890620921E-2</v>
      </c>
      <c r="J51" s="422">
        <f>C51/TableC5!B51</f>
        <v>8.8979488953268029E-2</v>
      </c>
      <c r="K51" s="1576">
        <f t="shared" si="1"/>
        <v>7.3625430626471089E-3</v>
      </c>
      <c r="L51" s="1599">
        <f>TableB1b!B53/TableA1!B51</f>
        <v>-2.7747744566353802E-2</v>
      </c>
      <c r="M51" s="422">
        <f>D51/TableC5!B51</f>
        <v>-3.5542149162949781E-2</v>
      </c>
      <c r="N51" s="1600">
        <f t="shared" si="7"/>
        <v>-7.7944045965959788E-3</v>
      </c>
      <c r="O51" s="1601">
        <f>TableB1!C53/TableA1!B51</f>
        <v>4.9681408999641651E-2</v>
      </c>
      <c r="P51" s="422">
        <f>J51+M51+TableB1!K53/TableC5!B51</f>
        <v>4.9283120386261731E-2</v>
      </c>
      <c r="Q51" s="1602">
        <f t="shared" si="4"/>
        <v>-3.9828861337991989E-4</v>
      </c>
      <c r="R51" s="1139"/>
      <c r="S51" s="1139"/>
      <c r="T51" s="1573"/>
      <c r="U51" s="1574"/>
      <c r="V51" s="954"/>
      <c r="W51" s="954"/>
      <c r="X51" s="954"/>
      <c r="Y51" s="954"/>
      <c r="Z51" s="954"/>
      <c r="AA51" s="954"/>
    </row>
    <row r="52" spans="1:27" ht="17" thickBot="1" x14ac:dyDescent="0.25">
      <c r="A52" s="1608" t="s">
        <v>71</v>
      </c>
      <c r="B52" s="1609">
        <f>TableC5!C52+D52</f>
        <v>284.65241492723408</v>
      </c>
      <c r="C52" s="1609">
        <f>TableB1!D54+TableC5!P52</f>
        <v>0.33949464207583935</v>
      </c>
      <c r="D52" s="1609">
        <f t="shared" si="2"/>
        <v>-11.60279416097584</v>
      </c>
      <c r="E52" s="1610">
        <f t="shared" si="0"/>
        <v>-7.5366100070758391</v>
      </c>
      <c r="F52" s="1611">
        <f>TableB1!H54-TableA6!H52/(1+TableA5!O52)-TableC5!N52</f>
        <v>-7.8138654437819</v>
      </c>
      <c r="G52" s="1612">
        <f>TableB1!I54+TableC5!O52</f>
        <v>0.27725543670606051</v>
      </c>
      <c r="H52" s="1613">
        <f>TableB1!F54+TableB1!J54</f>
        <v>-4.0661841539000001</v>
      </c>
      <c r="I52" s="1614">
        <f>TableB1!D54/TableA1!B52</f>
        <v>-9.9019757731355715E-3</v>
      </c>
      <c r="J52" s="809">
        <f>C52/TableC5!B52</f>
        <v>9.6004981209782208E-4</v>
      </c>
      <c r="K52" s="1615">
        <f t="shared" si="1"/>
        <v>1.0862025585233394E-2</v>
      </c>
      <c r="L52" s="1616">
        <f>TableB1b!B54/TableA1!B52</f>
        <v>-2.2295575393895605E-2</v>
      </c>
      <c r="M52" s="809">
        <f>D52/TableC5!B52</f>
        <v>-3.2811299424178174E-2</v>
      </c>
      <c r="N52" s="1617">
        <f t="shared" si="7"/>
        <v>-1.0515724030282569E-2</v>
      </c>
      <c r="O52" s="1618">
        <f>TableB1!C54/TableA1!B52</f>
        <v>-3.9760815656306035E-2</v>
      </c>
      <c r="P52" s="809">
        <f>J52+M52+TableB1!K54/TableC5!B52</f>
        <v>-3.9333167223775826E-2</v>
      </c>
      <c r="Q52" s="1619">
        <f t="shared" si="4"/>
        <v>4.2764843253020879E-4</v>
      </c>
      <c r="R52" s="1139"/>
      <c r="S52" s="1139"/>
      <c r="T52" s="1573"/>
      <c r="U52" s="1574"/>
      <c r="V52" s="954"/>
      <c r="W52" s="954"/>
      <c r="X52" s="954"/>
      <c r="Y52" s="954"/>
      <c r="Z52" s="954"/>
      <c r="AA52" s="954"/>
    </row>
    <row r="53" spans="1:27" ht="40" hidden="1" customHeight="1" x14ac:dyDescent="0.2">
      <c r="A53" s="187" t="s">
        <v>72</v>
      </c>
      <c r="B53" s="168">
        <f>TableC5!C53+D53</f>
        <v>753.5532366179699</v>
      </c>
      <c r="C53" s="168">
        <f>TableB1!D55+TableC5!P53</f>
        <v>-311.97789921607279</v>
      </c>
      <c r="D53" s="168">
        <f t="shared" si="2"/>
        <v>22.210549024477004</v>
      </c>
      <c r="E53" s="208">
        <f t="shared" si="0"/>
        <v>-43.818864601077706</v>
      </c>
      <c r="F53" s="209">
        <f>SUM(F54:F89)</f>
        <v>-21.07662959034192</v>
      </c>
      <c r="G53" s="175">
        <f>SUM(G54:G89)</f>
        <v>-22.742235010735786</v>
      </c>
      <c r="H53" s="781">
        <f>SUM(H54:H89)</f>
        <v>66.02941362555471</v>
      </c>
      <c r="I53" s="195">
        <f>(E53+H53)/D53</f>
        <v>1</v>
      </c>
      <c r="J53" s="176">
        <f>C53/TableC5!B53</f>
        <v>-0.35414785353704353</v>
      </c>
      <c r="K53" s="688">
        <f t="shared" si="1"/>
        <v>-1.3541478535370435</v>
      </c>
      <c r="L53" s="783"/>
      <c r="M53" s="175"/>
      <c r="N53" s="782"/>
      <c r="O53" s="445">
        <f>TableB1!C55/TableA1!B53</f>
        <v>0</v>
      </c>
      <c r="P53" s="445"/>
      <c r="Q53" s="1620">
        <f t="shared" si="4"/>
        <v>0</v>
      </c>
      <c r="R53" s="954"/>
      <c r="S53" s="954"/>
      <c r="T53" s="1573"/>
      <c r="U53" s="1574"/>
      <c r="V53" s="954"/>
      <c r="W53" s="954"/>
      <c r="X53" s="954"/>
      <c r="Y53" s="954"/>
      <c r="Z53" s="954"/>
      <c r="AA53" s="954"/>
    </row>
    <row r="54" spans="1:27" hidden="1" x14ac:dyDescent="0.2">
      <c r="A54" s="1074" t="s">
        <v>73</v>
      </c>
      <c r="B54" s="168">
        <f>TableC5!C54+D54</f>
        <v>1.451883374087104</v>
      </c>
      <c r="C54" s="168" t="e">
        <f>TableB1!D56+TableC5!P54</f>
        <v>#N/A</v>
      </c>
      <c r="D54" s="168">
        <f t="shared" si="2"/>
        <v>-0.11295654841623215</v>
      </c>
      <c r="E54" s="1100">
        <f t="shared" si="0"/>
        <v>-0.11295654841623215</v>
      </c>
      <c r="F54" s="1101">
        <f>TableB1!H56-TableA6!H54/(1+TableA5!O54)-TableC5!N54</f>
        <v>-4.6806697183874535E-2</v>
      </c>
      <c r="G54" s="1107">
        <f>TableB1!I56+TableC5!O54</f>
        <v>-6.6149851232357615E-2</v>
      </c>
      <c r="H54" s="1108">
        <f>TableB1!F56+TableB1!J56</f>
        <v>0</v>
      </c>
      <c r="I54" s="1598" t="e">
        <f>TableB1!D56/TableA1!B54</f>
        <v>#N/A</v>
      </c>
      <c r="J54" s="422" t="e">
        <f>C54/TableC5!B54</f>
        <v>#N/A</v>
      </c>
      <c r="K54" s="1576" t="e">
        <f t="shared" si="1"/>
        <v>#N/A</v>
      </c>
      <c r="L54" s="1599"/>
      <c r="M54" s="1577"/>
      <c r="N54" s="1621"/>
      <c r="O54" s="1577" t="e">
        <f>TableB1!C56/TableA1!B54</f>
        <v>#N/A</v>
      </c>
      <c r="P54" s="786"/>
      <c r="Q54" s="1620" t="e">
        <f t="shared" si="4"/>
        <v>#N/A</v>
      </c>
      <c r="R54" s="954"/>
      <c r="S54" s="954"/>
      <c r="T54" s="1573"/>
      <c r="U54" s="1574"/>
      <c r="V54" s="954"/>
      <c r="W54" s="954"/>
      <c r="X54" s="954"/>
      <c r="Y54" s="954"/>
      <c r="Z54" s="954"/>
      <c r="AA54" s="954"/>
    </row>
    <row r="55" spans="1:27" hidden="1" x14ac:dyDescent="0.2">
      <c r="A55" s="1074" t="s">
        <v>74</v>
      </c>
      <c r="B55" s="168">
        <f>TableC5!C55+D55</f>
        <v>0.14108874052884576</v>
      </c>
      <c r="C55" s="168">
        <f>TableB1!D57+TableC5!P55</f>
        <v>-0.20210420852263919</v>
      </c>
      <c r="D55" s="168">
        <f t="shared" si="2"/>
        <v>-2.3982609092080019E-2</v>
      </c>
      <c r="E55" s="1100">
        <f t="shared" si="0"/>
        <v>-2.3982609092080019E-2</v>
      </c>
      <c r="F55" s="1101">
        <f>TableB1!H57-TableA6!H55/(1+TableA5!O55)-TableC5!N55</f>
        <v>-9.2498302047612779E-3</v>
      </c>
      <c r="G55" s="1107">
        <f>TableB1!I57+TableC5!O55</f>
        <v>-1.473277888731874E-2</v>
      </c>
      <c r="H55" s="1108">
        <f>TableB1!F57+TableB1!J57</f>
        <v>0</v>
      </c>
      <c r="I55" s="1103">
        <f>TableB1!D57/TableA1!B55</f>
        <v>0</v>
      </c>
      <c r="J55" s="24">
        <f>C55/TableC5!B55</f>
        <v>-1.0250114943663862</v>
      </c>
      <c r="K55" s="1576">
        <f t="shared" si="1"/>
        <v>-1.0250114943663862</v>
      </c>
      <c r="L55" s="1599"/>
      <c r="M55" s="1577"/>
      <c r="N55" s="1621"/>
      <c r="O55" s="1577">
        <f>TableB1!C57/TableA1!B55</f>
        <v>-0.36283342165695104</v>
      </c>
      <c r="P55" s="786"/>
      <c r="Q55" s="1620">
        <f t="shared" si="4"/>
        <v>0.36283342165695104</v>
      </c>
      <c r="R55" s="954"/>
      <c r="S55" s="954"/>
      <c r="T55" s="1573"/>
      <c r="U55" s="1574"/>
      <c r="V55" s="954"/>
      <c r="W55" s="954"/>
      <c r="X55" s="954"/>
      <c r="Y55" s="954"/>
      <c r="Z55" s="954"/>
      <c r="AA55" s="954"/>
    </row>
    <row r="56" spans="1:27" hidden="1" x14ac:dyDescent="0.2">
      <c r="A56" s="1074" t="s">
        <v>75</v>
      </c>
      <c r="B56" s="168">
        <f>TableC5!C56+D56</f>
        <v>0.51558547881696593</v>
      </c>
      <c r="C56" s="168">
        <f>TableB1!D58+TableC5!P56</f>
        <v>-0.73787856493654069</v>
      </c>
      <c r="D56" s="168">
        <f t="shared" si="2"/>
        <v>-3.312544798597581E-2</v>
      </c>
      <c r="E56" s="1100">
        <f t="shared" si="0"/>
        <v>-3.312544798597581E-2</v>
      </c>
      <c r="F56" s="1101">
        <f>TableB1!H58-TableA6!H56/(1+TableA5!O56)-TableC5!N56</f>
        <v>2.0663643405876009E-2</v>
      </c>
      <c r="G56" s="1107">
        <f>TableB1!I58+TableC5!O56</f>
        <v>-5.3789091391851819E-2</v>
      </c>
      <c r="H56" s="1108">
        <f>TableB1!F58+TableB1!J58</f>
        <v>0</v>
      </c>
      <c r="I56" s="1103">
        <f>TableB1!D58/TableA1!B56</f>
        <v>0</v>
      </c>
      <c r="J56" s="24">
        <f>C56/TableC5!B56</f>
        <v>-1.034340190294246</v>
      </c>
      <c r="K56" s="1576">
        <f t="shared" si="1"/>
        <v>-1.034340190294246</v>
      </c>
      <c r="L56" s="1599"/>
      <c r="M56" s="1577"/>
      <c r="N56" s="1621"/>
      <c r="O56" s="1577">
        <f>TableB1!C58/TableA1!B56</f>
        <v>-5.6342775083158721E-2</v>
      </c>
      <c r="P56" s="786"/>
      <c r="Q56" s="1620">
        <f t="shared" si="4"/>
        <v>5.6342775083158721E-2</v>
      </c>
      <c r="R56" s="954"/>
      <c r="S56" s="954"/>
      <c r="T56" s="1573"/>
      <c r="U56" s="1574"/>
      <c r="V56" s="954"/>
      <c r="W56" s="954"/>
      <c r="X56" s="954"/>
      <c r="Y56" s="954"/>
      <c r="Z56" s="954"/>
      <c r="AA56" s="954"/>
    </row>
    <row r="57" spans="1:27" hidden="1" x14ac:dyDescent="0.2">
      <c r="A57" s="1074" t="s">
        <v>76</v>
      </c>
      <c r="B57" s="168">
        <f>TableC5!C57+D57</f>
        <v>1.2517643697286291</v>
      </c>
      <c r="C57" s="168">
        <f>TableB1!D59+TableC5!P57</f>
        <v>-0.51980837837867022</v>
      </c>
      <c r="D57" s="168">
        <f t="shared" si="2"/>
        <v>-0.13970586565878662</v>
      </c>
      <c r="E57" s="1100">
        <f t="shared" si="0"/>
        <v>-0.10026452490794663</v>
      </c>
      <c r="F57" s="1101">
        <f>TableB1!H59-TableA6!H57/(1+TableA5!O57)-TableC5!N57</f>
        <v>-4.1443737686649107E-2</v>
      </c>
      <c r="G57" s="1107">
        <f>TableB1!I59+TableC5!O57</f>
        <v>-5.8820787221297528E-2</v>
      </c>
      <c r="H57" s="1108">
        <f>TableB1!F59+TableB1!J59</f>
        <v>-3.9441340750839993E-2</v>
      </c>
      <c r="I57" s="1103">
        <f>TableB1!D59/TableA1!B57</f>
        <v>0.11483798884</v>
      </c>
      <c r="J57" s="24">
        <f>C57/TableC5!B57</f>
        <v>-0.3070163646745328</v>
      </c>
      <c r="K57" s="1576">
        <f t="shared" si="1"/>
        <v>-0.42185435351453282</v>
      </c>
      <c r="L57" s="1599"/>
      <c r="M57" s="1577"/>
      <c r="N57" s="1621"/>
      <c r="O57" s="1577">
        <f>TableB1!C59/TableA1!B57</f>
        <v>5.578324025966401E-2</v>
      </c>
      <c r="P57" s="786"/>
      <c r="Q57" s="1620">
        <f t="shared" si="4"/>
        <v>-5.578324025966401E-2</v>
      </c>
      <c r="R57" s="954"/>
      <c r="S57" s="954"/>
      <c r="T57" s="1573"/>
      <c r="U57" s="1574"/>
      <c r="V57" s="954"/>
      <c r="W57" s="954"/>
      <c r="X57" s="954"/>
      <c r="Y57" s="954"/>
      <c r="Z57" s="954"/>
      <c r="AA57" s="954"/>
    </row>
    <row r="58" spans="1:27" hidden="1" x14ac:dyDescent="0.2">
      <c r="A58" s="1074" t="s">
        <v>77</v>
      </c>
      <c r="B58" s="168">
        <f>TableC5!C58+D58</f>
        <v>3.1322714592729772</v>
      </c>
      <c r="C58" s="168" t="e">
        <f>TableB1!D60+TableC5!P58</f>
        <v>#N/A</v>
      </c>
      <c r="D58" s="168">
        <f t="shared" si="2"/>
        <v>-0.99524820043262641</v>
      </c>
      <c r="E58" s="1100">
        <f t="shared" si="0"/>
        <v>-0.59261860273262634</v>
      </c>
      <c r="F58" s="1101">
        <f>TableB1!H60-TableA6!H58/(1+TableA5!O58)-TableC5!N58</f>
        <v>-9.4508763751958824E-2</v>
      </c>
      <c r="G58" s="1107">
        <f>TableB1!I60+TableC5!O58</f>
        <v>-0.49810983898066757</v>
      </c>
      <c r="H58" s="1108">
        <f>TableB1!F60+TableB1!J60</f>
        <v>-0.40262959770000001</v>
      </c>
      <c r="I58" s="1103" t="e">
        <f>TableB1!D60/TableA1!B58</f>
        <v>#N/A</v>
      </c>
      <c r="J58" s="24" t="e">
        <f>C58/TableC5!B58</f>
        <v>#N/A</v>
      </c>
      <c r="K58" s="1576" t="e">
        <f t="shared" si="1"/>
        <v>#N/A</v>
      </c>
      <c r="L58" s="1599"/>
      <c r="M58" s="1577"/>
      <c r="N58" s="1621"/>
      <c r="O58" s="1577" t="e">
        <f>TableB1!C60/TableA1!B58</f>
        <v>#N/A</v>
      </c>
      <c r="P58" s="786"/>
      <c r="Q58" s="1620" t="e">
        <f t="shared" si="4"/>
        <v>#N/A</v>
      </c>
      <c r="R58" s="954"/>
      <c r="S58" s="954"/>
      <c r="T58" s="1573"/>
      <c r="U58" s="1574"/>
      <c r="V58" s="954"/>
      <c r="W58" s="954"/>
      <c r="X58" s="954"/>
      <c r="Y58" s="954"/>
      <c r="Z58" s="954"/>
      <c r="AA58" s="954"/>
    </row>
    <row r="59" spans="1:27" hidden="1" x14ac:dyDescent="0.2">
      <c r="A59" s="1074" t="s">
        <v>78</v>
      </c>
      <c r="B59" s="168">
        <f>TableC5!C59+D59</f>
        <v>20.644078995447988</v>
      </c>
      <c r="C59" s="168" t="e">
        <f>TableB1!D61+TableC5!P59</f>
        <v>#N/A</v>
      </c>
      <c r="D59" s="168">
        <f t="shared" si="2"/>
        <v>-2.4842250290517187</v>
      </c>
      <c r="E59" s="1100">
        <f t="shared" si="0"/>
        <v>-2.4842250290517187</v>
      </c>
      <c r="F59" s="1101">
        <f>TableB1!H61-TableA6!H59/(1+TableA5!O59)-TableC5!N59</f>
        <v>-1.943377919092339</v>
      </c>
      <c r="G59" s="1107">
        <f>TableB1!I61+TableC5!O59</f>
        <v>-0.54084710995937968</v>
      </c>
      <c r="H59" s="1108">
        <f>TableB1!F61+TableB1!J61</f>
        <v>0</v>
      </c>
      <c r="I59" s="1103" t="e">
        <f>TableB1!D61/TableA1!B59</f>
        <v>#N/A</v>
      </c>
      <c r="J59" s="24" t="e">
        <f>C59/TableC5!B59</f>
        <v>#N/A</v>
      </c>
      <c r="K59" s="1576" t="e">
        <f t="shared" si="1"/>
        <v>#N/A</v>
      </c>
      <c r="L59" s="1599"/>
      <c r="M59" s="1577"/>
      <c r="N59" s="1621"/>
      <c r="O59" s="1577" t="e">
        <f>TableB1!C61/TableA1!B59</f>
        <v>#N/A</v>
      </c>
      <c r="P59" s="786"/>
      <c r="Q59" s="1620" t="e">
        <f t="shared" si="4"/>
        <v>#N/A</v>
      </c>
      <c r="R59" s="954"/>
      <c r="S59" s="954"/>
      <c r="T59" s="1573"/>
      <c r="U59" s="1574"/>
      <c r="V59" s="954"/>
      <c r="W59" s="954"/>
      <c r="X59" s="954"/>
      <c r="Y59" s="954"/>
      <c r="Z59" s="954"/>
      <c r="AA59" s="954"/>
    </row>
    <row r="60" spans="1:27" hidden="1" x14ac:dyDescent="0.2">
      <c r="A60" s="1074" t="s">
        <v>79</v>
      </c>
      <c r="B60" s="168">
        <f>TableC5!C60+D60</f>
        <v>1.7298739347313359</v>
      </c>
      <c r="C60" s="168">
        <f>TableB1!D62+TableC5!P60</f>
        <v>-4.3128436752005275</v>
      </c>
      <c r="D60" s="168">
        <f t="shared" si="2"/>
        <v>-0.15236576811519958</v>
      </c>
      <c r="E60" s="1100">
        <f t="shared" si="0"/>
        <v>-0.15236576811519958</v>
      </c>
      <c r="F60" s="1101">
        <f>TableB1!H62-TableA6!H60/(1+TableA5!O60)-TableC5!N60</f>
        <v>0.1620273497064062</v>
      </c>
      <c r="G60" s="1107">
        <f>TableB1!I62+TableC5!O60</f>
        <v>-0.31439311782160578</v>
      </c>
      <c r="H60" s="1108">
        <f>TableB1!F62+TableB1!J62</f>
        <v>0</v>
      </c>
      <c r="I60" s="1103">
        <f>TableB1!D62/TableA1!B60</f>
        <v>0</v>
      </c>
      <c r="J60" s="24">
        <f>C60/TableC5!B60</f>
        <v>-1.7709563031133</v>
      </c>
      <c r="K60" s="1576">
        <f t="shared" si="1"/>
        <v>-1.7709563031133</v>
      </c>
      <c r="L60" s="1599"/>
      <c r="M60" s="1577"/>
      <c r="N60" s="1621"/>
      <c r="O60" s="1577">
        <f>TableB1!C62/TableA1!B60</f>
        <v>-0.41355319205048979</v>
      </c>
      <c r="P60" s="786"/>
      <c r="Q60" s="1620">
        <f t="shared" si="4"/>
        <v>0.41355319205048979</v>
      </c>
      <c r="R60" s="954"/>
      <c r="S60" s="954"/>
      <c r="T60" s="1573"/>
      <c r="U60" s="1574"/>
      <c r="V60" s="954"/>
      <c r="W60" s="954"/>
      <c r="X60" s="954"/>
      <c r="Y60" s="954"/>
      <c r="Z60" s="954"/>
      <c r="AA60" s="954"/>
    </row>
    <row r="61" spans="1:27" hidden="1" x14ac:dyDescent="0.2">
      <c r="A61" s="1074" t="s">
        <v>80</v>
      </c>
      <c r="B61" s="168">
        <f>TableC5!C61+D61</f>
        <v>0.58738056382502979</v>
      </c>
      <c r="C61" s="168">
        <f>TableB1!D63+TableC5!P61</f>
        <v>-0.98598720482324809</v>
      </c>
      <c r="D61" s="168">
        <f t="shared" si="2"/>
        <v>-0.13193648002735775</v>
      </c>
      <c r="E61" s="1100">
        <f t="shared" si="0"/>
        <v>-8.6721452352237743E-2</v>
      </c>
      <c r="F61" s="1101">
        <f>TableB1!H63-TableA6!H61/(1+TableA5!O61)-TableC5!N61</f>
        <v>-2.5706055061810007E-2</v>
      </c>
      <c r="G61" s="1107">
        <f>TableB1!I63+TableC5!O61</f>
        <v>-6.1015397290427743E-2</v>
      </c>
      <c r="H61" s="1108">
        <f>TableB1!F63+TableB1!J63</f>
        <v>-4.5215027675120006E-2</v>
      </c>
      <c r="I61" s="1103">
        <f>TableB1!D63/TableA1!B61</f>
        <v>-8.5494362399931134E-2</v>
      </c>
      <c r="J61" s="24">
        <f>C61/TableC5!B61</f>
        <v>-1.0607081993422378</v>
      </c>
      <c r="K61" s="1576">
        <f t="shared" si="1"/>
        <v>-0.97521383694230668</v>
      </c>
      <c r="L61" s="1599"/>
      <c r="M61" s="1577"/>
      <c r="N61" s="1621"/>
      <c r="O61" s="1577">
        <f>TableB1!C63/TableA1!B61</f>
        <v>-0.10873383591582451</v>
      </c>
      <c r="P61" s="786"/>
      <c r="Q61" s="1620">
        <f t="shared" si="4"/>
        <v>0.10873383591582451</v>
      </c>
      <c r="R61" s="954"/>
      <c r="S61" s="954"/>
      <c r="T61" s="1573"/>
      <c r="U61" s="1574"/>
      <c r="V61" s="954"/>
      <c r="W61" s="954"/>
      <c r="X61" s="954"/>
      <c r="Y61" s="954"/>
      <c r="Z61" s="954"/>
      <c r="AA61" s="954"/>
    </row>
    <row r="62" spans="1:27" s="25" customFormat="1" hidden="1" x14ac:dyDescent="0.2">
      <c r="A62" s="1074" t="s">
        <v>81</v>
      </c>
      <c r="B62" s="168">
        <f>TableC5!C62+D62</f>
        <v>4.8184992582580399</v>
      </c>
      <c r="C62" s="168">
        <f>TableB1!D64+TableC5!P62</f>
        <v>-22.94061428414005</v>
      </c>
      <c r="D62" s="168">
        <f t="shared" si="2"/>
        <v>-0.6093516060120292</v>
      </c>
      <c r="E62" s="1100">
        <f t="shared" si="0"/>
        <v>-2.2222430741120291</v>
      </c>
      <c r="F62" s="1101">
        <f>TableB1!H64-TableA6!H62/(1+TableA5!O62)-TableC5!N62</f>
        <v>-0.59493728602341278</v>
      </c>
      <c r="G62" s="1107">
        <f>TableB1!I64+TableC5!O62</f>
        <v>-1.6273057880886164</v>
      </c>
      <c r="H62" s="1108">
        <f>TableB1!F64+TableB1!J64</f>
        <v>1.6128914680999999</v>
      </c>
      <c r="I62" s="1103">
        <f>TableB1!D64/TableA1!B62</f>
        <v>-0.10412882926623535</v>
      </c>
      <c r="J62" s="24">
        <f>C62/TableC5!B62</f>
        <v>-4.0508860868673358</v>
      </c>
      <c r="K62" s="1576">
        <f t="shared" si="1"/>
        <v>-3.9467572576011003</v>
      </c>
      <c r="L62" s="1599"/>
      <c r="M62" s="1577"/>
      <c r="N62" s="1621"/>
      <c r="O62" s="1577">
        <f>TableB1!C64/TableA1!B62</f>
        <v>-2.461272739084909</v>
      </c>
      <c r="P62" s="786"/>
      <c r="Q62" s="1622">
        <f t="shared" si="4"/>
        <v>2.461272739084909</v>
      </c>
      <c r="R62" s="1109"/>
      <c r="S62" s="1109"/>
      <c r="T62" s="1573"/>
      <c r="U62" s="1574"/>
      <c r="V62" s="1109"/>
      <c r="W62" s="1109"/>
      <c r="X62" s="1109"/>
      <c r="Y62" s="1109"/>
      <c r="Z62" s="1109"/>
      <c r="AA62" s="1109"/>
    </row>
    <row r="63" spans="1:27" hidden="1" x14ac:dyDescent="0.2">
      <c r="A63" s="1074" t="s">
        <v>82</v>
      </c>
      <c r="B63" s="168">
        <f>TableC5!C63+D63</f>
        <v>0.20946544555195309</v>
      </c>
      <c r="C63" s="168" t="e">
        <f>TableB1!D65+TableC5!P63</f>
        <v>#N/A</v>
      </c>
      <c r="D63" s="168">
        <f t="shared" si="2"/>
        <v>-1.6089848517591009E-2</v>
      </c>
      <c r="E63" s="1100">
        <f t="shared" si="0"/>
        <v>-1.6089848517591009E-2</v>
      </c>
      <c r="F63" s="1101">
        <f>TableB1!H65-TableA6!H63/(1+TableA5!O63)-TableC5!N63</f>
        <v>-6.6742778242408485E-3</v>
      </c>
      <c r="G63" s="1107">
        <f>TableB1!I65+TableC5!O63</f>
        <v>-9.4155706933501618E-3</v>
      </c>
      <c r="H63" s="1108">
        <f>TableB1!F65+TableB1!J65</f>
        <v>0</v>
      </c>
      <c r="I63" s="1103" t="e">
        <f>TableB1!D65/TableA1!B63</f>
        <v>#N/A</v>
      </c>
      <c r="J63" s="24" t="e">
        <f>C63/TableC5!B63</f>
        <v>#N/A</v>
      </c>
      <c r="K63" s="1576" t="e">
        <f t="shared" si="1"/>
        <v>#N/A</v>
      </c>
      <c r="L63" s="1599"/>
      <c r="M63" s="1577"/>
      <c r="N63" s="1621"/>
      <c r="O63" s="1577" t="e">
        <f>TableB1!C65/TableA1!B63</f>
        <v>#N/A</v>
      </c>
      <c r="P63" s="786"/>
      <c r="Q63" s="1620" t="e">
        <f t="shared" si="4"/>
        <v>#N/A</v>
      </c>
      <c r="R63" s="23"/>
      <c r="S63" s="23"/>
      <c r="T63" s="1573"/>
      <c r="U63" s="1574"/>
      <c r="V63" s="23"/>
      <c r="W63" s="23"/>
      <c r="X63" s="23"/>
      <c r="Y63" s="23"/>
      <c r="Z63" s="23"/>
      <c r="AA63" s="23"/>
    </row>
    <row r="64" spans="1:27" hidden="1" x14ac:dyDescent="0.2">
      <c r="A64" s="1074" t="s">
        <v>83</v>
      </c>
      <c r="B64" s="168">
        <f>TableC5!C64+D64</f>
        <v>-1.5039196762956544</v>
      </c>
      <c r="C64" s="168" t="e">
        <f>TableB1!D66+TableC5!P64</f>
        <v>#N/A</v>
      </c>
      <c r="D64" s="168">
        <f t="shared" si="2"/>
        <v>-2.0048483586202877</v>
      </c>
      <c r="E64" s="1100">
        <f t="shared" si="0"/>
        <v>-2.0048483586202877</v>
      </c>
      <c r="F64" s="1101">
        <f>TableB1!H66-TableA6!H64/(1+TableA5!O64)-TableC5!N64</f>
        <v>-3.1288217762540427E-2</v>
      </c>
      <c r="G64" s="1107">
        <f>TableB1!I66+TableC5!O64</f>
        <v>-1.9735601408577472</v>
      </c>
      <c r="H64" s="1108">
        <f>TableB1!F66+TableB1!J66</f>
        <v>0</v>
      </c>
      <c r="I64" s="1103" t="e">
        <f>TableB1!D66/TableA1!B64</f>
        <v>#N/A</v>
      </c>
      <c r="J64" s="24" t="e">
        <f>C64/TableC5!B64</f>
        <v>#N/A</v>
      </c>
      <c r="K64" s="1576" t="e">
        <f t="shared" si="1"/>
        <v>#N/A</v>
      </c>
      <c r="L64" s="1599"/>
      <c r="M64" s="1577"/>
      <c r="N64" s="1621"/>
      <c r="O64" s="1577" t="e">
        <f>TableB1!C66/TableA1!B64</f>
        <v>#N/A</v>
      </c>
      <c r="P64" s="786"/>
      <c r="Q64" s="1620" t="e">
        <f t="shared" si="4"/>
        <v>#N/A</v>
      </c>
      <c r="R64" s="23"/>
      <c r="S64" s="23"/>
      <c r="T64" s="1573"/>
      <c r="U64" s="1574"/>
      <c r="V64" s="23"/>
      <c r="W64" s="23"/>
      <c r="X64" s="23"/>
      <c r="Y64" s="23"/>
      <c r="Z64" s="23"/>
      <c r="AA64" s="23"/>
    </row>
    <row r="65" spans="1:27" hidden="1" x14ac:dyDescent="0.2">
      <c r="A65" s="1074" t="s">
        <v>84</v>
      </c>
      <c r="B65" s="168">
        <f>TableC5!C65+D65</f>
        <v>1.1186634269120799</v>
      </c>
      <c r="C65" s="168" t="e">
        <f>TableB1!D67+TableC5!P65</f>
        <v>#N/A</v>
      </c>
      <c r="D65" s="168">
        <f t="shared" si="2"/>
        <v>-1.7830697766885339</v>
      </c>
      <c r="E65" s="1100">
        <f t="shared" si="0"/>
        <v>-1.7830697766885339</v>
      </c>
      <c r="F65" s="1101">
        <f>TableB1!H67-TableA6!H65/(1+TableA5!O65)-TableC5!N65</f>
        <v>-0.27192596738511199</v>
      </c>
      <c r="G65" s="1107">
        <f>TableB1!I67+TableC5!O65</f>
        <v>-1.511143809303422</v>
      </c>
      <c r="H65" s="1108">
        <f>TableB1!F67+TableB1!J67</f>
        <v>0</v>
      </c>
      <c r="I65" s="1103" t="e">
        <f>TableB1!D67/TableA1!B65</f>
        <v>#N/A</v>
      </c>
      <c r="J65" s="24" t="e">
        <f>C65/TableC5!B65</f>
        <v>#N/A</v>
      </c>
      <c r="K65" s="1576" t="e">
        <f t="shared" si="1"/>
        <v>#N/A</v>
      </c>
      <c r="L65" s="1599"/>
      <c r="M65" s="1577"/>
      <c r="N65" s="1621"/>
      <c r="O65" s="1577" t="e">
        <f>TableB1!C67/TableA1!B65</f>
        <v>#N/A</v>
      </c>
      <c r="P65" s="786"/>
      <c r="Q65" s="1620" t="e">
        <f t="shared" si="4"/>
        <v>#N/A</v>
      </c>
      <c r="R65" s="23"/>
      <c r="S65" s="23"/>
      <c r="T65" s="1573"/>
      <c r="U65" s="1574"/>
      <c r="V65" s="23"/>
      <c r="W65" s="23"/>
      <c r="X65" s="23"/>
      <c r="Y65" s="23"/>
      <c r="Z65" s="23"/>
      <c r="AA65" s="23"/>
    </row>
    <row r="66" spans="1:27" hidden="1" x14ac:dyDescent="0.2">
      <c r="A66" s="1074" t="s">
        <v>85</v>
      </c>
      <c r="B66" s="168">
        <f>TableC5!C66+D66</f>
        <v>2.2233226413488856</v>
      </c>
      <c r="C66" s="168">
        <f>TableB1!D68+TableC5!P66</f>
        <v>-10.759637024589763</v>
      </c>
      <c r="D66" s="168">
        <f t="shared" si="2"/>
        <v>-0.44659917276435551</v>
      </c>
      <c r="E66" s="1100">
        <f t="shared" si="0"/>
        <v>-0.47816341856491551</v>
      </c>
      <c r="F66" s="1101">
        <f>TableB1!H68-TableA6!H66/(1+TableA5!O66)-TableC5!N66</f>
        <v>0.27162685145362175</v>
      </c>
      <c r="G66" s="1107">
        <f>TableB1!I68+TableC5!O66</f>
        <v>-0.74979027001853726</v>
      </c>
      <c r="H66" s="1108">
        <f>TableB1!F68+TableB1!J68</f>
        <v>3.1564245800559998E-2</v>
      </c>
      <c r="I66" s="1103">
        <f>TableB1!D68/TableA1!B66</f>
        <v>-0.16458915270833335</v>
      </c>
      <c r="J66" s="24">
        <f>C66/TableC5!B66</f>
        <v>-3.513277014975019</v>
      </c>
      <c r="K66" s="1576">
        <f t="shared" si="1"/>
        <v>-3.3486878622666856</v>
      </c>
      <c r="L66" s="1599"/>
      <c r="M66" s="1577"/>
      <c r="N66" s="1621"/>
      <c r="O66" s="1577">
        <f>TableB1!C68/TableA1!B66</f>
        <v>0.59531685931947698</v>
      </c>
      <c r="P66" s="786"/>
      <c r="Q66" s="1620">
        <f t="shared" si="4"/>
        <v>-0.59531685931947698</v>
      </c>
      <c r="R66" s="23"/>
      <c r="S66" s="23"/>
      <c r="T66" s="1573"/>
      <c r="U66" s="1574"/>
      <c r="V66" s="23"/>
      <c r="W66" s="23"/>
      <c r="X66" s="23"/>
      <c r="Y66" s="23"/>
      <c r="Z66" s="23"/>
      <c r="AA66" s="23"/>
    </row>
    <row r="67" spans="1:27" hidden="1" x14ac:dyDescent="0.2">
      <c r="A67" s="1074" t="s">
        <v>86</v>
      </c>
      <c r="B67" s="168">
        <f>TableC5!C67+D67</f>
        <v>16.815699882855579</v>
      </c>
      <c r="C67" s="168">
        <f>TableB1!D69+TableC5!P67</f>
        <v>-3.8742004141523947</v>
      </c>
      <c r="D67" s="168">
        <f t="shared" si="2"/>
        <v>-0.1342712988988497</v>
      </c>
      <c r="E67" s="1100">
        <f t="shared" si="0"/>
        <v>0.4449134038011503</v>
      </c>
      <c r="F67" s="1101">
        <f>TableB1!H69-TableA6!H67/(1+TableA5!O67)-TableC5!N67</f>
        <v>0.73166810095830659</v>
      </c>
      <c r="G67" s="1107">
        <f>TableB1!I69+TableC5!O67</f>
        <v>-0.28675469715715629</v>
      </c>
      <c r="H67" s="1108">
        <f>TableB1!F69+TableB1!J69</f>
        <v>-0.5791847027</v>
      </c>
      <c r="I67" s="1103">
        <f>TableB1!D69/TableA1!B67</f>
        <v>3.0418036461049252E-3</v>
      </c>
      <c r="J67" s="24">
        <f>C67/TableC5!B67</f>
        <v>-0.2025265993870535</v>
      </c>
      <c r="K67" s="1576">
        <f t="shared" si="1"/>
        <v>-0.20556840303315843</v>
      </c>
      <c r="L67" s="1599"/>
      <c r="M67" s="1577"/>
      <c r="N67" s="1621"/>
      <c r="O67" s="1577">
        <f>TableB1!C69/TableA1!B67</f>
        <v>-0.1724649823162494</v>
      </c>
      <c r="P67" s="786"/>
      <c r="Q67" s="1620">
        <f t="shared" si="4"/>
        <v>0.1724649823162494</v>
      </c>
      <c r="R67" s="23"/>
      <c r="S67" s="23"/>
      <c r="T67" s="1573"/>
      <c r="U67" s="1574"/>
      <c r="V67" s="23"/>
      <c r="W67" s="23"/>
      <c r="X67" s="23"/>
      <c r="Y67" s="23"/>
      <c r="Z67" s="23"/>
      <c r="AA67" s="23"/>
    </row>
    <row r="68" spans="1:27" hidden="1" x14ac:dyDescent="0.2">
      <c r="A68" s="1074" t="s">
        <v>87</v>
      </c>
      <c r="B68" s="168">
        <f>TableC5!C68+D68</f>
        <v>2.7492515209745672</v>
      </c>
      <c r="C68" s="168" t="e">
        <f>TableB1!D70+TableC5!P68</f>
        <v>#N/A</v>
      </c>
      <c r="D68" s="168">
        <f t="shared" si="2"/>
        <v>-0.325624305173353</v>
      </c>
      <c r="E68" s="1100">
        <f t="shared" si="0"/>
        <v>-0.325624305173353</v>
      </c>
      <c r="F68" s="1101">
        <f>TableB1!H70-TableA6!H68/(1+TableA5!O68)-TableC5!N68</f>
        <v>8.2009282883710455E-3</v>
      </c>
      <c r="G68" s="1107">
        <f>TableB1!I70+TableC5!O68</f>
        <v>-0.33382523346172405</v>
      </c>
      <c r="H68" s="1108">
        <f>TableB1!F70+TableB1!J70</f>
        <v>0</v>
      </c>
      <c r="I68" s="1103" t="e">
        <f>TableB1!D70/TableA1!B68</f>
        <v>#N/A</v>
      </c>
      <c r="J68" s="24" t="e">
        <f>C68/TableC5!B68</f>
        <v>#N/A</v>
      </c>
      <c r="K68" s="1576" t="e">
        <f t="shared" si="1"/>
        <v>#N/A</v>
      </c>
      <c r="L68" s="1599"/>
      <c r="M68" s="1577"/>
      <c r="N68" s="1621"/>
      <c r="O68" s="1577" t="e">
        <f>TableB1!C70/TableA1!B68</f>
        <v>#N/A</v>
      </c>
      <c r="P68" s="786"/>
      <c r="Q68" s="1620" t="e">
        <f t="shared" si="4"/>
        <v>#N/A</v>
      </c>
      <c r="R68" s="23"/>
      <c r="S68" s="23"/>
      <c r="T68" s="1573"/>
      <c r="U68" s="1574"/>
      <c r="V68" s="23"/>
      <c r="W68" s="23"/>
      <c r="X68" s="23"/>
      <c r="Y68" s="23"/>
      <c r="Z68" s="23"/>
      <c r="AA68" s="23"/>
    </row>
    <row r="69" spans="1:27" hidden="1" x14ac:dyDescent="0.2">
      <c r="A69" s="1074" t="s">
        <v>88</v>
      </c>
      <c r="B69" s="168">
        <f>TableC5!C69+D69</f>
        <v>0.52118176838009345</v>
      </c>
      <c r="C69" s="168">
        <f>TableB1!D71+TableC5!P69</f>
        <v>-0.3412416163704784</v>
      </c>
      <c r="D69" s="168">
        <f t="shared" si="2"/>
        <v>-2.0916620666896455E-2</v>
      </c>
      <c r="E69" s="1100">
        <f t="shared" si="0"/>
        <v>-2.0916620666896455E-2</v>
      </c>
      <c r="F69" s="1101">
        <f>TableB1!H71-TableA6!H69/(1+TableA5!O69)-TableC5!N69</f>
        <v>3.9588498534234851E-3</v>
      </c>
      <c r="G69" s="1107">
        <f>TableB1!I71+TableC5!O69</f>
        <v>-2.487547052031994E-2</v>
      </c>
      <c r="H69" s="1108">
        <f>TableB1!F71+TableB1!J71</f>
        <v>0</v>
      </c>
      <c r="I69" s="1103">
        <f>TableB1!D71/TableA1!B69</f>
        <v>0</v>
      </c>
      <c r="J69" s="24">
        <f>C69/TableC5!B69</f>
        <v>-0.50716301647642126</v>
      </c>
      <c r="K69" s="1576">
        <f t="shared" si="1"/>
        <v>-0.50716301647642126</v>
      </c>
      <c r="L69" s="1599"/>
      <c r="M69" s="1577"/>
      <c r="N69" s="1621"/>
      <c r="O69" s="1577">
        <f>TableB1!C71/TableA1!B69</f>
        <v>-1.5245614879720122E-2</v>
      </c>
      <c r="P69" s="786"/>
      <c r="Q69" s="1620">
        <f t="shared" si="4"/>
        <v>1.5245614879720122E-2</v>
      </c>
      <c r="R69" s="23"/>
      <c r="S69" s="23"/>
      <c r="T69" s="1573"/>
      <c r="U69" s="1574"/>
      <c r="V69" s="23"/>
      <c r="W69" s="23"/>
      <c r="X69" s="23"/>
      <c r="Y69" s="23"/>
      <c r="Z69" s="23"/>
      <c r="AA69" s="23"/>
    </row>
    <row r="70" spans="1:27" hidden="1" x14ac:dyDescent="0.2">
      <c r="A70" s="1074" t="s">
        <v>89</v>
      </c>
      <c r="B70" s="168">
        <f>TableC5!C70+D70</f>
        <v>1.9158429848815184</v>
      </c>
      <c r="C70" s="168" t="e">
        <f>TableB1!D72+TableC5!P70</f>
        <v>#N/A</v>
      </c>
      <c r="D70" s="168">
        <f t="shared" si="2"/>
        <v>-0.27331795846364032</v>
      </c>
      <c r="E70" s="1100">
        <f t="shared" si="0"/>
        <v>-0.27331795846364032</v>
      </c>
      <c r="F70" s="1101">
        <f>TableB1!H72-TableA6!H70/(1+TableA5!O70)-TableC5!N70</f>
        <v>-0.1630010323166744</v>
      </c>
      <c r="G70" s="1107">
        <f>TableB1!I72+TableC5!O70</f>
        <v>-0.11031692614696591</v>
      </c>
      <c r="H70" s="1108">
        <f>TableB1!F72+TableB1!J72</f>
        <v>0</v>
      </c>
      <c r="I70" s="1103" t="e">
        <f>TableB1!D72/TableA1!B70</f>
        <v>#N/A</v>
      </c>
      <c r="J70" s="24" t="e">
        <f>C70/TableC5!B70</f>
        <v>#N/A</v>
      </c>
      <c r="K70" s="1576" t="e">
        <f t="shared" si="1"/>
        <v>#N/A</v>
      </c>
      <c r="L70" s="1599"/>
      <c r="M70" s="1577"/>
      <c r="N70" s="1621"/>
      <c r="O70" s="1577" t="e">
        <f>TableB1!C72/TableA1!B70</f>
        <v>#N/A</v>
      </c>
      <c r="P70" s="786"/>
      <c r="Q70" s="1620" t="e">
        <f t="shared" si="4"/>
        <v>#N/A</v>
      </c>
      <c r="R70" s="23"/>
      <c r="S70" s="23"/>
      <c r="T70" s="1573"/>
      <c r="U70" s="1574"/>
      <c r="V70" s="23"/>
      <c r="W70" s="23"/>
      <c r="X70" s="23"/>
      <c r="Y70" s="23"/>
      <c r="Z70" s="23"/>
      <c r="AA70" s="23"/>
    </row>
    <row r="71" spans="1:27" hidden="1" x14ac:dyDescent="0.2">
      <c r="A71" s="1074" t="s">
        <v>90</v>
      </c>
      <c r="B71" s="168">
        <f>TableC5!C71+D71</f>
        <v>1.2892953772770199</v>
      </c>
      <c r="C71" s="168" t="e">
        <f>TableB1!D73+TableC5!P71</f>
        <v>#N/A</v>
      </c>
      <c r="D71" s="168">
        <f t="shared" si="2"/>
        <v>-0.10774357890799104</v>
      </c>
      <c r="E71" s="1100">
        <f t="shared" si="0"/>
        <v>-0.10774357890799104</v>
      </c>
      <c r="F71" s="1101">
        <f>TableB1!H73-TableA6!H71/(1+TableA5!O71)-TableC5!N71</f>
        <v>-4.8687741359959791E-2</v>
      </c>
      <c r="G71" s="1107">
        <f>TableB1!I73+TableC5!O71</f>
        <v>-5.9055837548031245E-2</v>
      </c>
      <c r="H71" s="1108">
        <f>TableB1!F73+TableB1!J73</f>
        <v>0</v>
      </c>
      <c r="I71" s="1103" t="e">
        <f>TableB1!D73/TableA1!B71</f>
        <v>#N/A</v>
      </c>
      <c r="J71" s="24" t="e">
        <f>C71/TableC5!B71</f>
        <v>#N/A</v>
      </c>
      <c r="K71" s="1576" t="e">
        <f t="shared" si="1"/>
        <v>#N/A</v>
      </c>
      <c r="L71" s="1599"/>
      <c r="M71" s="1577"/>
      <c r="N71" s="1621"/>
      <c r="O71" s="1577" t="e">
        <f>TableB1!C73/TableA1!B71</f>
        <v>#N/A</v>
      </c>
      <c r="P71" s="786"/>
      <c r="Q71" s="1620" t="e">
        <f t="shared" si="4"/>
        <v>#N/A</v>
      </c>
      <c r="R71" s="954"/>
      <c r="S71" s="954"/>
      <c r="T71" s="1573"/>
      <c r="U71" s="1574"/>
      <c r="V71" s="954"/>
      <c r="W71" s="954"/>
      <c r="X71" s="954"/>
      <c r="Y71" s="954"/>
      <c r="Z71" s="954"/>
      <c r="AA71" s="954"/>
    </row>
    <row r="72" spans="1:27" hidden="1" x14ac:dyDescent="0.2">
      <c r="A72" s="1074" t="s">
        <v>91</v>
      </c>
      <c r="B72" s="168">
        <f>TableC5!C72+D72</f>
        <v>270.29711755546992</v>
      </c>
      <c r="C72" s="168" t="e">
        <f>TableB1!D74+TableC5!P72</f>
        <v>#N/A</v>
      </c>
      <c r="D72" s="168">
        <f t="shared" si="2"/>
        <v>16.747886128886112</v>
      </c>
      <c r="E72" s="1100">
        <f t="shared" si="0"/>
        <v>-3.8059028711138887</v>
      </c>
      <c r="F72" s="1101">
        <f>TableB1!H74-TableA6!H72/(1+TableA5!O72)-TableC5!N72</f>
        <v>-1.1536961639114622</v>
      </c>
      <c r="G72" s="1107">
        <f>TableB1!I74+TableC5!O72</f>
        <v>-2.6522067072024265</v>
      </c>
      <c r="H72" s="1108">
        <f>TableB1!F74+TableB1!J74</f>
        <v>20.553789000000002</v>
      </c>
      <c r="I72" s="1103" t="e">
        <f>TableB1!D74/TableA1!B72</f>
        <v>#N/A</v>
      </c>
      <c r="J72" s="24" t="e">
        <f>C72/TableC5!B72</f>
        <v>#N/A</v>
      </c>
      <c r="K72" s="1576" t="e">
        <f t="shared" si="1"/>
        <v>#N/A</v>
      </c>
      <c r="L72" s="1599"/>
      <c r="M72" s="1577"/>
      <c r="N72" s="1621"/>
      <c r="O72" s="1577" t="e">
        <f>TableB1!C74/TableA1!B72</f>
        <v>#N/A</v>
      </c>
      <c r="P72" s="786"/>
      <c r="Q72" s="1620" t="e">
        <f t="shared" si="4"/>
        <v>#N/A</v>
      </c>
      <c r="R72" s="954"/>
      <c r="S72" s="954"/>
      <c r="T72" s="1573"/>
      <c r="U72" s="1574"/>
      <c r="V72" s="954"/>
      <c r="W72" s="954"/>
      <c r="X72" s="954"/>
      <c r="Y72" s="954"/>
      <c r="Z72" s="954"/>
      <c r="AA72" s="954"/>
    </row>
    <row r="73" spans="1:27" hidden="1" x14ac:dyDescent="0.2">
      <c r="A73" s="1074" t="s">
        <v>92</v>
      </c>
      <c r="B73" s="168">
        <f>TableC5!C73+D73</f>
        <v>3.3368940965888889</v>
      </c>
      <c r="C73" s="168" t="e">
        <f>TableB1!D75+TableC5!P73</f>
        <v>#N/A</v>
      </c>
      <c r="D73" s="168">
        <f t="shared" si="2"/>
        <v>-0.44367720749957062</v>
      </c>
      <c r="E73" s="1100">
        <f t="shared" si="0"/>
        <v>-0.44367720749957062</v>
      </c>
      <c r="F73" s="1101">
        <f>TableB1!H75-TableA6!H73/(1+TableA5!O73)-TableC5!N73</f>
        <v>-0.23613607982594242</v>
      </c>
      <c r="G73" s="1107">
        <f>TableB1!I75+TableC5!O73</f>
        <v>-0.20754112767362817</v>
      </c>
      <c r="H73" s="1108">
        <f>TableB1!F75+TableB1!J75</f>
        <v>0</v>
      </c>
      <c r="I73" s="1103" t="e">
        <f>TableB1!D75/TableA1!B73</f>
        <v>#N/A</v>
      </c>
      <c r="J73" s="24" t="e">
        <f>C73/TableC5!B73</f>
        <v>#N/A</v>
      </c>
      <c r="K73" s="1576" t="e">
        <f t="shared" si="1"/>
        <v>#N/A</v>
      </c>
      <c r="L73" s="1599"/>
      <c r="M73" s="1577"/>
      <c r="N73" s="1621"/>
      <c r="O73" s="1577" t="e">
        <f>TableB1!C75/TableA1!B73</f>
        <v>#N/A</v>
      </c>
      <c r="P73" s="786"/>
      <c r="Q73" s="1620" t="e">
        <f t="shared" si="4"/>
        <v>#N/A</v>
      </c>
      <c r="R73" s="954"/>
      <c r="S73" s="954"/>
      <c r="T73" s="1573"/>
      <c r="U73" s="1574"/>
      <c r="V73" s="954"/>
      <c r="W73" s="954"/>
      <c r="X73" s="954"/>
      <c r="Y73" s="954"/>
      <c r="Z73" s="954"/>
      <c r="AA73" s="954"/>
    </row>
    <row r="74" spans="1:27" hidden="1" x14ac:dyDescent="0.2">
      <c r="A74" s="1088" t="s">
        <v>93</v>
      </c>
      <c r="B74" s="168">
        <f>TableC5!C74+D74</f>
        <v>32.635409338470282</v>
      </c>
      <c r="C74" s="168">
        <f>TableB1!D76+TableC5!P74</f>
        <v>-18.288497872714458</v>
      </c>
      <c r="D74" s="168">
        <f t="shared" si="2"/>
        <v>-3.5317426177989</v>
      </c>
      <c r="E74" s="1100">
        <f t="shared" ref="E74:E91" si="8">F74+G74</f>
        <v>-2.9438761984988999</v>
      </c>
      <c r="F74" s="1101">
        <f>TableB1!H76-TableA6!H74/(1+TableA5!O74)-TableC5!N74</f>
        <v>-2.4053116440250317</v>
      </c>
      <c r="G74" s="1107">
        <f>TableB1!I76+TableC5!O74</f>
        <v>-0.53856455447386808</v>
      </c>
      <c r="H74" s="1108">
        <f>TableB1!F76+TableB1!J76</f>
        <v>-0.58786641929999994</v>
      </c>
      <c r="I74" s="1115">
        <f>TableB1!D76/TableA1!B74</f>
        <v>-0.22039275170898093</v>
      </c>
      <c r="J74" s="138">
        <f>C74/TableC5!B74</f>
        <v>-0.4340510754483381</v>
      </c>
      <c r="K74" s="1576">
        <f t="shared" ref="K74:K91" si="9">J74-I74</f>
        <v>-0.21365832373935717</v>
      </c>
      <c r="L74" s="1599"/>
      <c r="M74" s="1577"/>
      <c r="N74" s="1621"/>
      <c r="O74" s="1577">
        <f>TableB1!C76/TableA1!B74</f>
        <v>-0.16278760096079001</v>
      </c>
      <c r="P74" s="786"/>
      <c r="Q74" s="1620">
        <f t="shared" si="4"/>
        <v>0.16278760096079001</v>
      </c>
      <c r="R74" s="954"/>
      <c r="S74" s="954"/>
      <c r="T74" s="1573"/>
      <c r="U74" s="1574"/>
      <c r="V74" s="954"/>
      <c r="W74" s="954"/>
      <c r="X74" s="954"/>
      <c r="Y74" s="954"/>
      <c r="Z74" s="954"/>
      <c r="AA74" s="954"/>
    </row>
    <row r="75" spans="1:27" s="25" customFormat="1" hidden="1" x14ac:dyDescent="0.2">
      <c r="A75" s="1074" t="s">
        <v>94</v>
      </c>
      <c r="B75" s="168">
        <f>TableC5!C75+D75</f>
        <v>4.9758780699675507</v>
      </c>
      <c r="C75" s="168" t="e">
        <f>TableB1!D77+TableC5!P75</f>
        <v>#N/A</v>
      </c>
      <c r="D75" s="168">
        <f t="shared" ref="D75:D91" si="10">E75+H75</f>
        <v>-0.53776485205195546</v>
      </c>
      <c r="E75" s="1100">
        <f t="shared" si="8"/>
        <v>-0.53776485205195546</v>
      </c>
      <c r="F75" s="1101">
        <f>TableB1!H77-TableA6!H75/(1+TableA5!O75)-TableC5!N75</f>
        <v>-0.53885036980717338</v>
      </c>
      <c r="G75" s="1107">
        <f>TableB1!I77+TableC5!O75</f>
        <v>1.0855177552179078E-3</v>
      </c>
      <c r="H75" s="1108">
        <f>TableB1!F77+TableB1!J77</f>
        <v>0</v>
      </c>
      <c r="I75" s="1103" t="e">
        <f>TableB1!D77/TableA1!B75</f>
        <v>#N/A</v>
      </c>
      <c r="J75" s="24" t="e">
        <f>C75/TableC5!B75</f>
        <v>#N/A</v>
      </c>
      <c r="K75" s="1576" t="e">
        <f t="shared" si="9"/>
        <v>#N/A</v>
      </c>
      <c r="L75" s="1599"/>
      <c r="M75" s="1577"/>
      <c r="N75" s="1621"/>
      <c r="O75" s="1577" t="e">
        <f>TableB1!C77/TableA1!B75</f>
        <v>#N/A</v>
      </c>
      <c r="P75" s="786"/>
      <c r="Q75" s="1622" t="e">
        <f t="shared" ref="Q75:Q91" si="11">P75-O75</f>
        <v>#N/A</v>
      </c>
      <c r="R75" s="1109"/>
      <c r="S75" s="1109"/>
      <c r="T75" s="1573"/>
      <c r="U75" s="1574"/>
      <c r="V75" s="1109"/>
      <c r="W75" s="1109"/>
      <c r="X75" s="1109"/>
      <c r="Y75" s="1109"/>
      <c r="Z75" s="1109"/>
      <c r="AA75" s="1109"/>
    </row>
    <row r="76" spans="1:27" hidden="1" x14ac:dyDescent="0.2">
      <c r="A76" s="1074" t="s">
        <v>95</v>
      </c>
      <c r="B76" s="168">
        <f>TableC5!C76+D76</f>
        <v>34.096677770510141</v>
      </c>
      <c r="C76" s="168" t="e">
        <f>TableB1!D78+TableC5!P76</f>
        <v>#N/A</v>
      </c>
      <c r="D76" s="168">
        <f t="shared" si="10"/>
        <v>0.74638444090869727</v>
      </c>
      <c r="E76" s="1100">
        <f t="shared" si="8"/>
        <v>-1.8816343729913025</v>
      </c>
      <c r="F76" s="1101">
        <f>TableB1!H78-TableA6!H76/(1+TableA5!O76)-TableC5!N76</f>
        <v>-1.2696385352906212</v>
      </c>
      <c r="G76" s="1107">
        <f>TableB1!I78+TableC5!O76</f>
        <v>-0.61199583770068133</v>
      </c>
      <c r="H76" s="1108">
        <f>TableB1!F78+TableB1!J78</f>
        <v>2.6280188138999998</v>
      </c>
      <c r="I76" s="1103" t="e">
        <f>TableB1!D78/TableA1!B76</f>
        <v>#N/A</v>
      </c>
      <c r="J76" s="24" t="e">
        <f>C76/TableC5!B76</f>
        <v>#N/A</v>
      </c>
      <c r="K76" s="1576" t="e">
        <f t="shared" si="9"/>
        <v>#N/A</v>
      </c>
      <c r="L76" s="1599"/>
      <c r="M76" s="1577"/>
      <c r="N76" s="1621"/>
      <c r="O76" s="1577" t="e">
        <f>TableB1!C78/TableA1!B76</f>
        <v>#N/A</v>
      </c>
      <c r="P76" s="786"/>
      <c r="Q76" s="1620" t="e">
        <f t="shared" si="11"/>
        <v>#N/A</v>
      </c>
      <c r="R76" s="954"/>
      <c r="S76" s="954"/>
      <c r="T76" s="1573"/>
      <c r="U76" s="1574"/>
      <c r="V76" s="954"/>
      <c r="W76" s="954"/>
      <c r="X76" s="954"/>
      <c r="Y76" s="954"/>
      <c r="Z76" s="954"/>
      <c r="AA76" s="954"/>
    </row>
    <row r="77" spans="1:27" hidden="1" x14ac:dyDescent="0.2">
      <c r="A77" s="1074" t="s">
        <v>96</v>
      </c>
      <c r="B77" s="168">
        <f>TableC5!C77+D77</f>
        <v>9.3451419439983709</v>
      </c>
      <c r="C77" s="168">
        <f>TableB1!D79+TableC5!P77</f>
        <v>-10.668194702962433</v>
      </c>
      <c r="D77" s="168">
        <f t="shared" si="10"/>
        <v>1.6921435566360286</v>
      </c>
      <c r="E77" s="1100">
        <f t="shared" si="8"/>
        <v>-7.812768169063971</v>
      </c>
      <c r="F77" s="1101">
        <f>TableB1!H79-TableA6!H77/(1+TableA5!O77)-TableC5!N77</f>
        <v>-6.9751930957633146</v>
      </c>
      <c r="G77" s="1107">
        <f>TableB1!I79+TableC5!O77</f>
        <v>-0.8375750733006565</v>
      </c>
      <c r="H77" s="1108">
        <f>TableB1!F79+TableB1!J79</f>
        <v>9.5049117256999995</v>
      </c>
      <c r="I77" s="1103">
        <f>TableB1!D79/TableA1!B77</f>
        <v>8.4302967009628083E-2</v>
      </c>
      <c r="J77" s="24">
        <f>C77/TableC5!B77</f>
        <v>-1.2120857443233592</v>
      </c>
      <c r="K77" s="1576">
        <f t="shared" si="9"/>
        <v>-1.2963887113329873</v>
      </c>
      <c r="L77" s="1599"/>
      <c r="M77" s="1577"/>
      <c r="N77" s="1621"/>
      <c r="O77" s="1577">
        <f>TableB1!C79/TableA1!B77</f>
        <v>0.13418341650219937</v>
      </c>
      <c r="P77" s="786"/>
      <c r="Q77" s="1620">
        <f t="shared" si="11"/>
        <v>-0.13418341650219937</v>
      </c>
      <c r="R77" s="954"/>
      <c r="S77" s="954"/>
      <c r="T77" s="1573"/>
      <c r="U77" s="1574"/>
      <c r="V77" s="954"/>
      <c r="W77" s="954"/>
      <c r="X77" s="954"/>
      <c r="Y77" s="954"/>
      <c r="Z77" s="954"/>
      <c r="AA77" s="954"/>
    </row>
    <row r="78" spans="1:27" hidden="1" x14ac:dyDescent="0.2">
      <c r="A78" s="1074" t="s">
        <v>97</v>
      </c>
      <c r="B78" s="168">
        <f>TableC5!C78+D78</f>
        <v>0.14600492337687981</v>
      </c>
      <c r="C78" s="168" t="e">
        <f>TableB1!D80+TableC5!P78</f>
        <v>#N/A</v>
      </c>
      <c r="D78" s="168">
        <f t="shared" si="10"/>
        <v>-1.5638089888506047E-2</v>
      </c>
      <c r="E78" s="1100">
        <f t="shared" si="8"/>
        <v>-1.5638089888506047E-2</v>
      </c>
      <c r="F78" s="1101">
        <f>TableB1!H80-TableA6!H78/(1+TableA5!O78)-TableC5!N78</f>
        <v>-1.6028106997686163E-2</v>
      </c>
      <c r="G78" s="1107">
        <f>TableB1!I80+TableC5!O78</f>
        <v>3.9001710918011513E-4</v>
      </c>
      <c r="H78" s="1108">
        <f>TableB1!F80+TableB1!J80</f>
        <v>0</v>
      </c>
      <c r="I78" s="1103" t="e">
        <f>TableB1!D80/TableA1!B78</f>
        <v>#N/A</v>
      </c>
      <c r="J78" s="24" t="e">
        <f>C78/TableC5!B78</f>
        <v>#N/A</v>
      </c>
      <c r="K78" s="1576" t="e">
        <f t="shared" si="9"/>
        <v>#N/A</v>
      </c>
      <c r="L78" s="1599"/>
      <c r="M78" s="1577"/>
      <c r="N78" s="1621"/>
      <c r="O78" s="1577" t="e">
        <f>TableB1!C80/TableA1!B78</f>
        <v>#N/A</v>
      </c>
      <c r="P78" s="786"/>
      <c r="Q78" s="1620" t="e">
        <f t="shared" si="11"/>
        <v>#N/A</v>
      </c>
      <c r="R78" s="954"/>
      <c r="S78" s="954"/>
      <c r="T78" s="1573"/>
      <c r="U78" s="1574"/>
      <c r="V78" s="954"/>
      <c r="W78" s="954"/>
      <c r="X78" s="954"/>
      <c r="Y78" s="954"/>
      <c r="Z78" s="954"/>
      <c r="AA78" s="954"/>
    </row>
    <row r="79" spans="1:27" hidden="1" x14ac:dyDescent="0.2">
      <c r="A79" s="1074" t="s">
        <v>98</v>
      </c>
      <c r="B79" s="168">
        <f>TableC5!C79+D79</f>
        <v>2.9643675394636539</v>
      </c>
      <c r="C79" s="168" t="e">
        <f>TableB1!D81+TableC5!P79</f>
        <v>#N/A</v>
      </c>
      <c r="D79" s="168">
        <f t="shared" si="10"/>
        <v>-0.23044716821312788</v>
      </c>
      <c r="E79" s="1100">
        <f t="shared" si="8"/>
        <v>-0.23044716821312788</v>
      </c>
      <c r="F79" s="1101">
        <f>TableB1!H81-TableA6!H79/(1+TableA5!O79)-TableC5!N79</f>
        <v>-9.5394480745994992E-2</v>
      </c>
      <c r="G79" s="1107">
        <f>TableB1!I81+TableC5!O79</f>
        <v>-0.13505268746713289</v>
      </c>
      <c r="H79" s="1108">
        <f>TableB1!F81+TableB1!J81</f>
        <v>0</v>
      </c>
      <c r="I79" s="1103" t="e">
        <f>TableB1!D81/TableA1!B79</f>
        <v>#N/A</v>
      </c>
      <c r="J79" s="24" t="e">
        <f>C79/TableC5!B79</f>
        <v>#N/A</v>
      </c>
      <c r="K79" s="1576" t="e">
        <f t="shared" si="9"/>
        <v>#N/A</v>
      </c>
      <c r="L79" s="1599"/>
      <c r="M79" s="1577"/>
      <c r="N79" s="1621"/>
      <c r="O79" s="1577" t="e">
        <f>TableB1!C81/TableA1!B79</f>
        <v>#N/A</v>
      </c>
      <c r="P79" s="786"/>
      <c r="Q79" s="1620" t="e">
        <f t="shared" si="11"/>
        <v>#N/A</v>
      </c>
      <c r="R79" s="954"/>
      <c r="S79" s="954"/>
      <c r="T79" s="1573"/>
      <c r="U79" s="1574"/>
      <c r="V79" s="954"/>
      <c r="W79" s="954"/>
      <c r="X79" s="954"/>
      <c r="Y79" s="954"/>
      <c r="Z79" s="954"/>
      <c r="AA79" s="954"/>
    </row>
    <row r="80" spans="1:27" hidden="1" x14ac:dyDescent="0.2">
      <c r="A80" s="1074" t="s">
        <v>99</v>
      </c>
      <c r="B80" s="168">
        <f>TableC5!C80+D80</f>
        <v>0.3974886636831621</v>
      </c>
      <c r="C80" s="168">
        <f>TableB1!D82+TableC5!P80</f>
        <v>-0.17776312962201463</v>
      </c>
      <c r="D80" s="168">
        <f t="shared" si="10"/>
        <v>-4.4831979967603172E-2</v>
      </c>
      <c r="E80" s="1100">
        <f t="shared" si="8"/>
        <v>-3.197726316760318E-2</v>
      </c>
      <c r="F80" s="1101">
        <f>TableB1!H82-TableA6!H80/(1+TableA5!O80)-TableC5!N80</f>
        <v>-1.3009560069785375E-2</v>
      </c>
      <c r="G80" s="1107">
        <f>TableB1!I82+TableC5!O80</f>
        <v>-1.8967703097817805E-2</v>
      </c>
      <c r="H80" s="1108">
        <f>TableB1!F82+TableB1!J82</f>
        <v>-1.2854716799999995E-2</v>
      </c>
      <c r="I80" s="1103">
        <f>TableB1!D82/TableA1!B80</f>
        <v>0.10373191669812509</v>
      </c>
      <c r="J80" s="24">
        <f>C80/TableC5!B80</f>
        <v>-0.33029110600828904</v>
      </c>
      <c r="K80" s="1576">
        <f t="shared" si="9"/>
        <v>-0.43402302270641413</v>
      </c>
      <c r="L80" s="1599"/>
      <c r="M80" s="1577"/>
      <c r="N80" s="1621"/>
      <c r="O80" s="1577">
        <f>TableB1!C82/TableA1!B80</f>
        <v>1.417636038756764E-2</v>
      </c>
      <c r="P80" s="786"/>
      <c r="Q80" s="1620">
        <f t="shared" si="11"/>
        <v>-1.417636038756764E-2</v>
      </c>
      <c r="R80" s="954"/>
      <c r="S80" s="954"/>
      <c r="T80" s="1573"/>
      <c r="U80" s="1574"/>
      <c r="V80" s="954"/>
      <c r="W80" s="954"/>
      <c r="X80" s="954"/>
      <c r="Y80" s="954"/>
      <c r="Z80" s="954"/>
      <c r="AA80" s="954"/>
    </row>
    <row r="81" spans="1:21" hidden="1" x14ac:dyDescent="0.2">
      <c r="A81" s="1074" t="s">
        <v>100</v>
      </c>
      <c r="B81" s="168">
        <f>TableC5!C81+D81</f>
        <v>5.0724588540761033</v>
      </c>
      <c r="C81" s="168">
        <f>TableB1!D83+TableC5!P81</f>
        <v>-8.0364041802208224</v>
      </c>
      <c r="D81" s="168">
        <f t="shared" si="10"/>
        <v>0.98437325501648809</v>
      </c>
      <c r="E81" s="1100">
        <f t="shared" si="8"/>
        <v>-0.23294006129325223</v>
      </c>
      <c r="F81" s="1101">
        <f>TableB1!H83-TableA6!H81/(1+TableA5!O81)-TableC5!N81</f>
        <v>0.26100336376277244</v>
      </c>
      <c r="G81" s="1107">
        <f>TableB1!I83+TableC5!O81</f>
        <v>-0.49394342505602468</v>
      </c>
      <c r="H81" s="1108">
        <f>TableB1!F83+TableB1!J83</f>
        <v>1.2173133163097403</v>
      </c>
      <c r="I81" s="1103">
        <f>TableB1!D83/TableA1!B81</f>
        <v>-0.10780513904022307</v>
      </c>
      <c r="J81" s="24">
        <f>C81/TableC5!B81</f>
        <v>-1.4614912165975147</v>
      </c>
      <c r="K81" s="1576">
        <f t="shared" si="9"/>
        <v>-1.3536860775572916</v>
      </c>
      <c r="L81" s="1599"/>
      <c r="M81" s="1577"/>
      <c r="N81" s="1621"/>
      <c r="O81" s="1577">
        <f>TableB1!C83/TableA1!B81</f>
        <v>-5.0248146719658181E-2</v>
      </c>
      <c r="P81" s="786"/>
      <c r="Q81" s="1620">
        <f t="shared" si="11"/>
        <v>5.0248146719658181E-2</v>
      </c>
      <c r="R81" s="954"/>
      <c r="S81" s="954"/>
      <c r="T81" s="1573"/>
      <c r="U81" s="1574"/>
    </row>
    <row r="82" spans="1:21" hidden="1" x14ac:dyDescent="0.2">
      <c r="A82" s="1074" t="s">
        <v>101</v>
      </c>
      <c r="B82" s="168">
        <f>TableC5!C82+D82</f>
        <v>0.46446018780397402</v>
      </c>
      <c r="C82" s="168">
        <f>TableB1!D84+TableC5!P82</f>
        <v>-0.86075226018287154</v>
      </c>
      <c r="D82" s="168">
        <f t="shared" si="10"/>
        <v>-7.2975484911117466E-2</v>
      </c>
      <c r="E82" s="1100">
        <f t="shared" si="8"/>
        <v>-3.4283798711117468E-2</v>
      </c>
      <c r="F82" s="1101">
        <f>TableB1!H84-TableA6!H82/(1+TableA5!O82)-TableC5!N82</f>
        <v>1.9437910103634271E-2</v>
      </c>
      <c r="G82" s="1107">
        <f>TableB1!I84+TableC5!O82</f>
        <v>-5.3721708814751738E-2</v>
      </c>
      <c r="H82" s="1108">
        <f>TableB1!F84+TableB1!J84</f>
        <v>-3.8691686200000006E-2</v>
      </c>
      <c r="I82" s="1103">
        <f>TableB1!D84/TableA1!B82</f>
        <v>-8.6107203906184787E-2</v>
      </c>
      <c r="J82" s="24">
        <f>C82/TableC5!B82</f>
        <v>-1.2107981707234909</v>
      </c>
      <c r="K82" s="1576">
        <f t="shared" si="9"/>
        <v>-1.1246909668173062</v>
      </c>
      <c r="L82" s="1599"/>
      <c r="M82" s="1577"/>
      <c r="N82" s="1621"/>
      <c r="O82" s="1577">
        <f>TableB1!C84/TableA1!B82</f>
        <v>-0.17917942894304872</v>
      </c>
      <c r="P82" s="786"/>
      <c r="Q82" s="1620">
        <f t="shared" si="11"/>
        <v>0.17917942894304872</v>
      </c>
      <c r="R82" s="954"/>
      <c r="S82" s="954"/>
      <c r="T82" s="1573"/>
      <c r="U82" s="1574"/>
    </row>
    <row r="83" spans="1:21" hidden="1" x14ac:dyDescent="0.2">
      <c r="A83" s="1074" t="s">
        <v>102</v>
      </c>
      <c r="B83" s="168">
        <f>TableC5!C83+D83</f>
        <v>246.67847390645639</v>
      </c>
      <c r="C83" s="168">
        <f>TableB1!D85+TableC5!P83</f>
        <v>11.309740758994408</v>
      </c>
      <c r="D83" s="168">
        <f t="shared" si="10"/>
        <v>21.4832030397579</v>
      </c>
      <c r="E83" s="1100">
        <f t="shared" si="8"/>
        <v>-11.456805507112474</v>
      </c>
      <c r="F83" s="1101">
        <f>TableB1!H85-TableA6!H83/(1+TableA5!O83)-TableC5!N83</f>
        <v>-6.6724401966670115</v>
      </c>
      <c r="G83" s="1107">
        <f>TableB1!I85+TableC5!O83</f>
        <v>-4.7843653104454615</v>
      </c>
      <c r="H83" s="1108">
        <f>TableB1!F85+TableB1!J85</f>
        <v>32.940008546870374</v>
      </c>
      <c r="I83" s="1103">
        <f>TableB1!D85/TableA1!B83</f>
        <v>0.25210732215100407</v>
      </c>
      <c r="J83" s="24">
        <f>C83/TableC5!B83</f>
        <v>3.8822938406804938E-2</v>
      </c>
      <c r="K83" s="1576">
        <f t="shared" si="9"/>
        <v>-0.21328438374419911</v>
      </c>
      <c r="L83" s="1599"/>
      <c r="M83" s="1577"/>
      <c r="N83" s="1621"/>
      <c r="O83" s="1577">
        <f>TableB1!C85/TableA1!B83</f>
        <v>0.17780933689558032</v>
      </c>
      <c r="P83" s="786"/>
      <c r="Q83" s="1620">
        <f t="shared" si="11"/>
        <v>-0.17780933689558032</v>
      </c>
      <c r="R83" s="954"/>
      <c r="S83" s="954"/>
      <c r="T83" s="1573"/>
      <c r="U83" s="1574"/>
    </row>
    <row r="84" spans="1:21" hidden="1" x14ac:dyDescent="0.2">
      <c r="A84" s="1074" t="s">
        <v>103</v>
      </c>
      <c r="B84" s="168">
        <f>TableC5!C84+D84</f>
        <v>0.34880484783717763</v>
      </c>
      <c r="C84" s="168">
        <f>TableB1!D86+TableC5!P84</f>
        <v>-0.40760319917931404</v>
      </c>
      <c r="D84" s="168">
        <f t="shared" si="10"/>
        <v>-2.2370154114768802E-2</v>
      </c>
      <c r="E84" s="1100">
        <f t="shared" si="8"/>
        <v>-2.2370154114768802E-2</v>
      </c>
      <c r="F84" s="1101">
        <f>TableB1!H86-TableA6!H84/(1+TableA5!O84)-TableC5!N84</f>
        <v>7.3428728982233293E-3</v>
      </c>
      <c r="G84" s="1107">
        <f>TableB1!I86+TableC5!O84</f>
        <v>-2.9713027012992131E-2</v>
      </c>
      <c r="H84" s="1108">
        <f>TableB1!F86+TableB1!J86</f>
        <v>0</v>
      </c>
      <c r="I84" s="1103">
        <f>TableB1!D86/TableA1!B84</f>
        <v>0</v>
      </c>
      <c r="J84" s="24">
        <f>C84/TableC5!B84</f>
        <v>-0.85426346854543245</v>
      </c>
      <c r="K84" s="1576">
        <f t="shared" si="9"/>
        <v>-0.85426346854543245</v>
      </c>
      <c r="L84" s="1599"/>
      <c r="M84" s="1577"/>
      <c r="N84" s="1621"/>
      <c r="O84" s="1577">
        <f>TableB1!C86/TableA1!B84</f>
        <v>-3.4157594030163435E-4</v>
      </c>
      <c r="P84" s="786"/>
      <c r="Q84" s="1620">
        <f t="shared" si="11"/>
        <v>3.4157594030163435E-4</v>
      </c>
      <c r="R84" s="954"/>
      <c r="S84" s="954"/>
      <c r="T84" s="1573"/>
      <c r="U84" s="1574"/>
    </row>
    <row r="85" spans="1:21" hidden="1" x14ac:dyDescent="0.2">
      <c r="A85" s="1074" t="s">
        <v>104</v>
      </c>
      <c r="B85" s="168">
        <f>TableC5!C85+D85</f>
        <v>0.62518639855736424</v>
      </c>
      <c r="C85" s="168">
        <f>TableB1!D87+TableC5!P85</f>
        <v>-0.86359251435578011</v>
      </c>
      <c r="D85" s="168">
        <f t="shared" si="10"/>
        <v>-3.972764882432761E-2</v>
      </c>
      <c r="E85" s="1100">
        <f t="shared" si="8"/>
        <v>-3.972764882432761E-2</v>
      </c>
      <c r="F85" s="1101">
        <f>TableB1!H87-TableA6!H85/(1+TableA5!O85)-TableC5!N85</f>
        <v>2.3225605122000448E-2</v>
      </c>
      <c r="G85" s="1107">
        <f>TableB1!I87+TableC5!O85</f>
        <v>-6.2953253946328058E-2</v>
      </c>
      <c r="H85" s="1108">
        <f>TableB1!F87+TableB1!J87</f>
        <v>0</v>
      </c>
      <c r="I85" s="1103">
        <f>TableB1!D87/TableA1!B85</f>
        <v>0</v>
      </c>
      <c r="J85" s="24">
        <f>C85/TableC5!B85</f>
        <v>-0.99966411518495313</v>
      </c>
      <c r="K85" s="1576">
        <f t="shared" si="9"/>
        <v>-0.99966411518495313</v>
      </c>
      <c r="L85" s="1599"/>
      <c r="M85" s="1577"/>
      <c r="N85" s="1621"/>
      <c r="O85" s="1577">
        <f>TableB1!C87/TableA1!B85</f>
        <v>-4.2082539990540527E-2</v>
      </c>
      <c r="P85" s="786"/>
      <c r="Q85" s="1620">
        <f t="shared" si="11"/>
        <v>4.2082539990540527E-2</v>
      </c>
      <c r="R85" s="954"/>
      <c r="S85" s="954"/>
      <c r="T85" s="1573"/>
      <c r="U85" s="1574"/>
    </row>
    <row r="86" spans="1:21" hidden="1" x14ac:dyDescent="0.2">
      <c r="A86" s="1074" t="s">
        <v>105</v>
      </c>
      <c r="B86" s="168">
        <f>TableC5!C86+D86</f>
        <v>0.31258049726862813</v>
      </c>
      <c r="C86" s="168">
        <f>TableB1!D88+TableC5!P86</f>
        <v>-0.34874426232425215</v>
      </c>
      <c r="D86" s="168">
        <f t="shared" si="10"/>
        <v>-2.107891479290212E-2</v>
      </c>
      <c r="E86" s="1100">
        <f t="shared" si="8"/>
        <v>-2.107891479290212E-2</v>
      </c>
      <c r="F86" s="1101">
        <f>TableB1!H88-TableA6!H86/(1+TableA5!O86)-TableC5!N86</f>
        <v>4.3434756788368611E-3</v>
      </c>
      <c r="G86" s="1107">
        <f>TableB1!I88+TableC5!O86</f>
        <v>-2.5422390471738981E-2</v>
      </c>
      <c r="H86" s="1108">
        <f>TableB1!F88+TableB1!J88</f>
        <v>0</v>
      </c>
      <c r="I86" s="1103">
        <f>TableB1!D88/TableA1!B86</f>
        <v>0</v>
      </c>
      <c r="J86" s="24">
        <f>C86/TableC5!B86</f>
        <v>-0.82100883737874875</v>
      </c>
      <c r="K86" s="1576">
        <f t="shared" si="9"/>
        <v>-0.82100883737874875</v>
      </c>
      <c r="L86" s="1599"/>
      <c r="M86" s="1577"/>
      <c r="N86" s="1621"/>
      <c r="O86" s="1577">
        <f>TableB1!C88/TableA1!B86</f>
        <v>-2.1583514961480709E-2</v>
      </c>
      <c r="P86" s="786"/>
      <c r="Q86" s="1620">
        <f t="shared" si="11"/>
        <v>2.1583514961480709E-2</v>
      </c>
      <c r="R86" s="954"/>
      <c r="S86" s="954"/>
      <c r="T86" s="1573"/>
      <c r="U86" s="1574"/>
    </row>
    <row r="87" spans="1:21" hidden="1" x14ac:dyDescent="0.2">
      <c r="A87" s="1074" t="s">
        <v>106</v>
      </c>
      <c r="B87" s="168">
        <f>TableC5!C87+D87</f>
        <v>0.31314437846850474</v>
      </c>
      <c r="C87" s="168" t="e">
        <f>TableB1!D89+TableC5!P87</f>
        <v>#N/A</v>
      </c>
      <c r="D87" s="168">
        <f t="shared" si="10"/>
        <v>-3.8618942348112806E-2</v>
      </c>
      <c r="E87" s="1100">
        <f t="shared" si="8"/>
        <v>-3.8618942348112806E-2</v>
      </c>
      <c r="F87" s="1101">
        <f>TableB1!H89-TableA6!H87/(1+TableA5!O87)-TableC5!N87</f>
        <v>-2.1971366280088389E-2</v>
      </c>
      <c r="G87" s="1107">
        <f>TableB1!I89+TableC5!O87</f>
        <v>-1.664757606802442E-2</v>
      </c>
      <c r="H87" s="1108">
        <f>TableB1!F89+TableB1!J89</f>
        <v>0</v>
      </c>
      <c r="I87" s="1103" t="e">
        <f>TableB1!D89/TableA1!B87</f>
        <v>#N/A</v>
      </c>
      <c r="J87" s="24" t="e">
        <f>C87/TableC5!B87</f>
        <v>#N/A</v>
      </c>
      <c r="K87" s="1576" t="e">
        <f t="shared" si="9"/>
        <v>#N/A</v>
      </c>
      <c r="L87" s="1599"/>
      <c r="M87" s="1577"/>
      <c r="N87" s="1621"/>
      <c r="O87" s="1577" t="e">
        <f>TableB1!C89/TableA1!B87</f>
        <v>#N/A</v>
      </c>
      <c r="P87" s="786"/>
      <c r="Q87" s="1620" t="e">
        <f t="shared" si="11"/>
        <v>#N/A</v>
      </c>
      <c r="R87" s="954"/>
      <c r="S87" s="954"/>
      <c r="T87" s="1573"/>
      <c r="U87" s="1574"/>
    </row>
    <row r="88" spans="1:21" hidden="1" x14ac:dyDescent="0.2">
      <c r="A88" s="1074" t="s">
        <v>107</v>
      </c>
      <c r="B88" s="168">
        <f>TableC5!C88+D88</f>
        <v>28.165009510892176</v>
      </c>
      <c r="C88" s="168">
        <f>TableB1!D90+TableC5!P88</f>
        <v>-14.8117957803919</v>
      </c>
      <c r="D88" s="168">
        <f t="shared" si="10"/>
        <v>-1.9932846230866932</v>
      </c>
      <c r="E88" s="1100">
        <f t="shared" si="8"/>
        <v>-1.2400846230866933</v>
      </c>
      <c r="F88" s="1101">
        <f>TableB1!H90-TableA6!H88/(1+TableA5!O88)-TableC5!N88</f>
        <v>-9.1061452384050057E-2</v>
      </c>
      <c r="G88" s="1107">
        <f>TableB1!I90+TableC5!O88</f>
        <v>-1.1490231707026433</v>
      </c>
      <c r="H88" s="1108">
        <f>TableB1!F90+TableB1!J90</f>
        <v>-0.75319999999999987</v>
      </c>
      <c r="I88" s="1103">
        <f>TableB1!D90/TableA1!B88</f>
        <v>1.8232458571749183E-2</v>
      </c>
      <c r="J88" s="24">
        <f>C88/TableC5!B88</f>
        <v>-0.4063807545779034</v>
      </c>
      <c r="K88" s="1576">
        <f t="shared" si="9"/>
        <v>-0.42461321314965261</v>
      </c>
      <c r="L88" s="1599"/>
      <c r="M88" s="1577"/>
      <c r="N88" s="1621"/>
      <c r="O88" s="1577">
        <f>TableB1!C90/TableA1!B88</f>
        <v>-6.2552043435281049E-2</v>
      </c>
      <c r="P88" s="786"/>
      <c r="Q88" s="1620">
        <f t="shared" si="11"/>
        <v>6.2552043435281049E-2</v>
      </c>
      <c r="R88" s="954"/>
      <c r="S88" s="954"/>
      <c r="T88" s="1573"/>
      <c r="U88" s="1574"/>
    </row>
    <row r="89" spans="1:21" hidden="1" x14ac:dyDescent="0.2">
      <c r="A89" s="1074" t="s">
        <v>108</v>
      </c>
      <c r="B89" s="168">
        <f>TableC5!C89+D89</f>
        <v>53.766908588497742</v>
      </c>
      <c r="C89" s="168">
        <f>TableB1!D91+TableC5!P89</f>
        <v>-14.027447305651027</v>
      </c>
      <c r="D89" s="168">
        <f t="shared" si="10"/>
        <v>-2.6559052397371263</v>
      </c>
      <c r="E89" s="1100">
        <f t="shared" si="8"/>
        <v>-2.6559052397371263</v>
      </c>
      <c r="F89" s="1101">
        <f>TableB1!H91-TableA6!H89/(1+TableA5!O89)-TableC5!N89</f>
        <v>0.17621003584810069</v>
      </c>
      <c r="G89" s="1107">
        <f>TableB1!I91+TableC5!O89</f>
        <v>-2.832115275585227</v>
      </c>
      <c r="H89" s="1108">
        <f>TableB1!F91+TableB1!J91</f>
        <v>0</v>
      </c>
      <c r="I89" s="1103">
        <f>TableB1!D91/TableA1!B89</f>
        <v>0.2308722910737098</v>
      </c>
      <c r="J89" s="24">
        <f>C89/TableC5!B89</f>
        <v>-0.2042746813831583</v>
      </c>
      <c r="K89" s="1576">
        <f t="shared" si="9"/>
        <v>-0.43514697245686806</v>
      </c>
      <c r="L89" s="1599"/>
      <c r="M89" s="1577"/>
      <c r="N89" s="1621"/>
      <c r="O89" s="1577" t="e">
        <f>TableB1!C91/TableA1!B89</f>
        <v>#N/A</v>
      </c>
      <c r="P89" s="786"/>
      <c r="Q89" s="1620" t="e">
        <f t="shared" si="11"/>
        <v>#N/A</v>
      </c>
      <c r="R89" s="954"/>
      <c r="S89" s="954"/>
      <c r="T89" s="1573"/>
      <c r="U89" s="1574"/>
    </row>
    <row r="90" spans="1:21" ht="40" hidden="1" customHeight="1" x14ac:dyDescent="0.2">
      <c r="A90" s="1582" t="s">
        <v>109</v>
      </c>
      <c r="B90" s="1583">
        <f>TableC5!C90+D90</f>
        <v>8117.7876368692487</v>
      </c>
      <c r="C90" s="1583">
        <f>TableB1!D92+TableC5!P90</f>
        <v>-46.487721995686414</v>
      </c>
      <c r="D90" s="168">
        <f t="shared" si="10"/>
        <v>-135.91748030299684</v>
      </c>
      <c r="E90" s="1585">
        <f t="shared" si="8"/>
        <v>-58.618932106742115</v>
      </c>
      <c r="F90" s="1585">
        <f>TableB1!H92-TableA6!H90/(1+TableA5!O90)-TableC5!N90</f>
        <v>-84.133342431836368</v>
      </c>
      <c r="G90" s="1586">
        <f>TableB1!I92+TableC5!O90</f>
        <v>25.514410325094254</v>
      </c>
      <c r="H90" s="1587">
        <f>TableB1!F92+TableB1!J92</f>
        <v>-77.298548196254714</v>
      </c>
      <c r="I90" s="1588">
        <f>TableB1!D92/TableA1!B90</f>
        <v>-1.1798156991842206E-2</v>
      </c>
      <c r="J90" s="1589">
        <f>C90/TableC5!B90</f>
        <v>-4.8262235621530612E-3</v>
      </c>
      <c r="K90" s="1591">
        <f t="shared" si="9"/>
        <v>6.971933429689145E-3</v>
      </c>
      <c r="L90" s="1623"/>
      <c r="M90" s="1592"/>
      <c r="N90" s="1624"/>
      <c r="O90" s="1592">
        <f>TableB1!C92/TableA1!B90</f>
        <v>-8.0014620095803599E-3</v>
      </c>
      <c r="P90" s="1625"/>
      <c r="Q90" s="1626">
        <f t="shared" si="11"/>
        <v>8.0014620095803599E-3</v>
      </c>
      <c r="R90" s="954"/>
      <c r="S90" s="954"/>
      <c r="T90" s="1573"/>
      <c r="U90" s="1574"/>
    </row>
    <row r="91" spans="1:21" ht="40" hidden="1" customHeight="1" thickBot="1" x14ac:dyDescent="0.25">
      <c r="A91" s="210" t="s">
        <v>110</v>
      </c>
      <c r="B91" s="165">
        <f>TableC5!C91+D91</f>
        <v>62741.131789438376</v>
      </c>
      <c r="C91" s="165">
        <f>TableB1!D93+TableC5!P91</f>
        <v>512.22218540505105</v>
      </c>
      <c r="D91" s="449">
        <f t="shared" si="10"/>
        <v>-357.76269947620142</v>
      </c>
      <c r="E91" s="780">
        <f t="shared" si="8"/>
        <v>-105.80769947620139</v>
      </c>
      <c r="F91" s="780">
        <f>TableB1!H93-TableA6!H91/(1+TableA5!O91)-TableC5!N91</f>
        <v>-89.086514071149907</v>
      </c>
      <c r="G91" s="780">
        <f>G90+G53+G45+G9</f>
        <v>-16.721185405051486</v>
      </c>
      <c r="H91" s="166">
        <f>H90+H53+H45+H9</f>
        <v>-251.95500000000001</v>
      </c>
      <c r="I91" s="197">
        <f>(E91+H91)/D91</f>
        <v>1</v>
      </c>
      <c r="J91" s="167">
        <f>C91/TableC5!B91</f>
        <v>6.8260833073334427E-3</v>
      </c>
      <c r="K91" s="303">
        <f t="shared" si="9"/>
        <v>-0.99317391669266653</v>
      </c>
      <c r="L91" s="784"/>
      <c r="M91" s="447"/>
      <c r="N91" s="785"/>
      <c r="O91" s="447">
        <f>TableB1!C93/TableA1!B91</f>
        <v>3.7454467652643683E-3</v>
      </c>
      <c r="P91" s="447"/>
      <c r="Q91" s="1627">
        <f t="shared" si="11"/>
        <v>-3.7454467652643683E-3</v>
      </c>
      <c r="R91" s="954"/>
      <c r="S91" s="954"/>
      <c r="T91" s="1573"/>
      <c r="U91" s="1574"/>
    </row>
    <row r="92" spans="1:21" x14ac:dyDescent="0.2">
      <c r="A92" s="954"/>
      <c r="B92" s="954"/>
      <c r="C92" s="954"/>
      <c r="D92" s="954"/>
      <c r="E92" s="1628"/>
      <c r="F92" s="954"/>
      <c r="G92" s="954"/>
      <c r="H92" s="954"/>
      <c r="I92" s="954"/>
      <c r="J92" s="954"/>
      <c r="K92" s="954"/>
      <c r="L92" s="954"/>
      <c r="M92" s="954"/>
      <c r="N92" s="954"/>
      <c r="O92" s="954"/>
      <c r="P92" s="954"/>
      <c r="Q92" s="954"/>
      <c r="R92" s="954"/>
      <c r="S92" s="954"/>
      <c r="T92" s="954"/>
      <c r="U92" s="954"/>
    </row>
    <row r="93" spans="1:21" s="2" customFormat="1" x14ac:dyDescent="0.2">
      <c r="D93" s="954"/>
      <c r="E93" s="954"/>
      <c r="F93" s="954"/>
      <c r="G93" s="954"/>
      <c r="H93" s="954"/>
      <c r="I93" s="954"/>
      <c r="J93" s="954"/>
      <c r="K93" s="954"/>
      <c r="L93" s="954"/>
      <c r="M93" s="954"/>
      <c r="N93" s="954"/>
      <c r="O93" s="954"/>
      <c r="P93" s="954"/>
      <c r="Q93" s="954"/>
    </row>
  </sheetData>
  <mergeCells count="17">
    <mergeCell ref="N6:N8"/>
    <mergeCell ref="O6:O8"/>
    <mergeCell ref="A3:Q3"/>
    <mergeCell ref="B6:C6"/>
    <mergeCell ref="I6:I8"/>
    <mergeCell ref="J6:J8"/>
    <mergeCell ref="K6:K8"/>
    <mergeCell ref="B7:B8"/>
    <mergeCell ref="C7:C8"/>
    <mergeCell ref="Q6:Q8"/>
    <mergeCell ref="D7:D8"/>
    <mergeCell ref="E7:E8"/>
    <mergeCell ref="H7:H8"/>
    <mergeCell ref="D6:H6"/>
    <mergeCell ref="M6:M8"/>
    <mergeCell ref="L6:L8"/>
    <mergeCell ref="P6:P8"/>
  </mergeCells>
  <pageMargins left="0.7" right="0.7" top="0.75" bottom="0.75" header="0.3" footer="0.3"/>
  <pageSetup scale="18"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Y99"/>
  <sheetViews>
    <sheetView topLeftCell="B1" zoomScale="115" zoomScaleNormal="115" zoomScalePageLayoutView="130" workbookViewId="0">
      <pane xSplit="1" ySplit="7" topLeftCell="C42" activePane="bottomRight" state="frozen"/>
      <selection pane="topRight" activeCell="C1" sqref="C1"/>
      <selection pane="bottomLeft" activeCell="B8" sqref="B8"/>
      <selection pane="bottomRight" activeCell="M58" sqref="M58"/>
    </sheetView>
  </sheetViews>
  <sheetFormatPr baseColWidth="10" defaultColWidth="8.83203125" defaultRowHeight="15" x14ac:dyDescent="0.2"/>
  <cols>
    <col min="1" max="1" width="8.83203125" style="525"/>
    <col min="2" max="2" width="12" style="525" bestFit="1" customWidth="1"/>
    <col min="3" max="13" width="12.83203125" style="525" customWidth="1"/>
    <col min="14" max="14" width="5.1640625" style="525" customWidth="1"/>
    <col min="15" max="15" width="6.1640625" style="525" customWidth="1"/>
    <col min="16" max="16" width="4.6640625" style="525" customWidth="1"/>
    <col min="17" max="17" width="14" style="525" customWidth="1"/>
    <col min="18" max="21" width="21.6640625" style="525" customWidth="1"/>
    <col min="22" max="16384" width="8.83203125" style="525"/>
  </cols>
  <sheetData>
    <row r="1" spans="2:25" hidden="1" x14ac:dyDescent="0.2"/>
    <row r="2" spans="2:25" ht="16" thickBot="1" x14ac:dyDescent="0.25"/>
    <row r="3" spans="2:25" ht="22" thickTop="1" x14ac:dyDescent="0.25">
      <c r="B3" s="2362" t="s">
        <v>732</v>
      </c>
      <c r="C3" s="2363"/>
      <c r="D3" s="2363"/>
      <c r="E3" s="2363"/>
      <c r="F3" s="2363"/>
      <c r="G3" s="2363"/>
      <c r="H3" s="2363"/>
      <c r="I3" s="2363"/>
      <c r="J3" s="2363"/>
      <c r="K3" s="2363"/>
      <c r="L3" s="2363"/>
      <c r="M3" s="2364"/>
      <c r="N3" s="541"/>
      <c r="O3" s="541"/>
      <c r="Q3" s="2350" t="s">
        <v>733</v>
      </c>
      <c r="R3" s="2351"/>
      <c r="S3" s="2351"/>
      <c r="T3" s="2351"/>
      <c r="U3" s="2352"/>
    </row>
    <row r="4" spans="2:25" x14ac:dyDescent="0.2">
      <c r="B4" s="562"/>
      <c r="C4" s="530"/>
      <c r="D4" s="530"/>
      <c r="E4" s="530"/>
      <c r="F4" s="530"/>
      <c r="G4" s="530"/>
      <c r="H4" s="530"/>
      <c r="I4" s="530"/>
      <c r="J4" s="530"/>
      <c r="K4" s="530"/>
      <c r="L4" s="530"/>
      <c r="M4" s="563"/>
      <c r="N4" s="530"/>
      <c r="O4" s="530"/>
      <c r="Q4" s="529"/>
      <c r="R4" s="530"/>
      <c r="S4" s="530"/>
      <c r="T4" s="530"/>
      <c r="U4" s="1629"/>
    </row>
    <row r="5" spans="2:25" ht="16" thickBot="1" x14ac:dyDescent="0.25">
      <c r="B5" s="562"/>
      <c r="C5" s="126" t="s">
        <v>1</v>
      </c>
      <c r="D5" s="126" t="s">
        <v>2</v>
      </c>
      <c r="E5" s="126" t="s">
        <v>3</v>
      </c>
      <c r="F5" s="126" t="s">
        <v>4</v>
      </c>
      <c r="G5" s="126" t="s">
        <v>5</v>
      </c>
      <c r="H5" s="126" t="s">
        <v>6</v>
      </c>
      <c r="I5" s="126" t="s">
        <v>7</v>
      </c>
      <c r="J5" s="126" t="s">
        <v>8</v>
      </c>
      <c r="K5" s="3" t="s">
        <v>9</v>
      </c>
      <c r="L5" s="3" t="s">
        <v>10</v>
      </c>
      <c r="M5" s="438" t="s">
        <v>11</v>
      </c>
      <c r="N5" s="84"/>
      <c r="O5" s="542"/>
      <c r="P5" s="134"/>
      <c r="Q5" s="529"/>
      <c r="R5" s="134" t="s">
        <v>1</v>
      </c>
      <c r="S5" s="134" t="s">
        <v>2</v>
      </c>
      <c r="T5" s="134" t="s">
        <v>3</v>
      </c>
      <c r="U5" s="1630" t="s">
        <v>4</v>
      </c>
    </row>
    <row r="6" spans="2:25" ht="15.75" customHeight="1" x14ac:dyDescent="0.2">
      <c r="B6" s="564"/>
      <c r="C6" s="2353" t="s">
        <v>584</v>
      </c>
      <c r="D6" s="2354"/>
      <c r="E6" s="2354"/>
      <c r="F6" s="2354"/>
      <c r="G6" s="2354"/>
      <c r="H6" s="2354"/>
      <c r="I6" s="2356" t="s">
        <v>734</v>
      </c>
      <c r="J6" s="2358" t="s">
        <v>735</v>
      </c>
      <c r="K6" s="2358" t="s">
        <v>736</v>
      </c>
      <c r="L6" s="2358" t="s">
        <v>737</v>
      </c>
      <c r="M6" s="2360" t="s">
        <v>738</v>
      </c>
      <c r="N6" s="542"/>
      <c r="O6" s="542"/>
      <c r="P6" s="526"/>
      <c r="Q6" s="531"/>
      <c r="R6" s="2353"/>
      <c r="S6" s="2354"/>
      <c r="T6" s="2354"/>
      <c r="U6" s="2355"/>
    </row>
    <row r="7" spans="2:25" ht="64.5" customHeight="1" x14ac:dyDescent="0.2">
      <c r="B7" s="1866"/>
      <c r="C7" s="1853" t="s">
        <v>18</v>
      </c>
      <c r="D7" s="1854" t="s">
        <v>134</v>
      </c>
      <c r="E7" s="1854" t="s">
        <v>739</v>
      </c>
      <c r="F7" s="1854" t="s">
        <v>740</v>
      </c>
      <c r="G7" s="1854" t="s">
        <v>741</v>
      </c>
      <c r="H7" s="1631" t="s">
        <v>742</v>
      </c>
      <c r="I7" s="2357"/>
      <c r="J7" s="2359"/>
      <c r="K7" s="2359"/>
      <c r="L7" s="2359"/>
      <c r="M7" s="2361"/>
      <c r="N7" s="542"/>
      <c r="O7" s="542"/>
      <c r="P7" s="526"/>
      <c r="Q7" s="1632"/>
      <c r="R7" s="537" t="s">
        <v>743</v>
      </c>
      <c r="S7" s="534" t="s">
        <v>744</v>
      </c>
      <c r="T7" s="533" t="s">
        <v>745</v>
      </c>
      <c r="U7" s="535" t="s">
        <v>744</v>
      </c>
      <c r="X7" s="1798"/>
      <c r="Y7" s="1798"/>
    </row>
    <row r="8" spans="2:25" ht="16" x14ac:dyDescent="0.2">
      <c r="B8" s="1633">
        <v>1975</v>
      </c>
      <c r="C8" s="1634">
        <v>5893.7420930127637</v>
      </c>
      <c r="D8" s="1635">
        <f t="shared" ref="D8:D47" si="0">I8*C8</f>
        <v>766.18647209165931</v>
      </c>
      <c r="E8" s="1635">
        <f>C8-D8</f>
        <v>5127.5556209211045</v>
      </c>
      <c r="F8" s="1635">
        <f t="shared" ref="F8:F47" si="1">J8*E8</f>
        <v>2563.7778104605522</v>
      </c>
      <c r="G8" s="1635">
        <f t="shared" ref="G8:G47" si="2">(1-K8)*F8</f>
        <v>741.9679016916815</v>
      </c>
      <c r="H8" s="1635">
        <f>+TableB7!T14*$H$48/TableB7!$T$54</f>
        <v>29.320843602943309</v>
      </c>
      <c r="I8" s="1636">
        <v>0.13</v>
      </c>
      <c r="J8" s="544">
        <v>0.5</v>
      </c>
      <c r="K8" s="543">
        <f t="shared" ref="K8:K46" si="3">K9*L8/L9</f>
        <v>0.71059586417186604</v>
      </c>
      <c r="L8" s="1637">
        <v>0.63735446570972798</v>
      </c>
      <c r="M8" s="1638">
        <f>H8/TableC6!G8</f>
        <v>3.9517671230914431E-2</v>
      </c>
      <c r="N8" s="1639"/>
      <c r="O8" s="1639"/>
      <c r="P8" s="526"/>
      <c r="Q8" s="531">
        <v>1975</v>
      </c>
      <c r="R8" s="1640">
        <v>0.53137999999999996</v>
      </c>
      <c r="S8" s="538">
        <v>16</v>
      </c>
      <c r="T8" s="1641">
        <v>0.71513000000000004</v>
      </c>
      <c r="U8" s="1642">
        <v>2</v>
      </c>
    </row>
    <row r="9" spans="2:25" ht="16" x14ac:dyDescent="0.2">
      <c r="B9" s="1633">
        <v>1976</v>
      </c>
      <c r="C9" s="1634">
        <v>6412.2453094432731</v>
      </c>
      <c r="D9" s="1635">
        <f t="shared" si="0"/>
        <v>838.25971716361755</v>
      </c>
      <c r="E9" s="1635">
        <f t="shared" ref="E9:E47" si="4">C9-D9</f>
        <v>5573.985592279656</v>
      </c>
      <c r="F9" s="1635">
        <f t="shared" si="1"/>
        <v>2792.5905002895956</v>
      </c>
      <c r="G9" s="1635">
        <f t="shared" si="2"/>
        <v>802.49374352175323</v>
      </c>
      <c r="H9" s="1635">
        <f>+TableB7!T15*$H$48/TableB7!$T$54</f>
        <v>33.977957353466813</v>
      </c>
      <c r="I9" s="1636">
        <f>I8+(I$48-I$8)/40</f>
        <v>0.13072795514063035</v>
      </c>
      <c r="J9" s="543">
        <f>J8+(J$48-J$8)/40</f>
        <v>0.50100425522403946</v>
      </c>
      <c r="K9" s="543">
        <f t="shared" si="3"/>
        <v>0.71263465107450108</v>
      </c>
      <c r="L9" s="1637">
        <v>0.63918311403508699</v>
      </c>
      <c r="M9" s="1638">
        <f>H9/TableC6!G9</f>
        <v>4.2340463869978785E-2</v>
      </c>
      <c r="N9" s="1639"/>
      <c r="O9" s="1639"/>
      <c r="P9" s="526"/>
      <c r="Q9" s="531">
        <v>1976</v>
      </c>
      <c r="R9" s="1640">
        <v>0.53154000000000001</v>
      </c>
      <c r="S9" s="538">
        <v>17</v>
      </c>
      <c r="T9" s="1641">
        <v>0.71840999999999999</v>
      </c>
      <c r="U9" s="1642">
        <v>2</v>
      </c>
    </row>
    <row r="10" spans="2:25" ht="16" x14ac:dyDescent="0.2">
      <c r="B10" s="1633">
        <v>1977</v>
      </c>
      <c r="C10" s="1634">
        <v>7252.9683068481354</v>
      </c>
      <c r="D10" s="1635">
        <f t="shared" si="0"/>
        <v>953.44555101785579</v>
      </c>
      <c r="E10" s="1635">
        <f t="shared" si="4"/>
        <v>6299.5227558302795</v>
      </c>
      <c r="F10" s="1635">
        <f t="shared" si="1"/>
        <v>3162.414035188136</v>
      </c>
      <c r="G10" s="1635">
        <f t="shared" si="2"/>
        <v>910.66784059710983</v>
      </c>
      <c r="H10" s="1635">
        <f>+TableB7!T16*$H$48/TableB7!$T$54</f>
        <v>34.746503237843683</v>
      </c>
      <c r="I10" s="1636">
        <f t="shared" ref="I10:I47" si="5">I9+(I$48-I$8)/40</f>
        <v>0.13145591028126069</v>
      </c>
      <c r="J10" s="543">
        <f t="shared" ref="J10:J47" si="6">J9+(J$48-J$8)/40</f>
        <v>0.50200851044807893</v>
      </c>
      <c r="K10" s="543">
        <f t="shared" si="3"/>
        <v>0.71203396188350998</v>
      </c>
      <c r="L10" s="1637">
        <v>0.63864433811802201</v>
      </c>
      <c r="M10" s="1638">
        <f>H10/TableC6!G10</f>
        <v>3.8154969011600294E-2</v>
      </c>
      <c r="N10" s="1639"/>
      <c r="O10" s="1639"/>
      <c r="P10" s="526"/>
      <c r="Q10" s="531">
        <v>1977</v>
      </c>
      <c r="R10" s="1640">
        <v>0.53434999999999999</v>
      </c>
      <c r="S10" s="538">
        <v>18</v>
      </c>
      <c r="T10" s="1641">
        <v>0.71557999999999999</v>
      </c>
      <c r="U10" s="1642">
        <v>2</v>
      </c>
    </row>
    <row r="11" spans="2:25" ht="16" x14ac:dyDescent="0.2">
      <c r="B11" s="1633">
        <v>1978</v>
      </c>
      <c r="C11" s="1634">
        <v>8537.7537570009863</v>
      </c>
      <c r="D11" s="1635">
        <f t="shared" si="0"/>
        <v>1128.553293620663</v>
      </c>
      <c r="E11" s="1635">
        <f t="shared" si="4"/>
        <v>7409.2004633803235</v>
      </c>
      <c r="F11" s="1635">
        <f t="shared" si="1"/>
        <v>3726.9224165040778</v>
      </c>
      <c r="G11" s="1635">
        <f t="shared" si="2"/>
        <v>1073.3057796291864</v>
      </c>
      <c r="H11" s="1635">
        <f>+TableB7!T17*$H$48/TableB7!$T$54</f>
        <v>43.623280388922893</v>
      </c>
      <c r="I11" s="1636">
        <f t="shared" si="5"/>
        <v>0.13218386542189103</v>
      </c>
      <c r="J11" s="543">
        <f t="shared" si="6"/>
        <v>0.50301276567211839</v>
      </c>
      <c r="K11" s="543">
        <f t="shared" si="3"/>
        <v>0.71201284607476023</v>
      </c>
      <c r="L11" s="1637">
        <v>0.63862539872408197</v>
      </c>
      <c r="M11" s="1638">
        <f>H11/TableC6!G11</f>
        <v>4.0643851190286316E-2</v>
      </c>
      <c r="N11" s="1639"/>
      <c r="O11" s="1639"/>
      <c r="P11" s="526"/>
      <c r="Q11" s="531">
        <v>1978</v>
      </c>
      <c r="R11" s="1640">
        <v>0.53310000000000002</v>
      </c>
      <c r="S11" s="538">
        <v>18</v>
      </c>
      <c r="T11" s="1641">
        <v>0.69645000000000001</v>
      </c>
      <c r="U11" s="1642">
        <v>3</v>
      </c>
    </row>
    <row r="12" spans="2:25" ht="16" x14ac:dyDescent="0.2">
      <c r="B12" s="1633">
        <v>1979</v>
      </c>
      <c r="C12" s="1634">
        <v>9919.0460897251069</v>
      </c>
      <c r="D12" s="1635">
        <f t="shared" si="0"/>
        <v>1318.3584740289227</v>
      </c>
      <c r="E12" s="1635">
        <f t="shared" si="4"/>
        <v>8600.6876156961844</v>
      </c>
      <c r="F12" s="1635">
        <f t="shared" si="1"/>
        <v>4334.8929497216695</v>
      </c>
      <c r="G12" s="1635">
        <f t="shared" si="2"/>
        <v>1220.4898310249257</v>
      </c>
      <c r="H12" s="1635">
        <f>+TableB7!T18*$H$48/TableB7!$T$54</f>
        <v>71.998239874306563</v>
      </c>
      <c r="I12" s="1636">
        <f t="shared" si="5"/>
        <v>0.13291182056252138</v>
      </c>
      <c r="J12" s="543">
        <f t="shared" si="6"/>
        <v>0.50401702089615785</v>
      </c>
      <c r="K12" s="543">
        <f t="shared" si="3"/>
        <v>0.71844983366814408</v>
      </c>
      <c r="L12" s="1637">
        <v>0.64439892344497596</v>
      </c>
      <c r="M12" s="1638">
        <f>H12/TableC6!G12</f>
        <v>5.8991265673917902E-2</v>
      </c>
      <c r="N12" s="1639"/>
      <c r="O12" s="1639"/>
      <c r="P12" s="526"/>
      <c r="Q12" s="531">
        <v>1979</v>
      </c>
      <c r="R12" s="1640">
        <v>0.53742000000000001</v>
      </c>
      <c r="S12" s="538">
        <v>18</v>
      </c>
      <c r="T12" s="1641">
        <v>0.67381999999999997</v>
      </c>
      <c r="U12" s="1642">
        <v>3</v>
      </c>
    </row>
    <row r="13" spans="2:25" ht="16" x14ac:dyDescent="0.2">
      <c r="B13" s="1633">
        <v>1980</v>
      </c>
      <c r="C13" s="1634">
        <v>11166.00384468405</v>
      </c>
      <c r="D13" s="1635">
        <f t="shared" si="0"/>
        <v>1492.2222493041061</v>
      </c>
      <c r="E13" s="1635">
        <f t="shared" si="4"/>
        <v>9673.7815953799436</v>
      </c>
      <c r="F13" s="1635">
        <f t="shared" si="1"/>
        <v>4885.4655262068572</v>
      </c>
      <c r="G13" s="1635">
        <f t="shared" si="2"/>
        <v>1344.0396620232009</v>
      </c>
      <c r="H13" s="1635">
        <f>+TableB7!T19*$H$48/TableB7!$T$54</f>
        <v>69.361386375889566</v>
      </c>
      <c r="I13" s="1636">
        <f t="shared" si="5"/>
        <v>0.13363977570315172</v>
      </c>
      <c r="J13" s="543">
        <f t="shared" si="6"/>
        <v>0.50502127612019732</v>
      </c>
      <c r="K13" s="543">
        <f t="shared" si="3"/>
        <v>0.72489015533659251</v>
      </c>
      <c r="L13" s="1637">
        <v>0.65017543859649096</v>
      </c>
      <c r="M13" s="1638">
        <f>H13/TableC6!G13</f>
        <v>5.1606651452144603E-2</v>
      </c>
      <c r="N13" s="1639"/>
      <c r="O13" s="1639"/>
      <c r="P13" s="526"/>
      <c r="Q13" s="531">
        <v>1980</v>
      </c>
      <c r="R13" s="1640">
        <v>0.56916</v>
      </c>
      <c r="S13" s="538">
        <v>19</v>
      </c>
      <c r="T13" s="1641">
        <v>0.67095000000000005</v>
      </c>
      <c r="U13" s="1642">
        <v>6</v>
      </c>
    </row>
    <row r="14" spans="2:25" ht="16" x14ac:dyDescent="0.2">
      <c r="B14" s="1633">
        <v>1981</v>
      </c>
      <c r="C14" s="1634">
        <v>11457.611762624569</v>
      </c>
      <c r="D14" s="1635">
        <f t="shared" si="0"/>
        <v>1539.5332934328894</v>
      </c>
      <c r="E14" s="1635">
        <f t="shared" si="4"/>
        <v>9918.0784691916797</v>
      </c>
      <c r="F14" s="1635">
        <f t="shared" si="1"/>
        <v>5018.8009272865538</v>
      </c>
      <c r="G14" s="1635">
        <f t="shared" si="2"/>
        <v>1432.3430306131424</v>
      </c>
      <c r="H14" s="1635">
        <f>+TableB7!T20*$H$48/TableB7!$T$54</f>
        <v>60.487496685866255</v>
      </c>
      <c r="I14" s="1636">
        <f t="shared" si="5"/>
        <v>0.13436773084378206</v>
      </c>
      <c r="J14" s="543">
        <f t="shared" si="6"/>
        <v>0.50602553134423678</v>
      </c>
      <c r="K14" s="543">
        <f t="shared" si="3"/>
        <v>0.71460453375911293</v>
      </c>
      <c r="L14" s="1637">
        <v>0.64094996012759098</v>
      </c>
      <c r="M14" s="1638">
        <f>H14/TableC6!G14</f>
        <v>4.2229755996350538E-2</v>
      </c>
      <c r="N14" s="1639"/>
      <c r="O14" s="1639"/>
      <c r="P14" s="526"/>
      <c r="Q14" s="531">
        <v>1981</v>
      </c>
      <c r="R14" s="1640">
        <v>0.55969999999999998</v>
      </c>
      <c r="S14" s="538">
        <v>19</v>
      </c>
      <c r="T14" s="1641">
        <v>0.66971999999999998</v>
      </c>
      <c r="U14" s="1642">
        <v>7</v>
      </c>
    </row>
    <row r="15" spans="2:25" ht="16" x14ac:dyDescent="0.2">
      <c r="B15" s="1633">
        <v>1982</v>
      </c>
      <c r="C15" s="1634">
        <v>11355.65642129017</v>
      </c>
      <c r="D15" s="1635">
        <f t="shared" si="0"/>
        <v>1534.1001940374931</v>
      </c>
      <c r="E15" s="1635">
        <f t="shared" si="4"/>
        <v>9821.5562272526768</v>
      </c>
      <c r="F15" s="1635">
        <f t="shared" si="1"/>
        <v>4979.8215576722487</v>
      </c>
      <c r="G15" s="1635">
        <f t="shared" si="2"/>
        <v>1425.7013319477085</v>
      </c>
      <c r="H15" s="1635">
        <f>+TableB7!T21*$H$48/TableB7!$T$54</f>
        <v>49.629440006935091</v>
      </c>
      <c r="I15" s="1636">
        <f t="shared" si="5"/>
        <v>0.13509568598441241</v>
      </c>
      <c r="J15" s="543">
        <f t="shared" si="6"/>
        <v>0.50702978656827624</v>
      </c>
      <c r="K15" s="543">
        <f t="shared" si="3"/>
        <v>0.71370433349139251</v>
      </c>
      <c r="L15" s="1637">
        <v>0.64014254385964897</v>
      </c>
      <c r="M15" s="1638">
        <f>H15/TableC6!G15</f>
        <v>3.4810544743711716E-2</v>
      </c>
      <c r="N15" s="1639"/>
      <c r="O15" s="1639"/>
      <c r="P15" s="526"/>
      <c r="Q15" s="531">
        <v>1982</v>
      </c>
      <c r="R15" s="1640">
        <v>0.56457000000000002</v>
      </c>
      <c r="S15" s="538">
        <v>19</v>
      </c>
      <c r="T15" s="1641">
        <v>0.66051000000000004</v>
      </c>
      <c r="U15" s="1642">
        <v>7</v>
      </c>
    </row>
    <row r="16" spans="2:25" ht="16" x14ac:dyDescent="0.2">
      <c r="B16" s="1633">
        <v>1983</v>
      </c>
      <c r="C16" s="1634">
        <v>11616.289845913423</v>
      </c>
      <c r="D16" s="1635">
        <f t="shared" si="0"/>
        <v>1577.7667832358229</v>
      </c>
      <c r="E16" s="1635">
        <f t="shared" si="4"/>
        <v>10038.523062677599</v>
      </c>
      <c r="F16" s="1635">
        <f t="shared" si="1"/>
        <v>5099.9114451574769</v>
      </c>
      <c r="G16" s="1635">
        <f t="shared" si="2"/>
        <v>1512.518468127596</v>
      </c>
      <c r="H16" s="1635">
        <f>+TableB7!T22*$H$48/TableB7!$T$54</f>
        <v>54.351401320338866</v>
      </c>
      <c r="I16" s="1636">
        <f t="shared" si="5"/>
        <v>0.13582364112504275</v>
      </c>
      <c r="J16" s="543">
        <f t="shared" si="6"/>
        <v>0.5080340417923157</v>
      </c>
      <c r="K16" s="543">
        <f t="shared" si="3"/>
        <v>0.70342260166815662</v>
      </c>
      <c r="L16" s="1637">
        <v>0.63092055422647497</v>
      </c>
      <c r="M16" s="1638">
        <f>H16/TableC6!G16</f>
        <v>3.5934372019683518E-2</v>
      </c>
      <c r="N16" s="1639"/>
      <c r="O16" s="1639"/>
      <c r="P16" s="526"/>
      <c r="Q16" s="531">
        <v>1983</v>
      </c>
      <c r="R16" s="1640">
        <v>0.56903000000000004</v>
      </c>
      <c r="S16" s="538">
        <v>19</v>
      </c>
      <c r="T16" s="1641">
        <v>0.64142999999999994</v>
      </c>
      <c r="U16" s="1642">
        <v>7</v>
      </c>
    </row>
    <row r="17" spans="2:21" ht="16" x14ac:dyDescent="0.2">
      <c r="B17" s="1633">
        <v>1984</v>
      </c>
      <c r="C17" s="1634">
        <v>12058.393957860559</v>
      </c>
      <c r="D17" s="1635">
        <f t="shared" si="0"/>
        <v>1646.5929433462068</v>
      </c>
      <c r="E17" s="1635">
        <f t="shared" si="4"/>
        <v>10411.801014514353</v>
      </c>
      <c r="F17" s="1635">
        <f t="shared" si="1"/>
        <v>5300.005457301545</v>
      </c>
      <c r="G17" s="1635">
        <f t="shared" si="2"/>
        <v>1620.1497331109906</v>
      </c>
      <c r="H17" s="1635">
        <f>+TableB7!T23*$H$48/TableB7!$T$54</f>
        <v>64.669743403572681</v>
      </c>
      <c r="I17" s="1636">
        <f t="shared" si="5"/>
        <v>0.13655159626567309</v>
      </c>
      <c r="J17" s="543">
        <f t="shared" si="6"/>
        <v>0.50903829701635517</v>
      </c>
      <c r="K17" s="543">
        <f t="shared" si="3"/>
        <v>0.69431168587213554</v>
      </c>
      <c r="L17" s="1637">
        <v>0.62274870414673</v>
      </c>
      <c r="M17" s="1638">
        <f>H17/TableC6!G17</f>
        <v>3.9915905352398924E-2</v>
      </c>
      <c r="N17" s="1639"/>
      <c r="O17" s="1639"/>
      <c r="P17" s="526"/>
      <c r="Q17" s="531">
        <v>1984</v>
      </c>
      <c r="R17" s="1640">
        <v>0.57208000000000003</v>
      </c>
      <c r="S17" s="538">
        <v>19</v>
      </c>
      <c r="T17" s="1641">
        <v>0.62982000000000005</v>
      </c>
      <c r="U17" s="1642">
        <v>7</v>
      </c>
    </row>
    <row r="18" spans="2:21" ht="16" x14ac:dyDescent="0.2">
      <c r="B18" s="1633">
        <v>1985</v>
      </c>
      <c r="C18" s="1634">
        <v>12681.690896005781</v>
      </c>
      <c r="D18" s="1635">
        <f t="shared" si="0"/>
        <v>1740.9368372770759</v>
      </c>
      <c r="E18" s="1635">
        <f t="shared" si="4"/>
        <v>10940.754058728704</v>
      </c>
      <c r="F18" s="1635">
        <f t="shared" si="1"/>
        <v>5580.2501235484442</v>
      </c>
      <c r="G18" s="1635">
        <f t="shared" si="2"/>
        <v>1727.2222738821888</v>
      </c>
      <c r="H18" s="1635">
        <f>+TableB7!T24*$H$48/TableB7!$T$54</f>
        <v>61.931708457322088</v>
      </c>
      <c r="I18" s="1636">
        <f t="shared" si="5"/>
        <v>0.13727955140630344</v>
      </c>
      <c r="J18" s="543">
        <f t="shared" si="6"/>
        <v>0.51004255224039463</v>
      </c>
      <c r="K18" s="543">
        <f t="shared" si="3"/>
        <v>0.69047583250912425</v>
      </c>
      <c r="L18" s="1637">
        <v>0.619308213716108</v>
      </c>
      <c r="M18" s="1638">
        <f>H18/TableC6!G18</f>
        <v>3.5856246989057969E-2</v>
      </c>
      <c r="N18" s="1639"/>
      <c r="O18" s="1639"/>
      <c r="P18" s="526"/>
      <c r="Q18" s="531">
        <v>1985</v>
      </c>
      <c r="R18" s="1640">
        <v>0.57572999999999996</v>
      </c>
      <c r="S18" s="538">
        <v>20</v>
      </c>
      <c r="T18" s="1641">
        <v>0.62617</v>
      </c>
      <c r="U18" s="1642">
        <v>8</v>
      </c>
    </row>
    <row r="19" spans="2:21" ht="16" x14ac:dyDescent="0.2">
      <c r="B19" s="1633">
        <v>1986</v>
      </c>
      <c r="C19" s="1634">
        <v>15014.21823002051</v>
      </c>
      <c r="D19" s="1635">
        <f t="shared" si="0"/>
        <v>2072.074820676648</v>
      </c>
      <c r="E19" s="1635">
        <f t="shared" si="4"/>
        <v>12942.143409343862</v>
      </c>
      <c r="F19" s="1635">
        <f t="shared" si="1"/>
        <v>6614.0410710920469</v>
      </c>
      <c r="G19" s="1635">
        <f t="shared" si="2"/>
        <v>2033.7172606860956</v>
      </c>
      <c r="H19" s="1635">
        <f>+TableB7!T25*$H$48/TableB7!$T$54</f>
        <v>78.111115240509491</v>
      </c>
      <c r="I19" s="1636">
        <f t="shared" si="5"/>
        <v>0.13800750654693378</v>
      </c>
      <c r="J19" s="543">
        <f t="shared" si="6"/>
        <v>0.51104680746443409</v>
      </c>
      <c r="K19" s="543">
        <f t="shared" si="3"/>
        <v>0.69251517509093607</v>
      </c>
      <c r="L19" s="1637">
        <v>0.62113736044656997</v>
      </c>
      <c r="M19" s="1638">
        <f>H19/TableC6!G19</f>
        <v>3.8408050494766366E-2</v>
      </c>
      <c r="N19" s="1639"/>
      <c r="O19" s="1639"/>
      <c r="P19" s="526"/>
      <c r="Q19" s="531">
        <v>1986</v>
      </c>
      <c r="R19" s="1640">
        <v>0.57460999999999995</v>
      </c>
      <c r="S19" s="538">
        <v>20</v>
      </c>
      <c r="T19" s="1641">
        <v>0.63441000000000003</v>
      </c>
      <c r="U19" s="1642">
        <v>8</v>
      </c>
    </row>
    <row r="20" spans="2:21" ht="16" x14ac:dyDescent="0.2">
      <c r="B20" s="1633">
        <v>1987</v>
      </c>
      <c r="C20" s="1634">
        <v>17083.141772179115</v>
      </c>
      <c r="D20" s="1635">
        <f t="shared" si="0"/>
        <v>2370.037560837382</v>
      </c>
      <c r="E20" s="1635">
        <f t="shared" si="4"/>
        <v>14713.104211341733</v>
      </c>
      <c r="F20" s="1635">
        <f t="shared" si="1"/>
        <v>7533.86064686379</v>
      </c>
      <c r="G20" s="1635">
        <f t="shared" si="2"/>
        <v>2329.9443322532161</v>
      </c>
      <c r="H20" s="1635">
        <f>+TableB7!T26*$H$48/TableB7!$T$54</f>
        <v>100.13077294187255</v>
      </c>
      <c r="I20" s="1636">
        <f t="shared" si="5"/>
        <v>0.13873546168756412</v>
      </c>
      <c r="J20" s="543">
        <f t="shared" si="6"/>
        <v>0.51205106268847356</v>
      </c>
      <c r="K20" s="543">
        <f t="shared" si="3"/>
        <v>0.69073700172259889</v>
      </c>
      <c r="L20" s="1637">
        <v>0.61954246411483205</v>
      </c>
      <c r="M20" s="1638">
        <f>H20/TableC6!G20</f>
        <v>4.2975607423649996E-2</v>
      </c>
      <c r="N20" s="1639"/>
      <c r="O20" s="1639"/>
      <c r="P20" s="526"/>
      <c r="Q20" s="531">
        <v>1987</v>
      </c>
      <c r="R20" s="1640">
        <v>0.57452999999999999</v>
      </c>
      <c r="S20" s="538">
        <v>21</v>
      </c>
      <c r="T20" s="1641">
        <v>0.64707000000000003</v>
      </c>
      <c r="U20" s="1642">
        <v>8</v>
      </c>
    </row>
    <row r="21" spans="2:21" ht="16" x14ac:dyDescent="0.2">
      <c r="B21" s="1633">
        <v>1988</v>
      </c>
      <c r="C21" s="1634">
        <v>19129.417553427633</v>
      </c>
      <c r="D21" s="1635">
        <f t="shared" si="0"/>
        <v>2667.8539339342578</v>
      </c>
      <c r="E21" s="1635">
        <f t="shared" si="4"/>
        <v>16461.563619493376</v>
      </c>
      <c r="F21" s="1635">
        <f t="shared" si="1"/>
        <v>8445.6927561362318</v>
      </c>
      <c r="G21" s="1635">
        <f t="shared" si="2"/>
        <v>2666.5819764218941</v>
      </c>
      <c r="H21" s="1635">
        <f>+TableB7!T27*$H$48/TableB7!$T$54</f>
        <v>131.19660550959392</v>
      </c>
      <c r="I21" s="1636">
        <f t="shared" si="5"/>
        <v>0.13946341682819446</v>
      </c>
      <c r="J21" s="543">
        <f t="shared" si="6"/>
        <v>0.51305531791251302</v>
      </c>
      <c r="K21" s="543">
        <f t="shared" si="3"/>
        <v>0.68426722905773663</v>
      </c>
      <c r="L21" s="1637">
        <v>0.61373953349282195</v>
      </c>
      <c r="M21" s="1638">
        <f>H21/TableC6!G21</f>
        <v>4.9200289610311462E-2</v>
      </c>
      <c r="N21" s="1639"/>
      <c r="O21" s="1639"/>
      <c r="P21" s="526"/>
      <c r="Q21" s="531">
        <v>1988</v>
      </c>
      <c r="R21" s="1640">
        <v>0.57650000000000001</v>
      </c>
      <c r="S21" s="538">
        <v>23</v>
      </c>
      <c r="T21" s="1641">
        <v>0.64141000000000004</v>
      </c>
      <c r="U21" s="1642">
        <v>8</v>
      </c>
    </row>
    <row r="22" spans="2:21" ht="16" x14ac:dyDescent="0.2">
      <c r="B22" s="1633">
        <v>1989</v>
      </c>
      <c r="C22" s="1634">
        <v>20080.076891209112</v>
      </c>
      <c r="D22" s="1635">
        <f t="shared" si="0"/>
        <v>2815.0535286180998</v>
      </c>
      <c r="E22" s="1635">
        <f t="shared" si="4"/>
        <v>17265.023362591011</v>
      </c>
      <c r="F22" s="1635">
        <f t="shared" si="1"/>
        <v>8875.2505399661404</v>
      </c>
      <c r="G22" s="1635">
        <f t="shared" si="2"/>
        <v>2817.989179937817</v>
      </c>
      <c r="H22" s="1635">
        <f>+TableB7!T28*$H$48/TableB7!$T$54</f>
        <v>138.74370684443437</v>
      </c>
      <c r="I22" s="1636">
        <f t="shared" si="5"/>
        <v>0.14019137196882481</v>
      </c>
      <c r="J22" s="543">
        <f t="shared" si="6"/>
        <v>0.51405957313655248</v>
      </c>
      <c r="K22" s="543">
        <f t="shared" si="3"/>
        <v>0.68248905568939944</v>
      </c>
      <c r="L22" s="1637">
        <v>0.61214463716108403</v>
      </c>
      <c r="M22" s="1638">
        <f>H22/TableC6!G22</f>
        <v>4.9235003396108125E-2</v>
      </c>
      <c r="N22" s="1639"/>
      <c r="O22" s="1639"/>
      <c r="P22" s="526"/>
      <c r="Q22" s="531">
        <v>1989</v>
      </c>
      <c r="R22" s="1640">
        <v>0.70777000000000001</v>
      </c>
      <c r="S22" s="538">
        <v>31</v>
      </c>
      <c r="T22" s="1641">
        <v>0.66815000000000002</v>
      </c>
      <c r="U22" s="1642">
        <v>13</v>
      </c>
    </row>
    <row r="23" spans="2:21" ht="16" x14ac:dyDescent="0.2">
      <c r="B23" s="1633">
        <v>1990</v>
      </c>
      <c r="C23" s="1634">
        <v>22579.759701369676</v>
      </c>
      <c r="D23" s="1635">
        <f t="shared" si="0"/>
        <v>3181.9245434102068</v>
      </c>
      <c r="E23" s="1635">
        <f t="shared" si="4"/>
        <v>19397.835157959467</v>
      </c>
      <c r="F23" s="1635">
        <f t="shared" si="1"/>
        <v>9991.1232383662918</v>
      </c>
      <c r="G23" s="1635">
        <f t="shared" si="2"/>
        <v>3102.1099226922647</v>
      </c>
      <c r="H23" s="1635">
        <f>+TableB7!T29*$H$48/TableB7!$T$54</f>
        <v>142.27723731158349</v>
      </c>
      <c r="I23" s="1636">
        <f t="shared" si="5"/>
        <v>0.14091932710945515</v>
      </c>
      <c r="J23" s="543">
        <f t="shared" si="6"/>
        <v>0.51506382836059195</v>
      </c>
      <c r="K23" s="543">
        <f t="shared" si="3"/>
        <v>0.68951339617351082</v>
      </c>
      <c r="L23" s="1637">
        <v>0.61844497607655402</v>
      </c>
      <c r="M23" s="1638">
        <f>H23/TableC6!G23</f>
        <v>4.5864666584124032E-2</v>
      </c>
      <c r="N23" s="1639"/>
      <c r="O23" s="1639"/>
      <c r="P23" s="526"/>
      <c r="Q23" s="531">
        <v>1990</v>
      </c>
      <c r="R23" s="1640">
        <v>0.68457000000000001</v>
      </c>
      <c r="S23" s="538">
        <v>39</v>
      </c>
      <c r="T23" s="1641">
        <v>0.72474000000000005</v>
      </c>
      <c r="U23" s="1642">
        <v>14</v>
      </c>
    </row>
    <row r="24" spans="2:21" ht="16" x14ac:dyDescent="0.2">
      <c r="B24" s="1633">
        <v>1991</v>
      </c>
      <c r="C24" s="1634">
        <v>23909.82910607454</v>
      </c>
      <c r="D24" s="1635">
        <f t="shared" si="0"/>
        <v>3386.7623119394498</v>
      </c>
      <c r="E24" s="1635">
        <f t="shared" si="4"/>
        <v>20523.066794135091</v>
      </c>
      <c r="F24" s="1635">
        <f t="shared" si="1"/>
        <v>10591.299749728681</v>
      </c>
      <c r="G24" s="1635">
        <f t="shared" si="2"/>
        <v>3210.9346651160845</v>
      </c>
      <c r="H24" s="1635">
        <f>+TableB7!T30*$H$48/TableB7!$T$54</f>
        <v>125.78863157366088</v>
      </c>
      <c r="I24" s="1636">
        <f t="shared" si="5"/>
        <v>0.14164728225008549</v>
      </c>
      <c r="J24" s="543">
        <f t="shared" si="6"/>
        <v>0.51606808358463141</v>
      </c>
      <c r="K24" s="543">
        <f t="shared" si="3"/>
        <v>0.69683280230093203</v>
      </c>
      <c r="L24" s="1637">
        <v>0.62500996810207299</v>
      </c>
      <c r="M24" s="1638">
        <f>H24/TableC6!G24</f>
        <v>3.9175082863018414E-2</v>
      </c>
      <c r="N24" s="1639"/>
      <c r="O24" s="1639"/>
      <c r="P24" s="526"/>
      <c r="Q24" s="531">
        <v>1991</v>
      </c>
      <c r="R24" s="1640">
        <v>0.68884000000000001</v>
      </c>
      <c r="S24" s="538">
        <v>43</v>
      </c>
      <c r="T24" s="1641">
        <v>0.59109999999999996</v>
      </c>
      <c r="U24" s="1642">
        <v>14</v>
      </c>
    </row>
    <row r="25" spans="2:21" ht="16" x14ac:dyDescent="0.2">
      <c r="B25" s="1633">
        <v>1992</v>
      </c>
      <c r="C25" s="1634">
        <v>25389.800980622156</v>
      </c>
      <c r="D25" s="1635">
        <f t="shared" si="0"/>
        <v>3614.8789419191094</v>
      </c>
      <c r="E25" s="1635">
        <f t="shared" si="4"/>
        <v>21774.922038703047</v>
      </c>
      <c r="F25" s="1635">
        <f t="shared" si="1"/>
        <v>11259.209865928657</v>
      </c>
      <c r="G25" s="1635">
        <f t="shared" si="2"/>
        <v>3370.6974069576563</v>
      </c>
      <c r="H25" s="1635">
        <f>+TableB7!T31*$H$48/TableB7!$T$54</f>
        <v>126.75472791861176</v>
      </c>
      <c r="I25" s="1636">
        <f t="shared" si="5"/>
        <v>0.14237523739071584</v>
      </c>
      <c r="J25" s="543">
        <f t="shared" si="6"/>
        <v>0.51707233880867087</v>
      </c>
      <c r="K25" s="543">
        <f t="shared" si="3"/>
        <v>0.70062753540479972</v>
      </c>
      <c r="L25" s="1637">
        <v>0.62841357655502295</v>
      </c>
      <c r="M25" s="1638">
        <f>H25/TableC6!G25</f>
        <v>3.7604896736494295E-2</v>
      </c>
      <c r="N25" s="1639"/>
      <c r="O25" s="1639"/>
      <c r="P25" s="526"/>
      <c r="Q25" s="531">
        <v>1992</v>
      </c>
      <c r="R25" s="1640">
        <v>0.71650999999999998</v>
      </c>
      <c r="S25" s="538">
        <v>52</v>
      </c>
      <c r="T25" s="1641">
        <v>0.53071999999999997</v>
      </c>
      <c r="U25" s="1642">
        <v>18</v>
      </c>
    </row>
    <row r="26" spans="2:21" ht="16" x14ac:dyDescent="0.2">
      <c r="B26" s="1633">
        <v>1993</v>
      </c>
      <c r="C26" s="1634">
        <v>25834.73503794018</v>
      </c>
      <c r="D26" s="1635">
        <f t="shared" si="0"/>
        <v>3697.0330621306684</v>
      </c>
      <c r="E26" s="1635">
        <f t="shared" si="4"/>
        <v>22137.701975809512</v>
      </c>
      <c r="F26" s="1635">
        <f t="shared" si="1"/>
        <v>11469.025239338594</v>
      </c>
      <c r="G26" s="1635">
        <f t="shared" si="2"/>
        <v>3453.878775252676</v>
      </c>
      <c r="H26" s="1635">
        <f>+TableB7!T32*$H$48/TableB7!$T$54</f>
        <v>148.2530785885088</v>
      </c>
      <c r="I26" s="1636">
        <f t="shared" si="5"/>
        <v>0.14310319253134618</v>
      </c>
      <c r="J26" s="543">
        <f t="shared" si="6"/>
        <v>0.51807659403271034</v>
      </c>
      <c r="K26" s="543">
        <f t="shared" si="3"/>
        <v>0.69885158475317322</v>
      </c>
      <c r="L26" s="1637">
        <v>0.62682067384369999</v>
      </c>
      <c r="M26" s="1638">
        <f>H26/TableC6!G26</f>
        <v>4.2923648522569538E-2</v>
      </c>
      <c r="N26" s="1639"/>
      <c r="O26" s="1639"/>
      <c r="P26" s="526"/>
      <c r="Q26" s="531">
        <v>1993</v>
      </c>
      <c r="R26" s="1640">
        <v>0.64585000000000004</v>
      </c>
      <c r="S26" s="538">
        <v>57</v>
      </c>
      <c r="T26" s="1641">
        <v>0.52434000000000003</v>
      </c>
      <c r="U26" s="1642">
        <v>22</v>
      </c>
    </row>
    <row r="27" spans="2:21" ht="16" x14ac:dyDescent="0.2">
      <c r="B27" s="1633">
        <v>1994</v>
      </c>
      <c r="C27" s="1634">
        <v>27740.746941930633</v>
      </c>
      <c r="D27" s="1635">
        <f t="shared" si="0"/>
        <v>3989.9834699357561</v>
      </c>
      <c r="E27" s="1635">
        <f t="shared" si="4"/>
        <v>23750.763471994876</v>
      </c>
      <c r="F27" s="1635">
        <f t="shared" si="1"/>
        <v>12328.566473539291</v>
      </c>
      <c r="G27" s="1635">
        <f t="shared" si="2"/>
        <v>3828.6288666460609</v>
      </c>
      <c r="H27" s="1635">
        <f>+TableB7!T33*$H$48/TableB7!$T$54</f>
        <v>187.68617174182157</v>
      </c>
      <c r="I27" s="1636">
        <f t="shared" si="5"/>
        <v>0.14383114767197652</v>
      </c>
      <c r="J27" s="543">
        <f t="shared" si="6"/>
        <v>0.5190808492567498</v>
      </c>
      <c r="K27" s="543">
        <f t="shared" si="3"/>
        <v>0.68945060442644179</v>
      </c>
      <c r="L27" s="1637">
        <v>0.61838865629983997</v>
      </c>
      <c r="M27" s="1638">
        <f>H27/TableC6!G27</f>
        <v>4.9021772096243324E-2</v>
      </c>
      <c r="N27" s="1639"/>
      <c r="O27" s="1639"/>
      <c r="P27" s="526"/>
      <c r="Q27" s="531">
        <v>1994</v>
      </c>
      <c r="R27" s="1640">
        <v>0.61561999999999995</v>
      </c>
      <c r="S27" s="538">
        <v>63</v>
      </c>
      <c r="T27" s="1641">
        <v>0.48715999999999998</v>
      </c>
      <c r="U27" s="1642">
        <v>28</v>
      </c>
    </row>
    <row r="28" spans="2:21" ht="16" x14ac:dyDescent="0.2">
      <c r="B28" s="1633">
        <v>1995</v>
      </c>
      <c r="C28" s="1634">
        <v>30840.585358589611</v>
      </c>
      <c r="D28" s="1635">
        <f t="shared" si="0"/>
        <v>4458.2873496533339</v>
      </c>
      <c r="E28" s="1635">
        <f t="shared" si="4"/>
        <v>26382.298008936275</v>
      </c>
      <c r="F28" s="1635">
        <f t="shared" si="1"/>
        <v>13721.040216420941</v>
      </c>
      <c r="G28" s="1635">
        <f t="shared" si="2"/>
        <v>4313.6468971301183</v>
      </c>
      <c r="H28" s="1635">
        <f>+TableB7!T34*$H$48/TableB7!$T$54</f>
        <v>225.53837996703288</v>
      </c>
      <c r="I28" s="1636">
        <f t="shared" si="5"/>
        <v>0.14455910281260687</v>
      </c>
      <c r="J28" s="543">
        <f t="shared" si="6"/>
        <v>0.52008510448078926</v>
      </c>
      <c r="K28" s="543">
        <f t="shared" si="3"/>
        <v>0.6856180851384962</v>
      </c>
      <c r="L28" s="1637">
        <v>0.61495115629983998</v>
      </c>
      <c r="M28" s="1638">
        <f>H28/TableC6!G28</f>
        <v>5.2284849767625673E-2</v>
      </c>
      <c r="N28" s="1639"/>
      <c r="O28" s="1639"/>
      <c r="P28" s="526"/>
      <c r="Q28" s="531">
        <v>1995</v>
      </c>
      <c r="R28" s="1640">
        <v>0.5595</v>
      </c>
      <c r="S28" s="538">
        <v>73</v>
      </c>
      <c r="T28" s="1641">
        <v>0.55347999999999997</v>
      </c>
      <c r="U28" s="1642">
        <v>46</v>
      </c>
    </row>
    <row r="29" spans="2:21" ht="16" x14ac:dyDescent="0.2">
      <c r="B29" s="1633">
        <v>1996</v>
      </c>
      <c r="C29" s="1634">
        <v>31518.975357769596</v>
      </c>
      <c r="D29" s="1635">
        <f t="shared" si="0"/>
        <v>4579.2991994309268</v>
      </c>
      <c r="E29" s="1635">
        <f t="shared" si="4"/>
        <v>26939.676158338669</v>
      </c>
      <c r="F29" s="1635">
        <f t="shared" si="1"/>
        <v>14037.978600004137</v>
      </c>
      <c r="G29" s="1635">
        <f t="shared" si="2"/>
        <v>4475.363866562715</v>
      </c>
      <c r="H29" s="1635">
        <f>+TableB7!T35*$H$48/TableB7!$T$54</f>
        <v>276.10143238204006</v>
      </c>
      <c r="I29" s="1636">
        <f t="shared" si="5"/>
        <v>0.14528705795323721</v>
      </c>
      <c r="J29" s="543">
        <f t="shared" si="6"/>
        <v>0.52108935970482873</v>
      </c>
      <c r="K29" s="543">
        <f t="shared" si="3"/>
        <v>0.68119599024311117</v>
      </c>
      <c r="L29" s="1637">
        <v>0.61098484848484802</v>
      </c>
      <c r="M29" s="1638">
        <f>H29/TableC6!G29</f>
        <v>6.169362773939064E-2</v>
      </c>
      <c r="N29" s="1639"/>
      <c r="O29" s="1639"/>
      <c r="P29" s="526"/>
      <c r="Q29" s="531">
        <v>1996</v>
      </c>
      <c r="R29" s="1640">
        <v>0.49248999999999998</v>
      </c>
      <c r="S29" s="538">
        <v>83</v>
      </c>
      <c r="T29" s="1641">
        <v>0.46244000000000002</v>
      </c>
      <c r="U29" s="1642">
        <v>52</v>
      </c>
    </row>
    <row r="30" spans="2:21" ht="16" x14ac:dyDescent="0.2">
      <c r="B30" s="1633">
        <v>1997</v>
      </c>
      <c r="C30" s="1634">
        <v>31403.319223790677</v>
      </c>
      <c r="D30" s="1635">
        <f t="shared" si="0"/>
        <v>4585.3560676526986</v>
      </c>
      <c r="E30" s="1635">
        <f t="shared" si="4"/>
        <v>26817.963156137979</v>
      </c>
      <c r="F30" s="1635">
        <f t="shared" si="1"/>
        <v>14001.487329217276</v>
      </c>
      <c r="G30" s="1635">
        <f t="shared" si="2"/>
        <v>4533.7533177939222</v>
      </c>
      <c r="H30" s="1635">
        <f>+TableB7!T36*$H$48/TableB7!$T$54</f>
        <v>297.48187839215478</v>
      </c>
      <c r="I30" s="1636">
        <f t="shared" si="5"/>
        <v>0.14601501309386755</v>
      </c>
      <c r="J30" s="543">
        <f t="shared" si="6"/>
        <v>0.52209361492886819</v>
      </c>
      <c r="K30" s="543">
        <f t="shared" si="3"/>
        <v>0.67619487764466146</v>
      </c>
      <c r="L30" s="1637">
        <v>0.60649920255183398</v>
      </c>
      <c r="M30" s="1638">
        <f>H30/TableC6!G30</f>
        <v>6.5614923781717002E-2</v>
      </c>
      <c r="N30" s="1639"/>
      <c r="O30" s="1639"/>
      <c r="P30" s="526"/>
      <c r="Q30" s="531">
        <v>1997</v>
      </c>
      <c r="R30" s="1640">
        <v>0.48898000000000003</v>
      </c>
      <c r="S30" s="538">
        <v>89</v>
      </c>
      <c r="T30" s="1641">
        <v>0.45422000000000001</v>
      </c>
      <c r="U30" s="1642">
        <v>55</v>
      </c>
    </row>
    <row r="31" spans="2:21" ht="16" x14ac:dyDescent="0.2">
      <c r="B31" s="1633">
        <v>1998</v>
      </c>
      <c r="C31" s="1634">
        <v>31314.851252939232</v>
      </c>
      <c r="D31" s="1635">
        <f t="shared" si="0"/>
        <v>4595.2342226780884</v>
      </c>
      <c r="E31" s="1635">
        <f t="shared" si="4"/>
        <v>26719.617030261143</v>
      </c>
      <c r="F31" s="1635">
        <f t="shared" si="1"/>
        <v>13976.974759830962</v>
      </c>
      <c r="G31" s="1635">
        <f t="shared" si="2"/>
        <v>4480.9865499803163</v>
      </c>
      <c r="H31" s="1635">
        <f>+TableB7!T37*$H$48/TableB7!$T$54</f>
        <v>293.29385675233658</v>
      </c>
      <c r="I31" s="1636">
        <f t="shared" si="5"/>
        <v>0.14674296823449789</v>
      </c>
      <c r="J31" s="543">
        <f t="shared" si="6"/>
        <v>0.52309787015290765</v>
      </c>
      <c r="K31" s="543">
        <f t="shared" si="3"/>
        <v>0.67940225785780062</v>
      </c>
      <c r="L31" s="1637">
        <v>0.60937599681020704</v>
      </c>
      <c r="M31" s="1638">
        <f>H31/TableC6!G31</f>
        <v>6.545296520776768E-2</v>
      </c>
      <c r="N31" s="1639"/>
      <c r="O31" s="1639"/>
      <c r="P31" s="526"/>
      <c r="Q31" s="531">
        <v>1998</v>
      </c>
      <c r="R31" s="1640">
        <v>0.51712999999999998</v>
      </c>
      <c r="S31" s="538">
        <v>96</v>
      </c>
      <c r="T31" s="1641">
        <v>0.55740000000000001</v>
      </c>
      <c r="U31" s="1642">
        <v>60</v>
      </c>
    </row>
    <row r="32" spans="2:21" ht="16" x14ac:dyDescent="0.2">
      <c r="B32" s="1633">
        <v>1999</v>
      </c>
      <c r="C32" s="1634">
        <v>32486.11387303469</v>
      </c>
      <c r="D32" s="1635">
        <f t="shared" si="0"/>
        <v>4790.757209725989</v>
      </c>
      <c r="E32" s="1635">
        <f t="shared" si="4"/>
        <v>27695.356663308703</v>
      </c>
      <c r="F32" s="1635">
        <f t="shared" si="1"/>
        <v>14515.195290312686</v>
      </c>
      <c r="G32" s="1635">
        <f t="shared" si="2"/>
        <v>4598.4172157911598</v>
      </c>
      <c r="H32" s="1635">
        <f>+TableB7!T38*$H$48/TableB7!$T$54</f>
        <v>379.10198068083832</v>
      </c>
      <c r="I32" s="1636">
        <f t="shared" si="5"/>
        <v>0.14747092337512824</v>
      </c>
      <c r="J32" s="543">
        <f t="shared" si="6"/>
        <v>0.52410212537694711</v>
      </c>
      <c r="K32" s="543">
        <f t="shared" si="3"/>
        <v>0.68319976935755711</v>
      </c>
      <c r="L32" s="1637">
        <v>0.61278209728867605</v>
      </c>
      <c r="M32" s="1638">
        <f>H32/TableC6!G32</f>
        <v>8.2441840940179603E-2</v>
      </c>
      <c r="N32" s="1639"/>
      <c r="O32" s="1639"/>
      <c r="P32" s="526"/>
      <c r="Q32" s="531">
        <v>1999</v>
      </c>
      <c r="R32" s="1640">
        <v>0.49095</v>
      </c>
      <c r="S32" s="538">
        <v>101</v>
      </c>
      <c r="T32" s="1641">
        <v>0.58123999999999998</v>
      </c>
      <c r="U32" s="1642">
        <v>64</v>
      </c>
    </row>
    <row r="33" spans="2:21" ht="16" x14ac:dyDescent="0.2">
      <c r="B33" s="1633">
        <v>2000</v>
      </c>
      <c r="C33" s="1634">
        <v>33543.172517932886</v>
      </c>
      <c r="D33" s="1635">
        <f t="shared" si="0"/>
        <v>4971.0605490182679</v>
      </c>
      <c r="E33" s="1635">
        <f t="shared" si="4"/>
        <v>28572.111968914618</v>
      </c>
      <c r="F33" s="1635">
        <f t="shared" si="1"/>
        <v>15003.398302122883</v>
      </c>
      <c r="G33" s="1635">
        <f t="shared" si="2"/>
        <v>4621.2208480454574</v>
      </c>
      <c r="H33" s="1635">
        <f>+TableB7!T39*$H$48/TableB7!$T$54</f>
        <v>440.6241509117329</v>
      </c>
      <c r="I33" s="1636">
        <f t="shared" si="5"/>
        <v>0.14819887851575858</v>
      </c>
      <c r="J33" s="543">
        <f t="shared" si="6"/>
        <v>0.52510638060098658</v>
      </c>
      <c r="K33" s="543">
        <f t="shared" si="3"/>
        <v>0.69198839123056644</v>
      </c>
      <c r="L33" s="1637">
        <v>0.62066487240829304</v>
      </c>
      <c r="M33" s="1638">
        <f>H33/TableC6!G33</f>
        <v>9.5347996860633624E-2</v>
      </c>
      <c r="N33" s="1639"/>
      <c r="O33" s="1639"/>
      <c r="P33" s="526"/>
      <c r="Q33" s="531">
        <v>2000</v>
      </c>
      <c r="R33" s="1640">
        <v>0.5776</v>
      </c>
      <c r="S33" s="538">
        <v>106</v>
      </c>
      <c r="T33" s="1641">
        <v>0.60068999999999995</v>
      </c>
      <c r="U33" s="1642">
        <v>67</v>
      </c>
    </row>
    <row r="34" spans="2:21" ht="16" x14ac:dyDescent="0.2">
      <c r="B34" s="1633">
        <v>2001</v>
      </c>
      <c r="C34" s="1634">
        <v>33335.98179663792</v>
      </c>
      <c r="D34" s="1635">
        <f t="shared" si="0"/>
        <v>4964.6222158003047</v>
      </c>
      <c r="E34" s="1635">
        <f t="shared" si="4"/>
        <v>28371.359580837616</v>
      </c>
      <c r="F34" s="1635">
        <f t="shared" si="1"/>
        <v>14926.474028294922</v>
      </c>
      <c r="G34" s="1635">
        <f t="shared" si="2"/>
        <v>4567.1368506129529</v>
      </c>
      <c r="H34" s="1635">
        <f>+TableB7!T40*$H$48/TableB7!$T$54</f>
        <v>369.95715089507036</v>
      </c>
      <c r="I34" s="1636">
        <f t="shared" si="5"/>
        <v>0.14892683365638892</v>
      </c>
      <c r="J34" s="543">
        <f t="shared" si="6"/>
        <v>0.52611063582502604</v>
      </c>
      <c r="K34" s="543">
        <f t="shared" si="3"/>
        <v>0.69402439973731256</v>
      </c>
      <c r="L34" s="1637">
        <v>0.622491028708133</v>
      </c>
      <c r="M34" s="1638">
        <f>H34/TableC6!G34</f>
        <v>8.1004174605676341E-2</v>
      </c>
      <c r="N34" s="1639"/>
      <c r="O34" s="1639"/>
      <c r="P34" s="526"/>
      <c r="Q34" s="531">
        <v>2001</v>
      </c>
      <c r="R34" s="1640">
        <v>0.57091999999999998</v>
      </c>
      <c r="S34" s="538">
        <v>109</v>
      </c>
      <c r="T34" s="1641">
        <v>0.59001999999999999</v>
      </c>
      <c r="U34" s="1642">
        <v>68</v>
      </c>
    </row>
    <row r="35" spans="2:21" ht="16" x14ac:dyDescent="0.2">
      <c r="B35" s="1633">
        <v>2002</v>
      </c>
      <c r="C35" s="1634">
        <v>34612.40754836415</v>
      </c>
      <c r="D35" s="1635">
        <f t="shared" si="0"/>
        <v>5179.9125414067921</v>
      </c>
      <c r="E35" s="1635">
        <f t="shared" si="4"/>
        <v>29432.495006957357</v>
      </c>
      <c r="F35" s="1635">
        <f t="shared" si="1"/>
        <v>15514.306398894492</v>
      </c>
      <c r="G35" s="1635">
        <f t="shared" si="2"/>
        <v>4874.7362295790444</v>
      </c>
      <c r="H35" s="1635">
        <f>+TableB7!T41*$H$48/TableB7!$T$54</f>
        <v>414.23877240473689</v>
      </c>
      <c r="I35" s="1636">
        <f t="shared" si="5"/>
        <v>0.14965478879701927</v>
      </c>
      <c r="J35" s="543">
        <f t="shared" si="6"/>
        <v>0.5271148910490655</v>
      </c>
      <c r="K35" s="543">
        <f t="shared" si="3"/>
        <v>0.68579090136273158</v>
      </c>
      <c r="L35" s="1637">
        <v>0.61510616028708098</v>
      </c>
      <c r="M35" s="1638">
        <f>H35/TableC6!G35</f>
        <v>8.4976653688708048E-2</v>
      </c>
      <c r="N35" s="1639"/>
      <c r="O35" s="1639"/>
      <c r="P35" s="526"/>
      <c r="Q35" s="531">
        <v>2002</v>
      </c>
      <c r="R35" s="1640">
        <v>0.57062999999999997</v>
      </c>
      <c r="S35" s="538">
        <v>114</v>
      </c>
      <c r="T35" s="1641">
        <v>0.57604</v>
      </c>
      <c r="U35" s="1642">
        <v>70</v>
      </c>
    </row>
    <row r="36" spans="2:21" ht="16" x14ac:dyDescent="0.2">
      <c r="B36" s="1633">
        <v>2003</v>
      </c>
      <c r="C36" s="1634">
        <v>38867.460637801349</v>
      </c>
      <c r="D36" s="1635">
        <f t="shared" si="0"/>
        <v>5844.9953806011554</v>
      </c>
      <c r="E36" s="1635">
        <f t="shared" si="4"/>
        <v>33022.465257200194</v>
      </c>
      <c r="F36" s="1635">
        <f t="shared" si="1"/>
        <v>17439.796159465837</v>
      </c>
      <c r="G36" s="1635">
        <f t="shared" si="2"/>
        <v>5623.3137831522918</v>
      </c>
      <c r="H36" s="1635">
        <f>+TableB7!T42*$H$48/TableB7!$T$54</f>
        <v>582.85807630747797</v>
      </c>
      <c r="I36" s="1636">
        <f t="shared" si="5"/>
        <v>0.15038274393764961</v>
      </c>
      <c r="J36" s="543">
        <f t="shared" si="6"/>
        <v>0.52811914627310497</v>
      </c>
      <c r="K36" s="543">
        <f t="shared" si="3"/>
        <v>0.67755851434650438</v>
      </c>
      <c r="L36" s="1637">
        <v>0.60772228867623501</v>
      </c>
      <c r="M36" s="1638">
        <f>H36/TableC6!G36</f>
        <v>0.10365028500699139</v>
      </c>
      <c r="N36" s="1639"/>
      <c r="O36" s="1639"/>
      <c r="P36" s="526"/>
      <c r="Q36" s="531">
        <v>2003</v>
      </c>
      <c r="R36" s="1640">
        <v>0.56552000000000002</v>
      </c>
      <c r="S36" s="538">
        <v>114</v>
      </c>
      <c r="T36" s="1641">
        <v>0.56644000000000005</v>
      </c>
      <c r="U36" s="1642">
        <v>70</v>
      </c>
    </row>
    <row r="37" spans="2:21" ht="16" x14ac:dyDescent="0.2">
      <c r="B37" s="1633">
        <v>2004</v>
      </c>
      <c r="C37" s="1634">
        <v>43770.74399911514</v>
      </c>
      <c r="D37" s="1635">
        <f t="shared" si="0"/>
        <v>6614.2277248827158</v>
      </c>
      <c r="E37" s="1635">
        <f t="shared" si="4"/>
        <v>37156.516274232425</v>
      </c>
      <c r="F37" s="1635">
        <f t="shared" si="1"/>
        <v>19660.382278805864</v>
      </c>
      <c r="G37" s="1635">
        <f t="shared" si="2"/>
        <v>6593.4133819685367</v>
      </c>
      <c r="H37" s="1635">
        <f>+TableB7!T43*$H$48/TableB7!$T$54</f>
        <v>879.34979617921624</v>
      </c>
      <c r="I37" s="1636">
        <f t="shared" si="5"/>
        <v>0.15111069907827995</v>
      </c>
      <c r="J37" s="543">
        <f t="shared" si="6"/>
        <v>0.52912340149714443</v>
      </c>
      <c r="K37" s="543">
        <f t="shared" si="3"/>
        <v>0.66463452803375456</v>
      </c>
      <c r="L37" s="1637">
        <v>0.59613038277511898</v>
      </c>
      <c r="M37" s="1638">
        <f>H37/TableC6!G37</f>
        <v>0.13336791510510093</v>
      </c>
      <c r="N37" s="1639"/>
      <c r="O37" s="1639"/>
      <c r="P37" s="526"/>
      <c r="Q37" s="531">
        <v>2004</v>
      </c>
      <c r="R37" s="1640">
        <v>0.56801000000000001</v>
      </c>
      <c r="S37" s="538">
        <v>115</v>
      </c>
      <c r="T37" s="1641">
        <v>0.55098000000000003</v>
      </c>
      <c r="U37" s="1642">
        <v>71</v>
      </c>
    </row>
    <row r="38" spans="2:21" ht="16" x14ac:dyDescent="0.2">
      <c r="B38" s="1633">
        <v>2005</v>
      </c>
      <c r="C38" s="1634">
        <v>47385.623695561335</v>
      </c>
      <c r="D38" s="1635">
        <f t="shared" si="0"/>
        <v>7194.9693312577401</v>
      </c>
      <c r="E38" s="1635">
        <f t="shared" si="4"/>
        <v>40190.654364303598</v>
      </c>
      <c r="F38" s="1635">
        <f t="shared" si="1"/>
        <v>21306.177420239288</v>
      </c>
      <c r="G38" s="1635">
        <f t="shared" si="2"/>
        <v>7258.2449171998196</v>
      </c>
      <c r="H38" s="1635">
        <f>+TableB7!T44*$H$48/TableB7!$T$54</f>
        <v>1154.5272410233706</v>
      </c>
      <c r="I38" s="1636">
        <f t="shared" si="5"/>
        <v>0.1518386542189103</v>
      </c>
      <c r="J38" s="543">
        <f t="shared" si="6"/>
        <v>0.53012765672118389</v>
      </c>
      <c r="K38" s="543">
        <f t="shared" si="3"/>
        <v>0.65933612707528544</v>
      </c>
      <c r="L38" s="1637">
        <v>0.591378090111642</v>
      </c>
      <c r="M38" s="1638">
        <f>H38/TableC6!G38</f>
        <v>0.15906424406918185</v>
      </c>
      <c r="N38" s="1639"/>
      <c r="O38" s="1639"/>
      <c r="P38" s="526"/>
      <c r="Q38" s="531">
        <v>2005</v>
      </c>
      <c r="R38" s="1640">
        <v>0.57111000000000001</v>
      </c>
      <c r="S38" s="538">
        <v>117</v>
      </c>
      <c r="T38" s="1641">
        <v>0.53764999999999996</v>
      </c>
      <c r="U38" s="1642">
        <v>70</v>
      </c>
    </row>
    <row r="39" spans="2:21" ht="16" x14ac:dyDescent="0.2">
      <c r="B39" s="1633">
        <v>2006</v>
      </c>
      <c r="C39" s="1634">
        <v>51306.757202149049</v>
      </c>
      <c r="D39" s="1635">
        <f t="shared" si="0"/>
        <v>7827.6979835650718</v>
      </c>
      <c r="E39" s="1635">
        <f t="shared" si="4"/>
        <v>43479.059218583978</v>
      </c>
      <c r="F39" s="1635">
        <f t="shared" si="1"/>
        <v>23093.115852346098</v>
      </c>
      <c r="G39" s="1635">
        <f t="shared" si="2"/>
        <v>7982.5970480585947</v>
      </c>
      <c r="H39" s="1635">
        <f>+TableB7!T45*$H$48/TableB7!$T$54</f>
        <v>1340.0586449522318</v>
      </c>
      <c r="I39" s="1636">
        <f t="shared" si="5"/>
        <v>0.15256660935954064</v>
      </c>
      <c r="J39" s="543">
        <f t="shared" si="6"/>
        <v>0.53113191194522336</v>
      </c>
      <c r="K39" s="543">
        <f t="shared" si="3"/>
        <v>0.65433001336423735</v>
      </c>
      <c r="L39" s="1637">
        <v>0.58688795853269504</v>
      </c>
      <c r="M39" s="1638">
        <f>H39/TableC6!G39</f>
        <v>0.16787251528349917</v>
      </c>
      <c r="N39" s="1639"/>
      <c r="O39" s="1639"/>
      <c r="P39" s="526"/>
      <c r="Q39" s="531">
        <v>2006</v>
      </c>
      <c r="R39" s="1640">
        <v>0.5756</v>
      </c>
      <c r="S39" s="538">
        <v>118</v>
      </c>
      <c r="T39" s="1641">
        <v>0.52773000000000003</v>
      </c>
      <c r="U39" s="1642">
        <v>70</v>
      </c>
    </row>
    <row r="40" spans="2:21" ht="16" x14ac:dyDescent="0.2">
      <c r="B40" s="1633">
        <v>2007</v>
      </c>
      <c r="C40" s="1634">
        <v>57793.33057329747</v>
      </c>
      <c r="D40" s="1635">
        <f t="shared" si="0"/>
        <v>8859.4034412480523</v>
      </c>
      <c r="E40" s="1635">
        <f t="shared" si="4"/>
        <v>48933.927132049415</v>
      </c>
      <c r="F40" s="1635">
        <f t="shared" si="1"/>
        <v>26039.512428588772</v>
      </c>
      <c r="G40" s="1635">
        <f t="shared" si="2"/>
        <v>8978.6066013275668</v>
      </c>
      <c r="H40" s="1635">
        <f>+TableB7!T46*$H$48/TableB7!$T$54</f>
        <v>1626.0616625384382</v>
      </c>
      <c r="I40" s="1636">
        <f t="shared" si="5"/>
        <v>0.15329456450017098</v>
      </c>
      <c r="J40" s="543">
        <f t="shared" si="6"/>
        <v>0.53213616716926282</v>
      </c>
      <c r="K40" s="543">
        <f t="shared" si="3"/>
        <v>0.65519298312705898</v>
      </c>
      <c r="L40" s="1637">
        <v>0.58766198165869199</v>
      </c>
      <c r="M40" s="1638">
        <f>H40/TableC6!G40</f>
        <v>0.18110401031469744</v>
      </c>
      <c r="N40" s="1639"/>
      <c r="O40" s="1639"/>
      <c r="P40" s="526"/>
      <c r="Q40" s="531">
        <v>2007</v>
      </c>
      <c r="R40" s="1640">
        <v>0.57330000000000003</v>
      </c>
      <c r="S40" s="538">
        <v>115</v>
      </c>
      <c r="T40" s="1641">
        <v>0.52429000000000003</v>
      </c>
      <c r="U40" s="1642">
        <v>74</v>
      </c>
    </row>
    <row r="41" spans="2:21" ht="16" x14ac:dyDescent="0.2">
      <c r="B41" s="1633">
        <v>2008</v>
      </c>
      <c r="C41" s="1634">
        <v>63386.360636271289</v>
      </c>
      <c r="D41" s="1635">
        <f t="shared" si="0"/>
        <v>9762.9269760590105</v>
      </c>
      <c r="E41" s="1635">
        <f t="shared" si="4"/>
        <v>53623.433660212278</v>
      </c>
      <c r="F41" s="1635">
        <f t="shared" si="1"/>
        <v>28588.820071784798</v>
      </c>
      <c r="G41" s="1635">
        <f t="shared" si="2"/>
        <v>9681.9560322836423</v>
      </c>
      <c r="H41" s="1635">
        <f>+TableB7!T47*$H$48/TableB7!$T$54</f>
        <v>1451.1898023409158</v>
      </c>
      <c r="I41" s="1636">
        <f t="shared" si="5"/>
        <v>0.15402251964080133</v>
      </c>
      <c r="J41" s="543">
        <f t="shared" si="6"/>
        <v>0.53314042239330228</v>
      </c>
      <c r="K41" s="543">
        <f t="shared" si="3"/>
        <v>0.66133768347302069</v>
      </c>
      <c r="L41" s="1637">
        <v>0.59317334529505505</v>
      </c>
      <c r="M41" s="1638">
        <f>H41/TableC6!G41</f>
        <v>0.14988601451008962</v>
      </c>
      <c r="N41" s="1639"/>
      <c r="O41" s="1639"/>
      <c r="P41" s="526"/>
      <c r="Q41" s="531">
        <v>2008</v>
      </c>
      <c r="R41" s="1640">
        <v>0.67188000000000003</v>
      </c>
      <c r="S41" s="538">
        <v>119</v>
      </c>
      <c r="T41" s="1641">
        <v>0.56511999999999996</v>
      </c>
      <c r="U41" s="1642">
        <v>76</v>
      </c>
    </row>
    <row r="42" spans="2:21" ht="16" x14ac:dyDescent="0.2">
      <c r="B42" s="1633">
        <v>2009</v>
      </c>
      <c r="C42" s="1634">
        <v>60086.989443247432</v>
      </c>
      <c r="D42" s="1635">
        <f t="shared" si="0"/>
        <v>9298.4901445294126</v>
      </c>
      <c r="E42" s="1635">
        <f t="shared" si="4"/>
        <v>50788.499298718016</v>
      </c>
      <c r="F42" s="1635">
        <f t="shared" si="1"/>
        <v>27128.406584582321</v>
      </c>
      <c r="G42" s="1635">
        <f t="shared" si="2"/>
        <v>9068.4297083077108</v>
      </c>
      <c r="H42" s="1635">
        <f>+TableB7!T48*$H$48/TableB7!$T$54</f>
        <v>1351.0670902278241</v>
      </c>
      <c r="I42" s="1636">
        <f t="shared" si="5"/>
        <v>0.15475047478143167</v>
      </c>
      <c r="J42" s="543">
        <f t="shared" si="6"/>
        <v>0.53414467761734175</v>
      </c>
      <c r="K42" s="543">
        <f t="shared" si="3"/>
        <v>0.66572199218432893</v>
      </c>
      <c r="L42" s="1576">
        <v>0.59710576156299799</v>
      </c>
      <c r="M42" s="1638">
        <f>H42/TableC6!G42</f>
        <v>0.14898578184821715</v>
      </c>
      <c r="N42" s="1643"/>
      <c r="O42" s="1643"/>
      <c r="P42" s="526"/>
      <c r="Q42" s="531">
        <v>2009</v>
      </c>
      <c r="R42" s="1640">
        <v>0.65393000000000001</v>
      </c>
      <c r="S42" s="538">
        <v>119</v>
      </c>
      <c r="T42" s="1641">
        <v>0.62566999999999995</v>
      </c>
      <c r="U42" s="1642">
        <v>77</v>
      </c>
    </row>
    <row r="43" spans="2:21" ht="16" x14ac:dyDescent="0.2">
      <c r="B43" s="1633">
        <v>2010</v>
      </c>
      <c r="C43" s="1634">
        <v>65906.150720610196</v>
      </c>
      <c r="D43" s="1635">
        <f t="shared" si="0"/>
        <v>10246.984836247249</v>
      </c>
      <c r="E43" s="1635">
        <f t="shared" si="4"/>
        <v>55659.165884362948</v>
      </c>
      <c r="F43" s="1635">
        <f t="shared" si="1"/>
        <v>29785.943225858242</v>
      </c>
      <c r="G43" s="1635">
        <f t="shared" si="2"/>
        <v>10394.173810299038</v>
      </c>
      <c r="H43" s="1635">
        <f>+TableB7!T49*$H$48/TableB7!$T$54</f>
        <v>1784.5592123315012</v>
      </c>
      <c r="I43" s="1636">
        <f t="shared" si="5"/>
        <v>0.15547842992206201</v>
      </c>
      <c r="J43" s="543">
        <f t="shared" si="6"/>
        <v>0.53514893284138121</v>
      </c>
      <c r="K43" s="543">
        <f t="shared" si="3"/>
        <v>0.65103761423692352</v>
      </c>
      <c r="L43" s="1576">
        <v>0.58393490829345995</v>
      </c>
      <c r="M43" s="1638">
        <f>H43/TableC6!G43</f>
        <v>0.17168841361525777</v>
      </c>
      <c r="N43" s="1643"/>
      <c r="O43" s="1643"/>
      <c r="P43" s="526"/>
      <c r="Q43" s="531">
        <v>2010</v>
      </c>
      <c r="R43" s="1640">
        <v>0.66044999999999998</v>
      </c>
      <c r="S43" s="538">
        <v>114</v>
      </c>
      <c r="T43" s="1641">
        <v>0.57135000000000002</v>
      </c>
      <c r="U43" s="1642">
        <v>77</v>
      </c>
    </row>
    <row r="44" spans="2:21" ht="16" x14ac:dyDescent="0.2">
      <c r="B44" s="1633">
        <v>2011</v>
      </c>
      <c r="C44" s="1634">
        <v>73241.71791843549</v>
      </c>
      <c r="D44" s="1635">
        <f t="shared" si="0"/>
        <v>11440.823991820229</v>
      </c>
      <c r="E44" s="1635">
        <f t="shared" si="4"/>
        <v>61800.893926615259</v>
      </c>
      <c r="F44" s="1635">
        <f t="shared" si="1"/>
        <v>33134.746304047665</v>
      </c>
      <c r="G44" s="1635">
        <f t="shared" si="2"/>
        <v>11437.042603226486</v>
      </c>
      <c r="H44" s="1635">
        <f>+TableB7!T50*$H$48/TableB7!$T$54</f>
        <v>1934.2740680795559</v>
      </c>
      <c r="I44" s="1636">
        <f t="shared" si="5"/>
        <v>0.15620638506269235</v>
      </c>
      <c r="J44" s="543">
        <f t="shared" si="6"/>
        <v>0.53615318806542067</v>
      </c>
      <c r="K44" s="543">
        <f t="shared" si="3"/>
        <v>0.65483234734079243</v>
      </c>
      <c r="L44" s="1576">
        <v>0.58733851674641102</v>
      </c>
      <c r="M44" s="1638">
        <f>H44/TableC6!G44</f>
        <v>0.16912362182981472</v>
      </c>
      <c r="N44" s="1643"/>
      <c r="O44" s="1643"/>
      <c r="P44" s="526"/>
      <c r="Q44" s="531">
        <v>2011</v>
      </c>
      <c r="R44" s="1640">
        <v>0.61506000000000005</v>
      </c>
      <c r="S44" s="538">
        <v>112</v>
      </c>
      <c r="T44" s="1641">
        <v>0.58191000000000004</v>
      </c>
      <c r="U44" s="1642">
        <v>76</v>
      </c>
    </row>
    <row r="45" spans="2:21" ht="16" x14ac:dyDescent="0.2">
      <c r="B45" s="1633">
        <v>2012</v>
      </c>
      <c r="C45" s="1634">
        <v>74802.287630428982</v>
      </c>
      <c r="D45" s="1635">
        <f t="shared" si="0"/>
        <v>11739.047654980539</v>
      </c>
      <c r="E45" s="1635">
        <f t="shared" si="4"/>
        <v>63063.239975448443</v>
      </c>
      <c r="F45" s="1635">
        <f t="shared" si="1"/>
        <v>33874.888750761565</v>
      </c>
      <c r="G45" s="1635">
        <f t="shared" si="2"/>
        <v>11444.590589474463</v>
      </c>
      <c r="H45" s="1635">
        <f>+TableB7!T51*$H$48/TableB7!$T$54</f>
        <v>1820.351698336842</v>
      </c>
      <c r="I45" s="1636">
        <f t="shared" si="5"/>
        <v>0.1569343402033227</v>
      </c>
      <c r="J45" s="543">
        <f t="shared" si="6"/>
        <v>0.53715744328946013</v>
      </c>
      <c r="K45" s="543">
        <f t="shared" si="3"/>
        <v>0.66215119778903575</v>
      </c>
      <c r="L45" s="1576">
        <v>0.59390301036682602</v>
      </c>
      <c r="M45" s="1638">
        <f>H45/TableC6!G45</f>
        <v>0.15905782597509527</v>
      </c>
      <c r="N45" s="1643"/>
      <c r="O45" s="1643"/>
      <c r="P45" s="526"/>
      <c r="Q45" s="531">
        <v>2012</v>
      </c>
      <c r="R45" s="1640">
        <v>0.60602</v>
      </c>
      <c r="S45" s="538">
        <v>217</v>
      </c>
      <c r="T45" s="1641">
        <v>0.58535999999999999</v>
      </c>
      <c r="U45" s="1642">
        <v>74</v>
      </c>
    </row>
    <row r="46" spans="2:21" ht="16" x14ac:dyDescent="0.2">
      <c r="B46" s="1633">
        <v>2013</v>
      </c>
      <c r="C46" s="1634">
        <v>76924.649544655607</v>
      </c>
      <c r="D46" s="1635">
        <f t="shared" si="0"/>
        <v>12128.116815739575</v>
      </c>
      <c r="E46" s="1635">
        <f t="shared" si="4"/>
        <v>64796.532728916034</v>
      </c>
      <c r="F46" s="1635">
        <f t="shared" si="1"/>
        <v>34871.012111179021</v>
      </c>
      <c r="G46" s="1635">
        <f t="shared" si="2"/>
        <v>11781.129673645861</v>
      </c>
      <c r="H46" s="1635">
        <f>+TableB7!T52*$H$48/TableB7!$T$54</f>
        <v>1891.539644452339</v>
      </c>
      <c r="I46" s="1636">
        <f t="shared" si="5"/>
        <v>0.15766229534395304</v>
      </c>
      <c r="J46" s="543">
        <f t="shared" si="6"/>
        <v>0.5381616985134996</v>
      </c>
      <c r="K46" s="543">
        <f t="shared" si="3"/>
        <v>0.66215119778903575</v>
      </c>
      <c r="L46" s="1576">
        <v>0.59390301036682602</v>
      </c>
      <c r="M46" s="1638">
        <f>H46/TableC6!G46</f>
        <v>0.16055672901077334</v>
      </c>
      <c r="N46" s="1643"/>
      <c r="O46" s="1643"/>
      <c r="P46" s="526"/>
      <c r="Q46" s="531">
        <v>2013</v>
      </c>
      <c r="R46" s="1640">
        <v>0.60607999999999995</v>
      </c>
      <c r="S46" s="538">
        <v>217</v>
      </c>
      <c r="T46" s="1641">
        <v>0.59719</v>
      </c>
      <c r="U46" s="1642">
        <v>69</v>
      </c>
    </row>
    <row r="47" spans="2:21" ht="16" x14ac:dyDescent="0.2">
      <c r="B47" s="1633">
        <v>2014</v>
      </c>
      <c r="C47" s="1634">
        <v>78870.11901370289</v>
      </c>
      <c r="D47" s="1635">
        <f t="shared" si="0"/>
        <v>12492.257906329303</v>
      </c>
      <c r="E47" s="1635">
        <f t="shared" si="4"/>
        <v>66377.861107373581</v>
      </c>
      <c r="F47" s="1635">
        <f t="shared" si="1"/>
        <v>35788.68279101498</v>
      </c>
      <c r="G47" s="1635">
        <f t="shared" si="2"/>
        <v>12091.163613652559</v>
      </c>
      <c r="H47" s="1635">
        <f>+TableB7!T53*$H$48/TableB7!$T$54</f>
        <v>1965.6631759746599</v>
      </c>
      <c r="I47" s="1636">
        <f t="shared" si="5"/>
        <v>0.15839025048458338</v>
      </c>
      <c r="J47" s="543">
        <f t="shared" si="6"/>
        <v>0.53916595373753906</v>
      </c>
      <c r="K47" s="543">
        <f>K48*L47/L48</f>
        <v>0.66215119778903575</v>
      </c>
      <c r="L47" s="1576">
        <v>0.59390301036682602</v>
      </c>
      <c r="M47" s="1638">
        <f>H47/TableC6!G47</f>
        <v>0.16257022390757828</v>
      </c>
      <c r="N47" s="1643"/>
      <c r="O47" s="1643"/>
      <c r="P47" s="526"/>
      <c r="Q47" s="531">
        <v>2014</v>
      </c>
      <c r="R47" s="1640">
        <v>0.58847000000000005</v>
      </c>
      <c r="S47" s="538">
        <v>217</v>
      </c>
      <c r="T47" s="1641">
        <v>0.50897000000000003</v>
      </c>
      <c r="U47" s="1642">
        <v>67</v>
      </c>
    </row>
    <row r="48" spans="2:21" ht="17" thickBot="1" x14ac:dyDescent="0.25">
      <c r="B48" s="1644">
        <v>2015</v>
      </c>
      <c r="C48" s="1645">
        <f>TableC5!B91</f>
        <v>75038.958996406785</v>
      </c>
      <c r="D48" s="1646">
        <f>TableA1!M91</f>
        <v>11940.064507492207</v>
      </c>
      <c r="E48" s="1646">
        <f>C48-D48</f>
        <v>63098.894488914579</v>
      </c>
      <c r="F48" s="1646">
        <f>TableC5!D91-TableC5!I91</f>
        <v>34084.143021321477</v>
      </c>
      <c r="G48" s="1646">
        <f>TableC5!$H$91</f>
        <v>11515.286894140656</v>
      </c>
      <c r="H48" s="1646">
        <f>TableA6!$E$91</f>
        <v>1703.2290592571803</v>
      </c>
      <c r="I48" s="1647">
        <f>D48/C48</f>
        <v>0.15911820562521334</v>
      </c>
      <c r="J48" s="1648">
        <f>F48/E48</f>
        <v>0.54017020896157686</v>
      </c>
      <c r="K48" s="1648">
        <f>1-G48/F48</f>
        <v>0.66215119778903575</v>
      </c>
      <c r="L48" s="1649">
        <v>0.59390301036682602</v>
      </c>
      <c r="M48" s="1650">
        <f>H48/TableC6!G48</f>
        <v>0.1479102583300671</v>
      </c>
      <c r="N48" s="1105"/>
      <c r="O48" s="1105"/>
      <c r="P48" s="526"/>
      <c r="Q48" s="532">
        <v>2015</v>
      </c>
      <c r="R48" s="1651">
        <v>0.57533000000000001</v>
      </c>
      <c r="S48" s="539">
        <v>221</v>
      </c>
      <c r="T48" s="1652">
        <v>0.56013999999999997</v>
      </c>
      <c r="U48" s="536">
        <v>49</v>
      </c>
    </row>
    <row r="49" spans="2:21" ht="17" thickTop="1" thickBot="1" x14ac:dyDescent="0.25"/>
    <row r="50" spans="2:21" ht="15.75" customHeight="1" x14ac:dyDescent="0.2">
      <c r="B50" s="2338" t="s">
        <v>746</v>
      </c>
      <c r="C50" s="2339"/>
      <c r="D50" s="2339"/>
      <c r="E50" s="2339"/>
      <c r="F50" s="2339"/>
      <c r="G50" s="2339"/>
      <c r="H50" s="2339"/>
      <c r="I50" s="2339"/>
      <c r="J50" s="2339"/>
      <c r="K50" s="2339"/>
      <c r="L50" s="2339"/>
      <c r="M50" s="2340"/>
      <c r="Q50" s="2344" t="s">
        <v>747</v>
      </c>
      <c r="R50" s="2345"/>
      <c r="S50" s="2345"/>
      <c r="T50" s="2345"/>
      <c r="U50" s="2346"/>
    </row>
    <row r="51" spans="2:21" ht="15.75" customHeight="1" thickBot="1" x14ac:dyDescent="0.25">
      <c r="B51" s="2341"/>
      <c r="C51" s="2342"/>
      <c r="D51" s="2342"/>
      <c r="E51" s="2342"/>
      <c r="F51" s="2342"/>
      <c r="G51" s="2342"/>
      <c r="H51" s="2342"/>
      <c r="I51" s="2342"/>
      <c r="J51" s="2342"/>
      <c r="K51" s="2342"/>
      <c r="L51" s="2342"/>
      <c r="M51" s="2343"/>
      <c r="Q51" s="2347"/>
      <c r="R51" s="2348"/>
      <c r="S51" s="2348"/>
      <c r="T51" s="2348"/>
      <c r="U51" s="2349"/>
    </row>
    <row r="53" spans="2:21" ht="16" x14ac:dyDescent="0.2">
      <c r="F53"/>
      <c r="G53"/>
      <c r="H53"/>
      <c r="I53"/>
    </row>
    <row r="54" spans="2:21" ht="16" x14ac:dyDescent="0.2">
      <c r="F54"/>
      <c r="G54"/>
      <c r="H54"/>
      <c r="I54"/>
    </row>
    <row r="55" spans="2:21" ht="16" x14ac:dyDescent="0.2">
      <c r="F55"/>
      <c r="G55"/>
      <c r="H55"/>
      <c r="I55"/>
    </row>
    <row r="56" spans="2:21" ht="16" x14ac:dyDescent="0.2">
      <c r="F56"/>
      <c r="G56"/>
      <c r="H56"/>
      <c r="I56"/>
    </row>
    <row r="57" spans="2:21" ht="16" x14ac:dyDescent="0.2">
      <c r="F57"/>
      <c r="G57"/>
      <c r="H57"/>
      <c r="I57"/>
    </row>
    <row r="58" spans="2:21" ht="16" x14ac:dyDescent="0.2">
      <c r="F58"/>
      <c r="G58"/>
      <c r="H58"/>
      <c r="I58"/>
    </row>
    <row r="59" spans="2:21" ht="16" x14ac:dyDescent="0.2">
      <c r="F59"/>
      <c r="G59"/>
      <c r="H59"/>
      <c r="I59"/>
    </row>
    <row r="60" spans="2:21" ht="16" x14ac:dyDescent="0.2">
      <c r="F60"/>
      <c r="G60"/>
      <c r="H60"/>
      <c r="I60"/>
    </row>
    <row r="61" spans="2:21" ht="16" x14ac:dyDescent="0.2">
      <c r="F61"/>
      <c r="G61"/>
      <c r="H61"/>
      <c r="I61"/>
    </row>
    <row r="62" spans="2:21" ht="16" x14ac:dyDescent="0.2">
      <c r="F62"/>
      <c r="G62"/>
      <c r="H62"/>
      <c r="I62"/>
    </row>
    <row r="63" spans="2:21" ht="16" x14ac:dyDescent="0.2">
      <c r="F63"/>
      <c r="G63"/>
      <c r="H63"/>
      <c r="I63"/>
    </row>
    <row r="64" spans="2:21" ht="16" x14ac:dyDescent="0.2">
      <c r="F64"/>
      <c r="G64"/>
      <c r="H64"/>
      <c r="I64"/>
    </row>
    <row r="65" spans="6:9" ht="16" x14ac:dyDescent="0.2">
      <c r="F65"/>
      <c r="G65"/>
      <c r="H65"/>
      <c r="I65"/>
    </row>
    <row r="66" spans="6:9" ht="16" x14ac:dyDescent="0.2">
      <c r="F66"/>
      <c r="G66"/>
      <c r="H66"/>
      <c r="I66"/>
    </row>
    <row r="67" spans="6:9" ht="16" x14ac:dyDescent="0.2">
      <c r="F67"/>
      <c r="G67"/>
      <c r="H67"/>
      <c r="I67"/>
    </row>
    <row r="68" spans="6:9" ht="16" x14ac:dyDescent="0.2">
      <c r="F68"/>
      <c r="G68"/>
      <c r="H68"/>
      <c r="I68"/>
    </row>
    <row r="69" spans="6:9" ht="16" x14ac:dyDescent="0.2">
      <c r="F69"/>
      <c r="G69"/>
      <c r="H69"/>
      <c r="I69"/>
    </row>
    <row r="70" spans="6:9" ht="16" x14ac:dyDescent="0.2">
      <c r="F70"/>
      <c r="G70"/>
      <c r="H70"/>
      <c r="I70"/>
    </row>
    <row r="71" spans="6:9" ht="16" x14ac:dyDescent="0.2">
      <c r="F71"/>
      <c r="G71"/>
      <c r="H71"/>
      <c r="I71"/>
    </row>
    <row r="72" spans="6:9" ht="16" x14ac:dyDescent="0.2">
      <c r="F72"/>
      <c r="G72"/>
      <c r="H72"/>
      <c r="I72"/>
    </row>
    <row r="73" spans="6:9" ht="16" x14ac:dyDescent="0.2">
      <c r="F73"/>
      <c r="G73"/>
      <c r="H73"/>
      <c r="I73"/>
    </row>
    <row r="74" spans="6:9" ht="16" x14ac:dyDescent="0.2">
      <c r="F74"/>
      <c r="G74"/>
      <c r="H74"/>
      <c r="I74"/>
    </row>
    <row r="75" spans="6:9" ht="16" x14ac:dyDescent="0.2">
      <c r="F75"/>
      <c r="G75"/>
      <c r="H75"/>
      <c r="I75"/>
    </row>
    <row r="76" spans="6:9" ht="16" x14ac:dyDescent="0.2">
      <c r="F76"/>
      <c r="G76"/>
      <c r="H76"/>
      <c r="I76"/>
    </row>
    <row r="77" spans="6:9" ht="16" x14ac:dyDescent="0.2">
      <c r="F77"/>
      <c r="G77"/>
      <c r="H77"/>
      <c r="I77"/>
    </row>
    <row r="78" spans="6:9" ht="16" x14ac:dyDescent="0.2">
      <c r="F78"/>
      <c r="G78"/>
      <c r="H78"/>
      <c r="I78"/>
    </row>
    <row r="79" spans="6:9" ht="16" x14ac:dyDescent="0.2">
      <c r="F79"/>
      <c r="G79"/>
      <c r="H79"/>
      <c r="I79"/>
    </row>
    <row r="80" spans="6:9" ht="16" x14ac:dyDescent="0.2">
      <c r="F80"/>
      <c r="G80"/>
      <c r="H80"/>
      <c r="I80"/>
    </row>
    <row r="81" spans="6:9" ht="16" x14ac:dyDescent="0.2">
      <c r="F81"/>
      <c r="G81"/>
      <c r="H81"/>
      <c r="I81"/>
    </row>
    <row r="82" spans="6:9" ht="16" x14ac:dyDescent="0.2">
      <c r="F82"/>
      <c r="G82"/>
      <c r="H82"/>
      <c r="I82"/>
    </row>
    <row r="83" spans="6:9" ht="16" x14ac:dyDescent="0.2">
      <c r="F83"/>
      <c r="G83"/>
      <c r="H83"/>
      <c r="I83"/>
    </row>
    <row r="84" spans="6:9" ht="16" x14ac:dyDescent="0.2">
      <c r="F84"/>
      <c r="G84"/>
      <c r="H84"/>
      <c r="I84"/>
    </row>
    <row r="85" spans="6:9" ht="16" x14ac:dyDescent="0.2">
      <c r="F85"/>
      <c r="G85"/>
      <c r="H85"/>
      <c r="I85"/>
    </row>
    <row r="86" spans="6:9" ht="16" x14ac:dyDescent="0.2">
      <c r="F86"/>
      <c r="G86"/>
      <c r="H86"/>
      <c r="I86"/>
    </row>
    <row r="87" spans="6:9" ht="16" x14ac:dyDescent="0.2">
      <c r="F87"/>
      <c r="G87"/>
      <c r="H87"/>
      <c r="I87"/>
    </row>
    <row r="88" spans="6:9" ht="16" x14ac:dyDescent="0.2">
      <c r="F88"/>
      <c r="G88"/>
      <c r="H88"/>
      <c r="I88"/>
    </row>
    <row r="89" spans="6:9" ht="16" x14ac:dyDescent="0.2">
      <c r="F89"/>
      <c r="G89"/>
      <c r="H89"/>
      <c r="I89"/>
    </row>
    <row r="90" spans="6:9" ht="16" x14ac:dyDescent="0.2">
      <c r="F90"/>
      <c r="G90"/>
      <c r="H90"/>
      <c r="I90"/>
    </row>
    <row r="91" spans="6:9" ht="16" x14ac:dyDescent="0.2">
      <c r="F91"/>
      <c r="G91"/>
      <c r="H91"/>
      <c r="I91"/>
    </row>
    <row r="92" spans="6:9" ht="16" x14ac:dyDescent="0.2">
      <c r="F92"/>
      <c r="G92"/>
      <c r="H92"/>
      <c r="I92"/>
    </row>
    <row r="93" spans="6:9" ht="16" x14ac:dyDescent="0.2">
      <c r="F93"/>
      <c r="G93"/>
      <c r="H93"/>
      <c r="I93"/>
    </row>
    <row r="94" spans="6:9" ht="16" x14ac:dyDescent="0.2">
      <c r="F94"/>
      <c r="G94"/>
      <c r="H94"/>
      <c r="I94"/>
    </row>
    <row r="95" spans="6:9" ht="16" x14ac:dyDescent="0.2">
      <c r="F95"/>
      <c r="G95"/>
      <c r="H95"/>
      <c r="I95"/>
    </row>
    <row r="96" spans="6:9" ht="16" x14ac:dyDescent="0.2">
      <c r="F96"/>
      <c r="G96"/>
      <c r="H96"/>
      <c r="I96"/>
    </row>
    <row r="97" spans="6:9" ht="16" x14ac:dyDescent="0.2">
      <c r="F97"/>
      <c r="G97"/>
      <c r="H97"/>
      <c r="I97"/>
    </row>
    <row r="98" spans="6:9" ht="16" x14ac:dyDescent="0.2">
      <c r="F98"/>
      <c r="G98"/>
      <c r="H98"/>
      <c r="I98"/>
    </row>
    <row r="99" spans="6:9" ht="16" x14ac:dyDescent="0.2">
      <c r="F99"/>
      <c r="G99"/>
      <c r="H99"/>
      <c r="I99"/>
    </row>
  </sheetData>
  <mergeCells count="11">
    <mergeCell ref="B50:M51"/>
    <mergeCell ref="Q50:U51"/>
    <mergeCell ref="Q3:U3"/>
    <mergeCell ref="R6:U6"/>
    <mergeCell ref="C6:H6"/>
    <mergeCell ref="I6:I7"/>
    <mergeCell ref="J6:J7"/>
    <mergeCell ref="K6:K7"/>
    <mergeCell ref="L6:L7"/>
    <mergeCell ref="M6:M7"/>
    <mergeCell ref="B3:M3"/>
  </mergeCells>
  <pageMargins left="0.7" right="0.7" top="0.75" bottom="0.75" header="0.3" footer="0.3"/>
  <pageSetup paperSize="9" scale="30" fitToHeight="0" orientation="portrait"/>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3:AU98"/>
  <sheetViews>
    <sheetView zoomScale="70" zoomScaleNormal="70" zoomScalePageLayoutView="70" workbookViewId="0">
      <pane xSplit="2" ySplit="9" topLeftCell="C41" activePane="bottomRight" state="frozen"/>
      <selection pane="topRight" activeCell="AR8" sqref="AR8"/>
      <selection pane="bottomLeft" activeCell="AR8" sqref="AR8"/>
      <selection pane="bottomRight" activeCell="B5" sqref="B5:X93"/>
    </sheetView>
  </sheetViews>
  <sheetFormatPr baseColWidth="10" defaultColWidth="10.83203125" defaultRowHeight="16" x14ac:dyDescent="0.2"/>
  <cols>
    <col min="1" max="1" width="17.5" style="1" hidden="1" customWidth="1"/>
    <col min="2" max="2" width="19" style="1" customWidth="1"/>
    <col min="3" max="3" width="11.5" style="1" customWidth="1"/>
    <col min="4" max="5" width="11.5" style="2" customWidth="1"/>
    <col min="6" max="14" width="11.5" style="1" customWidth="1"/>
    <col min="15" max="16" width="11.5" style="2" customWidth="1"/>
    <col min="17" max="24" width="11.5" style="1" customWidth="1"/>
    <col min="25" max="26" width="10.83203125" style="1"/>
    <col min="27" max="27" width="13.6640625" style="1" customWidth="1"/>
    <col min="28" max="16384" width="10.83203125" style="1"/>
  </cols>
  <sheetData>
    <row r="3" spans="2:29" ht="17" thickBot="1" x14ac:dyDescent="0.25">
      <c r="B3" s="954"/>
      <c r="C3" s="954"/>
      <c r="F3" s="954"/>
      <c r="G3" s="954"/>
      <c r="H3" s="954"/>
      <c r="I3" s="954"/>
      <c r="J3" s="954"/>
      <c r="K3" s="954"/>
      <c r="L3" s="954"/>
      <c r="M3" s="1109"/>
      <c r="N3" s="954"/>
      <c r="Q3" s="954"/>
      <c r="R3" s="954"/>
      <c r="S3" s="954"/>
      <c r="T3" s="954"/>
      <c r="U3" s="954"/>
      <c r="V3" s="954"/>
      <c r="W3" s="954"/>
      <c r="X3" s="1109"/>
      <c r="Y3" s="954"/>
      <c r="Z3" s="954"/>
      <c r="AA3" s="954"/>
      <c r="AB3" s="954"/>
      <c r="AC3" s="954"/>
    </row>
    <row r="4" spans="2:29" ht="17" hidden="1" thickBot="1" x14ac:dyDescent="0.25">
      <c r="B4" s="954"/>
      <c r="C4" s="954"/>
      <c r="F4" s="954">
        <v>2</v>
      </c>
      <c r="G4" s="954">
        <v>3</v>
      </c>
      <c r="H4" s="954">
        <v>4</v>
      </c>
      <c r="I4" s="954">
        <v>5</v>
      </c>
      <c r="J4" s="954">
        <v>6</v>
      </c>
      <c r="K4" s="954">
        <v>7</v>
      </c>
      <c r="L4" s="954">
        <v>8</v>
      </c>
      <c r="M4" s="954">
        <v>9</v>
      </c>
      <c r="N4" s="954"/>
      <c r="Q4" s="954">
        <v>2</v>
      </c>
      <c r="R4" s="954">
        <v>3</v>
      </c>
      <c r="S4" s="954">
        <v>4</v>
      </c>
      <c r="T4" s="954">
        <v>5</v>
      </c>
      <c r="U4" s="954">
        <v>6</v>
      </c>
      <c r="V4" s="954">
        <v>7</v>
      </c>
      <c r="W4" s="954">
        <v>8</v>
      </c>
      <c r="X4" s="954">
        <v>9</v>
      </c>
      <c r="Y4" s="954"/>
      <c r="Z4" s="954"/>
      <c r="AA4" s="954"/>
      <c r="AB4" s="954"/>
      <c r="AC4" s="954"/>
    </row>
    <row r="5" spans="2:29" ht="32.25" customHeight="1" x14ac:dyDescent="0.2">
      <c r="B5" s="2090" t="s">
        <v>748</v>
      </c>
      <c r="C5" s="2091"/>
      <c r="D5" s="2091"/>
      <c r="E5" s="2091"/>
      <c r="F5" s="2091"/>
      <c r="G5" s="2091"/>
      <c r="H5" s="2091"/>
      <c r="I5" s="2091"/>
      <c r="J5" s="2091"/>
      <c r="K5" s="2091"/>
      <c r="L5" s="2091"/>
      <c r="M5" s="2091"/>
      <c r="N5" s="2091"/>
      <c r="O5" s="2091"/>
      <c r="P5" s="2091"/>
      <c r="Q5" s="2091"/>
      <c r="R5" s="2091"/>
      <c r="S5" s="2091"/>
      <c r="T5" s="2091"/>
      <c r="U5" s="2091"/>
      <c r="V5" s="2091"/>
      <c r="W5" s="2091"/>
      <c r="X5" s="2092"/>
      <c r="Y5" s="954"/>
      <c r="Z5" s="954"/>
      <c r="AA5" s="954"/>
      <c r="AB5" s="954"/>
      <c r="AC5" s="954"/>
    </row>
    <row r="6" spans="2:29" ht="32.25" customHeight="1" x14ac:dyDescent="0.2">
      <c r="B6" s="118"/>
      <c r="C6" s="160" t="s">
        <v>1</v>
      </c>
      <c r="D6" s="160" t="s">
        <v>2</v>
      </c>
      <c r="E6" s="160" t="s">
        <v>3</v>
      </c>
      <c r="F6" s="160" t="s">
        <v>4</v>
      </c>
      <c r="G6" s="160" t="s">
        <v>5</v>
      </c>
      <c r="H6" s="160" t="s">
        <v>6</v>
      </c>
      <c r="I6" s="160" t="s">
        <v>7</v>
      </c>
      <c r="J6" s="160" t="s">
        <v>8</v>
      </c>
      <c r="K6" s="160" t="s">
        <v>9</v>
      </c>
      <c r="L6" s="160" t="s">
        <v>10</v>
      </c>
      <c r="M6" s="160" t="s">
        <v>11</v>
      </c>
      <c r="N6" s="160" t="s">
        <v>12</v>
      </c>
      <c r="O6" s="160" t="s">
        <v>13</v>
      </c>
      <c r="P6" s="160" t="s">
        <v>177</v>
      </c>
      <c r="Q6" s="160" t="s">
        <v>178</v>
      </c>
      <c r="R6" s="160" t="s">
        <v>179</v>
      </c>
      <c r="S6" s="160" t="s">
        <v>619</v>
      </c>
      <c r="T6" s="160" t="s">
        <v>620</v>
      </c>
      <c r="U6" s="160" t="s">
        <v>621</v>
      </c>
      <c r="V6" s="160" t="s">
        <v>622</v>
      </c>
      <c r="W6" s="160" t="s">
        <v>623</v>
      </c>
      <c r="X6" s="793" t="s">
        <v>624</v>
      </c>
      <c r="Y6" s="954"/>
      <c r="Z6" s="954"/>
      <c r="AA6" s="954"/>
      <c r="AB6" s="954"/>
      <c r="AC6" s="954"/>
    </row>
    <row r="7" spans="2:29" ht="21" customHeight="1" x14ac:dyDescent="0.2">
      <c r="B7" s="955"/>
      <c r="C7" s="2115" t="s">
        <v>749</v>
      </c>
      <c r="D7" s="2116"/>
      <c r="E7" s="2116"/>
      <c r="F7" s="2116"/>
      <c r="G7" s="2116"/>
      <c r="H7" s="2116"/>
      <c r="I7" s="2116"/>
      <c r="J7" s="2116"/>
      <c r="K7" s="2116"/>
      <c r="L7" s="2116"/>
      <c r="M7" s="2117"/>
      <c r="N7" s="2116" t="s">
        <v>750</v>
      </c>
      <c r="O7" s="2116"/>
      <c r="P7" s="2116"/>
      <c r="Q7" s="2116"/>
      <c r="R7" s="2116"/>
      <c r="S7" s="2116"/>
      <c r="T7" s="2116"/>
      <c r="U7" s="2116"/>
      <c r="V7" s="2116"/>
      <c r="W7" s="2116"/>
      <c r="X7" s="2117"/>
      <c r="Y7" s="954"/>
      <c r="Z7" s="954"/>
      <c r="AA7" s="954"/>
      <c r="AB7" s="954"/>
      <c r="AC7" s="954"/>
    </row>
    <row r="8" spans="2:29" ht="85" customHeight="1" x14ac:dyDescent="0.2">
      <c r="B8" s="955"/>
      <c r="C8" s="2050" t="s">
        <v>627</v>
      </c>
      <c r="D8" s="1832" t="s">
        <v>628</v>
      </c>
      <c r="E8" s="1858" t="s">
        <v>751</v>
      </c>
      <c r="F8" s="1820" t="s">
        <v>31</v>
      </c>
      <c r="G8" s="1820" t="s">
        <v>86</v>
      </c>
      <c r="H8" s="1820" t="s">
        <v>43</v>
      </c>
      <c r="I8" s="1822" t="s">
        <v>49</v>
      </c>
      <c r="J8" s="1820" t="s">
        <v>96</v>
      </c>
      <c r="K8" s="1822" t="s">
        <v>51</v>
      </c>
      <c r="L8" s="1822" t="s">
        <v>60</v>
      </c>
      <c r="M8" s="1837" t="s">
        <v>630</v>
      </c>
      <c r="N8" s="2050" t="s">
        <v>627</v>
      </c>
      <c r="O8" s="1844" t="s">
        <v>628</v>
      </c>
      <c r="P8" s="1858" t="s">
        <v>751</v>
      </c>
      <c r="Q8" s="1820" t="s">
        <v>31</v>
      </c>
      <c r="R8" s="1820" t="s">
        <v>86</v>
      </c>
      <c r="S8" s="1820" t="s">
        <v>43</v>
      </c>
      <c r="T8" s="1822" t="s">
        <v>49</v>
      </c>
      <c r="U8" s="1820" t="s">
        <v>96</v>
      </c>
      <c r="V8" s="1822" t="s">
        <v>51</v>
      </c>
      <c r="W8" s="1822" t="s">
        <v>60</v>
      </c>
      <c r="X8" s="1837" t="s">
        <v>630</v>
      </c>
      <c r="Y8" s="954"/>
      <c r="Z8" s="954"/>
      <c r="AA8" s="954"/>
      <c r="AB8" s="954"/>
      <c r="AC8" s="954"/>
    </row>
    <row r="9" spans="2:29" ht="17.25" customHeight="1" x14ac:dyDescent="0.2">
      <c r="B9" s="955"/>
      <c r="C9" s="2050"/>
      <c r="D9" s="1832"/>
      <c r="E9" s="322"/>
      <c r="F9" s="1820"/>
      <c r="G9" s="1820"/>
      <c r="H9" s="1820"/>
      <c r="I9" s="1820"/>
      <c r="J9" s="1820"/>
      <c r="K9" s="1820"/>
      <c r="L9" s="1820"/>
      <c r="M9" s="1837"/>
      <c r="N9" s="2050"/>
      <c r="O9" s="1832"/>
      <c r="P9" s="322"/>
      <c r="Q9" s="1820"/>
      <c r="R9" s="1820"/>
      <c r="S9" s="1820"/>
      <c r="T9" s="1820"/>
      <c r="U9" s="1820"/>
      <c r="V9" s="1820"/>
      <c r="W9" s="1820"/>
      <c r="X9" s="1837"/>
      <c r="Y9" s="954"/>
      <c r="Z9" s="954"/>
      <c r="AA9" s="954"/>
      <c r="AB9" s="954"/>
      <c r="AC9" s="954"/>
    </row>
    <row r="10" spans="2:29" ht="40" customHeight="1" x14ac:dyDescent="0.2">
      <c r="B10" s="107" t="s">
        <v>28</v>
      </c>
      <c r="C10" s="264">
        <f>+SUM(C11:C45)</f>
        <v>435144.24979196122</v>
      </c>
      <c r="D10" s="258">
        <f>+SUM(F10:K10)</f>
        <v>234793.02632222942</v>
      </c>
      <c r="E10" s="1754">
        <f>+SUM(L10:M10)</f>
        <v>200351.22346973186</v>
      </c>
      <c r="F10" s="258">
        <f t="shared" ref="F10:X10" si="0">+SUM(F11:F45)</f>
        <v>29994.00888902284</v>
      </c>
      <c r="G10" s="258">
        <f t="shared" si="0"/>
        <v>1123.6946548864801</v>
      </c>
      <c r="H10" s="258">
        <f t="shared" si="0"/>
        <v>63083.945394416514</v>
      </c>
      <c r="I10" s="258">
        <f t="shared" si="0"/>
        <v>77984.996457696223</v>
      </c>
      <c r="J10" s="258">
        <f t="shared" si="0"/>
        <v>1070.9409788799055</v>
      </c>
      <c r="K10" s="258">
        <f t="shared" si="0"/>
        <v>61535.439947327446</v>
      </c>
      <c r="L10" s="258">
        <f t="shared" si="0"/>
        <v>39838.908998594576</v>
      </c>
      <c r="M10" s="259">
        <f t="shared" si="0"/>
        <v>160512.3144711373</v>
      </c>
      <c r="N10" s="264">
        <f>+SUM(N11:N45)</f>
        <v>435144.24979196116</v>
      </c>
      <c r="O10" s="258">
        <f>+SUM(Q10:V10)</f>
        <v>186519.82055248317</v>
      </c>
      <c r="P10" s="1754">
        <f>+SUM(W10:X10)</f>
        <v>248624.42923947808</v>
      </c>
      <c r="Q10" s="258">
        <f t="shared" si="0"/>
        <v>10776.273533815445</v>
      </c>
      <c r="R10" s="258">
        <f t="shared" si="0"/>
        <v>2628.1258028347488</v>
      </c>
      <c r="S10" s="258">
        <f t="shared" si="0"/>
        <v>80324.312525826448</v>
      </c>
      <c r="T10" s="258">
        <f t="shared" si="0"/>
        <v>40398.992105167221</v>
      </c>
      <c r="U10" s="258">
        <f t="shared" si="0"/>
        <v>7162.179552424268</v>
      </c>
      <c r="V10" s="258">
        <f t="shared" si="0"/>
        <v>45229.937032415037</v>
      </c>
      <c r="W10" s="258">
        <f t="shared" si="0"/>
        <v>47650.380175456703</v>
      </c>
      <c r="X10" s="259">
        <f t="shared" si="0"/>
        <v>200974.04906402138</v>
      </c>
      <c r="Y10" s="954"/>
      <c r="Z10" s="954"/>
      <c r="AA10" s="954"/>
      <c r="AB10" s="954"/>
      <c r="AC10" s="954"/>
    </row>
    <row r="11" spans="2:29" ht="14.25" customHeight="1" x14ac:dyDescent="0.2">
      <c r="B11" s="933" t="s">
        <v>29</v>
      </c>
      <c r="C11" s="1452">
        <f>+E11+D11</f>
        <v>12959.094629306808</v>
      </c>
      <c r="D11" s="1746">
        <f>+SUM(F11:K11)</f>
        <v>4114.8978838800631</v>
      </c>
      <c r="E11" s="1755">
        <f>+SUM(L11:M11)</f>
        <v>8844.1967454267451</v>
      </c>
      <c r="F11" s="1453">
        <f>1000*TableA7!$P$91*(TableC2!F9+TableC2!Q9)/(TableC2!$D$91+TableC2!$O$91)</f>
        <v>261.22630325692518</v>
      </c>
      <c r="G11" s="1453">
        <f>1000*TableA7!$P$91*(TableC2!G9+TableC2!R9)/(TableC2!$D$91+TableC2!$O$91)</f>
        <v>1.6855537143936803</v>
      </c>
      <c r="H11" s="1453">
        <f>1000*TableA7!$P$91*(TableC2!H9+TableC2!S9)/(TableC2!$D$91+TableC2!$O$91)</f>
        <v>1860.1357561312632</v>
      </c>
      <c r="I11" s="1453">
        <f>1000*TableA7!$P$91*(TableC2!I9+TableC2!T9)/(TableC2!$D$91+TableC2!$O$91)</f>
        <v>640.56120056375551</v>
      </c>
      <c r="J11" s="1453">
        <f>1000*TableA7!$P$91*(TableC2!J9+TableC2!U9)/(TableC2!$D$91+TableC2!$O$91)</f>
        <v>10.627770509239408</v>
      </c>
      <c r="K11" s="1453">
        <f>1000*TableA7!$P$91*(TableC2!K9+TableC2!V9)/(TableC2!$D$91+TableC2!$O$91)</f>
        <v>1340.6612997044863</v>
      </c>
      <c r="L11" s="1168">
        <f>1000*TableA7!$P$91*(TableC2!M9+TableC2!X9)/(TableC2!$D$91+TableC2!$O$91)</f>
        <v>726.10444662540408</v>
      </c>
      <c r="M11" s="1229">
        <f>1000*TableA7!$P$91*(TableC2!N9+TableC2!Y9)/(TableC2!$D$91+TableC2!$O$91)</f>
        <v>8118.0922988013408</v>
      </c>
      <c r="N11" s="1452">
        <f>+P11+O11</f>
        <v>12959.094629306808</v>
      </c>
      <c r="O11" s="1746">
        <f>+SUM(Q11:V11)</f>
        <v>3669.417888284946</v>
      </c>
      <c r="P11" s="1755">
        <f>+SUM(W11:X11)</f>
        <v>9289.6767410218617</v>
      </c>
      <c r="Q11" s="1453">
        <f>+SUMPRODUCT($F11:$M11,$AE$66:$AL$66)</f>
        <v>200.79107910663592</v>
      </c>
      <c r="R11" s="1453">
        <f>+SUMPRODUCT($F11:$M11,$AE$67:$AL$67)</f>
        <v>34.312571014412342</v>
      </c>
      <c r="S11" s="1453">
        <f>+SUMPRODUCT($F11:$M11,$AE$68:$AL$68)</f>
        <v>1883.9977687532078</v>
      </c>
      <c r="T11" s="1453">
        <f>+SUMPRODUCT($F11:$M11,$AE$69:$AL$69)</f>
        <v>456.50646460440083</v>
      </c>
      <c r="U11" s="1453">
        <f>+SUMPRODUCT($F11:$M11,$AE$70:$AL$70)</f>
        <v>145.94617838042541</v>
      </c>
      <c r="V11" s="1453">
        <f>+SUMPRODUCT($F11:$M11,$AE$71:$AL$71)</f>
        <v>947.86382642586398</v>
      </c>
      <c r="W11" s="1168">
        <f>+SUMPRODUCT($F11:$M11,$AE$72:$AL$72)</f>
        <v>847.04407357340165</v>
      </c>
      <c r="X11" s="1229">
        <f>+SUMPRODUCT($F11:$M11,$AE$73:$AL$73)</f>
        <v>8442.6326674484608</v>
      </c>
      <c r="Y11" s="954"/>
      <c r="Z11" s="954"/>
      <c r="AA11" s="954"/>
      <c r="AB11" s="954"/>
      <c r="AC11" s="954"/>
    </row>
    <row r="12" spans="2:29" ht="14.25" customHeight="1" x14ac:dyDescent="0.2">
      <c r="B12" s="933" t="s">
        <v>30</v>
      </c>
      <c r="C12" s="1452">
        <f>+E12+D12</f>
        <v>3589.4388002507048</v>
      </c>
      <c r="D12" s="1746">
        <f t="shared" ref="D12:D45" si="1">+SUM(F12:K12)</f>
        <v>2075.6313277908025</v>
      </c>
      <c r="E12" s="1755">
        <f t="shared" ref="E12:E45" si="2">+SUM(L12:M12)</f>
        <v>1513.8074724599023</v>
      </c>
      <c r="F12" s="1453">
        <f>1000*TableA7!$P$91*(TableC2!F10+TableC2!Q10)/(TableC2!$D$91+TableC2!$O$91)</f>
        <v>320.22850996040779</v>
      </c>
      <c r="G12" s="1453">
        <f>1000*TableA7!$P$91*(TableC2!G10+TableC2!R10)/(TableC2!$D$91+TableC2!$O$91)</f>
        <v>7.6734541214757375</v>
      </c>
      <c r="H12" s="1453">
        <f>1000*TableA7!$P$91*(TableC2!H10+TableC2!S10)/(TableC2!$D$91+TableC2!$O$91)</f>
        <v>751.32605153964062</v>
      </c>
      <c r="I12" s="1453">
        <f>1000*TableA7!$P$91*(TableC2!I10+TableC2!T10)/(TableC2!$D$91+TableC2!$O$91)</f>
        <v>629.46314143690859</v>
      </c>
      <c r="J12" s="1453">
        <f>1000*TableA7!$P$91*(TableC2!J10+TableC2!U10)/(TableC2!$D$91+TableC2!$O$91)</f>
        <v>35.723356797109524</v>
      </c>
      <c r="K12" s="1453">
        <f>1000*TableA7!$P$91*(TableC2!K10+TableC2!V10)/(TableC2!$D$91+TableC2!$O$91)</f>
        <v>331.21681393526001</v>
      </c>
      <c r="L12" s="1168">
        <f>1000*TableA7!$P$91*(TableC2!M10+TableC2!X10)/(TableC2!$D$91+TableC2!$O$91)</f>
        <v>1176.0162222051465</v>
      </c>
      <c r="M12" s="1229">
        <f>1000*TableA7!$P$91*(TableC2!N10+TableC2!Y10)/(TableC2!$D$91+TableC2!$O$91)</f>
        <v>337.79125025475571</v>
      </c>
      <c r="N12" s="1452">
        <f>+P12+O12</f>
        <v>3589.4388002507044</v>
      </c>
      <c r="O12" s="1746">
        <f t="shared" ref="O12" si="3">+SUM(Q12:V12)</f>
        <v>1973.3670319004718</v>
      </c>
      <c r="P12" s="1755">
        <f t="shared" ref="P12" si="4">+SUM(W12:X12)</f>
        <v>1616.0717683502326</v>
      </c>
      <c r="Q12" s="1453">
        <f>+SUMPRODUCT($F12:$M12,$AE$66:$AL$66)</f>
        <v>110.08115844647467</v>
      </c>
      <c r="R12" s="1453">
        <f>+SUMPRODUCT($F12:$M12,$AE$67:$AL$67)</f>
        <v>20.388464348652295</v>
      </c>
      <c r="S12" s="1453">
        <f>+SUMPRODUCT($F12:$M12,$AE$68:$AL$68)</f>
        <v>783.80466965761866</v>
      </c>
      <c r="T12" s="1453">
        <f>+SUMPRODUCT($F12:$M12,$AE$69:$AL$69)</f>
        <v>460.18729774975884</v>
      </c>
      <c r="U12" s="1453">
        <f>+SUMPRODUCT($F12:$M12,$AE$70:$AL$70)</f>
        <v>87.108160301663744</v>
      </c>
      <c r="V12" s="1453">
        <f>+SUMPRODUCT($F12:$M12,$AE$71:$AL$71)</f>
        <v>511.7972813963039</v>
      </c>
      <c r="W12" s="1168">
        <f>+SUMPRODUCT($F12:$M12,$AE$72:$AL$72)</f>
        <v>790.8831313253354</v>
      </c>
      <c r="X12" s="1229">
        <f>+SUMPRODUCT($F12:$M12,$AE$73:$AL$73)</f>
        <v>825.18863702489705</v>
      </c>
      <c r="Y12" s="954"/>
      <c r="Z12" s="954"/>
      <c r="AA12" s="954" t="s">
        <v>650</v>
      </c>
      <c r="AB12" s="954" t="s">
        <v>651</v>
      </c>
      <c r="AC12" s="954"/>
    </row>
    <row r="13" spans="2:29" ht="14.25" customHeight="1" x14ac:dyDescent="0.2">
      <c r="B13" s="933" t="s">
        <v>31</v>
      </c>
      <c r="C13" s="1452"/>
      <c r="D13" s="1746"/>
      <c r="E13" s="1755"/>
      <c r="F13" s="1453"/>
      <c r="G13" s="1453"/>
      <c r="H13" s="1453"/>
      <c r="I13" s="1453"/>
      <c r="J13" s="1453"/>
      <c r="K13" s="1453"/>
      <c r="L13" s="1168"/>
      <c r="M13" s="1229"/>
      <c r="N13" s="1452"/>
      <c r="O13" s="1746"/>
      <c r="P13" s="1755"/>
      <c r="Q13" s="1453"/>
      <c r="R13" s="1453"/>
      <c r="S13" s="1453"/>
      <c r="T13" s="1453"/>
      <c r="U13" s="1453"/>
      <c r="V13" s="1453"/>
      <c r="W13" s="1168"/>
      <c r="X13" s="1229"/>
      <c r="Y13" s="954"/>
      <c r="Z13" s="954" t="s">
        <v>169</v>
      </c>
      <c r="AA13" s="1003">
        <f>+C12+C16+C17+C18+C19+C20+C21+C22+C23+C27+C37+C36+C38+C39+C40+C41+C44</f>
        <v>216002.97279864468</v>
      </c>
      <c r="AB13" s="1477">
        <f>+TableA2!F10+TableA2!F11+TableA2!F16+TableA2!F17+TableA2!F18+TableA2!F19+TableA2!F20+TableA2!F21+TableA2!F22+TableA2!F26+TableA2!F29+TableA2!F35+TableA2!F36+TableA2!F37+TableA2!F38+TableA2!F39+TableA2!F40+TableA2!F43+TableA2!F15</f>
        <v>2118.1107471611385</v>
      </c>
      <c r="AC13" s="1469">
        <f>+AA13/(AB13*1000)</f>
        <v>0.10197907408200878</v>
      </c>
    </row>
    <row r="14" spans="2:29" ht="14.25" customHeight="1" x14ac:dyDescent="0.2">
      <c r="B14" s="933" t="s">
        <v>32</v>
      </c>
      <c r="C14" s="1452">
        <f t="shared" ref="C14:C45" si="5">+E14+D14</f>
        <v>18916.079243072258</v>
      </c>
      <c r="D14" s="1746">
        <f t="shared" si="1"/>
        <v>3337.0993099470156</v>
      </c>
      <c r="E14" s="1755">
        <f t="shared" si="2"/>
        <v>15578.979933125242</v>
      </c>
      <c r="F14" s="1453">
        <f>1000*TableA7!$P$91*(TableC2!F12+TableC2!Q12)/(TableC2!$D$91+TableC2!$O$91)</f>
        <v>252.25359267293629</v>
      </c>
      <c r="G14" s="1453">
        <f>1000*TableA7!$P$91*(TableC2!G12+TableC2!R12)/(TableC2!$D$91+TableC2!$O$91)</f>
        <v>1.6855537143936803</v>
      </c>
      <c r="H14" s="1453">
        <f>1000*TableA7!$P$91*(TableC2!H12+TableC2!S12)/(TableC2!$D$91+TableC2!$O$91)</f>
        <v>612.04224147815762</v>
      </c>
      <c r="I14" s="1453">
        <f>1000*TableA7!$P$91*(TableC2!I12+TableC2!T12)/(TableC2!$D$91+TableC2!$O$91)</f>
        <v>1092.5125068656464</v>
      </c>
      <c r="J14" s="1453">
        <f>1000*TableA7!$P$91*(TableC2!J12+TableC2!U12)/(TableC2!$D$91+TableC2!$O$91)</f>
        <v>12.243633495189517</v>
      </c>
      <c r="K14" s="1453">
        <f>1000*TableA7!$P$91*(TableC2!K12+TableC2!V12)/(TableC2!$D$91+TableC2!$O$91)</f>
        <v>1366.3617817206923</v>
      </c>
      <c r="L14" s="1168">
        <f>1000*TableA7!$P$91*(TableC2!M12+TableC2!X12)/(TableC2!$D$91+TableC2!$O$91)</f>
        <v>1279.0270195175719</v>
      </c>
      <c r="M14" s="1229">
        <f>1000*TableA7!$P$91*(TableC2!N12+TableC2!Y12)/(TableC2!$D$91+TableC2!$O$91)</f>
        <v>14299.952913607669</v>
      </c>
      <c r="N14" s="1452">
        <f t="shared" ref="N14:N24" si="6">+P14+O14</f>
        <v>18916.079243072258</v>
      </c>
      <c r="O14" s="1746">
        <f t="shared" ref="O14:O24" si="7">+SUM(Q14:V14)</f>
        <v>4331.7108199304521</v>
      </c>
      <c r="P14" s="1755">
        <f t="shared" ref="P14:P24" si="8">+SUM(W14:X14)</f>
        <v>14584.368423141805</v>
      </c>
      <c r="Q14" s="1453">
        <f t="shared" ref="Q14:Q24" si="9">+SUMPRODUCT($F14:$M14,$AE$66:$AL$66)</f>
        <v>210.95746678038381</v>
      </c>
      <c r="R14" s="1453">
        <f t="shared" ref="R14:R24" si="10">+SUMPRODUCT($F14:$M14,$AE$67:$AL$67)</f>
        <v>56.258374594694601</v>
      </c>
      <c r="S14" s="1453">
        <f t="shared" ref="S14:S24" si="11">+SUMPRODUCT($F14:$M14,$AE$68:$AL$68)</f>
        <v>2188.037920359016</v>
      </c>
      <c r="T14" s="1453">
        <f t="shared" ref="T14:T24" si="12">+SUMPRODUCT($F14:$M14,$AE$69:$AL$69)</f>
        <v>648.63594084852025</v>
      </c>
      <c r="U14" s="1453">
        <f t="shared" ref="U14:U24" si="13">+SUMPRODUCT($F14:$M14,$AE$70:$AL$70)</f>
        <v>238.83000835703055</v>
      </c>
      <c r="V14" s="1453">
        <f t="shared" ref="V14:V24" si="14">+SUMPRODUCT($F14:$M14,$AE$71:$AL$71)</f>
        <v>988.99110899080688</v>
      </c>
      <c r="W14" s="1168">
        <f t="shared" ref="W14:W24" si="15">+SUMPRODUCT($F14:$M14,$AE$72:$AL$72)</f>
        <v>1120.0513940284852</v>
      </c>
      <c r="X14" s="1229">
        <f t="shared" ref="X14:X24" si="16">+SUMPRODUCT($F14:$M14,$AE$73:$AL$73)</f>
        <v>13464.317029113319</v>
      </c>
      <c r="Y14" s="954"/>
      <c r="Z14" s="954" t="s">
        <v>652</v>
      </c>
      <c r="AA14" s="1478">
        <f>C45</f>
        <v>142565.30860350182</v>
      </c>
      <c r="AB14" s="1477">
        <f>+TableA2!F44</f>
        <v>1889.3969000000002</v>
      </c>
      <c r="AC14" s="1469">
        <f>+AA14/(AB14*1000)</f>
        <v>7.5455458090093089E-2</v>
      </c>
    </row>
    <row r="15" spans="2:29" ht="14.25" customHeight="1" x14ac:dyDescent="0.2">
      <c r="B15" s="933" t="s">
        <v>33</v>
      </c>
      <c r="C15" s="1452">
        <f t="shared" si="5"/>
        <v>5181.9143745613992</v>
      </c>
      <c r="D15" s="1746">
        <f t="shared" si="1"/>
        <v>1008.1594951876592</v>
      </c>
      <c r="E15" s="1755">
        <f t="shared" si="2"/>
        <v>4173.7548793737396</v>
      </c>
      <c r="F15" s="1453">
        <f>1000*TableA7!$P$91*(TableC2!F13+TableC2!Q13)/(TableC2!$D$91+TableC2!$O$91)</f>
        <v>42.807209501378431</v>
      </c>
      <c r="G15" s="1453">
        <f>1000*TableA7!$P$91*(TableC2!G13+TableC2!R13)/(TableC2!$D$91+TableC2!$O$91)</f>
        <v>0</v>
      </c>
      <c r="H15" s="1453">
        <f>1000*TableA7!$P$91*(TableC2!H13+TableC2!S13)/(TableC2!$D$91+TableC2!$O$91)</f>
        <v>248.53186177206933</v>
      </c>
      <c r="I15" s="1453">
        <f>1000*TableA7!$P$91*(TableC2!I13+TableC2!T13)/(TableC2!$D$91+TableC2!$O$91)</f>
        <v>266.78374649642797</v>
      </c>
      <c r="J15" s="1453">
        <f>1000*TableA7!$P$91*(TableC2!J13+TableC2!U13)/(TableC2!$D$91+TableC2!$O$91)</f>
        <v>36.746311614367301</v>
      </c>
      <c r="K15" s="1453">
        <f>1000*TableA7!$P$91*(TableC2!K13+TableC2!V13)/(TableC2!$D$91+TableC2!$O$91)</f>
        <v>413.29036580341619</v>
      </c>
      <c r="L15" s="1168">
        <f>1000*TableA7!$P$91*(TableC2!M13+TableC2!X13)/(TableC2!$D$91+TableC2!$O$91)</f>
        <v>342.6633378101676</v>
      </c>
      <c r="M15" s="1229">
        <f>1000*TableA7!$P$91*(TableC2!N13+TableC2!Y13)/(TableC2!$D$91+TableC2!$O$91)</f>
        <v>3831.0915415635718</v>
      </c>
      <c r="N15" s="1452">
        <f t="shared" si="6"/>
        <v>5181.9143745613983</v>
      </c>
      <c r="O15" s="1746">
        <f t="shared" si="7"/>
        <v>1221.0152000743967</v>
      </c>
      <c r="P15" s="1755">
        <f t="shared" si="8"/>
        <v>3960.8991744870013</v>
      </c>
      <c r="Q15" s="1453">
        <f t="shared" si="9"/>
        <v>61.069328356959751</v>
      </c>
      <c r="R15" s="1453">
        <f t="shared" si="10"/>
        <v>14.15221290174026</v>
      </c>
      <c r="S15" s="1453">
        <f t="shared" si="11"/>
        <v>603.69997135011931</v>
      </c>
      <c r="T15" s="1453">
        <f t="shared" si="12"/>
        <v>164.53451749142963</v>
      </c>
      <c r="U15" s="1453">
        <f t="shared" si="13"/>
        <v>95.53914556942199</v>
      </c>
      <c r="V15" s="1453">
        <f t="shared" si="14"/>
        <v>282.02002440472586</v>
      </c>
      <c r="W15" s="1168">
        <f t="shared" si="15"/>
        <v>309.49987060638398</v>
      </c>
      <c r="X15" s="1229">
        <f t="shared" si="16"/>
        <v>3651.3993038806175</v>
      </c>
      <c r="Y15" s="954"/>
      <c r="Z15" s="954"/>
      <c r="AA15" s="954"/>
      <c r="AB15" s="954"/>
      <c r="AC15" s="954"/>
    </row>
    <row r="16" spans="2:29" ht="14.25" customHeight="1" x14ac:dyDescent="0.2">
      <c r="B16" s="933" t="s">
        <v>34</v>
      </c>
      <c r="C16" s="1452">
        <f t="shared" si="5"/>
        <v>1760.6284926203612</v>
      </c>
      <c r="D16" s="1746">
        <f t="shared" si="1"/>
        <v>1409.2647465167706</v>
      </c>
      <c r="E16" s="1755">
        <f t="shared" si="2"/>
        <v>351.36374610359064</v>
      </c>
      <c r="F16" s="1453">
        <f>1000*TableA7!$P$91*(TableC2!F14+TableC2!Q14)/(TableC2!$D$91+TableC2!$O$91)</f>
        <v>273.86191821811997</v>
      </c>
      <c r="G16" s="1453">
        <f>1000*TableA7!$P$91*(TableC2!G14+TableC2!R14)/(TableC2!$D$91+TableC2!$O$91)</f>
        <v>15.443454198904847</v>
      </c>
      <c r="H16" s="1453">
        <f>1000*TableA7!$P$91*(TableC2!H14+TableC2!S14)/(TableC2!$D$91+TableC2!$O$91)</f>
        <v>265.74286886933061</v>
      </c>
      <c r="I16" s="1453">
        <f>1000*TableA7!$P$91*(TableC2!I14+TableC2!T14)/(TableC2!$D$91+TableC2!$O$91)</f>
        <v>348.44919289219524</v>
      </c>
      <c r="J16" s="1453">
        <f>1000*TableA7!$P$91*(TableC2!J14+TableC2!U14)/(TableC2!$D$91+TableC2!$O$91)</f>
        <v>5.1563606065816732</v>
      </c>
      <c r="K16" s="1453">
        <f>1000*TableA7!$P$91*(TableC2!K14+TableC2!V14)/(TableC2!$D$91+TableC2!$O$91)</f>
        <v>500.61095173163824</v>
      </c>
      <c r="L16" s="1168">
        <f>1000*TableA7!$P$91*(TableC2!M14+TableC2!X14)/(TableC2!$D$91+TableC2!$O$91)</f>
        <v>316.81274305999432</v>
      </c>
      <c r="M16" s="1229">
        <f>1000*TableA7!$P$91*(TableC2!N14+TableC2!Y14)/(TableC2!$D$91+TableC2!$O$91)</f>
        <v>34.551003043596332</v>
      </c>
      <c r="N16" s="1452">
        <f t="shared" si="6"/>
        <v>1760.6284926203614</v>
      </c>
      <c r="O16" s="1746">
        <f t="shared" si="7"/>
        <v>1037.3118940841377</v>
      </c>
      <c r="P16" s="1755">
        <f t="shared" si="8"/>
        <v>723.31659853622364</v>
      </c>
      <c r="Q16" s="1453">
        <f t="shared" si="9"/>
        <v>73.425953478650044</v>
      </c>
      <c r="R16" s="1453">
        <f t="shared" si="10"/>
        <v>22.287008299021252</v>
      </c>
      <c r="S16" s="1453">
        <f t="shared" si="11"/>
        <v>393.32104817865525</v>
      </c>
      <c r="T16" s="1453">
        <f t="shared" si="12"/>
        <v>236.67155948355276</v>
      </c>
      <c r="U16" s="1453">
        <f t="shared" si="13"/>
        <v>32.682558756091375</v>
      </c>
      <c r="V16" s="1453">
        <f t="shared" si="14"/>
        <v>278.92376588816694</v>
      </c>
      <c r="W16" s="1168">
        <f t="shared" si="15"/>
        <v>354.06760365907581</v>
      </c>
      <c r="X16" s="1229">
        <f t="shared" si="16"/>
        <v>369.24899487714788</v>
      </c>
      <c r="Y16" s="954"/>
      <c r="Z16" s="954"/>
      <c r="AA16" s="954"/>
      <c r="AB16" s="954"/>
      <c r="AC16" s="954"/>
    </row>
    <row r="17" spans="1:34" ht="14.25" customHeight="1" x14ac:dyDescent="0.2">
      <c r="A17" s="954"/>
      <c r="B17" s="933" t="s">
        <v>35</v>
      </c>
      <c r="C17" s="1452">
        <f t="shared" si="5"/>
        <v>2961.7661722785192</v>
      </c>
      <c r="D17" s="1746">
        <f t="shared" si="1"/>
        <v>2331.5889402003218</v>
      </c>
      <c r="E17" s="1755">
        <f t="shared" si="2"/>
        <v>630.17723207819745</v>
      </c>
      <c r="F17" s="1453">
        <f>1000*TableA7!$P$91*(TableC2!F15+TableC2!Q15)/(TableC2!$D$91+TableC2!$O$91)</f>
        <v>311.14042906841536</v>
      </c>
      <c r="G17" s="1453">
        <f>1000*TableA7!$P$91*(TableC2!G15+TableC2!R15)/(TableC2!$D$91+TableC2!$O$91)</f>
        <v>0.69758673831597617</v>
      </c>
      <c r="H17" s="1453">
        <f>1000*TableA7!$P$91*(TableC2!H15+TableC2!S15)/(TableC2!$D$91+TableC2!$O$91)</f>
        <v>1168.686206222787</v>
      </c>
      <c r="I17" s="1453">
        <f>1000*TableA7!$P$91*(TableC2!I15+TableC2!T15)/(TableC2!$D$91+TableC2!$O$91)</f>
        <v>452.68579058260491</v>
      </c>
      <c r="J17" s="1453">
        <f>1000*TableA7!$P$91*(TableC2!J15+TableC2!U15)/(TableC2!$D$91+TableC2!$O$91)</f>
        <v>12.362710740841502</v>
      </c>
      <c r="K17" s="1453">
        <f>1000*TableA7!$P$91*(TableC2!K15+TableC2!V15)/(TableC2!$D$91+TableC2!$O$91)</f>
        <v>386.0162168473571</v>
      </c>
      <c r="L17" s="1168">
        <f>1000*TableA7!$P$91*(TableC2!M15+TableC2!X15)/(TableC2!$D$91+TableC2!$O$91)</f>
        <v>366.70471853474584</v>
      </c>
      <c r="M17" s="1229">
        <f>1000*TableA7!$P$91*(TableC2!N15+TableC2!Y15)/(TableC2!$D$91+TableC2!$O$91)</f>
        <v>263.47251354345156</v>
      </c>
      <c r="N17" s="1452">
        <f t="shared" si="6"/>
        <v>2961.7661722785188</v>
      </c>
      <c r="O17" s="1746">
        <f t="shared" si="7"/>
        <v>1648.5475994161216</v>
      </c>
      <c r="P17" s="1755">
        <f t="shared" si="8"/>
        <v>1313.2185728623974</v>
      </c>
      <c r="Q17" s="1453">
        <f t="shared" si="9"/>
        <v>88.503898919171391</v>
      </c>
      <c r="R17" s="1453">
        <f t="shared" si="10"/>
        <v>9.5424029382694346</v>
      </c>
      <c r="S17" s="1453">
        <f t="shared" si="11"/>
        <v>767.4258392656825</v>
      </c>
      <c r="T17" s="1453">
        <f t="shared" si="12"/>
        <v>300.36284949325869</v>
      </c>
      <c r="U17" s="1453">
        <f t="shared" si="13"/>
        <v>48.125742357063402</v>
      </c>
      <c r="V17" s="1453">
        <f t="shared" si="14"/>
        <v>434.58686644267624</v>
      </c>
      <c r="W17" s="1168">
        <f t="shared" si="15"/>
        <v>398.79840190116948</v>
      </c>
      <c r="X17" s="1229">
        <f t="shared" si="16"/>
        <v>914.420170961228</v>
      </c>
      <c r="Y17" s="954"/>
      <c r="Z17" s="954"/>
      <c r="AA17" s="954"/>
      <c r="AB17" s="954"/>
      <c r="AC17" s="954"/>
      <c r="AD17" s="954"/>
      <c r="AE17" s="954"/>
      <c r="AF17" s="954"/>
      <c r="AG17" s="954"/>
      <c r="AH17" s="954"/>
    </row>
    <row r="18" spans="1:34" ht="14.25" customHeight="1" x14ac:dyDescent="0.2">
      <c r="A18" s="954"/>
      <c r="B18" s="1498" t="s">
        <v>36</v>
      </c>
      <c r="C18" s="1452">
        <f t="shared" si="5"/>
        <v>243.69349684162626</v>
      </c>
      <c r="D18" s="1746">
        <f t="shared" si="1"/>
        <v>174.7422033580919</v>
      </c>
      <c r="E18" s="1755">
        <f t="shared" si="2"/>
        <v>68.951293483534371</v>
      </c>
      <c r="F18" s="1453">
        <f>1000*TableA7!$P$91*(TableC2!F16+TableC2!Q16)/(TableC2!$D$91+TableC2!$O$91)</f>
        <v>30.031924019490372</v>
      </c>
      <c r="G18" s="1453">
        <f>1000*TableA7!$P$91*(TableC2!G16+TableC2!R16)/(TableC2!$D$91+TableC2!$O$91)</f>
        <v>0.97662143364236664</v>
      </c>
      <c r="H18" s="1453">
        <f>1000*TableA7!$P$91*(TableC2!H16+TableC2!S16)/(TableC2!$D$91+TableC2!$O$91)</f>
        <v>13.293757050742457</v>
      </c>
      <c r="I18" s="1453">
        <f>1000*TableA7!$P$91*(TableC2!I16+TableC2!T16)/(TableC2!$D$91+TableC2!$O$91)</f>
        <v>107.38215227672995</v>
      </c>
      <c r="J18" s="1453">
        <f>1000*TableA7!$P$91*(TableC2!J16+TableC2!U16)/(TableC2!$D$91+TableC2!$O$91)</f>
        <v>0.35347308353021395</v>
      </c>
      <c r="K18" s="1453">
        <f>1000*TableA7!$P$91*(TableC2!K16+TableC2!V16)/(TableC2!$D$91+TableC2!$O$91)</f>
        <v>22.70427549395653</v>
      </c>
      <c r="L18" s="1168">
        <f>1000*TableA7!$P$91*(TableC2!M16+TableC2!X16)/(TableC2!$D$91+TableC2!$O$91)</f>
        <v>42.81482193423912</v>
      </c>
      <c r="M18" s="1229">
        <f>1000*TableA7!$P$91*(TableC2!N16+TableC2!Y16)/(TableC2!$D$91+TableC2!$O$91)</f>
        <v>26.136471549295248</v>
      </c>
      <c r="N18" s="1452">
        <f t="shared" si="6"/>
        <v>243.69349684162626</v>
      </c>
      <c r="O18" s="1746">
        <f t="shared" si="7"/>
        <v>148.19906651511343</v>
      </c>
      <c r="P18" s="1755">
        <f t="shared" si="8"/>
        <v>95.494430326512827</v>
      </c>
      <c r="Q18" s="1453">
        <f t="shared" si="9"/>
        <v>7.5479005862953992</v>
      </c>
      <c r="R18" s="1453">
        <f t="shared" si="10"/>
        <v>2.334513126432177</v>
      </c>
      <c r="S18" s="1453">
        <f t="shared" si="11"/>
        <v>54.726103688040936</v>
      </c>
      <c r="T18" s="1453">
        <f t="shared" si="12"/>
        <v>47.428535952856329</v>
      </c>
      <c r="U18" s="1453">
        <f t="shared" si="13"/>
        <v>5.75532035473287</v>
      </c>
      <c r="V18" s="1453">
        <f t="shared" si="14"/>
        <v>30.406692806755718</v>
      </c>
      <c r="W18" s="1168">
        <f t="shared" si="15"/>
        <v>40.300369409465887</v>
      </c>
      <c r="X18" s="1229">
        <f t="shared" si="16"/>
        <v>55.194060917046947</v>
      </c>
      <c r="Y18" s="954"/>
      <c r="Z18" s="954"/>
      <c r="AA18" s="954"/>
      <c r="AB18" s="954"/>
      <c r="AC18" s="954"/>
      <c r="AD18" s="954"/>
      <c r="AE18" s="954"/>
      <c r="AF18" s="954"/>
      <c r="AG18" s="954"/>
      <c r="AH18" s="954"/>
    </row>
    <row r="19" spans="1:34" ht="14.25" customHeight="1" x14ac:dyDescent="0.2">
      <c r="A19" s="954"/>
      <c r="B19" s="933" t="s">
        <v>37</v>
      </c>
      <c r="C19" s="1452">
        <f t="shared" si="5"/>
        <v>2714.8693656359146</v>
      </c>
      <c r="D19" s="1746">
        <f t="shared" si="1"/>
        <v>1744.72661352514</v>
      </c>
      <c r="E19" s="1755">
        <f t="shared" si="2"/>
        <v>970.14275211077438</v>
      </c>
      <c r="F19" s="1453">
        <f>1000*TableA7!$P$91*(TableC2!F17+TableC2!Q17)/(TableC2!$D$91+TableC2!$O$91)</f>
        <v>206.13347519312785</v>
      </c>
      <c r="G19" s="1453">
        <f>1000*TableA7!$P$91*(TableC2!G17+TableC2!R17)/(TableC2!$D$91+TableC2!$O$91)</f>
        <v>0.69758673831597617</v>
      </c>
      <c r="H19" s="1453">
        <f>1000*TableA7!$P$91*(TableC2!H17+TableC2!S17)/(TableC2!$D$91+TableC2!$O$91)</f>
        <v>787.03283905935439</v>
      </c>
      <c r="I19" s="1453">
        <f>1000*TableA7!$P$91*(TableC2!I17+TableC2!T17)/(TableC2!$D$91+TableC2!$O$91)</f>
        <v>501.01177269976017</v>
      </c>
      <c r="J19" s="1453">
        <f>1000*TableA7!$P$91*(TableC2!J17+TableC2!U17)/(TableC2!$D$91+TableC2!$O$91)</f>
        <v>3.2054124361883396</v>
      </c>
      <c r="K19" s="1453">
        <f>1000*TableA7!$P$91*(TableC2!K17+TableC2!V17)/(TableC2!$D$91+TableC2!$O$91)</f>
        <v>246.64552739839309</v>
      </c>
      <c r="L19" s="1168">
        <f>1000*TableA7!$P$91*(TableC2!M17+TableC2!X17)/(TableC2!$D$91+TableC2!$O$91)</f>
        <v>410.10248682518784</v>
      </c>
      <c r="M19" s="1229">
        <f>1000*TableA7!$P$91*(TableC2!N17+TableC2!Y17)/(TableC2!$D$91+TableC2!$O$91)</f>
        <v>560.04026528558654</v>
      </c>
      <c r="N19" s="1452">
        <f t="shared" si="6"/>
        <v>2714.8693656359142</v>
      </c>
      <c r="O19" s="1746">
        <f t="shared" si="7"/>
        <v>1369.965930192152</v>
      </c>
      <c r="P19" s="1755">
        <f t="shared" si="8"/>
        <v>1344.9034354437622</v>
      </c>
      <c r="Q19" s="1453">
        <f t="shared" si="9"/>
        <v>70.609999736008945</v>
      </c>
      <c r="R19" s="1453">
        <f t="shared" si="10"/>
        <v>9.6230994585680598</v>
      </c>
      <c r="S19" s="1453">
        <f t="shared" si="11"/>
        <v>620.07525499882263</v>
      </c>
      <c r="T19" s="1453">
        <f t="shared" si="12"/>
        <v>286.47186468596857</v>
      </c>
      <c r="U19" s="1453">
        <f t="shared" si="13"/>
        <v>39.247146603307343</v>
      </c>
      <c r="V19" s="1453">
        <f t="shared" si="14"/>
        <v>343.93856470947651</v>
      </c>
      <c r="W19" s="1168">
        <f t="shared" si="15"/>
        <v>363.21312801811746</v>
      </c>
      <c r="X19" s="1229">
        <f t="shared" si="16"/>
        <v>981.69030742564473</v>
      </c>
      <c r="Y19" s="954"/>
      <c r="Z19" s="954"/>
      <c r="AA19" s="954"/>
      <c r="AB19" s="954"/>
      <c r="AC19" s="954"/>
      <c r="AD19" s="954"/>
      <c r="AE19" s="954"/>
      <c r="AF19" s="954"/>
      <c r="AG19" s="954"/>
      <c r="AH19" s="954"/>
    </row>
    <row r="20" spans="1:34" ht="14.25" customHeight="1" x14ac:dyDescent="0.2">
      <c r="A20" s="954"/>
      <c r="B20" s="1498" t="s">
        <v>38</v>
      </c>
      <c r="C20" s="1452">
        <f t="shared" si="5"/>
        <v>32084.12988744217</v>
      </c>
      <c r="D20" s="1746">
        <f t="shared" si="1"/>
        <v>24195.850308678229</v>
      </c>
      <c r="E20" s="1755">
        <f t="shared" si="2"/>
        <v>7888.2795787639398</v>
      </c>
      <c r="F20" s="1453">
        <f>1000*TableA7!$P$91*(TableC2!F18+TableC2!Q18)/(TableC2!$D$91+TableC2!$O$91)</f>
        <v>6196.7703325563807</v>
      </c>
      <c r="G20" s="1453">
        <f>1000*TableA7!$P$91*(TableC2!G18+TableC2!R18)/(TableC2!$D$91+TableC2!$O$91)</f>
        <v>15.137632221456686</v>
      </c>
      <c r="H20" s="1453">
        <f>1000*TableA7!$P$91*(TableC2!H18+TableC2!S18)/(TableC2!$D$91+TableC2!$O$91)</f>
        <v>5279.7309153941687</v>
      </c>
      <c r="I20" s="1453">
        <f>1000*TableA7!$P$91*(TableC2!I18+TableC2!T18)/(TableC2!$D$91+TableC2!$O$91)</f>
        <v>8875.620322386605</v>
      </c>
      <c r="J20" s="1453">
        <f>1000*TableA7!$P$91*(TableC2!J18+TableC2!U18)/(TableC2!$D$91+TableC2!$O$91)</f>
        <v>62.286956914059125</v>
      </c>
      <c r="K20" s="1453">
        <f>1000*TableA7!$P$91*(TableC2!K18+TableC2!V18)/(TableC2!$D$91+TableC2!$O$91)</f>
        <v>3766.3041492055581</v>
      </c>
      <c r="L20" s="1168">
        <f>1000*TableA7!$P$91*(TableC2!M18+TableC2!X18)/(TableC2!$D$91+TableC2!$O$91)</f>
        <v>788.9927023153565</v>
      </c>
      <c r="M20" s="1229">
        <f>1000*TableA7!$P$91*(TableC2!N18+TableC2!Y18)/(TableC2!$D$91+TableC2!$O$91)</f>
        <v>7099.2868764485829</v>
      </c>
      <c r="N20" s="1452">
        <f t="shared" si="6"/>
        <v>32084.12988744217</v>
      </c>
      <c r="O20" s="1746">
        <f t="shared" si="7"/>
        <v>17738.761514361362</v>
      </c>
      <c r="P20" s="1755">
        <f t="shared" si="8"/>
        <v>14345.36837308081</v>
      </c>
      <c r="Q20" s="1453">
        <f t="shared" si="9"/>
        <v>818.9483849335794</v>
      </c>
      <c r="R20" s="1453">
        <f t="shared" si="10"/>
        <v>176.08781657051935</v>
      </c>
      <c r="S20" s="1453">
        <f t="shared" si="11"/>
        <v>7797.5121161942698</v>
      </c>
      <c r="T20" s="1453">
        <f t="shared" si="12"/>
        <v>4444.1606649809219</v>
      </c>
      <c r="U20" s="1453">
        <f t="shared" si="13"/>
        <v>713.28020368054331</v>
      </c>
      <c r="V20" s="1453">
        <f t="shared" si="14"/>
        <v>3788.7723280015257</v>
      </c>
      <c r="W20" s="1168">
        <f t="shared" si="15"/>
        <v>3033.784636058268</v>
      </c>
      <c r="X20" s="1229">
        <f t="shared" si="16"/>
        <v>11311.583737022542</v>
      </c>
      <c r="Y20" s="954"/>
      <c r="Z20" s="954"/>
      <c r="AA20" s="954"/>
      <c r="AB20" s="954"/>
      <c r="AC20" s="954"/>
      <c r="AD20" s="954"/>
      <c r="AE20" s="954"/>
      <c r="AF20" s="954"/>
      <c r="AG20" s="954"/>
      <c r="AH20" s="954"/>
    </row>
    <row r="21" spans="1:34" ht="14.25" customHeight="1" x14ac:dyDescent="0.2">
      <c r="A21" s="954"/>
      <c r="B21" s="933" t="s">
        <v>39</v>
      </c>
      <c r="C21" s="1452">
        <f t="shared" si="5"/>
        <v>54904.338589641884</v>
      </c>
      <c r="D21" s="1746">
        <f t="shared" si="1"/>
        <v>41584.631730761786</v>
      </c>
      <c r="E21" s="1755">
        <f t="shared" si="2"/>
        <v>13319.706858880098</v>
      </c>
      <c r="F21" s="1453">
        <f>1000*TableA7!$P$91*(TableC2!F19+TableC2!Q19)/(TableC2!$D$91+TableC2!$O$91)</f>
        <v>4372.9502037112106</v>
      </c>
      <c r="G21" s="1453">
        <f>1000*TableA7!$P$91*(TableC2!G19+TableC2!R19)/(TableC2!$D$91+TableC2!$O$91)</f>
        <v>82.244917745878652</v>
      </c>
      <c r="H21" s="1453">
        <f>1000*TableA7!$P$91*(TableC2!H19+TableC2!S19)/(TableC2!$D$91+TableC2!$O$91)</f>
        <v>9156.1770841158122</v>
      </c>
      <c r="I21" s="1453">
        <f>1000*TableA7!$P$91*(TableC2!I19+TableC2!T19)/(TableC2!$D$91+TableC2!$O$91)</f>
        <v>14838.644170783664</v>
      </c>
      <c r="J21" s="1453">
        <f>1000*TableA7!$P$91*(TableC2!J19+TableC2!U19)/(TableC2!$D$91+TableC2!$O$91)</f>
        <v>167.82735789126519</v>
      </c>
      <c r="K21" s="1453">
        <f>1000*TableA7!$P$91*(TableC2!K19+TableC2!V19)/(TableC2!$D$91+TableC2!$O$91)</f>
        <v>12966.787996513951</v>
      </c>
      <c r="L21" s="1168">
        <f>1000*TableA7!$P$91*(TableC2!M19+TableC2!X19)/(TableC2!$D$91+TableC2!$O$91)</f>
        <v>8387.4313532036431</v>
      </c>
      <c r="M21" s="1229">
        <f>1000*TableA7!$P$91*(TableC2!N19+TableC2!Y19)/(TableC2!$D$91+TableC2!$O$91)</f>
        <v>4932.2755056764536</v>
      </c>
      <c r="N21" s="1452">
        <f t="shared" si="6"/>
        <v>54904.338589641877</v>
      </c>
      <c r="O21" s="1746">
        <f t="shared" si="7"/>
        <v>30450.406088704618</v>
      </c>
      <c r="P21" s="1755">
        <f t="shared" si="8"/>
        <v>24453.932500937262</v>
      </c>
      <c r="Q21" s="1453">
        <f t="shared" si="9"/>
        <v>2106.7860357406048</v>
      </c>
      <c r="R21" s="1453">
        <f t="shared" si="10"/>
        <v>284.87864394654076</v>
      </c>
      <c r="S21" s="1453">
        <f t="shared" si="11"/>
        <v>11676.36540577053</v>
      </c>
      <c r="T21" s="1453">
        <f t="shared" si="12"/>
        <v>7522.8809363545734</v>
      </c>
      <c r="U21" s="1453">
        <f t="shared" si="13"/>
        <v>972.92500496619277</v>
      </c>
      <c r="V21" s="1453">
        <f t="shared" si="14"/>
        <v>7886.570061926177</v>
      </c>
      <c r="W21" s="1168">
        <f t="shared" si="15"/>
        <v>9503.6518389584598</v>
      </c>
      <c r="X21" s="1229">
        <f t="shared" si="16"/>
        <v>14950.280661978803</v>
      </c>
      <c r="Y21" s="954"/>
      <c r="Z21" s="954"/>
      <c r="AA21" s="954"/>
      <c r="AB21" s="954"/>
      <c r="AC21" s="954"/>
      <c r="AD21" s="954"/>
      <c r="AE21" s="954"/>
      <c r="AF21" s="954"/>
      <c r="AG21" s="954"/>
      <c r="AH21" s="954"/>
    </row>
    <row r="22" spans="1:34" ht="14.25" customHeight="1" x14ac:dyDescent="0.2">
      <c r="A22" s="954"/>
      <c r="B22" s="933" t="s">
        <v>40</v>
      </c>
      <c r="C22" s="1452">
        <f t="shared" si="5"/>
        <v>1046.512460195499</v>
      </c>
      <c r="D22" s="1746">
        <f t="shared" si="1"/>
        <v>913.78755346575019</v>
      </c>
      <c r="E22" s="1755">
        <f t="shared" si="2"/>
        <v>132.72490672974874</v>
      </c>
      <c r="F22" s="1453">
        <f>1000*TableA7!$P$91*(TableC2!F20+TableC2!Q20)/(TableC2!$D$91+TableC2!$O$91)</f>
        <v>186.4987150981276</v>
      </c>
      <c r="G22" s="1453">
        <f>1000*TableA7!$P$91*(TableC2!G20+TableC2!R20)/(TableC2!$D$91+TableC2!$O$91)</f>
        <v>40.460030822326623</v>
      </c>
      <c r="H22" s="1453">
        <f>1000*TableA7!$P$91*(TableC2!H20+TableC2!S20)/(TableC2!$D$91+TableC2!$O$91)</f>
        <v>266.63089808801556</v>
      </c>
      <c r="I22" s="1453">
        <f>1000*TableA7!$P$91*(TableC2!I20+TableC2!T20)/(TableC2!$D$91+TableC2!$O$91)</f>
        <v>211.45725478711961</v>
      </c>
      <c r="J22" s="1453">
        <f>1000*TableA7!$P$91*(TableC2!J20+TableC2!U20)/(TableC2!$D$91+TableC2!$O$91)</f>
        <v>4.4622993216025071</v>
      </c>
      <c r="K22" s="1453">
        <f>1000*TableA7!$P$91*(TableC2!K20+TableC2!V20)/(TableC2!$D$91+TableC2!$O$91)</f>
        <v>204.27835534855828</v>
      </c>
      <c r="L22" s="1168">
        <f>1000*TableA7!$P$91*(TableC2!M20+TableC2!X20)/(TableC2!$D$91+TableC2!$O$91)</f>
        <v>111.01567890592571</v>
      </c>
      <c r="M22" s="1229">
        <f>1000*TableA7!$P$91*(TableC2!N20+TableC2!Y20)/(TableC2!$D$91+TableC2!$O$91)</f>
        <v>21.709227823823035</v>
      </c>
      <c r="N22" s="1452">
        <f t="shared" si="6"/>
        <v>1046.512460195499</v>
      </c>
      <c r="O22" s="1746">
        <f t="shared" si="7"/>
        <v>655.01389962074347</v>
      </c>
      <c r="P22" s="1755">
        <f t="shared" si="8"/>
        <v>391.49856057475552</v>
      </c>
      <c r="Q22" s="1453">
        <f t="shared" si="9"/>
        <v>35.835524047157037</v>
      </c>
      <c r="R22" s="1453">
        <f t="shared" si="10"/>
        <v>44.607267381437062</v>
      </c>
      <c r="S22" s="1453">
        <f t="shared" si="11"/>
        <v>262.80328033098732</v>
      </c>
      <c r="T22" s="1453">
        <f t="shared" si="12"/>
        <v>134.5310677681563</v>
      </c>
      <c r="U22" s="1453">
        <f t="shared" si="13"/>
        <v>21.206795552038901</v>
      </c>
      <c r="V22" s="1453">
        <f t="shared" si="14"/>
        <v>156.02996454096686</v>
      </c>
      <c r="W22" s="1168">
        <f t="shared" si="15"/>
        <v>156.48024052918657</v>
      </c>
      <c r="X22" s="1229">
        <f t="shared" si="16"/>
        <v>235.01832004556897</v>
      </c>
      <c r="Y22" s="954"/>
      <c r="Z22" s="954"/>
      <c r="AA22" s="1061"/>
      <c r="AB22" s="1061"/>
      <c r="AC22" s="1061"/>
      <c r="AD22" s="1061"/>
      <c r="AE22" s="1061"/>
      <c r="AF22" s="1061"/>
      <c r="AG22" s="1061"/>
      <c r="AH22" s="1061"/>
    </row>
    <row r="23" spans="1:34" ht="14.25" customHeight="1" x14ac:dyDescent="0.2">
      <c r="A23" s="954"/>
      <c r="B23" s="933" t="s">
        <v>41</v>
      </c>
      <c r="C23" s="1452">
        <f t="shared" si="5"/>
        <v>2394.8890539900785</v>
      </c>
      <c r="D23" s="1746">
        <f t="shared" si="1"/>
        <v>1689.4617331249303</v>
      </c>
      <c r="E23" s="1755">
        <f t="shared" si="2"/>
        <v>705.42732086514832</v>
      </c>
      <c r="F23" s="1453">
        <f>1000*TableA7!$P$91*(TableC2!F21+TableC2!Q21)/(TableC2!$D$91+TableC2!$O$91)</f>
        <v>214.21253386301217</v>
      </c>
      <c r="G23" s="1453">
        <f>1000*TableA7!$P$91*(TableC2!G21+TableC2!R21)/(TableC2!$D$91+TableC2!$O$91)</f>
        <v>1.1790483996020753</v>
      </c>
      <c r="H23" s="1453">
        <f>1000*TableA7!$P$91*(TableC2!H21+TableC2!S21)/(TableC2!$D$91+TableC2!$O$91)</f>
        <v>771.83101117785623</v>
      </c>
      <c r="I23" s="1453">
        <f>1000*TableA7!$P$91*(TableC2!I21+TableC2!T21)/(TableC2!$D$91+TableC2!$O$91)</f>
        <v>392.05878723658799</v>
      </c>
      <c r="J23" s="1453">
        <f>1000*TableA7!$P$91*(TableC2!J21+TableC2!U21)/(TableC2!$D$91+TableC2!$O$91)</f>
        <v>6.1322384617148691</v>
      </c>
      <c r="K23" s="1453">
        <f>1000*TableA7!$P$91*(TableC2!K21+TableC2!V21)/(TableC2!$D$91+TableC2!$O$91)</f>
        <v>304.04811398615692</v>
      </c>
      <c r="L23" s="1168">
        <f>1000*TableA7!$P$91*(TableC2!M21+TableC2!X21)/(TableC2!$D$91+TableC2!$O$91)</f>
        <v>300.45661952068173</v>
      </c>
      <c r="M23" s="1229">
        <f>1000*TableA7!$P$91*(TableC2!N21+TableC2!Y21)/(TableC2!$D$91+TableC2!$O$91)</f>
        <v>404.97070134446659</v>
      </c>
      <c r="N23" s="1452">
        <f t="shared" si="6"/>
        <v>2394.8890539900785</v>
      </c>
      <c r="O23" s="1746">
        <f t="shared" si="7"/>
        <v>1241.9635137695423</v>
      </c>
      <c r="P23" s="1755">
        <f t="shared" si="8"/>
        <v>1152.9255402205363</v>
      </c>
      <c r="Q23" s="1453">
        <f t="shared" si="9"/>
        <v>67.734386128407451</v>
      </c>
      <c r="R23" s="1453">
        <f t="shared" si="10"/>
        <v>8.6405429811114765</v>
      </c>
      <c r="S23" s="1453">
        <f t="shared" si="11"/>
        <v>567.49306075841139</v>
      </c>
      <c r="T23" s="1453">
        <f t="shared" si="12"/>
        <v>239.98901852318562</v>
      </c>
      <c r="U23" s="1453">
        <f t="shared" si="13"/>
        <v>36.294847252346301</v>
      </c>
      <c r="V23" s="1453">
        <f t="shared" si="14"/>
        <v>321.8116581260802</v>
      </c>
      <c r="W23" s="1168">
        <f t="shared" si="15"/>
        <v>313.48633923790362</v>
      </c>
      <c r="X23" s="1229">
        <f t="shared" si="16"/>
        <v>839.43920098263266</v>
      </c>
      <c r="Y23" s="954"/>
      <c r="Z23" s="954"/>
      <c r="AA23" s="1061"/>
      <c r="AB23" s="1061"/>
      <c r="AC23" s="1061"/>
      <c r="AD23" s="1061"/>
      <c r="AE23" s="1061"/>
      <c r="AF23" s="1061"/>
      <c r="AG23" s="1061"/>
      <c r="AH23" s="1061"/>
    </row>
    <row r="24" spans="1:34" ht="14.25" customHeight="1" x14ac:dyDescent="0.2">
      <c r="A24" s="954"/>
      <c r="B24" s="933" t="s">
        <v>42</v>
      </c>
      <c r="C24" s="1452">
        <f t="shared" si="5"/>
        <v>437.74676216057208</v>
      </c>
      <c r="D24" s="1746">
        <f t="shared" si="1"/>
        <v>337.64759136893497</v>
      </c>
      <c r="E24" s="1755">
        <f t="shared" si="2"/>
        <v>100.09917079163714</v>
      </c>
      <c r="F24" s="1453">
        <f>1000*TableA7!$P$91*(TableC2!F22+TableC2!Q22)/(TableC2!$D$91+TableC2!$O$91)</f>
        <v>38.482630728901484</v>
      </c>
      <c r="G24" s="1453">
        <f>1000*TableA7!$P$91*(TableC2!G22+TableC2!R22)/(TableC2!$D$91+TableC2!$O$91)</f>
        <v>0</v>
      </c>
      <c r="H24" s="1453">
        <f>1000*TableA7!$P$91*(TableC2!H22+TableC2!S22)/(TableC2!$D$91+TableC2!$O$91)</f>
        <v>71.836563071426227</v>
      </c>
      <c r="I24" s="1453">
        <f>1000*TableA7!$P$91*(TableC2!I22+TableC2!T22)/(TableC2!$D$91+TableC2!$O$91)</f>
        <v>180.71581106301579</v>
      </c>
      <c r="J24" s="1453">
        <f>1000*TableA7!$P$91*(TableC2!J22+TableC2!U22)/(TableC2!$D$91+TableC2!$O$91)</f>
        <v>0.52896277217170617</v>
      </c>
      <c r="K24" s="1453">
        <f>1000*TableA7!$P$91*(TableC2!K22+TableC2!V22)/(TableC2!$D$91+TableC2!$O$91)</f>
        <v>46.083623733419749</v>
      </c>
      <c r="L24" s="1168">
        <f>1000*TableA7!$P$91*(TableC2!M22+TableC2!X22)/(TableC2!$D$91+TableC2!$O$91)</f>
        <v>8.5151296701204231</v>
      </c>
      <c r="M24" s="1229">
        <f>1000*TableA7!$P$91*(TableC2!N22+TableC2!Y22)/(TableC2!$D$91+TableC2!$O$91)</f>
        <v>91.584041121516719</v>
      </c>
      <c r="N24" s="1452">
        <f t="shared" si="6"/>
        <v>437.74676216057208</v>
      </c>
      <c r="O24" s="1746">
        <f t="shared" si="7"/>
        <v>242.62335065273285</v>
      </c>
      <c r="P24" s="1755">
        <f t="shared" si="8"/>
        <v>195.12341150783922</v>
      </c>
      <c r="Q24" s="1453">
        <f t="shared" si="9"/>
        <v>11.952581755878668</v>
      </c>
      <c r="R24" s="1453">
        <f t="shared" si="10"/>
        <v>2.1078580611498179</v>
      </c>
      <c r="S24" s="1453">
        <f t="shared" si="11"/>
        <v>100.48898608894308</v>
      </c>
      <c r="T24" s="1453">
        <f t="shared" si="12"/>
        <v>69.984413948789538</v>
      </c>
      <c r="U24" s="1453">
        <f t="shared" si="13"/>
        <v>8.8933323414915684</v>
      </c>
      <c r="V24" s="1453">
        <f t="shared" si="14"/>
        <v>49.196178456480204</v>
      </c>
      <c r="W24" s="1168">
        <f t="shared" si="15"/>
        <v>38.311879945279287</v>
      </c>
      <c r="X24" s="1229">
        <f t="shared" si="16"/>
        <v>156.81153156255994</v>
      </c>
      <c r="Y24" s="954"/>
      <c r="Z24" s="954"/>
      <c r="AA24" s="954"/>
      <c r="AB24" s="954"/>
      <c r="AC24" s="954"/>
      <c r="AD24" s="954"/>
      <c r="AE24" s="954"/>
      <c r="AF24" s="954"/>
      <c r="AG24" s="954"/>
      <c r="AH24" s="954"/>
    </row>
    <row r="25" spans="1:34" ht="14.25" customHeight="1" x14ac:dyDescent="0.2">
      <c r="A25" s="954"/>
      <c r="B25" s="933" t="s">
        <v>43</v>
      </c>
      <c r="C25" s="1452"/>
      <c r="D25" s="1746"/>
      <c r="E25" s="1755"/>
      <c r="F25" s="1453"/>
      <c r="G25" s="1453"/>
      <c r="H25" s="1453"/>
      <c r="I25" s="1453"/>
      <c r="J25" s="1453"/>
      <c r="K25" s="1453"/>
      <c r="L25" s="1168"/>
      <c r="M25" s="1229"/>
      <c r="N25" s="1452"/>
      <c r="O25" s="1746"/>
      <c r="P25" s="1755"/>
      <c r="Q25" s="1453"/>
      <c r="R25" s="1453"/>
      <c r="S25" s="1453"/>
      <c r="T25" s="1453"/>
      <c r="U25" s="1453"/>
      <c r="V25" s="1453"/>
      <c r="W25" s="1168"/>
      <c r="X25" s="1229"/>
      <c r="Y25" s="954"/>
      <c r="Z25" s="954"/>
      <c r="AA25" s="954"/>
      <c r="AB25" s="954"/>
      <c r="AC25" s="954"/>
      <c r="AD25" s="954"/>
      <c r="AE25" s="954"/>
      <c r="AF25" s="954"/>
      <c r="AG25" s="954"/>
      <c r="AH25" s="954"/>
    </row>
    <row r="26" spans="1:34" ht="14.25" customHeight="1" x14ac:dyDescent="0.2">
      <c r="A26" s="954"/>
      <c r="B26" s="933" t="s">
        <v>44</v>
      </c>
      <c r="C26" s="1452">
        <f t="shared" si="5"/>
        <v>680.65831999156569</v>
      </c>
      <c r="D26" s="1746">
        <f t="shared" si="1"/>
        <v>277.80827531291379</v>
      </c>
      <c r="E26" s="1755">
        <f t="shared" si="2"/>
        <v>402.8500446786519</v>
      </c>
      <c r="F26" s="1453">
        <f>1000*TableA7!$P$91*(TableC2!F24+TableC2!Q24)/(TableC2!$D$91+TableC2!$O$91)</f>
        <v>21.243627527061367</v>
      </c>
      <c r="G26" s="1453">
        <f>1000*TableA7!$P$91*(TableC2!G24+TableC2!R24)/(TableC2!$D$91+TableC2!$O$91)</f>
        <v>5.5629446513001266</v>
      </c>
      <c r="H26" s="1453">
        <f>1000*TableA7!$P$91*(TableC2!H24+TableC2!S24)/(TableC2!$D$91+TableC2!$O$91)</f>
        <v>147.70398702776717</v>
      </c>
      <c r="I26" s="1453">
        <f>1000*TableA7!$P$91*(TableC2!I24+TableC2!T24)/(TableC2!$D$91+TableC2!$O$91)</f>
        <v>31.798064007740578</v>
      </c>
      <c r="J26" s="1453">
        <f>1000*TableA7!$P$91*(TableC2!J24+TableC2!U24)/(TableC2!$D$91+TableC2!$O$91)</f>
        <v>26.811934609023446</v>
      </c>
      <c r="K26" s="1453">
        <f>1000*TableA7!$P$91*(TableC2!K24+TableC2!V24)/(TableC2!$D$91+TableC2!$O$91)</f>
        <v>44.687717490021086</v>
      </c>
      <c r="L26" s="1168">
        <f>1000*TableA7!$P$91*(TableC2!M24+TableC2!X24)/(TableC2!$D$91+TableC2!$O$91)</f>
        <v>33.073801633332806</v>
      </c>
      <c r="M26" s="1229">
        <f>1000*TableA7!$P$91*(TableC2!N24+TableC2!Y24)/(TableC2!$D$91+TableC2!$O$91)</f>
        <v>369.77624304531906</v>
      </c>
      <c r="N26" s="1452">
        <f t="shared" ref="N26:N30" si="17">+P26+O26</f>
        <v>680.65831999156558</v>
      </c>
      <c r="O26" s="1746">
        <f t="shared" ref="O26:O30" si="18">+SUM(Q26:V26)</f>
        <v>237.10559067293514</v>
      </c>
      <c r="P26" s="1755">
        <f t="shared" ref="P26:P30" si="19">+SUM(W26:X26)</f>
        <v>443.5527293186305</v>
      </c>
      <c r="Q26" s="1453">
        <f>+SUMPRODUCT($F26:$M26,$AE$66:$AL$66)</f>
        <v>9.3140723209827918</v>
      </c>
      <c r="R26" s="1453">
        <f>+SUMPRODUCT($F26:$M26,$AE$67:$AL$67)</f>
        <v>7.1743744463957553</v>
      </c>
      <c r="S26" s="1453">
        <f>+SUMPRODUCT($F26:$M26,$AE$68:$AL$68)</f>
        <v>110.82597013475838</v>
      </c>
      <c r="T26" s="1453">
        <f>+SUMPRODUCT($F26:$M26,$AE$69:$AL$69)</f>
        <v>24.250872715575522</v>
      </c>
      <c r="U26" s="1453">
        <f>+SUMPRODUCT($F26:$M26,$AE$70:$AL$70)</f>
        <v>33.504522959964532</v>
      </c>
      <c r="V26" s="1453">
        <f>+SUMPRODUCT($F26:$M26,$AE$71:$AL$71)</f>
        <v>52.035778095258152</v>
      </c>
      <c r="W26" s="1168">
        <f>+SUMPRODUCT($F26:$M26,$AE$72:$AL$72)</f>
        <v>38.361003521720541</v>
      </c>
      <c r="X26" s="1229">
        <f>+SUMPRODUCT($F26:$M26,$AE$73:$AL$73)</f>
        <v>405.19172579690996</v>
      </c>
      <c r="Y26" s="954"/>
      <c r="Z26" s="954"/>
      <c r="AA26" s="954"/>
      <c r="AB26" s="954"/>
      <c r="AC26" s="954"/>
      <c r="AD26" s="954"/>
      <c r="AE26" s="954"/>
      <c r="AF26" s="954"/>
      <c r="AG26" s="954"/>
      <c r="AH26" s="954"/>
    </row>
    <row r="27" spans="1:34" ht="14.25" customHeight="1" x14ac:dyDescent="0.2">
      <c r="A27" s="954"/>
      <c r="B27" s="933" t="s">
        <v>45</v>
      </c>
      <c r="C27" s="1452">
        <f t="shared" si="5"/>
        <v>22702.482961511632</v>
      </c>
      <c r="D27" s="1746">
        <f t="shared" si="1"/>
        <v>19453.222640725442</v>
      </c>
      <c r="E27" s="1755">
        <f t="shared" si="2"/>
        <v>3249.2603207861885</v>
      </c>
      <c r="F27" s="1453">
        <f>1000*TableA7!$P$91*(TableC2!F25+TableC2!Q25)/(TableC2!$D$91+TableC2!$O$91)</f>
        <v>2138.4635697288891</v>
      </c>
      <c r="G27" s="1453">
        <f>1000*TableA7!$P$91*(TableC2!G25+TableC2!R25)/(TableC2!$D$91+TableC2!$O$91)</f>
        <v>14.963869596118068</v>
      </c>
      <c r="H27" s="1453">
        <f>1000*TableA7!$P$91*(TableC2!H25+TableC2!S25)/(TableC2!$D$91+TableC2!$O$91)</f>
        <v>5683.5093311897463</v>
      </c>
      <c r="I27" s="1453">
        <f>1000*TableA7!$P$91*(TableC2!I25+TableC2!T25)/(TableC2!$D$91+TableC2!$O$91)</f>
        <v>9176.7651206524024</v>
      </c>
      <c r="J27" s="1453">
        <f>1000*TableA7!$P$91*(TableC2!J25+TableC2!U25)/(TableC2!$D$91+TableC2!$O$91)</f>
        <v>77.291482706668518</v>
      </c>
      <c r="K27" s="1453">
        <f>1000*TableA7!$P$91*(TableC2!K25+TableC2!V25)/(TableC2!$D$91+TableC2!$O$91)</f>
        <v>2362.2292668516202</v>
      </c>
      <c r="L27" s="1168">
        <f>1000*TableA7!$P$91*(TableC2!M25+TableC2!X25)/(TableC2!$D$91+TableC2!$O$91)</f>
        <v>2248.8031473606939</v>
      </c>
      <c r="M27" s="1229">
        <f>1000*TableA7!$P$91*(TableC2!N25+TableC2!Y25)/(TableC2!$D$91+TableC2!$O$91)</f>
        <v>1000.4571734254946</v>
      </c>
      <c r="N27" s="1452">
        <f t="shared" si="17"/>
        <v>22702.482961511636</v>
      </c>
      <c r="O27" s="1746">
        <f t="shared" si="18"/>
        <v>14160.060539035479</v>
      </c>
      <c r="P27" s="1755">
        <f t="shared" si="19"/>
        <v>8542.4224224761565</v>
      </c>
      <c r="Q27" s="1453">
        <f>+SUMPRODUCT($F27:$M27,$AE$66:$AL$66)</f>
        <v>719.39163080149103</v>
      </c>
      <c r="R27" s="1453">
        <f>+SUMPRODUCT($F27:$M27,$AE$67:$AL$67)</f>
        <v>119.07582086217451</v>
      </c>
      <c r="S27" s="1453">
        <f>+SUMPRODUCT($F27:$M27,$AE$68:$AL$68)</f>
        <v>5825.0057024682737</v>
      </c>
      <c r="T27" s="1453">
        <f>+SUMPRODUCT($F27:$M27,$AE$69:$AL$69)</f>
        <v>3893.1824672894127</v>
      </c>
      <c r="U27" s="1453">
        <f>+SUMPRODUCT($F27:$M27,$AE$70:$AL$70)</f>
        <v>489.15677323062044</v>
      </c>
      <c r="V27" s="1453">
        <f>+SUMPRODUCT($F27:$M27,$AE$71:$AL$71)</f>
        <v>3114.2481443835054</v>
      </c>
      <c r="W27" s="1168">
        <f>+SUMPRODUCT($F27:$M27,$AE$72:$AL$72)</f>
        <v>2959.9951863696815</v>
      </c>
      <c r="X27" s="1229">
        <f>+SUMPRODUCT($F27:$M27,$AE$73:$AL$73)</f>
        <v>5582.4272361064759</v>
      </c>
      <c r="Y27" s="954"/>
      <c r="Z27" s="954"/>
      <c r="AA27" s="954"/>
      <c r="AB27" s="954"/>
      <c r="AC27" s="954"/>
      <c r="AD27" s="954"/>
      <c r="AE27" s="954"/>
      <c r="AF27" s="954"/>
      <c r="AG27" s="954"/>
      <c r="AH27" s="954"/>
    </row>
    <row r="28" spans="1:34" ht="14.25" customHeight="1" x14ac:dyDescent="0.2">
      <c r="A28" s="954"/>
      <c r="B28" s="933" t="s">
        <v>46</v>
      </c>
      <c r="C28" s="1452">
        <f t="shared" si="5"/>
        <v>8554.3737634504905</v>
      </c>
      <c r="D28" s="1746">
        <f t="shared" si="1"/>
        <v>4543.9112374116648</v>
      </c>
      <c r="E28" s="1755">
        <f t="shared" si="2"/>
        <v>4010.4625260388257</v>
      </c>
      <c r="F28" s="1453">
        <f>1000*TableA7!$P$91*(TableC2!F26+TableC2!Q26)/(TableC2!$D$91+TableC2!$O$91)</f>
        <v>332.45713249138208</v>
      </c>
      <c r="G28" s="1453">
        <f>1000*TableA7!$P$91*(TableC2!G26+TableC2!R26)/(TableC2!$D$91+TableC2!$O$91)</f>
        <v>71.720310547451106</v>
      </c>
      <c r="H28" s="1453">
        <f>1000*TableA7!$P$91*(TableC2!H26+TableC2!S26)/(TableC2!$D$91+TableC2!$O$91)</f>
        <v>2179.4377233081541</v>
      </c>
      <c r="I28" s="1453">
        <f>1000*TableA7!$P$91*(TableC2!I26+TableC2!T26)/(TableC2!$D$91+TableC2!$O$91)</f>
        <v>861.78348495408432</v>
      </c>
      <c r="J28" s="1453">
        <f>1000*TableA7!$P$91*(TableC2!J26+TableC2!U26)/(TableC2!$D$91+TableC2!$O$91)</f>
        <v>2.3564108669904944</v>
      </c>
      <c r="K28" s="1453">
        <f>1000*TableA7!$P$91*(TableC2!K26+TableC2!V26)/(TableC2!$D$91+TableC2!$O$91)</f>
        <v>1096.1561752436023</v>
      </c>
      <c r="L28" s="1168">
        <f>1000*TableA7!$P$91*(TableC2!M26+TableC2!X26)/(TableC2!$D$91+TableC2!$O$91)</f>
        <v>329.2571114145689</v>
      </c>
      <c r="M28" s="1229">
        <f>1000*TableA7!$P$91*(TableC2!N26+TableC2!Y26)/(TableC2!$D$91+TableC2!$O$91)</f>
        <v>3681.2054146242567</v>
      </c>
      <c r="N28" s="1452">
        <f t="shared" si="17"/>
        <v>8554.3737634504905</v>
      </c>
      <c r="O28" s="1746">
        <f t="shared" si="18"/>
        <v>3296.5052780810074</v>
      </c>
      <c r="P28" s="1755">
        <f t="shared" si="19"/>
        <v>5257.8684853694831</v>
      </c>
      <c r="Q28" s="1453">
        <f>+SUMPRODUCT($F28:$M28,$AE$66:$AL$66)</f>
        <v>180.90521578483927</v>
      </c>
      <c r="R28" s="1453">
        <f>+SUMPRODUCT($F28:$M28,$AE$67:$AL$67)</f>
        <v>93.449750030167152</v>
      </c>
      <c r="S28" s="1453">
        <f>+SUMPRODUCT($F28:$M28,$AE$68:$AL$68)</f>
        <v>1604.3670763972618</v>
      </c>
      <c r="T28" s="1453">
        <f>+SUMPRODUCT($F28:$M28,$AE$69:$AL$69)</f>
        <v>482.60678608909933</v>
      </c>
      <c r="U28" s="1453">
        <f>+SUMPRODUCT($F28:$M28,$AE$70:$AL$70)</f>
        <v>91.183310772262629</v>
      </c>
      <c r="V28" s="1453">
        <f>+SUMPRODUCT($F28:$M28,$AE$71:$AL$71)</f>
        <v>843.99313900737684</v>
      </c>
      <c r="W28" s="1168">
        <f>+SUMPRODUCT($F28:$M28,$AE$72:$AL$72)</f>
        <v>628.57529762669265</v>
      </c>
      <c r="X28" s="1229">
        <f>+SUMPRODUCT($F28:$M28,$AE$73:$AL$73)</f>
        <v>4629.2931877427909</v>
      </c>
      <c r="Y28" s="954"/>
      <c r="Z28" s="954"/>
      <c r="AA28" s="954"/>
      <c r="AB28" s="954"/>
      <c r="AC28" s="954"/>
      <c r="AD28" s="954"/>
      <c r="AE28" s="954"/>
      <c r="AF28" s="954"/>
      <c r="AG28" s="954"/>
      <c r="AH28" s="954"/>
    </row>
    <row r="29" spans="1:34" ht="14.25" customHeight="1" x14ac:dyDescent="0.2">
      <c r="A29" s="954" t="s">
        <v>308</v>
      </c>
      <c r="B29" s="933" t="s">
        <v>47</v>
      </c>
      <c r="C29" s="1452">
        <f t="shared" si="5"/>
        <v>4834.6318555725975</v>
      </c>
      <c r="D29" s="1746">
        <f t="shared" si="1"/>
        <v>1157.3392641214625</v>
      </c>
      <c r="E29" s="1755">
        <f t="shared" si="2"/>
        <v>3677.2925914511352</v>
      </c>
      <c r="F29" s="1453">
        <f>1000*TableA7!$P$91*(TableC2!F27+TableC2!Q27)/(TableC2!$D$91+TableC2!$O$91)</f>
        <v>129.49015251601665</v>
      </c>
      <c r="G29" s="1453">
        <f>1000*TableA7!$P$91*(TableC2!G27+TableC2!R27)/(TableC2!$D$91+TableC2!$O$91)</f>
        <v>28.570135458972882</v>
      </c>
      <c r="H29" s="1453">
        <f>1000*TableA7!$P$91*(TableC2!H27+TableC2!S27)/(TableC2!$D$91+TableC2!$O$91)</f>
        <v>273.04610885742335</v>
      </c>
      <c r="I29" s="1453">
        <f>1000*TableA7!$P$91*(TableC2!I27+TableC2!T27)/(TableC2!$D$91+TableC2!$O$91)</f>
        <v>252.56352758364949</v>
      </c>
      <c r="J29" s="1453">
        <f>1000*TableA7!$P$91*(TableC2!J27+TableC2!U27)/(TableC2!$D$91+TableC2!$O$91)</f>
        <v>-0.2163862266811421</v>
      </c>
      <c r="K29" s="1453">
        <f>1000*TableA7!$P$91*(TableC2!K27+TableC2!V27)/(TableC2!$D$91+TableC2!$O$91)</f>
        <v>473.88572593208124</v>
      </c>
      <c r="L29" s="1168">
        <f>1000*TableA7!$P$91*(TableC2!M27+TableC2!X27)/(TableC2!$D$91+TableC2!$O$91)</f>
        <v>301.90401446869765</v>
      </c>
      <c r="M29" s="1229">
        <f>1000*TableA7!$P$91*(TableC2!N27+TableC2!Y27)/(TableC2!$D$91+TableC2!$O$91)</f>
        <v>3375.3885769824374</v>
      </c>
      <c r="N29" s="1452">
        <f t="shared" si="17"/>
        <v>4834.6318555725984</v>
      </c>
      <c r="O29" s="1746">
        <f t="shared" si="18"/>
        <v>1239.8532290717219</v>
      </c>
      <c r="P29" s="1755">
        <f t="shared" si="19"/>
        <v>3594.7786265008763</v>
      </c>
      <c r="Q29" s="1453">
        <f>+SUMPRODUCT($F29:$M29,$AE$66:$AL$66)</f>
        <v>65.845180889684642</v>
      </c>
      <c r="R29" s="1453">
        <f>+SUMPRODUCT($F29:$M29,$AE$67:$AL$67)</f>
        <v>42.236086194780441</v>
      </c>
      <c r="S29" s="1453">
        <f>+SUMPRODUCT($F29:$M29,$AE$68:$AL$68)</f>
        <v>604.88952665880845</v>
      </c>
      <c r="T29" s="1453">
        <f>+SUMPRODUCT($F29:$M29,$AE$69:$AL$69)</f>
        <v>174.51494108242224</v>
      </c>
      <c r="U29" s="1453">
        <f>+SUMPRODUCT($F29:$M29,$AE$70:$AL$70)</f>
        <v>56.508367411394211</v>
      </c>
      <c r="V29" s="1453">
        <f>+SUMPRODUCT($F29:$M29,$AE$71:$AL$71)</f>
        <v>295.85912683463181</v>
      </c>
      <c r="W29" s="1168">
        <f>+SUMPRODUCT($F29:$M29,$AE$72:$AL$72)</f>
        <v>314.32633801418683</v>
      </c>
      <c r="X29" s="1229">
        <f>+SUMPRODUCT($F29:$M29,$AE$73:$AL$73)</f>
        <v>3280.4522884866892</v>
      </c>
      <c r="Y29" s="954"/>
      <c r="Z29" s="954"/>
      <c r="AA29" s="954"/>
      <c r="AB29" s="954"/>
      <c r="AC29" s="954"/>
      <c r="AD29" s="954"/>
      <c r="AE29" s="954"/>
      <c r="AF29" s="954"/>
      <c r="AG29" s="954"/>
      <c r="AH29" s="954"/>
    </row>
    <row r="30" spans="1:34" ht="14.25" customHeight="1" x14ac:dyDescent="0.2">
      <c r="A30" s="954"/>
      <c r="B30" s="955" t="s">
        <v>48</v>
      </c>
      <c r="C30" s="1452">
        <f t="shared" si="5"/>
        <v>200.97896727392822</v>
      </c>
      <c r="D30" s="1746">
        <f t="shared" si="1"/>
        <v>140.7084460792432</v>
      </c>
      <c r="E30" s="1755">
        <f t="shared" si="2"/>
        <v>60.27052119468501</v>
      </c>
      <c r="F30" s="1453">
        <f>1000*TableA7!$P$91*(TableC2!F28+TableC2!Q28)/(TableC2!$D$91+TableC2!$O$91)</f>
        <v>10.250657042879938</v>
      </c>
      <c r="G30" s="1453">
        <f>1000*TableA7!$P$91*(TableC2!G28+TableC2!R28)/(TableC2!$D$91+TableC2!$O$91)</f>
        <v>0.8371040859791713</v>
      </c>
      <c r="H30" s="1453">
        <f>1000*TableA7!$P$91*(TableC2!H28+TableC2!S28)/(TableC2!$D$91+TableC2!$O$91)</f>
        <v>46.363397896066367</v>
      </c>
      <c r="I30" s="1453">
        <f>1000*TableA7!$P$91*(TableC2!I28+TableC2!T28)/(TableC2!$D$91+TableC2!$O$91)</f>
        <v>65.804969798474758</v>
      </c>
      <c r="J30" s="1453">
        <f>1000*TableA7!$P$91*(TableC2!J28+TableC2!U28)/(TableC2!$D$91+TableC2!$O$91)</f>
        <v>1.9751028548097485</v>
      </c>
      <c r="K30" s="1453">
        <f>1000*TableA7!$P$91*(TableC2!K28+TableC2!V28)/(TableC2!$D$91+TableC2!$O$91)</f>
        <v>15.477214401033224</v>
      </c>
      <c r="L30" s="1168">
        <f>1000*TableA7!$P$91*(TableC2!M28+TableC2!X28)/(TableC2!$D$91+TableC2!$O$91)</f>
        <v>14.832562960491986</v>
      </c>
      <c r="M30" s="1229">
        <f>1000*TableA7!$P$91*(TableC2!N28+TableC2!Y28)/(TableC2!$D$91+TableC2!$O$91)</f>
        <v>45.437958234193026</v>
      </c>
      <c r="N30" s="1452">
        <f t="shared" si="17"/>
        <v>200.97896727392822</v>
      </c>
      <c r="O30" s="1746">
        <f t="shared" si="18"/>
        <v>105.87524044109723</v>
      </c>
      <c r="P30" s="1755">
        <f t="shared" si="19"/>
        <v>95.103726832830986</v>
      </c>
      <c r="Q30" s="1453">
        <f>+SUMPRODUCT($F30:$M30,$AE$66:$AL$66)</f>
        <v>5.0414645191732186</v>
      </c>
      <c r="R30" s="1453">
        <f>+SUMPRODUCT($F30:$M30,$AE$67:$AL$67)</f>
        <v>1.6281666065551115</v>
      </c>
      <c r="S30" s="1453">
        <f>+SUMPRODUCT($F30:$M30,$AE$68:$AL$68)</f>
        <v>44.686106504147368</v>
      </c>
      <c r="T30" s="1453">
        <f>+SUMPRODUCT($F30:$M30,$AE$69:$AL$69)</f>
        <v>26.798857005209104</v>
      </c>
      <c r="U30" s="1453">
        <f>+SUMPRODUCT($F30:$M30,$AE$70:$AL$70)</f>
        <v>5.1202707637834717</v>
      </c>
      <c r="V30" s="1453">
        <f>+SUMPRODUCT($F30:$M30,$AE$71:$AL$71)</f>
        <v>22.600375042228961</v>
      </c>
      <c r="W30" s="1168">
        <f>+SUMPRODUCT($F30:$M30,$AE$72:$AL$72)</f>
        <v>19.803955619788429</v>
      </c>
      <c r="X30" s="1229">
        <f>+SUMPRODUCT($F30:$M30,$AE$73:$AL$73)</f>
        <v>75.299771213042561</v>
      </c>
      <c r="Y30" s="954"/>
      <c r="Z30" s="954"/>
      <c r="AA30" s="954"/>
      <c r="AB30" s="954"/>
      <c r="AC30" s="954"/>
      <c r="AD30" s="954"/>
      <c r="AE30" s="954"/>
      <c r="AF30" s="954"/>
      <c r="AG30" s="954"/>
      <c r="AH30" s="954"/>
    </row>
    <row r="31" spans="1:34" ht="14.25" customHeight="1" x14ac:dyDescent="0.2">
      <c r="A31" s="954"/>
      <c r="B31" s="955" t="s">
        <v>49</v>
      </c>
      <c r="C31" s="1452"/>
      <c r="D31" s="1746"/>
      <c r="E31" s="1755"/>
      <c r="F31" s="1453"/>
      <c r="G31" s="1453"/>
      <c r="H31" s="1453"/>
      <c r="I31" s="1453"/>
      <c r="J31" s="1453"/>
      <c r="K31" s="1453"/>
      <c r="L31" s="1168"/>
      <c r="M31" s="1229"/>
      <c r="N31" s="1452"/>
      <c r="O31" s="1746"/>
      <c r="P31" s="1755"/>
      <c r="Q31" s="1453"/>
      <c r="R31" s="1453"/>
      <c r="S31" s="1453"/>
      <c r="T31" s="1453"/>
      <c r="U31" s="1453"/>
      <c r="V31" s="1453"/>
      <c r="W31" s="1168"/>
      <c r="X31" s="1229"/>
      <c r="Y31" s="954"/>
      <c r="Z31" s="954"/>
      <c r="AA31" s="954"/>
      <c r="AB31" s="954"/>
      <c r="AC31" s="954"/>
      <c r="AD31" s="954"/>
      <c r="AE31" s="954"/>
      <c r="AF31" s="954"/>
      <c r="AG31" s="954"/>
      <c r="AH31" s="954"/>
    </row>
    <row r="32" spans="1:34" ht="14.25" customHeight="1" x14ac:dyDescent="0.2">
      <c r="A32" s="954"/>
      <c r="B32" s="955" t="s">
        <v>50</v>
      </c>
      <c r="C32" s="1452">
        <f t="shared" si="5"/>
        <v>13095.889552074288</v>
      </c>
      <c r="D32" s="1746">
        <f t="shared" si="1"/>
        <v>4037.4535191870855</v>
      </c>
      <c r="E32" s="1755">
        <f t="shared" si="2"/>
        <v>9058.4360328872026</v>
      </c>
      <c r="F32" s="1453">
        <f>1000*TableA7!$P$91*(TableC2!F30+TableC2!Q30)/(TableC2!$D$91+TableC2!$O$91)</f>
        <v>430.28860415050877</v>
      </c>
      <c r="G32" s="1453">
        <f>1000*TableA7!$P$91*(TableC2!G30+TableC2!R30)/(TableC2!$D$91+TableC2!$O$91)</f>
        <v>0</v>
      </c>
      <c r="H32" s="1453">
        <f>1000*TableA7!$P$91*(TableC2!H30+TableC2!S30)/(TableC2!$D$91+TableC2!$O$91)</f>
        <v>387.15098932633583</v>
      </c>
      <c r="I32" s="1453">
        <f>1000*TableA7!$P$91*(TableC2!I30+TableC2!T30)/(TableC2!$D$91+TableC2!$O$91)</f>
        <v>743.69280995968415</v>
      </c>
      <c r="J32" s="1453">
        <f>1000*TableA7!$P$91*(TableC2!J30+TableC2!U30)/(TableC2!$D$91+TableC2!$O$91)</f>
        <v>9.5213298990907109</v>
      </c>
      <c r="K32" s="1453">
        <f>1000*TableA7!$P$91*(TableC2!K30+TableC2!V30)/(TableC2!$D$91+TableC2!$O$91)</f>
        <v>2466.7997858514659</v>
      </c>
      <c r="L32" s="1168">
        <f>1000*TableA7!$P$91*(TableC2!M30+TableC2!X30)/(TableC2!$D$91+TableC2!$O$91)</f>
        <v>743.69339265912208</v>
      </c>
      <c r="M32" s="1229">
        <f>1000*TableA7!$P$91*(TableC2!N30+TableC2!Y30)/(TableC2!$D$91+TableC2!$O$91)</f>
        <v>8314.7426402280798</v>
      </c>
      <c r="N32" s="1452">
        <f t="shared" ref="N32" si="20">+P32+O32</f>
        <v>13095.889552074288</v>
      </c>
      <c r="O32" s="1746">
        <f t="shared" ref="O32" si="21">+SUM(Q32:V32)</f>
        <v>3575.7359649430232</v>
      </c>
      <c r="P32" s="1755">
        <f t="shared" ref="P32" si="22">+SUM(W32:X32)</f>
        <v>9520.1535871312644</v>
      </c>
      <c r="Q32" s="1453">
        <f>+SUMPRODUCT($F32:$M32,$AE$66:$AL$66)</f>
        <v>269.70008081077384</v>
      </c>
      <c r="R32" s="1453">
        <f>+SUMPRODUCT($F32:$M32,$AE$67:$AL$67)</f>
        <v>36.080528924868794</v>
      </c>
      <c r="S32" s="1453">
        <f>+SUMPRODUCT($F32:$M32,$AE$68:$AL$68)</f>
        <v>1598.0318976052001</v>
      </c>
      <c r="T32" s="1453">
        <f>+SUMPRODUCT($F32:$M32,$AE$69:$AL$69)</f>
        <v>538.11383315136231</v>
      </c>
      <c r="U32" s="1453">
        <f>+SUMPRODUCT($F32:$M32,$AE$70:$AL$70)</f>
        <v>158.48713400710335</v>
      </c>
      <c r="V32" s="1453">
        <f>+SUMPRODUCT($F32:$M32,$AE$71:$AL$71)</f>
        <v>975.3224904437152</v>
      </c>
      <c r="W32" s="1168">
        <f>+SUMPRODUCT($F32:$M32,$AE$72:$AL$72)</f>
        <v>1103.9780307301712</v>
      </c>
      <c r="X32" s="1229">
        <f>+SUMPRODUCT($F32:$M32,$AE$73:$AL$73)</f>
        <v>8416.1755564010928</v>
      </c>
      <c r="Y32" s="954"/>
      <c r="Z32" s="954"/>
      <c r="AA32" s="954"/>
      <c r="AB32" s="954"/>
      <c r="AC32" s="954"/>
      <c r="AD32" s="954"/>
      <c r="AE32" s="954"/>
      <c r="AF32" s="954"/>
      <c r="AG32" s="954"/>
      <c r="AH32" s="954"/>
    </row>
    <row r="33" spans="1:36" ht="14.25" customHeight="1" x14ac:dyDescent="0.2">
      <c r="A33" s="954"/>
      <c r="B33" s="955" t="s">
        <v>51</v>
      </c>
      <c r="C33" s="1452"/>
      <c r="D33" s="1746"/>
      <c r="E33" s="1755"/>
      <c r="F33" s="1453"/>
      <c r="G33" s="1453"/>
      <c r="H33" s="1453"/>
      <c r="I33" s="1453"/>
      <c r="J33" s="1453"/>
      <c r="K33" s="1453"/>
      <c r="L33" s="1168"/>
      <c r="M33" s="1229"/>
      <c r="N33" s="1452"/>
      <c r="O33" s="1746"/>
      <c r="P33" s="1755"/>
      <c r="Q33" s="1453"/>
      <c r="R33" s="1453"/>
      <c r="S33" s="1453"/>
      <c r="T33" s="1453"/>
      <c r="U33" s="1453"/>
      <c r="V33" s="1453"/>
      <c r="W33" s="1168"/>
      <c r="X33" s="1229"/>
      <c r="Y33" s="954"/>
      <c r="Z33" s="954"/>
      <c r="AA33" s="954"/>
      <c r="AB33" s="954"/>
      <c r="AC33" s="954"/>
      <c r="AD33" s="954"/>
      <c r="AE33" s="954"/>
      <c r="AF33" s="954"/>
      <c r="AG33" s="954"/>
      <c r="AH33" s="954"/>
      <c r="AI33" s="954"/>
      <c r="AJ33" s="954"/>
    </row>
    <row r="34" spans="1:36" ht="14.25" customHeight="1" x14ac:dyDescent="0.2">
      <c r="A34" s="954"/>
      <c r="B34" s="955" t="s">
        <v>52</v>
      </c>
      <c r="C34" s="1452">
        <f t="shared" si="5"/>
        <v>1523.4433952929835</v>
      </c>
      <c r="D34" s="1746">
        <f t="shared" si="1"/>
        <v>500.75239256662854</v>
      </c>
      <c r="E34" s="1755">
        <f t="shared" si="2"/>
        <v>1022.691002726355</v>
      </c>
      <c r="F34" s="1453">
        <f>1000*TableA7!$P$91*(TableC2!F32+TableC2!Q32)/(TableC2!$D$91+TableC2!$O$91)</f>
        <v>43.161749201035775</v>
      </c>
      <c r="G34" s="1453">
        <f>1000*TableA7!$P$91*(TableC2!G32+TableC2!R32)/(TableC2!$D$91+TableC2!$O$91)</f>
        <v>0</v>
      </c>
      <c r="H34" s="1453">
        <f>1000*TableA7!$P$91*(TableC2!H32+TableC2!S32)/(TableC2!$D$91+TableC2!$O$91)</f>
        <v>214.81629912857156</v>
      </c>
      <c r="I34" s="1453">
        <f>1000*TableA7!$P$91*(TableC2!I32+TableC2!T32)/(TableC2!$D$91+TableC2!$O$91)</f>
        <v>115.22273286060243</v>
      </c>
      <c r="J34" s="1453">
        <f>1000*TableA7!$P$91*(TableC2!J32+TableC2!U32)/(TableC2!$D$91+TableC2!$O$91)</f>
        <v>8.4832806762380564</v>
      </c>
      <c r="K34" s="1453">
        <f>1000*TableA7!$P$91*(TableC2!K32+TableC2!V32)/(TableC2!$D$91+TableC2!$O$91)</f>
        <v>119.06833070018077</v>
      </c>
      <c r="L34" s="1168">
        <f>1000*TableA7!$P$91*(TableC2!M32+TableC2!X32)/(TableC2!$D$91+TableC2!$O$91)</f>
        <v>83.962456509957349</v>
      </c>
      <c r="M34" s="1229">
        <f>1000*TableA7!$P$91*(TableC2!N32+TableC2!Y32)/(TableC2!$D$91+TableC2!$O$91)</f>
        <v>938.7285462163976</v>
      </c>
      <c r="N34" s="1452">
        <f t="shared" ref="N34:N41" si="23">+P34+O34</f>
        <v>1523.4433952929835</v>
      </c>
      <c r="O34" s="1746">
        <f t="shared" ref="O34:O41" si="24">+SUM(Q34:V34)</f>
        <v>457.29853238452961</v>
      </c>
      <c r="P34" s="1755">
        <f t="shared" ref="P34:P41" si="25">+SUM(W34:X34)</f>
        <v>1066.1448629084539</v>
      </c>
      <c r="Q34" s="1453">
        <f t="shared" ref="Q34:Q41" si="26">+SUMPRODUCT($F34:$M34,$AE$66:$AL$66)</f>
        <v>21.709868163100285</v>
      </c>
      <c r="R34" s="1453">
        <f t="shared" ref="R34:R41" si="27">+SUMPRODUCT($F34:$M34,$AE$67:$AL$67)</f>
        <v>4.228496021184367</v>
      </c>
      <c r="S34" s="1453">
        <f t="shared" ref="S34:S41" si="28">+SUMPRODUCT($F34:$M34,$AE$68:$AL$68)</f>
        <v>229.85656066955045</v>
      </c>
      <c r="T34" s="1453">
        <f t="shared" ref="T34:T41" si="29">+SUMPRODUCT($F34:$M34,$AE$69:$AL$69)</f>
        <v>66.964617171974098</v>
      </c>
      <c r="U34" s="1453">
        <f t="shared" ref="U34:U41" si="30">+SUMPRODUCT($F34:$M34,$AE$70:$AL$70)</f>
        <v>25.950941733123209</v>
      </c>
      <c r="V34" s="1453">
        <f t="shared" ref="V34:V41" si="31">+SUMPRODUCT($F34:$M34,$AE$71:$AL$71)</f>
        <v>108.5880486255972</v>
      </c>
      <c r="W34" s="1168">
        <f t="shared" ref="W34:W41" si="32">+SUMPRODUCT($F34:$M34,$AE$72:$AL$72)</f>
        <v>94.281804903230011</v>
      </c>
      <c r="X34" s="1229">
        <f t="shared" ref="X34:X41" si="33">+SUMPRODUCT($F34:$M34,$AE$73:$AL$73)</f>
        <v>971.86305800522382</v>
      </c>
      <c r="Y34" s="954"/>
      <c r="Z34" s="954"/>
      <c r="AA34" s="954"/>
      <c r="AB34" s="954"/>
      <c r="AC34" s="954"/>
      <c r="AD34" s="954"/>
      <c r="AE34" s="954"/>
      <c r="AF34" s="954"/>
      <c r="AG34" s="954"/>
      <c r="AH34" s="954"/>
      <c r="AI34" s="954"/>
      <c r="AJ34" s="954"/>
    </row>
    <row r="35" spans="1:36" ht="14.25" customHeight="1" x14ac:dyDescent="0.2">
      <c r="A35" s="954"/>
      <c r="B35" s="955" t="s">
        <v>53</v>
      </c>
      <c r="C35" s="1452">
        <f t="shared" si="5"/>
        <v>5215.6647064681247</v>
      </c>
      <c r="D35" s="1746">
        <f t="shared" si="1"/>
        <v>2943.7110483106344</v>
      </c>
      <c r="E35" s="1755">
        <f t="shared" si="2"/>
        <v>2271.9536581574903</v>
      </c>
      <c r="F35" s="1453">
        <f>1000*TableA7!$P$91*(TableC2!F33+TableC2!Q33)/(TableC2!$D$91+TableC2!$O$91)</f>
        <v>274.36645656815818</v>
      </c>
      <c r="G35" s="1453">
        <f>1000*TableA7!$P$91*(TableC2!G33+TableC2!R33)/(TableC2!$D$91+TableC2!$O$91)</f>
        <v>1.6855537143936803</v>
      </c>
      <c r="H35" s="1453">
        <f>1000*TableA7!$P$91*(TableC2!H33+TableC2!S33)/(TableC2!$D$91+TableC2!$O$91)</f>
        <v>1142.4759227196676</v>
      </c>
      <c r="I35" s="1453">
        <f>1000*TableA7!$P$91*(TableC2!I33+TableC2!T33)/(TableC2!$D$91+TableC2!$O$91)</f>
        <v>715.45484209571293</v>
      </c>
      <c r="J35" s="1453">
        <f>1000*TableA7!$P$91*(TableC2!J33+TableC2!U33)/(TableC2!$D$91+TableC2!$O$91)</f>
        <v>33.889576719519631</v>
      </c>
      <c r="K35" s="1453">
        <f>1000*TableA7!$P$91*(TableC2!K33+TableC2!V33)/(TableC2!$D$91+TableC2!$O$91)</f>
        <v>775.83869649318217</v>
      </c>
      <c r="L35" s="1168">
        <f>1000*TableA7!$P$91*(TableC2!M33+TableC2!X33)/(TableC2!$D$91+TableC2!$O$91)</f>
        <v>186.52634051453447</v>
      </c>
      <c r="M35" s="1229">
        <f>1000*TableA7!$P$91*(TableC2!N33+TableC2!Y33)/(TableC2!$D$91+TableC2!$O$91)</f>
        <v>2085.4273176429556</v>
      </c>
      <c r="N35" s="1452">
        <f t="shared" si="23"/>
        <v>5215.6647064681238</v>
      </c>
      <c r="O35" s="1746">
        <f t="shared" si="24"/>
        <v>2117.3455493176098</v>
      </c>
      <c r="P35" s="1755">
        <f t="shared" si="25"/>
        <v>3098.3191571505145</v>
      </c>
      <c r="Q35" s="1453">
        <f t="shared" si="26"/>
        <v>121.85092209107856</v>
      </c>
      <c r="R35" s="1453">
        <f t="shared" si="27"/>
        <v>16.736424939050959</v>
      </c>
      <c r="S35" s="1453">
        <f t="shared" si="28"/>
        <v>985.07750447251397</v>
      </c>
      <c r="T35" s="1453">
        <f t="shared" si="29"/>
        <v>367.16203970737598</v>
      </c>
      <c r="U35" s="1453">
        <f t="shared" si="30"/>
        <v>95.043926554422768</v>
      </c>
      <c r="V35" s="1453">
        <f t="shared" si="31"/>
        <v>531.47473155316743</v>
      </c>
      <c r="W35" s="1168">
        <f t="shared" si="32"/>
        <v>420.26171585517989</v>
      </c>
      <c r="X35" s="1229">
        <f t="shared" si="33"/>
        <v>2678.0574412953347</v>
      </c>
      <c r="Y35" s="954"/>
      <c r="Z35" s="954"/>
      <c r="AA35" s="1061"/>
      <c r="AB35" s="1061"/>
      <c r="AC35" s="1061"/>
      <c r="AD35" s="1061"/>
      <c r="AE35" s="1061"/>
      <c r="AF35" s="1061"/>
      <c r="AG35" s="1061"/>
      <c r="AH35" s="1061"/>
      <c r="AI35" s="954"/>
      <c r="AJ35" s="954"/>
    </row>
    <row r="36" spans="1:36" ht="14.25" customHeight="1" x14ac:dyDescent="0.2">
      <c r="A36" s="954"/>
      <c r="B36" s="955" t="s">
        <v>54</v>
      </c>
      <c r="C36" s="1452">
        <f t="shared" si="5"/>
        <v>3695.866394203661</v>
      </c>
      <c r="D36" s="1746">
        <f t="shared" si="1"/>
        <v>2560.6127822567596</v>
      </c>
      <c r="E36" s="1755">
        <f t="shared" si="2"/>
        <v>1135.2536119469016</v>
      </c>
      <c r="F36" s="1453">
        <f>1000*TableA7!$P$91*(TableC2!F34+TableC2!Q34)/(TableC2!$D$91+TableC2!$O$91)</f>
        <v>492.85065707137016</v>
      </c>
      <c r="G36" s="1453">
        <f>1000*TableA7!$P$91*(TableC2!G34+TableC2!R34)/(TableC2!$D$91+TableC2!$O$91)</f>
        <v>12.758683785637997</v>
      </c>
      <c r="H36" s="1453">
        <f>1000*TableA7!$P$91*(TableC2!H34+TableC2!S34)/(TableC2!$D$91+TableC2!$O$91)</f>
        <v>828.18108863991836</v>
      </c>
      <c r="I36" s="1453">
        <f>1000*TableA7!$P$91*(TableC2!I34+TableC2!T34)/(TableC2!$D$91+TableC2!$O$91)</f>
        <v>575.59399021059494</v>
      </c>
      <c r="J36" s="1453">
        <f>1000*TableA7!$P$91*(TableC2!J34+TableC2!U34)/(TableC2!$D$91+TableC2!$O$91)</f>
        <v>16.287146686298474</v>
      </c>
      <c r="K36" s="1453">
        <f>1000*TableA7!$P$91*(TableC2!K34+TableC2!V34)/(TableC2!$D$91+TableC2!$O$91)</f>
        <v>634.94121586293977</v>
      </c>
      <c r="L36" s="1168">
        <f>1000*TableA7!$P$91*(TableC2!M34+TableC2!X34)/(TableC2!$D$91+TableC2!$O$91)</f>
        <v>1033.4183448501033</v>
      </c>
      <c r="M36" s="1229">
        <f>1000*TableA7!$P$91*(TableC2!N34+TableC2!Y34)/(TableC2!$D$91+TableC2!$O$91)</f>
        <v>101.8352670967983</v>
      </c>
      <c r="N36" s="1452">
        <f t="shared" si="23"/>
        <v>3695.866394203661</v>
      </c>
      <c r="O36" s="1746">
        <f t="shared" si="24"/>
        <v>2138.8653678263263</v>
      </c>
      <c r="P36" s="1755">
        <f t="shared" si="25"/>
        <v>1557.0010263773349</v>
      </c>
      <c r="Q36" s="1453">
        <f t="shared" si="26"/>
        <v>132.38531709391054</v>
      </c>
      <c r="R36" s="1453">
        <f t="shared" si="27"/>
        <v>26.031434512711538</v>
      </c>
      <c r="S36" s="1453">
        <f t="shared" si="28"/>
        <v>859.43268190396839</v>
      </c>
      <c r="T36" s="1453">
        <f t="shared" si="29"/>
        <v>471.55882537588843</v>
      </c>
      <c r="U36" s="1453">
        <f t="shared" si="30"/>
        <v>70.017081050408834</v>
      </c>
      <c r="V36" s="1453">
        <f t="shared" si="31"/>
        <v>579.44002788943862</v>
      </c>
      <c r="W36" s="1168">
        <f t="shared" si="32"/>
        <v>813.20629885671042</v>
      </c>
      <c r="X36" s="1229">
        <f t="shared" si="33"/>
        <v>743.79472752062452</v>
      </c>
      <c r="Y36" s="954"/>
      <c r="Z36" s="954"/>
      <c r="AA36" s="954"/>
      <c r="AB36" s="954"/>
      <c r="AC36" s="954"/>
      <c r="AD36" s="954"/>
      <c r="AE36" s="954"/>
      <c r="AF36" s="954"/>
      <c r="AG36" s="954"/>
      <c r="AH36" s="954"/>
      <c r="AI36" s="954"/>
      <c r="AJ36" s="954"/>
    </row>
    <row r="37" spans="1:36" ht="14.25" customHeight="1" x14ac:dyDescent="0.2">
      <c r="A37" s="954"/>
      <c r="B37" s="955" t="s">
        <v>55</v>
      </c>
      <c r="C37" s="1452">
        <f t="shared" si="5"/>
        <v>2638.1822918681351</v>
      </c>
      <c r="D37" s="1746">
        <f t="shared" si="1"/>
        <v>2356.8932486324629</v>
      </c>
      <c r="E37" s="1755">
        <f t="shared" si="2"/>
        <v>281.28904323567201</v>
      </c>
      <c r="F37" s="1453">
        <f>1000*TableA7!$P$91*(TableC2!F35+TableC2!Q35)/(TableC2!$D$91+TableC2!$O$91)</f>
        <v>372.51566773606618</v>
      </c>
      <c r="G37" s="1453">
        <f>1000*TableA7!$P$91*(TableC2!G35+TableC2!R35)/(TableC2!$D$91+TableC2!$O$91)</f>
        <v>1.0463801074739643</v>
      </c>
      <c r="H37" s="1453">
        <f>1000*TableA7!$P$91*(TableC2!H35+TableC2!S35)/(TableC2!$D$91+TableC2!$O$91)</f>
        <v>532.88055199577332</v>
      </c>
      <c r="I37" s="1453">
        <f>1000*TableA7!$P$91*(TableC2!I35+TableC2!T35)/(TableC2!$D$91+TableC2!$O$91)</f>
        <v>741.87476236474674</v>
      </c>
      <c r="J37" s="1453">
        <f>1000*TableA7!$P$91*(TableC2!J35+TableC2!U35)/(TableC2!$D$91+TableC2!$O$91)</f>
        <v>8.3980050693946318</v>
      </c>
      <c r="K37" s="1453">
        <f>1000*TableA7!$P$91*(TableC2!K35+TableC2!V35)/(TableC2!$D$91+TableC2!$O$91)</f>
        <v>700.17788135900787</v>
      </c>
      <c r="L37" s="1168">
        <f>1000*TableA7!$P$91*(TableC2!M35+TableC2!X35)/(TableC2!$D$91+TableC2!$O$91)</f>
        <v>226.85015138945425</v>
      </c>
      <c r="M37" s="1229">
        <f>1000*TableA7!$P$91*(TableC2!N35+TableC2!Y35)/(TableC2!$D$91+TableC2!$O$91)</f>
        <v>54.438891846217764</v>
      </c>
      <c r="N37" s="1452">
        <f t="shared" si="23"/>
        <v>2638.1822918681346</v>
      </c>
      <c r="O37" s="1746">
        <f t="shared" si="24"/>
        <v>1594.6556485045778</v>
      </c>
      <c r="P37" s="1755">
        <f t="shared" si="25"/>
        <v>1043.526643363557</v>
      </c>
      <c r="Q37" s="1453">
        <f t="shared" si="26"/>
        <v>106.32572948869198</v>
      </c>
      <c r="R37" s="1453">
        <f t="shared" si="27"/>
        <v>11.873381783429434</v>
      </c>
      <c r="S37" s="1453">
        <f t="shared" si="28"/>
        <v>635.89435534090728</v>
      </c>
      <c r="T37" s="1453">
        <f t="shared" si="29"/>
        <v>383.42966712342121</v>
      </c>
      <c r="U37" s="1453">
        <f t="shared" si="30"/>
        <v>51.561534885630557</v>
      </c>
      <c r="V37" s="1453">
        <f t="shared" si="31"/>
        <v>405.57097988249728</v>
      </c>
      <c r="W37" s="1168">
        <f t="shared" si="32"/>
        <v>413.36442173162686</v>
      </c>
      <c r="X37" s="1229">
        <f t="shared" si="33"/>
        <v>630.16222163193015</v>
      </c>
      <c r="Y37" s="954"/>
      <c r="Z37" s="954"/>
      <c r="AA37" s="954"/>
      <c r="AB37" s="954"/>
      <c r="AC37" s="1061"/>
      <c r="AD37" s="1061"/>
      <c r="AE37" s="1061"/>
      <c r="AF37" s="1061"/>
      <c r="AG37" s="1061"/>
      <c r="AH37" s="1061"/>
      <c r="AI37" s="1061"/>
      <c r="AJ37" s="1061"/>
    </row>
    <row r="38" spans="1:36" ht="14.25" customHeight="1" x14ac:dyDescent="0.2">
      <c r="A38" s="954" t="s">
        <v>336</v>
      </c>
      <c r="B38" s="955" t="s">
        <v>56</v>
      </c>
      <c r="C38" s="1452">
        <f t="shared" si="5"/>
        <v>636.81356041207437</v>
      </c>
      <c r="D38" s="1746">
        <f t="shared" si="1"/>
        <v>535.34568700679756</v>
      </c>
      <c r="E38" s="1755">
        <f t="shared" si="2"/>
        <v>101.46787340527675</v>
      </c>
      <c r="F38" s="1453">
        <f>1000*TableA7!$P$91*(TableC2!F36+TableC2!Q36)/(TableC2!$D$91+TableC2!$O$91)</f>
        <v>119.53462150435155</v>
      </c>
      <c r="G38" s="1453">
        <f>1000*TableA7!$P$91*(TableC2!G36+TableC2!R36)/(TableC2!$D$91+TableC2!$O$91)</f>
        <v>0.55806939065278094</v>
      </c>
      <c r="H38" s="1453">
        <f>1000*TableA7!$P$91*(TableC2!H36+TableC2!S36)/(TableC2!$D$91+TableC2!$O$91)</f>
        <v>96.859254026411776</v>
      </c>
      <c r="I38" s="1453">
        <f>1000*TableA7!$P$91*(TableC2!I36+TableC2!T36)/(TableC2!$D$91+TableC2!$O$91)</f>
        <v>194.0487617403175</v>
      </c>
      <c r="J38" s="1453">
        <f>1000*TableA7!$P$91*(TableC2!J36+TableC2!U36)/(TableC2!$D$91+TableC2!$O$91)</f>
        <v>4.6571518766799249</v>
      </c>
      <c r="K38" s="1453">
        <f>1000*TableA7!$P$91*(TableC2!K36+TableC2!V36)/(TableC2!$D$91+TableC2!$O$91)</f>
        <v>119.68782846838401</v>
      </c>
      <c r="L38" s="1168">
        <f>1000*TableA7!$P$91*(TableC2!M36+TableC2!X36)/(TableC2!$D$91+TableC2!$O$91)</f>
        <v>81.407464927208082</v>
      </c>
      <c r="M38" s="1229">
        <f>1000*TableA7!$P$91*(TableC2!N36+TableC2!Y36)/(TableC2!$D$91+TableC2!$O$91)</f>
        <v>20.06040847806867</v>
      </c>
      <c r="N38" s="1452">
        <f t="shared" si="23"/>
        <v>636.81356041207437</v>
      </c>
      <c r="O38" s="1746">
        <f t="shared" si="24"/>
        <v>399.19947216701627</v>
      </c>
      <c r="P38" s="1755">
        <f t="shared" si="25"/>
        <v>237.61408824505804</v>
      </c>
      <c r="Q38" s="1453">
        <f t="shared" si="26"/>
        <v>22.721270102225567</v>
      </c>
      <c r="R38" s="1453">
        <f t="shared" si="27"/>
        <v>3.7050738466322732</v>
      </c>
      <c r="S38" s="1453">
        <f t="shared" si="28"/>
        <v>157.95010427823979</v>
      </c>
      <c r="T38" s="1453">
        <f t="shared" si="29"/>
        <v>104.13917965988429</v>
      </c>
      <c r="U38" s="1453">
        <f t="shared" si="30"/>
        <v>17.288412850896062</v>
      </c>
      <c r="V38" s="1453">
        <f t="shared" si="31"/>
        <v>93.395431429138284</v>
      </c>
      <c r="W38" s="1168">
        <f t="shared" si="32"/>
        <v>104.8523889961817</v>
      </c>
      <c r="X38" s="1229">
        <f t="shared" si="33"/>
        <v>132.76169924887634</v>
      </c>
      <c r="Y38" s="954"/>
      <c r="Z38" s="954"/>
      <c r="AA38" s="954"/>
      <c r="AB38" s="954"/>
      <c r="AC38" s="1061"/>
      <c r="AD38" s="1061"/>
      <c r="AE38" s="1061"/>
      <c r="AF38" s="1061"/>
      <c r="AG38" s="1061"/>
      <c r="AH38" s="1061"/>
      <c r="AI38" s="1061"/>
      <c r="AJ38" s="1061"/>
    </row>
    <row r="39" spans="1:36" ht="14.25" customHeight="1" x14ac:dyDescent="0.2">
      <c r="A39" s="954"/>
      <c r="B39" s="955" t="s">
        <v>57</v>
      </c>
      <c r="C39" s="1452">
        <f t="shared" si="5"/>
        <v>225.29901009808276</v>
      </c>
      <c r="D39" s="1746">
        <f t="shared" si="1"/>
        <v>115.10063901304478</v>
      </c>
      <c r="E39" s="1755">
        <f t="shared" si="2"/>
        <v>110.19837108503798</v>
      </c>
      <c r="F39" s="1453">
        <f>1000*TableA7!$P$91*(TableC2!F37+TableC2!Q37)/(TableC2!$D$91+TableC2!$O$91)</f>
        <v>28.604646552711809</v>
      </c>
      <c r="G39" s="1453">
        <f>1000*TableA7!$P$91*(TableC2!G37+TableC2!R37)/(TableC2!$D$91+TableC2!$O$91)</f>
        <v>0.27000411128270535</v>
      </c>
      <c r="H39" s="1453">
        <f>1000*TableA7!$P$91*(TableC2!H37+TableC2!S37)/(TableC2!$D$91+TableC2!$O$91)</f>
        <v>40.238802202293925</v>
      </c>
      <c r="I39" s="1453">
        <f>1000*TableA7!$P$91*(TableC2!I37+TableC2!T37)/(TableC2!$D$91+TableC2!$O$91)</f>
        <v>29.320698916191361</v>
      </c>
      <c r="J39" s="1453">
        <f>1000*TableA7!$P$91*(TableC2!J37+TableC2!U37)/(TableC2!$D$91+TableC2!$O$91)</f>
        <v>0.18277521286921036</v>
      </c>
      <c r="K39" s="1453">
        <f>1000*TableA7!$P$91*(TableC2!K37+TableC2!V37)/(TableC2!$D$91+TableC2!$O$91)</f>
        <v>16.483712017695762</v>
      </c>
      <c r="L39" s="1168">
        <f>1000*TableA7!$P$91*(TableC2!M37+TableC2!X37)/(TableC2!$D$91+TableC2!$O$91)</f>
        <v>80.16801629536981</v>
      </c>
      <c r="M39" s="1229">
        <f>1000*TableA7!$P$91*(TableC2!N37+TableC2!Y37)/(TableC2!$D$91+TableC2!$O$91)</f>
        <v>30.030354789668166</v>
      </c>
      <c r="N39" s="1452">
        <f t="shared" si="23"/>
        <v>225.29901009808276</v>
      </c>
      <c r="O39" s="1746">
        <f t="shared" si="24"/>
        <v>119.73409676215402</v>
      </c>
      <c r="P39" s="1755">
        <f t="shared" si="25"/>
        <v>105.56491333592874</v>
      </c>
      <c r="Q39" s="1453">
        <f t="shared" si="26"/>
        <v>6.4194805021118606</v>
      </c>
      <c r="R39" s="1453">
        <f t="shared" si="27"/>
        <v>1.1275450797817164</v>
      </c>
      <c r="S39" s="1453">
        <f t="shared" si="28"/>
        <v>49.055043515086886</v>
      </c>
      <c r="T39" s="1453">
        <f t="shared" si="29"/>
        <v>27.872239941543999</v>
      </c>
      <c r="U39" s="1453">
        <f t="shared" si="30"/>
        <v>3.6841049864531303</v>
      </c>
      <c r="V39" s="1453">
        <f t="shared" si="31"/>
        <v>31.575682737176425</v>
      </c>
      <c r="W39" s="1168">
        <f t="shared" si="32"/>
        <v>51.701590305353832</v>
      </c>
      <c r="X39" s="1229">
        <f t="shared" si="33"/>
        <v>53.863323030574897</v>
      </c>
      <c r="Y39" s="954"/>
      <c r="Z39" s="954"/>
      <c r="AA39" s="954"/>
      <c r="AB39" s="954"/>
      <c r="AC39" s="954"/>
      <c r="AD39" s="954"/>
      <c r="AE39" s="954"/>
      <c r="AF39" s="954"/>
      <c r="AG39" s="954"/>
      <c r="AH39" s="954"/>
      <c r="AI39" s="954"/>
      <c r="AJ39" s="954"/>
    </row>
    <row r="40" spans="1:36" ht="14.25" customHeight="1" x14ac:dyDescent="0.2">
      <c r="A40" s="954"/>
      <c r="B40" s="955" t="s">
        <v>58</v>
      </c>
      <c r="C40" s="1452">
        <f t="shared" si="5"/>
        <v>14362.071520602969</v>
      </c>
      <c r="D40" s="1746">
        <f t="shared" si="1"/>
        <v>11306.512195320998</v>
      </c>
      <c r="E40" s="1755">
        <f t="shared" si="2"/>
        <v>3055.5593252819713</v>
      </c>
      <c r="F40" s="1453">
        <f>1000*TableA7!$P$91*(TableC2!F38+TableC2!Q38)/(TableC2!$D$91+TableC2!$O$91)</f>
        <v>895.78485377474146</v>
      </c>
      <c r="G40" s="1453">
        <f>1000*TableA7!$P$91*(TableC2!G38+TableC2!R38)/(TableC2!$D$91+TableC2!$O$91)</f>
        <v>9.0686275981076907</v>
      </c>
      <c r="H40" s="1453">
        <f>1000*TableA7!$P$91*(TableC2!H38+TableC2!S38)/(TableC2!$D$91+TableC2!$O$91)</f>
        <v>2265.3946828007824</v>
      </c>
      <c r="I40" s="1453">
        <f>1000*TableA7!$P$91*(TableC2!I38+TableC2!T38)/(TableC2!$D$91+TableC2!$O$91)</f>
        <v>3148.3773772843465</v>
      </c>
      <c r="J40" s="1453">
        <f>1000*TableA7!$P$91*(TableC2!J38+TableC2!U38)/(TableC2!$D$91+TableC2!$O$91)</f>
        <v>17.477186541687171</v>
      </c>
      <c r="K40" s="1453">
        <f>1000*TableA7!$P$91*(TableC2!K38+TableC2!V38)/(TableC2!$D$91+TableC2!$O$91)</f>
        <v>4970.4094673213331</v>
      </c>
      <c r="L40" s="1168">
        <f>1000*TableA7!$P$91*(TableC2!M38+TableC2!X38)/(TableC2!$D$91+TableC2!$O$91)</f>
        <v>1723.6309312557178</v>
      </c>
      <c r="M40" s="1229">
        <f>1000*TableA7!$P$91*(TableC2!N38+TableC2!Y38)/(TableC2!$D$91+TableC2!$O$91)</f>
        <v>1331.9283940262535</v>
      </c>
      <c r="N40" s="1452">
        <f t="shared" si="23"/>
        <v>14362.071520602971</v>
      </c>
      <c r="O40" s="1746">
        <f t="shared" si="24"/>
        <v>7546.8343517136655</v>
      </c>
      <c r="P40" s="1755">
        <f t="shared" si="25"/>
        <v>6815.2371688893054</v>
      </c>
      <c r="Q40" s="1453">
        <f t="shared" si="26"/>
        <v>636.03819011033283</v>
      </c>
      <c r="R40" s="1453">
        <f t="shared" si="27"/>
        <v>52.740627001315247</v>
      </c>
      <c r="S40" s="1453">
        <f t="shared" si="28"/>
        <v>2818.1768064257026</v>
      </c>
      <c r="T40" s="1453">
        <f t="shared" si="29"/>
        <v>1681.7422400663186</v>
      </c>
      <c r="U40" s="1453">
        <f t="shared" si="30"/>
        <v>190.23546842931052</v>
      </c>
      <c r="V40" s="1453">
        <f t="shared" si="31"/>
        <v>2167.9010196806853</v>
      </c>
      <c r="W40" s="1168">
        <f t="shared" si="32"/>
        <v>2536.9461785645308</v>
      </c>
      <c r="X40" s="1229">
        <f t="shared" si="33"/>
        <v>4278.2909903247746</v>
      </c>
      <c r="Y40" s="954"/>
      <c r="Z40" s="954"/>
      <c r="AA40" s="954"/>
      <c r="AB40" s="954"/>
      <c r="AC40" s="954"/>
      <c r="AD40" s="954"/>
      <c r="AE40" s="954"/>
      <c r="AF40" s="954"/>
      <c r="AG40" s="954"/>
      <c r="AH40" s="954"/>
      <c r="AI40" s="954"/>
      <c r="AJ40" s="954"/>
    </row>
    <row r="41" spans="1:36" s="25" customFormat="1" ht="14.25" customHeight="1" x14ac:dyDescent="0.2">
      <c r="A41" s="1109"/>
      <c r="B41" s="1231" t="s">
        <v>59</v>
      </c>
      <c r="C41" s="1452">
        <f t="shared" si="5"/>
        <v>8541.0900580049929</v>
      </c>
      <c r="D41" s="1746">
        <f t="shared" si="1"/>
        <v>6671.3504213313172</v>
      </c>
      <c r="E41" s="1755">
        <f t="shared" si="2"/>
        <v>1869.7396366736762</v>
      </c>
      <c r="F41" s="1453">
        <f>1000*TableA7!$P$91*(TableC2!F39+TableC2!Q39)/(TableC2!$D$91+TableC2!$O$91)</f>
        <v>939.40284480831576</v>
      </c>
      <c r="G41" s="1453">
        <f>1000*TableA7!$P$91*(TableC2!G39+TableC2!R39)/(TableC2!$D$91+TableC2!$O$91)</f>
        <v>3.4879336915798809</v>
      </c>
      <c r="H41" s="1453">
        <f>1000*TableA7!$P$91*(TableC2!H39+TableC2!S39)/(TableC2!$D$91+TableC2!$O$91)</f>
        <v>2191.6935682166823</v>
      </c>
      <c r="I41" s="1453">
        <f>1000*TableA7!$P$91*(TableC2!I39+TableC2!T39)/(TableC2!$D$91+TableC2!$O$91)</f>
        <v>2387.5842328405784</v>
      </c>
      <c r="J41" s="1453">
        <f>1000*TableA7!$P$91*(TableC2!J39+TableC2!U39)/(TableC2!$D$91+TableC2!$O$91)</f>
        <v>106.30369615594229</v>
      </c>
      <c r="K41" s="1453">
        <f>1000*TableA7!$P$91*(TableC2!K39+TableC2!V39)/(TableC2!$D$91+TableC2!$O$91)</f>
        <v>1042.8781456182198</v>
      </c>
      <c r="L41" s="1168">
        <f>1000*TableA7!$P$91*(TableC2!M39+TableC2!X39)/(TableC2!$D$91+TableC2!$O$91)</f>
        <v>680.45759325108077</v>
      </c>
      <c r="M41" s="1229">
        <f>1000*TableA7!$P$91*(TableC2!N39+TableC2!Y39)/(TableC2!$D$91+TableC2!$O$91)</f>
        <v>1189.2820434225953</v>
      </c>
      <c r="N41" s="1452">
        <f t="shared" si="23"/>
        <v>8541.0900580049947</v>
      </c>
      <c r="O41" s="1746">
        <f t="shared" si="24"/>
        <v>4837.4448773986851</v>
      </c>
      <c r="P41" s="1755">
        <f t="shared" si="25"/>
        <v>3703.6451806063101</v>
      </c>
      <c r="Q41" s="1453">
        <f t="shared" si="26"/>
        <v>246.27439715283222</v>
      </c>
      <c r="R41" s="1453">
        <f t="shared" si="27"/>
        <v>37.855338711827216</v>
      </c>
      <c r="S41" s="1453">
        <f t="shared" si="28"/>
        <v>2066.137808617942</v>
      </c>
      <c r="T41" s="1453">
        <f t="shared" si="29"/>
        <v>1136.3577939485888</v>
      </c>
      <c r="U41" s="1453">
        <f t="shared" si="30"/>
        <v>243.89242650986336</v>
      </c>
      <c r="V41" s="1453">
        <f t="shared" si="31"/>
        <v>1106.9271124576314</v>
      </c>
      <c r="W41" s="1168">
        <f t="shared" si="32"/>
        <v>996.64429737852436</v>
      </c>
      <c r="X41" s="1229">
        <f t="shared" si="33"/>
        <v>2707.0008832277858</v>
      </c>
      <c r="Y41" s="1109"/>
      <c r="Z41" s="1109"/>
      <c r="AA41" s="1109"/>
      <c r="AB41" s="1109"/>
      <c r="AC41" s="1109"/>
      <c r="AD41" s="1109"/>
      <c r="AE41" s="1109"/>
      <c r="AF41" s="1109"/>
      <c r="AG41" s="1109"/>
      <c r="AH41" s="1109"/>
      <c r="AI41" s="1109"/>
      <c r="AJ41" s="1109"/>
    </row>
    <row r="42" spans="1:36" ht="14.25" customHeight="1" x14ac:dyDescent="0.2">
      <c r="A42" s="954"/>
      <c r="B42" s="955" t="s">
        <v>60</v>
      </c>
      <c r="C42" s="1452"/>
      <c r="D42" s="1746"/>
      <c r="E42" s="1755"/>
      <c r="F42" s="1453"/>
      <c r="G42" s="1453"/>
      <c r="H42" s="1453"/>
      <c r="I42" s="1453"/>
      <c r="J42" s="1453"/>
      <c r="K42" s="1453"/>
      <c r="L42" s="1168"/>
      <c r="M42" s="1229"/>
      <c r="N42" s="1452"/>
      <c r="O42" s="1746"/>
      <c r="P42" s="1755"/>
      <c r="Q42" s="1453"/>
      <c r="R42" s="1453"/>
      <c r="S42" s="1453"/>
      <c r="T42" s="1453"/>
      <c r="U42" s="1453"/>
      <c r="V42" s="1453"/>
      <c r="W42" s="1168"/>
      <c r="X42" s="1229"/>
      <c r="Y42" s="954"/>
      <c r="Z42" s="954"/>
      <c r="AA42" s="954"/>
      <c r="AB42" s="954"/>
      <c r="AC42" s="954"/>
      <c r="AD42" s="954"/>
      <c r="AE42" s="954"/>
      <c r="AF42" s="954"/>
      <c r="AG42" s="954"/>
      <c r="AH42" s="954"/>
      <c r="AI42" s="954"/>
      <c r="AJ42" s="954"/>
    </row>
    <row r="43" spans="1:36" ht="14.25" customHeight="1" x14ac:dyDescent="0.2">
      <c r="A43" s="954"/>
      <c r="B43" s="955" t="s">
        <v>61</v>
      </c>
      <c r="C43" s="1452">
        <f t="shared" si="5"/>
        <v>4975.4928205897586</v>
      </c>
      <c r="D43" s="1746">
        <f t="shared" si="1"/>
        <v>1616.4255905617981</v>
      </c>
      <c r="E43" s="1755">
        <f t="shared" si="2"/>
        <v>3359.0672300279607</v>
      </c>
      <c r="F43" s="1453">
        <f>1000*TableA7!$P$91*(TableC2!F41+TableC2!Q41)/(TableC2!$D$91+TableC2!$O$91)</f>
        <v>171.90102514779218</v>
      </c>
      <c r="G43" s="1453">
        <f>1000*TableA7!$P$91*(TableC2!G41+TableC2!R41)/(TableC2!$D$91+TableC2!$O$91)</f>
        <v>0</v>
      </c>
      <c r="H43" s="1453">
        <f>1000*TableA7!$P$91*(TableC2!H41+TableC2!S41)/(TableC2!$D$91+TableC2!$O$91)</f>
        <v>521.24259846847565</v>
      </c>
      <c r="I43" s="1453">
        <f>1000*TableA7!$P$91*(TableC2!I41+TableC2!T41)/(TableC2!$D$91+TableC2!$O$91)</f>
        <v>268.27102188390865</v>
      </c>
      <c r="J43" s="1453">
        <f>1000*TableA7!$P$91*(TableC2!J41+TableC2!U41)/(TableC2!$D$91+TableC2!$O$91)</f>
        <v>21.934346218198151</v>
      </c>
      <c r="K43" s="1453">
        <f>1000*TableA7!$P$91*(TableC2!K41+TableC2!V41)/(TableC2!$D$91+TableC2!$O$91)</f>
        <v>633.07659884342354</v>
      </c>
      <c r="L43" s="1168">
        <f>1000*TableA7!$P$91*(TableC2!M41+TableC2!X41)/(TableC2!$D$91+TableC2!$O$91)</f>
        <v>275.77786004118281</v>
      </c>
      <c r="M43" s="1229">
        <f>1000*TableA7!$P$91*(TableC2!N41+TableC2!Y41)/(TableC2!$D$91+TableC2!$O$91)</f>
        <v>3083.2893699867777</v>
      </c>
      <c r="N43" s="1452">
        <f t="shared" ref="N43:N45" si="34">+P43+O43</f>
        <v>4975.4928205897586</v>
      </c>
      <c r="O43" s="1746">
        <f t="shared" ref="O43:O46" si="35">+SUM(Q43:V43)</f>
        <v>1440.22948925323</v>
      </c>
      <c r="P43" s="1755">
        <f t="shared" ref="P43:P46" si="36">+SUM(W43:X43)</f>
        <v>3535.2633313365286</v>
      </c>
      <c r="Q43" s="1453">
        <f>+SUMPRODUCT($F43:$M43,$AE$66:$AL$66)</f>
        <v>84.433425530700362</v>
      </c>
      <c r="R43" s="1453">
        <f>+SUMPRODUCT($F43:$M43,$AE$67:$AL$67)</f>
        <v>13.424191813755595</v>
      </c>
      <c r="S43" s="1453">
        <f>+SUMPRODUCT($F43:$M43,$AE$68:$AL$68)</f>
        <v>699.9193895852203</v>
      </c>
      <c r="T43" s="1453">
        <f>+SUMPRODUCT($F43:$M43,$AE$69:$AL$69)</f>
        <v>196.59934322801391</v>
      </c>
      <c r="U43" s="1453">
        <f>+SUMPRODUCT($F43:$M43,$AE$70:$AL$70)</f>
        <v>77.524853040181469</v>
      </c>
      <c r="V43" s="1453">
        <f>+SUMPRODUCT($F43:$M43,$AE$71:$AL$71)</f>
        <v>368.32828605535826</v>
      </c>
      <c r="W43" s="1168">
        <f>+SUMPRODUCT($F43:$M43,$AE$72:$AL$72)</f>
        <v>355.99747819987329</v>
      </c>
      <c r="X43" s="1229">
        <f>+SUMPRODUCT($F43:$M43,$AE$73:$AL$73)</f>
        <v>3179.2658531366556</v>
      </c>
      <c r="Y43" s="954"/>
      <c r="Z43" s="954"/>
      <c r="AA43" s="954"/>
      <c r="AB43" s="954"/>
      <c r="AC43" s="954"/>
      <c r="AD43" s="954"/>
      <c r="AE43" s="954"/>
      <c r="AF43" s="954"/>
      <c r="AG43" s="954"/>
      <c r="AH43" s="954"/>
      <c r="AI43" s="954"/>
      <c r="AJ43" s="954"/>
    </row>
    <row r="44" spans="1:36" ht="14.25" customHeight="1" x14ac:dyDescent="0.2">
      <c r="A44" s="954"/>
      <c r="B44" s="955" t="s">
        <v>62</v>
      </c>
      <c r="C44" s="1452">
        <f t="shared" si="5"/>
        <v>61500.900683046377</v>
      </c>
      <c r="D44" s="1746">
        <f t="shared" si="1"/>
        <v>48545.269178069379</v>
      </c>
      <c r="E44" s="1755">
        <f t="shared" si="2"/>
        <v>12955.631504976998</v>
      </c>
      <c r="F44" s="1453">
        <f>1000*TableA7!$P$91*(TableC2!F42+TableC2!Q42)/(TableC2!$D$91+TableC2!$O$91)</f>
        <v>5175.2327460793467</v>
      </c>
      <c r="G44" s="1453">
        <f>1000*TableA7!$P$91*(TableC2!G42+TableC2!R42)/(TableC2!$D$91+TableC2!$O$91)</f>
        <v>505.89624321914977</v>
      </c>
      <c r="H44" s="1453">
        <f>1000*TableA7!$P$91*(TableC2!H42+TableC2!S42)/(TableC2!$D$91+TableC2!$O$91)</f>
        <v>16919.754255845513</v>
      </c>
      <c r="I44" s="1453">
        <f>1000*TableA7!$P$91*(TableC2!I42+TableC2!T42)/(TableC2!$D$91+TableC2!$O$91)</f>
        <v>15955.786856875593</v>
      </c>
      <c r="J44" s="1453">
        <f>1000*TableA7!$P$91*(TableC2!J42+TableC2!U42)/(TableC2!$D$91+TableC2!$O$91)</f>
        <v>232.81328640864103</v>
      </c>
      <c r="K44" s="1453">
        <f>1000*TableA7!$P$91*(TableC2!K42+TableC2!V42)/(TableC2!$D$91+TableC2!$O$91)</f>
        <v>9755.7857896411315</v>
      </c>
      <c r="L44" s="1168">
        <f>1000*TableA7!$P$91*(TableC2!M42+TableC2!X42)/(TableC2!$D$91+TableC2!$O$91)</f>
        <v>3806.9935847933366</v>
      </c>
      <c r="M44" s="1229">
        <f>1000*TableA7!$P$91*(TableC2!N42+TableC2!Y42)/(TableC2!$D$91+TableC2!$O$91)</f>
        <v>9148.6379201836626</v>
      </c>
      <c r="N44" s="1452">
        <f t="shared" si="34"/>
        <v>61500.90068304637</v>
      </c>
      <c r="O44" s="1746">
        <f t="shared" si="35"/>
        <v>33645.243351368743</v>
      </c>
      <c r="P44" s="1755">
        <f t="shared" si="36"/>
        <v>27855.657331677627</v>
      </c>
      <c r="Q44" s="1453">
        <f>+SUMPRODUCT($F44:$M44,$AE$66:$AL$66)</f>
        <v>1884.3399701726571</v>
      </c>
      <c r="R44" s="1453">
        <f>+SUMPRODUCT($F44:$M44,$AE$67:$AL$67)</f>
        <v>724.90502209716055</v>
      </c>
      <c r="S44" s="1453">
        <f>+SUMPRODUCT($F44:$M44,$AE$68:$AL$68)</f>
        <v>14424.310589346544</v>
      </c>
      <c r="T44" s="1453">
        <f>+SUMPRODUCT($F44:$M44,$AE$69:$AL$69)</f>
        <v>7440.4545965083425</v>
      </c>
      <c r="U44" s="1453">
        <f>+SUMPRODUCT($F44:$M44,$AE$70:$AL$70)</f>
        <v>1106.8248020419958</v>
      </c>
      <c r="V44" s="1453">
        <f>+SUMPRODUCT($F44:$M44,$AE$71:$AL$71)</f>
        <v>8064.4083712020465</v>
      </c>
      <c r="W44" s="1168">
        <f>+SUMPRODUCT($F44:$M44,$AE$72:$AL$72)</f>
        <v>6917.4447440460799</v>
      </c>
      <c r="X44" s="1229">
        <f>+SUMPRODUCT($F44:$M44,$AE$73:$AL$73)</f>
        <v>20938.212587631548</v>
      </c>
      <c r="Y44" s="954"/>
      <c r="Z44" s="954"/>
      <c r="AA44" s="954"/>
      <c r="AB44" s="954"/>
      <c r="AC44" s="954"/>
      <c r="AD44" s="954"/>
      <c r="AE44" s="954"/>
      <c r="AF44" s="954"/>
      <c r="AG44" s="954"/>
      <c r="AH44" s="954"/>
      <c r="AI44" s="954"/>
      <c r="AJ44" s="954"/>
    </row>
    <row r="45" spans="1:36" ht="14.25" customHeight="1" x14ac:dyDescent="0.2">
      <c r="A45" s="954"/>
      <c r="B45" s="955" t="s">
        <v>63</v>
      </c>
      <c r="C45" s="1452">
        <f t="shared" si="5"/>
        <v>142565.30860350182</v>
      </c>
      <c r="D45" s="1746">
        <f t="shared" si="1"/>
        <v>43113.120318516289</v>
      </c>
      <c r="E45" s="1755">
        <f t="shared" si="2"/>
        <v>99452.188284985517</v>
      </c>
      <c r="F45" s="1453">
        <f>1000*TableA7!$P$91*(TableC2!F43+TableC2!Q43)/(TableC2!$D$91+TableC2!$O$91)</f>
        <v>5711.8620992737888</v>
      </c>
      <c r="G45" s="1453">
        <f>1000*TableA7!$P$91*(TableC2!G43+TableC2!R43)/(TableC2!$D$91+TableC2!$O$91)</f>
        <v>299.38735507967397</v>
      </c>
      <c r="H45" s="1453">
        <f>1000*TableA7!$P$91*(TableC2!H43+TableC2!S43)/(TableC2!$D$91+TableC2!$O$91)</f>
        <v>8360.1987787962989</v>
      </c>
      <c r="I45" s="1453">
        <f>1000*TableA7!$P$91*(TableC2!I43+TableC2!T43)/(TableC2!$D$91+TableC2!$O$91)</f>
        <v>14183.70735359657</v>
      </c>
      <c r="J45" s="1453">
        <f>1000*TableA7!$P$91*(TableC2!J43+TableC2!U43)/(TableC2!$D$91+TableC2!$O$91)</f>
        <v>145.1178079606745</v>
      </c>
      <c r="K45" s="1453">
        <f>1000*TableA7!$P$91*(TableC2!K43+TableC2!V43)/(TableC2!$D$91+TableC2!$O$91)</f>
        <v>14412.846923809282</v>
      </c>
      <c r="L45" s="1168">
        <f>1000*TableA7!$P$91*(TableC2!M43+TableC2!X43)/(TableC2!$D$91+TableC2!$O$91)</f>
        <v>13731.49494414153</v>
      </c>
      <c r="M45" s="1229">
        <f>1000*TableA7!$P$91*(TableC2!N43+TableC2!Y43)/(TableC2!$D$91+TableC2!$O$91)</f>
        <v>85720.693340843995</v>
      </c>
      <c r="N45" s="1452">
        <f t="shared" si="34"/>
        <v>142565.30860350179</v>
      </c>
      <c r="O45" s="1746">
        <f t="shared" si="35"/>
        <v>43879.530176034583</v>
      </c>
      <c r="P45" s="1755">
        <f t="shared" si="36"/>
        <v>98685.778427467216</v>
      </c>
      <c r="Q45" s="1453">
        <f>+SUMPRODUCT($F45:$M45,$AE$66:$AL$66)</f>
        <v>2399.3336202646519</v>
      </c>
      <c r="R45" s="1453">
        <f>+SUMPRODUCT($F45:$M45,$AE$67:$AL$67)</f>
        <v>750.63276434040927</v>
      </c>
      <c r="S45" s="1453">
        <f>+SUMPRODUCT($F45:$M45,$AE$68:$AL$68)</f>
        <v>19910.943976508021</v>
      </c>
      <c r="T45" s="1453">
        <f>+SUMPRODUCT($F45:$M45,$AE$69:$AL$69)</f>
        <v>8370.898673217418</v>
      </c>
      <c r="U45" s="1453">
        <f>+SUMPRODUCT($F45:$M45,$AE$70:$AL$70)</f>
        <v>2000.361176724505</v>
      </c>
      <c r="V45" s="1453">
        <f>+SUMPRODUCT($F45:$M45,$AE$71:$AL$71)</f>
        <v>10447.359964979581</v>
      </c>
      <c r="W45" s="1168">
        <f>+SUMPRODUCT($F45:$M45,$AE$72:$AL$72)</f>
        <v>12611.066537486642</v>
      </c>
      <c r="X45" s="1229">
        <f>+SUMPRODUCT($F45:$M45,$AE$73:$AL$73)</f>
        <v>86074.711889980579</v>
      </c>
      <c r="Y45" s="954"/>
      <c r="Z45" s="954"/>
      <c r="AA45" s="954"/>
      <c r="AB45" s="954"/>
      <c r="AC45" s="954"/>
      <c r="AD45" s="954"/>
      <c r="AE45" s="954"/>
      <c r="AF45" s="954"/>
      <c r="AG45" s="954"/>
      <c r="AH45" s="954"/>
      <c r="AI45" s="954"/>
      <c r="AJ45" s="954"/>
    </row>
    <row r="46" spans="1:36" ht="40" customHeight="1" x14ac:dyDescent="0.2">
      <c r="A46" s="954"/>
      <c r="B46" s="1810" t="s">
        <v>64</v>
      </c>
      <c r="C46" s="1201">
        <f>1000*TableA7!$P$91*(TableC2!D44+TableC2!O44)/(TableC2!$D$91+TableC2!$O$91)</f>
        <v>102599.15789568896</v>
      </c>
      <c r="D46" s="1746">
        <f t="shared" ref="D46" si="37">+SUM(F46:K46)</f>
        <v>24168.578575766107</v>
      </c>
      <c r="E46" s="1755">
        <f t="shared" ref="E46" si="38">+SUM(L46:M46)</f>
        <v>78430.579319922836</v>
      </c>
      <c r="F46" s="245">
        <f>1000*TableA7!$P$91*(TableC2!F44+TableC2!Q44)/(TableC2!$D$91+TableC2!$O$91)</f>
        <v>1314.6666118979697</v>
      </c>
      <c r="G46" s="245">
        <f>1000*TableA7!$P$91*(TableC2!G44+TableC2!R44)/(TableC2!$D$91+TableC2!$O$91)</f>
        <v>483.11237721889592</v>
      </c>
      <c r="H46" s="245">
        <f>1000*TableA7!$P$91*(TableC2!H44+TableC2!S44)/(TableC2!$D$91+TableC2!$O$91)</f>
        <v>8661.3083472477738</v>
      </c>
      <c r="I46" s="245">
        <f>1000*TableA7!$P$91*(TableC2!I44+TableC2!T44)/(TableC2!$D$91+TableC2!$O$91)</f>
        <v>6015.4991953982708</v>
      </c>
      <c r="J46" s="245">
        <f>1000*TableA7!$P$91*(TableC2!J44+TableC2!U44)/(TableC2!$D$91+TableC2!$O$91)</f>
        <v>131.07076394522778</v>
      </c>
      <c r="K46" s="245">
        <f>1000*TableA7!$P$91*(TableC2!K44+TableC2!V44)/(TableC2!$D$91+TableC2!$O$91)</f>
        <v>7562.9212800579689</v>
      </c>
      <c r="L46" s="245">
        <f>1000*TableA7!$P$91*(TableC2!M44+TableC2!X44)/(TableC2!$D$91+TableC2!$O$91)</f>
        <v>6439.1141485008411</v>
      </c>
      <c r="M46" s="623">
        <f>1000*TableA7!$P$91*(TableC2!N44+TableC2!Y44)/(TableC2!$D$91+TableC2!$O$91)</f>
        <v>71991.465171421994</v>
      </c>
      <c r="N46" s="1201">
        <f>1000*TableA7!$P$91*TableC3!C44/TableC3!$C$91</f>
        <v>63262.528917943157</v>
      </c>
      <c r="O46" s="1746">
        <f t="shared" si="35"/>
        <v>6749.7835324544558</v>
      </c>
      <c r="P46" s="1755">
        <f t="shared" si="36"/>
        <v>56512.745385488721</v>
      </c>
      <c r="Q46" s="1746">
        <f>1000*TableA7!$P$91*TableC3!E44/TableC3!$C$91</f>
        <v>3761.8475550589555</v>
      </c>
      <c r="R46" s="1746">
        <f>1000*TableA7!$P$91*TableC3!F44/TableC3!$C$91</f>
        <v>1233.5591768474981</v>
      </c>
      <c r="S46" s="1746">
        <f>1000*TableA7!$P$91*TableC3!G44/TableC3!$C$91</f>
        <v>-67.433807822032804</v>
      </c>
      <c r="T46" s="1746">
        <f>1000*TableA7!$P$91*TableC3!H44/TableC3!$C$91</f>
        <v>-184.42734347212144</v>
      </c>
      <c r="U46" s="1746">
        <f>1000*TableA7!$P$91*TableC3!I44/TableC3!$C$91</f>
        <v>0</v>
      </c>
      <c r="V46" s="1746">
        <f>1000*TableA7!$P$91*TableC3!J44/TableC3!$C$91</f>
        <v>2006.2379518421562</v>
      </c>
      <c r="W46" s="245">
        <f>1000*TableA7!$P$91*TableC3!L44/TableC3!$C$91</f>
        <v>0</v>
      </c>
      <c r="X46" s="623">
        <f>1000*TableA7!$P$91*TableC3!M44/TableC3!$C$91</f>
        <v>56512.745385488721</v>
      </c>
      <c r="Y46" s="954"/>
      <c r="Z46" s="954"/>
      <c r="AA46" s="954"/>
      <c r="AB46" s="954"/>
      <c r="AC46" s="954"/>
      <c r="AD46" s="954"/>
      <c r="AE46" s="954"/>
      <c r="AF46" s="954"/>
      <c r="AG46" s="954"/>
      <c r="AH46" s="954"/>
      <c r="AI46" s="954"/>
      <c r="AJ46" s="954"/>
    </row>
    <row r="47" spans="1:36" x14ac:dyDescent="0.2">
      <c r="A47" s="954"/>
      <c r="B47" s="933" t="s">
        <v>65</v>
      </c>
      <c r="C47" s="1452">
        <f t="shared" ref="C47" si="39">+E47+D47</f>
        <v>14212.064614009523</v>
      </c>
      <c r="D47" s="1746">
        <f t="shared" ref="D47" si="40">+SUM(F47:K47)</f>
        <v>5267.4280287716592</v>
      </c>
      <c r="E47" s="1755">
        <f t="shared" ref="E47" si="41">+SUM(L47:M47)</f>
        <v>8944.636585237864</v>
      </c>
      <c r="F47" s="1453">
        <f>1000*TableA7!$P$91*(TableC2!F45+TableC2!Q45)/(TableC2!$D$91+TableC2!$O$91)</f>
        <v>339.21721308535604</v>
      </c>
      <c r="G47" s="1453">
        <f>1000*TableA7!$P$91*(TableC2!G45+TableC2!R45)/(TableC2!$D$91+TableC2!$O$91)</f>
        <v>8.4277685719684026E-2</v>
      </c>
      <c r="H47" s="1453">
        <f>1000*TableA7!$P$91*(TableC2!H45+TableC2!S45)/(TableC2!$D$91+TableC2!$O$91)</f>
        <v>890.91438861660788</v>
      </c>
      <c r="I47" s="1453">
        <f>1000*TableA7!$P$91*(TableC2!I45+TableC2!T45)/(TableC2!$D$91+TableC2!$O$91)</f>
        <v>956.9795768028215</v>
      </c>
      <c r="J47" s="1453">
        <f>1000*TableA7!$P$91*(TableC2!J45+TableC2!U45)/(TableC2!$D$91+TableC2!$O$91)</f>
        <v>4.3374947318079906</v>
      </c>
      <c r="K47" s="1453">
        <f>1000*TableA7!$P$91*(TableC2!K45+TableC2!V45)/(TableC2!$D$91+TableC2!$O$91)</f>
        <v>3075.8950778493468</v>
      </c>
      <c r="L47" s="1168">
        <f>1000*TableA7!$P$91*(TableC2!M45+TableC2!X45)/(TableC2!$D$91+TableC2!$O$91)</f>
        <v>734.35051084179634</v>
      </c>
      <c r="M47" s="1229">
        <f>1000*TableA7!$P$91*(TableC2!N45+TableC2!Y45)/(TableC2!$D$91+TableC2!$O$91)</f>
        <v>8210.2860743960682</v>
      </c>
      <c r="N47" s="1452">
        <f t="shared" ref="N47:N53" si="42">+P47+O47</f>
        <v>14212.064614009523</v>
      </c>
      <c r="O47" s="1746">
        <f t="shared" ref="O47:O53" si="43">+SUM(Q47:V47)</f>
        <v>4178.5524357928825</v>
      </c>
      <c r="P47" s="1755">
        <f t="shared" ref="P47:P53" si="44">+SUM(W47:X47)</f>
        <v>10033.512178216641</v>
      </c>
      <c r="Q47" s="1453">
        <f t="shared" ref="Q47:Q53" si="45">+SUMPRODUCT($F47:$M47,$AE$66:$AL$66)</f>
        <v>336.28643320134626</v>
      </c>
      <c r="R47" s="1453">
        <f t="shared" ref="R47:R53" si="46">+SUMPRODUCT($F47:$M47,$AE$67:$AL$67)</f>
        <v>36.574853341503797</v>
      </c>
      <c r="S47" s="1453">
        <f t="shared" ref="S47:S53" si="47">+SUMPRODUCT($F47:$M47,$AE$68:$AL$68)</f>
        <v>1840.2015152662257</v>
      </c>
      <c r="T47" s="1453">
        <f t="shared" ref="T47:T53" si="48">+SUMPRODUCT($F47:$M47,$AE$69:$AL$69)</f>
        <v>623.74462144661595</v>
      </c>
      <c r="U47" s="1453">
        <f t="shared" ref="U47:U53" si="49">+SUMPRODUCT($F47:$M47,$AE$70:$AL$70)</f>
        <v>154.23645148379569</v>
      </c>
      <c r="V47" s="1453">
        <f t="shared" ref="V47:V53" si="50">+SUMPRODUCT($F47:$M47,$AE$71:$AL$71)</f>
        <v>1187.5085610533949</v>
      </c>
      <c r="W47" s="1168">
        <f t="shared" ref="W47:W53" si="51">+SUMPRODUCT($F47:$M47,$AE$72:$AL$72)</f>
        <v>1273.4667374381334</v>
      </c>
      <c r="X47" s="1229">
        <f t="shared" ref="X47:X53" si="52">+SUMPRODUCT($F47:$M47,$AE$73:$AL$73)</f>
        <v>8760.0454407785073</v>
      </c>
      <c r="Y47" s="954"/>
      <c r="Z47" s="954"/>
      <c r="AA47" s="954"/>
      <c r="AB47" s="954"/>
      <c r="AC47" s="954"/>
      <c r="AD47" s="954"/>
      <c r="AE47" s="954"/>
      <c r="AF47" s="954"/>
      <c r="AG47" s="954"/>
      <c r="AH47" s="954"/>
      <c r="AI47" s="954"/>
      <c r="AJ47" s="954"/>
    </row>
    <row r="48" spans="1:36" x14ac:dyDescent="0.2">
      <c r="A48" s="329" t="s">
        <v>337</v>
      </c>
      <c r="B48" s="955" t="s">
        <v>66</v>
      </c>
      <c r="C48" s="1452">
        <f t="shared" ref="C48:C53" si="53">+E48+D48</f>
        <v>60525.807931300944</v>
      </c>
      <c r="D48" s="1746">
        <f t="shared" ref="D48:D53" si="54">+SUM(F48:K48)</f>
        <v>6129.6719549179961</v>
      </c>
      <c r="E48" s="1755">
        <f t="shared" ref="E48:E53" si="55">+SUM(L48:M48)</f>
        <v>54396.135976382946</v>
      </c>
      <c r="F48" s="1453">
        <f>1000*TableA7!$P$91*(TableC2!F46+TableC2!Q46)/(TableC2!$D$91+TableC2!$O$91)</f>
        <v>371.35817910358179</v>
      </c>
      <c r="G48" s="1453">
        <f>1000*TableA7!$P$91*(TableC2!G46+TableC2!R46)/(TableC2!$D$91+TableC2!$O$91)</f>
        <v>58.572991575180389</v>
      </c>
      <c r="H48" s="1453">
        <f>1000*TableA7!$P$91*(TableC2!H46+TableC2!S46)/(TableC2!$D$91+TableC2!$O$91)</f>
        <v>3076.7859166666258</v>
      </c>
      <c r="I48" s="1453">
        <f>1000*TableA7!$P$91*(TableC2!I46+TableC2!T46)/(TableC2!$D$91+TableC2!$O$91)</f>
        <v>1321.0129909379252</v>
      </c>
      <c r="J48" s="1453">
        <f>1000*TableA7!$P$91*(TableC2!J46+TableC2!U46)/(TableC2!$D$91+TableC2!$O$91)</f>
        <v>3.2411602449649015</v>
      </c>
      <c r="K48" s="1453">
        <f>1000*TableA7!$P$91*(TableC2!K46+TableC2!V46)/(TableC2!$D$91+TableC2!$O$91)</f>
        <v>1298.7007163897183</v>
      </c>
      <c r="L48" s="1168">
        <f>1000*TableA7!$P$91*(TableC2!M46+TableC2!X46)/(TableC2!$D$91+TableC2!$O$91)</f>
        <v>4465.8975086816627</v>
      </c>
      <c r="M48" s="1229">
        <f>1000*TableA7!$P$91*(TableC2!N46+TableC2!Y46)/(TableC2!$D$91+TableC2!$O$91)</f>
        <v>49930.238467701281</v>
      </c>
      <c r="N48" s="1452">
        <f t="shared" si="42"/>
        <v>60525.807931300944</v>
      </c>
      <c r="O48" s="1746">
        <f t="shared" si="43"/>
        <v>11892.931928501215</v>
      </c>
      <c r="P48" s="1755">
        <f t="shared" si="44"/>
        <v>48632.876002799727</v>
      </c>
      <c r="Q48" s="1453">
        <f t="shared" si="45"/>
        <v>380.73888996962853</v>
      </c>
      <c r="R48" s="1453">
        <f t="shared" si="46"/>
        <v>223.65750461088845</v>
      </c>
      <c r="S48" s="1453">
        <f t="shared" si="47"/>
        <v>6782.9075955757125</v>
      </c>
      <c r="T48" s="1453">
        <f t="shared" si="48"/>
        <v>1246.4842268556722</v>
      </c>
      <c r="U48" s="1453">
        <f t="shared" si="49"/>
        <v>695.61204542161875</v>
      </c>
      <c r="V48" s="1453">
        <f t="shared" si="50"/>
        <v>2563.5316660676963</v>
      </c>
      <c r="W48" s="1168">
        <f t="shared" si="51"/>
        <v>2826.2431941825544</v>
      </c>
      <c r="X48" s="1229">
        <f t="shared" si="52"/>
        <v>45806.632808617171</v>
      </c>
      <c r="Y48" s="954"/>
      <c r="Z48" s="954"/>
      <c r="AA48" s="954"/>
      <c r="AB48" s="954"/>
      <c r="AC48" s="954"/>
      <c r="AD48" s="954"/>
      <c r="AE48" s="954"/>
      <c r="AF48" s="954"/>
      <c r="AG48" s="954"/>
      <c r="AH48" s="954"/>
      <c r="AI48" s="954"/>
      <c r="AJ48" s="954"/>
    </row>
    <row r="49" spans="1:38" x14ac:dyDescent="0.2">
      <c r="A49" s="954"/>
      <c r="B49" s="955" t="s">
        <v>67</v>
      </c>
      <c r="C49" s="1452">
        <f t="shared" si="53"/>
        <v>1403.6174395306298</v>
      </c>
      <c r="D49" s="1746">
        <f t="shared" si="54"/>
        <v>572.88147169047193</v>
      </c>
      <c r="E49" s="1755">
        <f t="shared" si="55"/>
        <v>830.73596784015774</v>
      </c>
      <c r="F49" s="1453">
        <f>1000*TableA7!$P$91*(TableC2!F47+TableC2!Q47)/(TableC2!$D$91+TableC2!$O$91)</f>
        <v>43.807480493657621</v>
      </c>
      <c r="G49" s="1453">
        <f>1000*TableA7!$P$91*(TableC2!G47+TableC2!R47)/(TableC2!$D$91+TableC2!$O$91)</f>
        <v>11.471609026692352</v>
      </c>
      <c r="H49" s="1453">
        <f>1000*TableA7!$P$91*(TableC2!H47+TableC2!S47)/(TableC2!$D$91+TableC2!$O$91)</f>
        <v>304.58731788211873</v>
      </c>
      <c r="I49" s="1453">
        <f>1000*TableA7!$P$91*(TableC2!I47+TableC2!T47)/(TableC2!$D$91+TableC2!$O$91)</f>
        <v>65.572278886018694</v>
      </c>
      <c r="J49" s="1453">
        <f>1000*TableA7!$P$91*(TableC2!J47+TableC2!U47)/(TableC2!$D$91+TableC2!$O$91)</f>
        <v>55.29014764007659</v>
      </c>
      <c r="K49" s="1453">
        <f>1000*TableA7!$P$91*(TableC2!K47+TableC2!V47)/(TableC2!$D$91+TableC2!$O$91)</f>
        <v>92.152637761907911</v>
      </c>
      <c r="L49" s="1168">
        <f>1000*TableA7!$P$91*(TableC2!M47+TableC2!X47)/(TableC2!$D$91+TableC2!$O$91)</f>
        <v>68.203037266477253</v>
      </c>
      <c r="M49" s="1229">
        <f>1000*TableA7!$P$91*(TableC2!N47+TableC2!Y47)/(TableC2!$D$91+TableC2!$O$91)</f>
        <v>762.53293057368046</v>
      </c>
      <c r="N49" s="1452">
        <f t="shared" si="42"/>
        <v>1403.6174395306298</v>
      </c>
      <c r="O49" s="1746">
        <f t="shared" si="43"/>
        <v>488.94655703740864</v>
      </c>
      <c r="P49" s="1755">
        <f t="shared" si="44"/>
        <v>914.67088249322114</v>
      </c>
      <c r="Q49" s="1453">
        <f t="shared" si="45"/>
        <v>19.206985294682028</v>
      </c>
      <c r="R49" s="1453">
        <f t="shared" si="46"/>
        <v>14.794613971381079</v>
      </c>
      <c r="S49" s="1453">
        <f t="shared" si="47"/>
        <v>228.53942993890854</v>
      </c>
      <c r="T49" s="1453">
        <f t="shared" si="48"/>
        <v>50.008861814604877</v>
      </c>
      <c r="U49" s="1453">
        <f t="shared" si="49"/>
        <v>69.091247911791271</v>
      </c>
      <c r="V49" s="1453">
        <f t="shared" si="50"/>
        <v>107.30541810604083</v>
      </c>
      <c r="W49" s="1168">
        <f t="shared" si="51"/>
        <v>79.106024211457623</v>
      </c>
      <c r="X49" s="1229">
        <f t="shared" si="52"/>
        <v>835.56485828176346</v>
      </c>
      <c r="Y49" s="954"/>
      <c r="Z49" s="954"/>
      <c r="AA49" s="954"/>
      <c r="AB49" s="954"/>
      <c r="AC49" s="954"/>
      <c r="AD49" s="954"/>
      <c r="AE49" s="954"/>
      <c r="AF49" s="954"/>
      <c r="AG49" s="954"/>
      <c r="AH49" s="954"/>
      <c r="AI49" s="954"/>
      <c r="AJ49" s="954"/>
      <c r="AK49" s="954"/>
      <c r="AL49" s="954"/>
    </row>
    <row r="50" spans="1:38" x14ac:dyDescent="0.2">
      <c r="A50" s="954"/>
      <c r="B50" s="955" t="s">
        <v>68</v>
      </c>
      <c r="C50" s="1452">
        <f t="shared" si="53"/>
        <v>1057.5199886874607</v>
      </c>
      <c r="D50" s="1746">
        <f t="shared" si="54"/>
        <v>431.62302661610897</v>
      </c>
      <c r="E50" s="1755">
        <f t="shared" si="55"/>
        <v>625.89696207135182</v>
      </c>
      <c r="F50" s="1168">
        <f>1000*TableA7!$P$91*(TableC2!F48+TableC2!Q48)/(TableC2!$D$91+TableC2!$O$91)</f>
        <v>33.005635988372184</v>
      </c>
      <c r="G50" s="1168">
        <f>1000*TableA7!$P$91*(TableC2!G48+TableC2!R48)/(TableC2!$D$91+TableC2!$O$91)</f>
        <v>8.6429931023024587</v>
      </c>
      <c r="H50" s="1168">
        <f>1000*TableA7!$P$91*(TableC2!H48+TableC2!S48)/(TableC2!$D$91+TableC2!$O$91)</f>
        <v>229.48359566460999</v>
      </c>
      <c r="I50" s="1168">
        <f>1000*TableA7!$P$91*(TableC2!I48+TableC2!T48)/(TableC2!$D$91+TableC2!$O$91)</f>
        <v>49.403771763438748</v>
      </c>
      <c r="J50" s="1168">
        <f>1000*TableA7!$P$91*(TableC2!J48+TableC2!U48)/(TableC2!$D$91+TableC2!$O$91)</f>
        <v>41.656960550742639</v>
      </c>
      <c r="K50" s="1168">
        <f>1000*TableA7!$P$91*(TableC2!K48+TableC2!V48)/(TableC2!$D$91+TableC2!$O$91)</f>
        <v>69.430069546642926</v>
      </c>
      <c r="L50" s="1168">
        <f>1000*TableA7!$P$91*(TableC2!M48+TableC2!X48)/(TableC2!$D$91+TableC2!$O$91)</f>
        <v>51.385849995291089</v>
      </c>
      <c r="M50" s="1229">
        <f>1000*TableA7!$P$91*(TableC2!N48+TableC2!Y48)/(TableC2!$D$91+TableC2!$O$91)</f>
        <v>574.51111207606073</v>
      </c>
      <c r="N50" s="1452">
        <f t="shared" si="42"/>
        <v>1057.5199886874607</v>
      </c>
      <c r="O50" s="1746">
        <f t="shared" si="43"/>
        <v>368.38439228845851</v>
      </c>
      <c r="P50" s="1755">
        <f t="shared" si="44"/>
        <v>689.13559639900222</v>
      </c>
      <c r="Q50" s="1453">
        <f t="shared" si="45"/>
        <v>14.471016317911115</v>
      </c>
      <c r="R50" s="1453">
        <f t="shared" si="46"/>
        <v>11.14662696473917</v>
      </c>
      <c r="S50" s="1453">
        <f t="shared" si="47"/>
        <v>172.1872417347941</v>
      </c>
      <c r="T50" s="1453">
        <f t="shared" si="48"/>
        <v>37.677909586346146</v>
      </c>
      <c r="U50" s="1453">
        <f t="shared" si="49"/>
        <v>52.055049796555068</v>
      </c>
      <c r="V50" s="1453">
        <f t="shared" si="50"/>
        <v>80.846547888112937</v>
      </c>
      <c r="W50" s="1168">
        <f t="shared" si="51"/>
        <v>59.600429200413274</v>
      </c>
      <c r="X50" s="1229">
        <f t="shared" si="52"/>
        <v>629.53516719858897</v>
      </c>
      <c r="Y50" s="954"/>
      <c r="Z50" s="954"/>
      <c r="AA50" s="954"/>
      <c r="AB50" s="954"/>
      <c r="AC50" s="954"/>
      <c r="AD50" s="954"/>
      <c r="AE50" s="954"/>
      <c r="AF50" s="954"/>
      <c r="AG50" s="954"/>
      <c r="AH50" s="954"/>
      <c r="AI50" s="954"/>
      <c r="AJ50" s="954"/>
      <c r="AK50" s="954"/>
      <c r="AL50" s="954"/>
    </row>
    <row r="51" spans="1:38" ht="14.25" customHeight="1" x14ac:dyDescent="0.2">
      <c r="A51" s="954"/>
      <c r="B51" s="955" t="s">
        <v>69</v>
      </c>
      <c r="C51" s="1452">
        <f t="shared" si="53"/>
        <v>9476.3990387445938</v>
      </c>
      <c r="D51" s="1746">
        <f t="shared" si="54"/>
        <v>2762.2316274337295</v>
      </c>
      <c r="E51" s="1755">
        <f t="shared" si="55"/>
        <v>6714.1674113108638</v>
      </c>
      <c r="F51" s="1453">
        <f>1000*TableA7!$P$91*(TableC2!F49+TableC2!Q49)/(TableC2!$D$91+TableC2!$O$91)</f>
        <v>90.297762300830257</v>
      </c>
      <c r="G51" s="1453">
        <f>1000*TableA7!$P$91*(TableC2!G49+TableC2!R49)/(TableC2!$D$91+TableC2!$O$91)</f>
        <v>7.5849917147715615</v>
      </c>
      <c r="H51" s="1453">
        <f>1000*TableA7!$P$91*(TableC2!H49+TableC2!S49)/(TableC2!$D$91+TableC2!$O$91)</f>
        <v>2052.7961140941075</v>
      </c>
      <c r="I51" s="1453">
        <f>1000*TableA7!$P$91*(TableC2!I49+TableC2!T49)/(TableC2!$D$91+TableC2!$O$91)</f>
        <v>136.84646951055055</v>
      </c>
      <c r="J51" s="1453">
        <f>1000*TableA7!$P$91*(TableC2!J49+TableC2!U49)/(TableC2!$D$91+TableC2!$O$91)</f>
        <v>2.3420075135531158</v>
      </c>
      <c r="K51" s="1453">
        <f>1000*TableA7!$P$91*(TableC2!K49+TableC2!V49)/(TableC2!$D$91+TableC2!$O$91)</f>
        <v>472.36428229991668</v>
      </c>
      <c r="L51" s="1168">
        <f>1000*TableA7!$P$91*(TableC2!M49+TableC2!X49)/(TableC2!$D$91+TableC2!$O$91)</f>
        <v>551.23002722221349</v>
      </c>
      <c r="M51" s="1229">
        <f>1000*TableA7!$P$91*(TableC2!N49+TableC2!Y49)/(TableC2!$D$91+TableC2!$O$91)</f>
        <v>6162.9373840886501</v>
      </c>
      <c r="N51" s="1452">
        <f t="shared" si="42"/>
        <v>9476.399038744592</v>
      </c>
      <c r="O51" s="1746">
        <f t="shared" si="43"/>
        <v>2560.7626204795897</v>
      </c>
      <c r="P51" s="1755">
        <f t="shared" si="44"/>
        <v>6915.6364182650032</v>
      </c>
      <c r="Q51" s="1453">
        <f t="shared" si="45"/>
        <v>107.8892090738405</v>
      </c>
      <c r="R51" s="1453">
        <f t="shared" si="46"/>
        <v>28.376316081231376</v>
      </c>
      <c r="S51" s="1453">
        <f t="shared" si="47"/>
        <v>1467.2288788430596</v>
      </c>
      <c r="T51" s="1453">
        <f t="shared" si="48"/>
        <v>205.92452522894831</v>
      </c>
      <c r="U51" s="1453">
        <f t="shared" si="49"/>
        <v>89.567262348868709</v>
      </c>
      <c r="V51" s="1453">
        <f t="shared" si="50"/>
        <v>661.77642890364132</v>
      </c>
      <c r="W51" s="1168">
        <f t="shared" si="51"/>
        <v>491.45584918238114</v>
      </c>
      <c r="X51" s="1229">
        <f t="shared" si="52"/>
        <v>6424.1805690826222</v>
      </c>
      <c r="Y51" s="954"/>
      <c r="Z51" s="954"/>
      <c r="AA51" s="954"/>
      <c r="AB51" s="954"/>
      <c r="AC51" s="954"/>
      <c r="AD51" s="954"/>
      <c r="AE51" s="954"/>
      <c r="AF51" s="954"/>
      <c r="AG51" s="954"/>
      <c r="AH51" s="954"/>
      <c r="AI51" s="954"/>
      <c r="AJ51" s="954"/>
      <c r="AK51" s="954"/>
      <c r="AL51" s="954"/>
    </row>
    <row r="52" spans="1:38" ht="14.25" customHeight="1" x14ac:dyDescent="0.2">
      <c r="A52" s="329" t="s">
        <v>338</v>
      </c>
      <c r="B52" s="955" t="s">
        <v>70</v>
      </c>
      <c r="C52" s="1452">
        <f t="shared" si="53"/>
        <v>11843.104349333911</v>
      </c>
      <c r="D52" s="1746">
        <f t="shared" si="54"/>
        <v>7268.3665538305768</v>
      </c>
      <c r="E52" s="1755">
        <f t="shared" si="55"/>
        <v>4574.7377955033344</v>
      </c>
      <c r="F52" s="1453">
        <f>1000*TableA7!$P$91*(TableC2!F50+TableC2!Q50)/(TableC2!$D$91+TableC2!$O$91)</f>
        <v>371.1875899889485</v>
      </c>
      <c r="G52" s="1453">
        <f>1000*TableA7!$P$91*(TableC2!G50+TableC2!R50)/(TableC2!$D$91+TableC2!$O$91)</f>
        <v>390.01329925665482</v>
      </c>
      <c r="H52" s="1453">
        <f>1000*TableA7!$P$91*(TableC2!H50+TableC2!S50)/(TableC2!$D$91+TableC2!$O$91)</f>
        <v>1241.6960070705322</v>
      </c>
      <c r="I52" s="1453">
        <f>1000*TableA7!$P$91*(TableC2!I50+TableC2!T50)/(TableC2!$D$91+TableC2!$O$91)</f>
        <v>3134.9805065173923</v>
      </c>
      <c r="J52" s="1453">
        <f>1000*TableA7!$P$91*(TableC2!J50+TableC2!U50)/(TableC2!$D$91+TableC2!$O$91)</f>
        <v>22.019758563461046</v>
      </c>
      <c r="K52" s="1453">
        <f>1000*TableA7!$P$91*(TableC2!K50+TableC2!V50)/(TableC2!$D$91+TableC2!$O$91)</f>
        <v>2108.469392433587</v>
      </c>
      <c r="L52" s="1168">
        <f>1000*TableA7!$P$91*(TableC2!M50+TableC2!X50)/(TableC2!$D$91+TableC2!$O$91)</f>
        <v>375.5838490564912</v>
      </c>
      <c r="M52" s="1229">
        <f>1000*TableA7!$P$91*(TableC2!N50+TableC2!Y50)/(TableC2!$D$91+TableC2!$O$91)</f>
        <v>4199.1539464468433</v>
      </c>
      <c r="N52" s="1452">
        <f t="shared" si="42"/>
        <v>11843.104349333909</v>
      </c>
      <c r="O52" s="1746">
        <f t="shared" si="43"/>
        <v>5348.7637363554932</v>
      </c>
      <c r="P52" s="1755">
        <f t="shared" si="44"/>
        <v>6494.3406129784171</v>
      </c>
      <c r="Q52" s="1453">
        <f t="shared" si="45"/>
        <v>320.49366242837351</v>
      </c>
      <c r="R52" s="1453">
        <f t="shared" si="46"/>
        <v>431.29769979193816</v>
      </c>
      <c r="S52" s="1453">
        <f t="shared" si="47"/>
        <v>2013.9676980956676</v>
      </c>
      <c r="T52" s="1453">
        <f t="shared" si="48"/>
        <v>1241.7680614268083</v>
      </c>
      <c r="U52" s="1453">
        <f t="shared" si="49"/>
        <v>186.55819252328047</v>
      </c>
      <c r="V52" s="1453">
        <f t="shared" si="50"/>
        <v>1154.6784220894256</v>
      </c>
      <c r="W52" s="1168">
        <f t="shared" si="51"/>
        <v>1060.4325325829257</v>
      </c>
      <c r="X52" s="1229">
        <f t="shared" si="52"/>
        <v>5433.9080803954912</v>
      </c>
      <c r="Y52" s="954"/>
      <c r="Z52" s="954"/>
      <c r="AA52" s="954"/>
      <c r="AB52" s="954"/>
      <c r="AC52" s="954"/>
      <c r="AD52" s="954"/>
      <c r="AE52" s="954"/>
      <c r="AF52" s="954"/>
      <c r="AG52" s="954"/>
      <c r="AH52" s="954"/>
      <c r="AI52" s="954"/>
      <c r="AJ52" s="954"/>
      <c r="AK52" s="954"/>
      <c r="AL52" s="954"/>
    </row>
    <row r="53" spans="1:38" ht="14.25" customHeight="1" x14ac:dyDescent="0.2">
      <c r="A53" s="954"/>
      <c r="B53" s="955" t="s">
        <v>71</v>
      </c>
      <c r="C53" s="1452">
        <f t="shared" si="53"/>
        <v>4080.6445340819</v>
      </c>
      <c r="D53" s="1746">
        <f t="shared" si="54"/>
        <v>1736.3759125055642</v>
      </c>
      <c r="E53" s="1755">
        <f t="shared" si="55"/>
        <v>2344.268621576336</v>
      </c>
      <c r="F53" s="1453">
        <f>1000*TableA7!$P$91*(TableC2!F51+TableC2!Q51)/(TableC2!$D$91+TableC2!$O$91)</f>
        <v>65.792750937223403</v>
      </c>
      <c r="G53" s="1453">
        <f>1000*TableA7!$P$91*(TableC2!G51+TableC2!R51)/(TableC2!$D$91+TableC2!$O$91)</f>
        <v>6.7422148575747212</v>
      </c>
      <c r="H53" s="1453">
        <f>1000*TableA7!$P$91*(TableC2!H51+TableC2!S51)/(TableC2!$D$91+TableC2!$O$91)</f>
        <v>865.04500725317155</v>
      </c>
      <c r="I53" s="1453">
        <f>1000*TableA7!$P$91*(TableC2!I51+TableC2!T51)/(TableC2!$D$91+TableC2!$O$91)</f>
        <v>350.70360098012389</v>
      </c>
      <c r="J53" s="1453">
        <f>1000*TableA7!$P$91*(TableC2!J51+TableC2!U51)/(TableC2!$D$91+TableC2!$O$91)</f>
        <v>2.1832347006214894</v>
      </c>
      <c r="K53" s="1453">
        <f>1000*TableA7!$P$91*(TableC2!K51+TableC2!V51)/(TableC2!$D$91+TableC2!$O$91)</f>
        <v>445.90910377684901</v>
      </c>
      <c r="L53" s="1168">
        <f>1000*TableA7!$P$91*(TableC2!M51+TableC2!X51)/(TableC2!$D$91+TableC2!$O$91)</f>
        <v>192.46336543690848</v>
      </c>
      <c r="M53" s="1229">
        <f>1000*TableA7!$P$91*(TableC2!N51+TableC2!Y51)/(TableC2!$D$91+TableC2!$O$91)</f>
        <v>2151.8052561394275</v>
      </c>
      <c r="N53" s="1452">
        <f t="shared" si="42"/>
        <v>4080.6445340818996</v>
      </c>
      <c r="O53" s="1746">
        <f t="shared" si="43"/>
        <v>1357.1867514037572</v>
      </c>
      <c r="P53" s="1755">
        <f t="shared" si="44"/>
        <v>2723.4577826781424</v>
      </c>
      <c r="Q53" s="1453">
        <f t="shared" si="45"/>
        <v>74.335092461312357</v>
      </c>
      <c r="R53" s="1453">
        <f t="shared" si="46"/>
        <v>16.764904939351091</v>
      </c>
      <c r="S53" s="1453">
        <f t="shared" si="47"/>
        <v>682.57859963068859</v>
      </c>
      <c r="T53" s="1453">
        <f t="shared" si="48"/>
        <v>190.34405915062598</v>
      </c>
      <c r="U53" s="1453">
        <f t="shared" si="49"/>
        <v>43.332946694770158</v>
      </c>
      <c r="V53" s="1453">
        <f t="shared" si="50"/>
        <v>349.83114852700908</v>
      </c>
      <c r="W53" s="1168">
        <f t="shared" si="51"/>
        <v>275.57412199965535</v>
      </c>
      <c r="X53" s="1229">
        <f t="shared" si="52"/>
        <v>2447.8836606784871</v>
      </c>
      <c r="Y53" s="954"/>
      <c r="Z53" s="954"/>
      <c r="AA53" s="954"/>
      <c r="AB53" s="954"/>
      <c r="AC53" s="954"/>
      <c r="AD53" s="954"/>
      <c r="AE53" s="954"/>
      <c r="AF53" s="954"/>
      <c r="AG53" s="954"/>
      <c r="AH53" s="954"/>
      <c r="AI53" s="954"/>
      <c r="AJ53" s="954"/>
      <c r="AK53" s="954"/>
      <c r="AL53" s="954"/>
    </row>
    <row r="54" spans="1:38" ht="40" hidden="1" customHeight="1" x14ac:dyDescent="0.2">
      <c r="A54" s="954"/>
      <c r="B54" s="1810" t="s">
        <v>72</v>
      </c>
      <c r="C54" s="1452">
        <f>1000*TableA7!$P$91*(TableC2!D52+TableC2!O52)/(TableC2!$D$91+TableC2!$O$91)</f>
        <v>0</v>
      </c>
      <c r="D54" s="1750"/>
      <c r="E54" s="1756"/>
      <c r="F54" s="245">
        <f>1000*TableA7!$P$91*(TableC2!F52+TableC2!Q52)/(TableC2!$D$91+TableC2!$O$91)</f>
        <v>0</v>
      </c>
      <c r="G54" s="245">
        <f>1000*TableA7!$P$91*(TableC2!G52+TableC2!R52)/(TableC2!$D$91+TableC2!$O$91)</f>
        <v>0</v>
      </c>
      <c r="H54" s="245">
        <f>1000*TableA7!$P$91*(TableC2!H52+TableC2!S52)/(TableC2!$D$91+TableC2!$O$91)</f>
        <v>0</v>
      </c>
      <c r="I54" s="13">
        <f>1000*TableA7!$P$91*(TableC2!I52+TableC2!T52)/(TableC2!$D$91+TableC2!$O$91)</f>
        <v>0</v>
      </c>
      <c r="J54" s="13">
        <f>1000*TableA7!$P$91*(TableC2!J52+TableC2!U52)/(TableC2!$D$91+TableC2!$O$91)</f>
        <v>0</v>
      </c>
      <c r="K54" s="13">
        <f>1000*TableA7!$P$91*(TableC2!K52+TableC2!V52)/(TableC2!$D$91+TableC2!$O$91)</f>
        <v>0</v>
      </c>
      <c r="L54" s="13">
        <f>1000*TableA7!$P$91*(TableC2!M52+TableC2!X52)/(TableC2!$D$91+TableC2!$O$91)</f>
        <v>0</v>
      </c>
      <c r="M54" s="632">
        <f>1000*TableA7!$P$91*(TableC2!N52+TableC2!Y52)/(TableC2!$D$91+TableC2!$O$91)</f>
        <v>0</v>
      </c>
      <c r="N54" s="299">
        <v>0</v>
      </c>
      <c r="O54" s="13"/>
      <c r="P54" s="1759"/>
      <c r="Q54" s="245">
        <v>0</v>
      </c>
      <c r="R54" s="245">
        <v>0</v>
      </c>
      <c r="S54" s="245">
        <v>0</v>
      </c>
      <c r="T54" s="13">
        <v>0</v>
      </c>
      <c r="U54" s="13">
        <v>0</v>
      </c>
      <c r="V54" s="13">
        <v>0</v>
      </c>
      <c r="W54" s="13">
        <v>0</v>
      </c>
      <c r="X54" s="632">
        <v>0</v>
      </c>
      <c r="Y54" s="954"/>
      <c r="Z54" s="954"/>
      <c r="AA54" s="954"/>
      <c r="AB54" s="954"/>
      <c r="AC54" s="954"/>
      <c r="AD54" s="954"/>
      <c r="AE54" s="954"/>
      <c r="AF54" s="954"/>
      <c r="AG54" s="954"/>
      <c r="AH54" s="954"/>
      <c r="AI54" s="954"/>
      <c r="AJ54" s="954"/>
      <c r="AK54" s="954"/>
      <c r="AL54" s="954"/>
    </row>
    <row r="55" spans="1:38" ht="14.25" hidden="1" customHeight="1" x14ac:dyDescent="0.2">
      <c r="A55" s="954"/>
      <c r="B55" s="955" t="s">
        <v>73</v>
      </c>
      <c r="C55" s="1452">
        <f>1000*TableA7!$P$91*(TableC2!D53+TableC2!O53)/(TableC2!$D$91+TableC2!$O$91)</f>
        <v>0</v>
      </c>
      <c r="D55" s="1750"/>
      <c r="E55" s="1756"/>
      <c r="F55" s="1153">
        <f>1000*TableA7!$P$91*(TableC2!F53+TableC2!Q53)/(TableC2!$D$91+TableC2!$O$91)</f>
        <v>0</v>
      </c>
      <c r="G55" s="1153">
        <f>1000*TableA7!$P$91*(TableC2!G53+TableC2!R53)/(TableC2!$D$91+TableC2!$O$91)</f>
        <v>0</v>
      </c>
      <c r="H55" s="1153">
        <f>1000*TableA7!$P$91*(TableC2!H53+TableC2!S53)/(TableC2!$D$91+TableC2!$O$91)</f>
        <v>0</v>
      </c>
      <c r="I55" s="1168">
        <f>1000*TableA7!$P$91*(TableC2!I53+TableC2!T53)/(TableC2!$D$91+TableC2!$O$91)</f>
        <v>0</v>
      </c>
      <c r="J55" s="1168">
        <f>1000*TableA7!$P$91*(TableC2!J53+TableC2!U53)/(TableC2!$D$91+TableC2!$O$91)</f>
        <v>0</v>
      </c>
      <c r="K55" s="1168">
        <f>1000*TableA7!$P$91*(TableC2!K53+TableC2!V53)/(TableC2!$D$91+TableC2!$O$91)</f>
        <v>0</v>
      </c>
      <c r="L55" s="1168">
        <f>1000*TableA7!$P$91*(TableC2!M53+TableC2!X53)/(TableC2!$D$91+TableC2!$O$91)</f>
        <v>0</v>
      </c>
      <c r="M55" s="1229">
        <f>1000*TableA7!$P$91*(TableC2!N53+TableC2!Y53)/(TableC2!$D$91+TableC2!$O$91)</f>
        <v>0</v>
      </c>
      <c r="N55" s="1459">
        <v>0</v>
      </c>
      <c r="O55" s="1753"/>
      <c r="P55" s="1760"/>
      <c r="Q55" s="1453">
        <f t="shared" ref="Q55:Q90" si="56">+SUMPRODUCT($F55:$M55,$AE$66:$AL$66)</f>
        <v>0</v>
      </c>
      <c r="R55" s="1453">
        <f t="shared" ref="R55:R90" si="57">+SUMPRODUCT($F55:$M55,$AE$67:$AL$67)</f>
        <v>0</v>
      </c>
      <c r="S55" s="1453">
        <f t="shared" ref="S55:S90" si="58">+SUMPRODUCT($F55:$M55,$AE$68:$AL$68)</f>
        <v>0</v>
      </c>
      <c r="T55" s="1453">
        <f t="shared" ref="T55:T90" si="59">+SUMPRODUCT($F55:$M55,$AE$69:$AL$69)</f>
        <v>0</v>
      </c>
      <c r="U55" s="1453">
        <f t="shared" ref="U55:U90" si="60">+SUMPRODUCT($F55:$M55,$AE$70:$AL$70)</f>
        <v>0</v>
      </c>
      <c r="V55" s="1453">
        <f t="shared" ref="V55:V90" si="61">+SUMPRODUCT($F55:$M55,$AE$71:$AL$71)</f>
        <v>0</v>
      </c>
      <c r="W55" s="1168">
        <f t="shared" ref="W55:W90" si="62">+SUMPRODUCT($F55:$M55,$AE$72:$AL$72)</f>
        <v>0</v>
      </c>
      <c r="X55" s="1229">
        <f t="shared" ref="X55:X90" si="63">+SUMPRODUCT($F55:$M55,$AE$73:$AL$73)</f>
        <v>0</v>
      </c>
      <c r="Y55" s="954"/>
      <c r="Z55" s="954"/>
      <c r="AA55" s="954"/>
      <c r="AB55" s="954"/>
      <c r="AC55" s="954"/>
      <c r="AD55" s="954"/>
      <c r="AE55" s="954">
        <f>+TableC4x!AE51</f>
        <v>1.3156054921771854E-2</v>
      </c>
      <c r="AF55" s="954">
        <f>+TableC4x!AF51</f>
        <v>0</v>
      </c>
      <c r="AG55" s="954">
        <f>+TableC4x!AG51</f>
        <v>2.1027378247023165E-2</v>
      </c>
      <c r="AH55" s="954">
        <f>+TableC4x!AH51</f>
        <v>3.2062503349144303E-2</v>
      </c>
      <c r="AI55" s="954">
        <f>+TableC4x!AI51</f>
        <v>0</v>
      </c>
      <c r="AJ55" s="954">
        <f>+TableC4x!AJ51</f>
        <v>8.3220806142414241E-2</v>
      </c>
      <c r="AK55" s="954">
        <f>+TableC4x!AK51</f>
        <v>3.5988876995160027E-2</v>
      </c>
      <c r="AL55" s="954">
        <f>+TableC4x!AL51</f>
        <v>0</v>
      </c>
    </row>
    <row r="56" spans="1:38" ht="14.25" hidden="1" customHeight="1" x14ac:dyDescent="0.2">
      <c r="A56" s="954"/>
      <c r="B56" s="955" t="s">
        <v>74</v>
      </c>
      <c r="C56" s="1452">
        <f>1000*TableA7!$P$91*(TableC2!D54+TableC2!O54)/(TableC2!$D$91+TableC2!$O$91)</f>
        <v>0</v>
      </c>
      <c r="D56" s="1750"/>
      <c r="E56" s="1756"/>
      <c r="F56" s="1153">
        <f>1000*TableA7!$P$91*(TableC2!F54+TableC2!Q54)/(TableC2!$D$91+TableC2!$O$91)</f>
        <v>0</v>
      </c>
      <c r="G56" s="1153">
        <f>1000*TableA7!$P$91*(TableC2!G54+TableC2!R54)/(TableC2!$D$91+TableC2!$O$91)</f>
        <v>0</v>
      </c>
      <c r="H56" s="1153">
        <f>1000*TableA7!$P$91*(TableC2!H54+TableC2!S54)/(TableC2!$D$91+TableC2!$O$91)</f>
        <v>0</v>
      </c>
      <c r="I56" s="1168">
        <f>1000*TableA7!$P$91*(TableC2!I54+TableC2!T54)/(TableC2!$D$91+TableC2!$O$91)</f>
        <v>0</v>
      </c>
      <c r="J56" s="1168">
        <f>1000*TableA7!$P$91*(TableC2!J54+TableC2!U54)/(TableC2!$D$91+TableC2!$O$91)</f>
        <v>0</v>
      </c>
      <c r="K56" s="1168">
        <f>1000*TableA7!$P$91*(TableC2!K54+TableC2!V54)/(TableC2!$D$91+TableC2!$O$91)</f>
        <v>0</v>
      </c>
      <c r="L56" s="1168">
        <f>1000*TableA7!$P$91*(TableC2!M54+TableC2!X54)/(TableC2!$D$91+TableC2!$O$91)</f>
        <v>0</v>
      </c>
      <c r="M56" s="1229">
        <f>1000*TableA7!$P$91*(TableC2!N54+TableC2!Y54)/(TableC2!$D$91+TableC2!$O$91)</f>
        <v>0</v>
      </c>
      <c r="N56" s="1459">
        <v>0</v>
      </c>
      <c r="O56" s="1753"/>
      <c r="P56" s="1760"/>
      <c r="Q56" s="1453">
        <f t="shared" si="56"/>
        <v>0</v>
      </c>
      <c r="R56" s="1453">
        <f t="shared" si="57"/>
        <v>0</v>
      </c>
      <c r="S56" s="1453">
        <f t="shared" si="58"/>
        <v>0</v>
      </c>
      <c r="T56" s="1453">
        <f t="shared" si="59"/>
        <v>0</v>
      </c>
      <c r="U56" s="1453">
        <f t="shared" si="60"/>
        <v>0</v>
      </c>
      <c r="V56" s="1453">
        <f t="shared" si="61"/>
        <v>0</v>
      </c>
      <c r="W56" s="1168">
        <f t="shared" si="62"/>
        <v>0</v>
      </c>
      <c r="X56" s="1229">
        <f t="shared" si="63"/>
        <v>0</v>
      </c>
      <c r="Y56" s="954"/>
      <c r="Z56" s="954"/>
      <c r="AA56" s="954"/>
      <c r="AB56" s="954"/>
      <c r="AC56" s="954"/>
      <c r="AD56" s="954"/>
      <c r="AE56" s="954">
        <f>+TableC4x!AE52</f>
        <v>1.1350097129326076E-2</v>
      </c>
      <c r="AF56" s="954">
        <f>+TableC4x!AF52</f>
        <v>1</v>
      </c>
      <c r="AG56" s="954">
        <f>+TableC4x!AG52</f>
        <v>3.2931743099270126E-5</v>
      </c>
      <c r="AH56" s="954">
        <f>+TableC4x!AH52</f>
        <v>7.6566674554956471E-3</v>
      </c>
      <c r="AI56" s="954">
        <f>+TableC4x!AI52</f>
        <v>0</v>
      </c>
      <c r="AJ56" s="954">
        <f>+TableC4x!AJ52</f>
        <v>1.7854378987558053E-4</v>
      </c>
      <c r="AK56" s="954">
        <f>+TableC4x!AK52</f>
        <v>2.7572562502523714E-3</v>
      </c>
      <c r="AL56" s="954">
        <f>+TableC4x!AL52</f>
        <v>2.7660228752252776E-3</v>
      </c>
    </row>
    <row r="57" spans="1:38" ht="14.25" hidden="1" customHeight="1" x14ac:dyDescent="0.2">
      <c r="A57" s="954"/>
      <c r="B57" s="955" t="str">
        <f>+TableA1!A56</f>
        <v>Antigua and Barbuda</v>
      </c>
      <c r="C57" s="1452">
        <f>1000*TableA7!$P$91*(TableC2!D55+TableC2!O55)/(TableC2!$D$91+TableC2!$O$91)</f>
        <v>0</v>
      </c>
      <c r="D57" s="1750"/>
      <c r="E57" s="1756"/>
      <c r="F57" s="1153">
        <f>1000*TableA7!$P$91*(TableC2!F55+TableC2!Q55)/(TableC2!$D$91+TableC2!$O$91)</f>
        <v>0</v>
      </c>
      <c r="G57" s="1153">
        <f>1000*TableA7!$P$91*(TableC2!G55+TableC2!R55)/(TableC2!$D$91+TableC2!$O$91)</f>
        <v>0</v>
      </c>
      <c r="H57" s="1153">
        <f>1000*TableA7!$P$91*(TableC2!H55+TableC2!S55)/(TableC2!$D$91+TableC2!$O$91)</f>
        <v>0</v>
      </c>
      <c r="I57" s="1168">
        <f>1000*TableA7!$P$91*(TableC2!I55+TableC2!T55)/(TableC2!$D$91+TableC2!$O$91)</f>
        <v>0</v>
      </c>
      <c r="J57" s="1168">
        <f>1000*TableA7!$P$91*(TableC2!J55+TableC2!U55)/(TableC2!$D$91+TableC2!$O$91)</f>
        <v>0</v>
      </c>
      <c r="K57" s="1168">
        <f>1000*TableA7!$P$91*(TableC2!K55+TableC2!V55)/(TableC2!$D$91+TableC2!$O$91)</f>
        <v>0</v>
      </c>
      <c r="L57" s="1168">
        <f>1000*TableA7!$P$91*(TableC2!M55+TableC2!X55)/(TableC2!$D$91+TableC2!$O$91)</f>
        <v>0</v>
      </c>
      <c r="M57" s="1229">
        <f>1000*TableA7!$P$91*(TableC2!N55+TableC2!Y55)/(TableC2!$D$91+TableC2!$O$91)</f>
        <v>0</v>
      </c>
      <c r="N57" s="1459">
        <v>0</v>
      </c>
      <c r="O57" s="1753"/>
      <c r="P57" s="1760"/>
      <c r="Q57" s="1453">
        <f t="shared" si="56"/>
        <v>0</v>
      </c>
      <c r="R57" s="1453">
        <f t="shared" si="57"/>
        <v>0</v>
      </c>
      <c r="S57" s="1453">
        <f t="shared" si="58"/>
        <v>0</v>
      </c>
      <c r="T57" s="1453">
        <f t="shared" si="59"/>
        <v>0</v>
      </c>
      <c r="U57" s="1453">
        <f t="shared" si="60"/>
        <v>0</v>
      </c>
      <c r="V57" s="1453">
        <f t="shared" si="61"/>
        <v>0</v>
      </c>
      <c r="W57" s="1168">
        <f t="shared" si="62"/>
        <v>0</v>
      </c>
      <c r="X57" s="1229">
        <f t="shared" si="63"/>
        <v>0</v>
      </c>
      <c r="Y57" s="954"/>
      <c r="Z57" s="954"/>
      <c r="AA57" s="954"/>
      <c r="AB57" s="954"/>
      <c r="AC57" s="954"/>
      <c r="AD57" s="954"/>
      <c r="AE57" s="954">
        <f>+TableC4x!AE53</f>
        <v>0.42082270990149789</v>
      </c>
      <c r="AF57" s="954">
        <f>+TableC4x!AF53</f>
        <v>0</v>
      </c>
      <c r="AG57" s="954">
        <f>+TableC4x!AG53</f>
        <v>0.35050929813553466</v>
      </c>
      <c r="AH57" s="954">
        <f>+TableC4x!AH53</f>
        <v>0.24954501918761166</v>
      </c>
      <c r="AI57" s="954">
        <f>+TableC4x!AI53</f>
        <v>0</v>
      </c>
      <c r="AJ57" s="954">
        <f>+TableC4x!AJ53</f>
        <v>0.10070665416112184</v>
      </c>
      <c r="AK57" s="954">
        <f>+TableC4x!AK53</f>
        <v>0.14037608601858761</v>
      </c>
      <c r="AL57" s="954">
        <f>+TableC4x!AL53</f>
        <v>8.9341538837610715E-2</v>
      </c>
    </row>
    <row r="58" spans="1:38" ht="14.25" hidden="1" customHeight="1" x14ac:dyDescent="0.2">
      <c r="A58" s="954"/>
      <c r="B58" s="955" t="s">
        <v>76</v>
      </c>
      <c r="C58" s="1452">
        <f>1000*TableA7!$P$91*(TableC2!D56+TableC2!O56)/(TableC2!$D$91+TableC2!$O$91)</f>
        <v>0</v>
      </c>
      <c r="D58" s="1750"/>
      <c r="E58" s="1756"/>
      <c r="F58" s="1153">
        <f>1000*TableA7!$P$91*(TableC2!F56+TableC2!Q56)/(TableC2!$D$91+TableC2!$O$91)</f>
        <v>0</v>
      </c>
      <c r="G58" s="1153">
        <f>1000*TableA7!$P$91*(TableC2!G56+TableC2!R56)/(TableC2!$D$91+TableC2!$O$91)</f>
        <v>0</v>
      </c>
      <c r="H58" s="1153">
        <f>1000*TableA7!$P$91*(TableC2!H56+TableC2!S56)/(TableC2!$D$91+TableC2!$O$91)</f>
        <v>0</v>
      </c>
      <c r="I58" s="1168">
        <f>1000*TableA7!$P$91*(TableC2!I56+TableC2!T56)/(TableC2!$D$91+TableC2!$O$91)</f>
        <v>0</v>
      </c>
      <c r="J58" s="1168">
        <f>1000*TableA7!$P$91*(TableC2!J56+TableC2!U56)/(TableC2!$D$91+TableC2!$O$91)</f>
        <v>0</v>
      </c>
      <c r="K58" s="1168">
        <f>1000*TableA7!$P$91*(TableC2!K56+TableC2!V56)/(TableC2!$D$91+TableC2!$O$91)</f>
        <v>0</v>
      </c>
      <c r="L58" s="1168">
        <f>1000*TableA7!$P$91*(TableC2!M56+TableC2!X56)/(TableC2!$D$91+TableC2!$O$91)</f>
        <v>0</v>
      </c>
      <c r="M58" s="1229">
        <f>1000*TableA7!$P$91*(TableC2!N56+TableC2!Y56)/(TableC2!$D$91+TableC2!$O$91)</f>
        <v>0</v>
      </c>
      <c r="N58" s="1459">
        <v>0</v>
      </c>
      <c r="O58" s="1753"/>
      <c r="P58" s="1760"/>
      <c r="Q58" s="1453">
        <f t="shared" si="56"/>
        <v>0</v>
      </c>
      <c r="R58" s="1453">
        <f t="shared" si="57"/>
        <v>0</v>
      </c>
      <c r="S58" s="1453">
        <f t="shared" si="58"/>
        <v>0</v>
      </c>
      <c r="T58" s="1453">
        <f t="shared" si="59"/>
        <v>0</v>
      </c>
      <c r="U58" s="1453">
        <f t="shared" si="60"/>
        <v>0</v>
      </c>
      <c r="V58" s="1453">
        <f t="shared" si="61"/>
        <v>0</v>
      </c>
      <c r="W58" s="1168">
        <f t="shared" si="62"/>
        <v>0</v>
      </c>
      <c r="X58" s="1229">
        <f t="shared" si="63"/>
        <v>0</v>
      </c>
      <c r="Y58" s="954"/>
      <c r="Z58" s="954"/>
      <c r="AA58" s="954"/>
      <c r="AB58" s="954"/>
      <c r="AC58" s="954"/>
      <c r="AD58" s="954"/>
      <c r="AE58" s="954">
        <f>+TableC4x!AE54</f>
        <v>0.19781425288944915</v>
      </c>
      <c r="AF58" s="954">
        <f>+TableC4x!AF54</f>
        <v>0</v>
      </c>
      <c r="AG58" s="954">
        <f>+TableC4x!AG54</f>
        <v>2.3099299451586702E-2</v>
      </c>
      <c r="AH58" s="954">
        <f>+TableC4x!AH54</f>
        <v>0.3187337348777961</v>
      </c>
      <c r="AI58" s="954">
        <f>+TableC4x!AI54</f>
        <v>0</v>
      </c>
      <c r="AJ58" s="954">
        <f>+TableC4x!AJ54</f>
        <v>4.1601354325983483E-2</v>
      </c>
      <c r="AK58" s="954">
        <f>+TableC4x!AK54</f>
        <v>0.14036900142829006</v>
      </c>
      <c r="AL58" s="954">
        <f>+TableC4x!AL54</f>
        <v>0</v>
      </c>
    </row>
    <row r="59" spans="1:38" ht="14.25" hidden="1" customHeight="1" x14ac:dyDescent="0.2">
      <c r="A59" s="329" t="s">
        <v>77</v>
      </c>
      <c r="B59" s="955" t="s">
        <v>152</v>
      </c>
      <c r="C59" s="1452">
        <f>1000*TableA7!$P$91*(TableC2!D57+TableC2!O57)/(TableC2!$D$91+TableC2!$O$91)</f>
        <v>0</v>
      </c>
      <c r="D59" s="1750"/>
      <c r="E59" s="1756"/>
      <c r="F59" s="1153">
        <f>1000*TableA7!$P$91*(TableC2!F57+TableC2!Q57)/(TableC2!$D$91+TableC2!$O$91)</f>
        <v>0</v>
      </c>
      <c r="G59" s="1153">
        <f>1000*TableA7!$P$91*(TableC2!G57+TableC2!R57)/(TableC2!$D$91+TableC2!$O$91)</f>
        <v>0</v>
      </c>
      <c r="H59" s="1153">
        <f>1000*TableA7!$P$91*(TableC2!H57+TableC2!S57)/(TableC2!$D$91+TableC2!$O$91)</f>
        <v>0</v>
      </c>
      <c r="I59" s="1168">
        <f>1000*TableA7!$P$91*(TableC2!I57+TableC2!T57)/(TableC2!$D$91+TableC2!$O$91)</f>
        <v>0</v>
      </c>
      <c r="J59" s="1168">
        <f>1000*TableA7!$P$91*(TableC2!J57+TableC2!U57)/(TableC2!$D$91+TableC2!$O$91)</f>
        <v>0</v>
      </c>
      <c r="K59" s="1168">
        <f>1000*TableA7!$P$91*(TableC2!K57+TableC2!V57)/(TableC2!$D$91+TableC2!$O$91)</f>
        <v>0</v>
      </c>
      <c r="L59" s="1168">
        <f>1000*TableA7!$P$91*(TableC2!M57+TableC2!X57)/(TableC2!$D$91+TableC2!$O$91)</f>
        <v>0</v>
      </c>
      <c r="M59" s="1229">
        <f>1000*TableA7!$P$91*(TableC2!N57+TableC2!Y57)/(TableC2!$D$91+TableC2!$O$91)</f>
        <v>0</v>
      </c>
      <c r="N59" s="1459">
        <v>0</v>
      </c>
      <c r="O59" s="1753"/>
      <c r="P59" s="1760"/>
      <c r="Q59" s="1453">
        <f t="shared" si="56"/>
        <v>0</v>
      </c>
      <c r="R59" s="1453">
        <f t="shared" si="57"/>
        <v>0</v>
      </c>
      <c r="S59" s="1453">
        <f t="shared" si="58"/>
        <v>0</v>
      </c>
      <c r="T59" s="1453">
        <f t="shared" si="59"/>
        <v>0</v>
      </c>
      <c r="U59" s="1453">
        <f t="shared" si="60"/>
        <v>0</v>
      </c>
      <c r="V59" s="1453">
        <f t="shared" si="61"/>
        <v>0</v>
      </c>
      <c r="W59" s="1168">
        <f t="shared" si="62"/>
        <v>0</v>
      </c>
      <c r="X59" s="1229">
        <f t="shared" si="63"/>
        <v>0</v>
      </c>
      <c r="Y59" s="954"/>
      <c r="Z59" s="954"/>
      <c r="AA59" s="954"/>
      <c r="AB59" s="954"/>
      <c r="AC59" s="954"/>
      <c r="AD59" s="954"/>
      <c r="AE59" s="954">
        <f>+TableC4x!AE55</f>
        <v>4.7539048172534647E-2</v>
      </c>
      <c r="AF59" s="954">
        <f>+TableC4x!AF55</f>
        <v>0</v>
      </c>
      <c r="AG59" s="954">
        <f>+TableC4x!AG55</f>
        <v>1.9608844479923395E-4</v>
      </c>
      <c r="AH59" s="954">
        <f>+TableC4x!AH55</f>
        <v>2.9541300346180445E-2</v>
      </c>
      <c r="AI59" s="954">
        <f>+TableC4x!AI55</f>
        <v>1</v>
      </c>
      <c r="AJ59" s="954">
        <f>+TableC4x!AJ55</f>
        <v>3.1331110662627089E-4</v>
      </c>
      <c r="AK59" s="954">
        <f>+TableC4x!AK55</f>
        <v>1.1364422497616567E-2</v>
      </c>
      <c r="AL59" s="954">
        <f>+TableC4x!AL55</f>
        <v>1.1694914375754321E-2</v>
      </c>
    </row>
    <row r="60" spans="1:38" ht="14.25" hidden="1" customHeight="1" x14ac:dyDescent="0.2">
      <c r="A60" s="329" t="s">
        <v>340</v>
      </c>
      <c r="B60" s="955" t="s">
        <v>78</v>
      </c>
      <c r="C60" s="1452">
        <f>1000*TableA7!$P$91*(TableC2!D58+TableC2!O58)/(TableC2!$D$91+TableC2!$O$91)</f>
        <v>0</v>
      </c>
      <c r="D60" s="1750"/>
      <c r="E60" s="1756"/>
      <c r="F60" s="1153">
        <f>1000*TableA7!$P$91*(TableC2!F58+TableC2!Q58)/(TableC2!$D$91+TableC2!$O$91)</f>
        <v>0</v>
      </c>
      <c r="G60" s="1153">
        <f>1000*TableA7!$P$91*(TableC2!G58+TableC2!R58)/(TableC2!$D$91+TableC2!$O$91)</f>
        <v>0</v>
      </c>
      <c r="H60" s="1153">
        <f>1000*TableA7!$P$91*(TableC2!H58+TableC2!S58)/(TableC2!$D$91+TableC2!$O$91)</f>
        <v>0</v>
      </c>
      <c r="I60" s="1168">
        <f>1000*TableA7!$P$91*(TableC2!I58+TableC2!T58)/(TableC2!$D$91+TableC2!$O$91)</f>
        <v>0</v>
      </c>
      <c r="J60" s="1168">
        <f>1000*TableA7!$P$91*(TableC2!J58+TableC2!U58)/(TableC2!$D$91+TableC2!$O$91)</f>
        <v>0</v>
      </c>
      <c r="K60" s="1168">
        <f>1000*TableA7!$P$91*(TableC2!K58+TableC2!V58)/(TableC2!$D$91+TableC2!$O$91)</f>
        <v>0</v>
      </c>
      <c r="L60" s="1168">
        <f>1000*TableA7!$P$91*(TableC2!M58+TableC2!X58)/(TableC2!$D$91+TableC2!$O$91)</f>
        <v>0</v>
      </c>
      <c r="M60" s="1229">
        <f>1000*TableA7!$P$91*(TableC2!N58+TableC2!Y58)/(TableC2!$D$91+TableC2!$O$91)</f>
        <v>0</v>
      </c>
      <c r="N60" s="1459">
        <v>0</v>
      </c>
      <c r="O60" s="1753"/>
      <c r="P60" s="1760"/>
      <c r="Q60" s="1453">
        <f t="shared" si="56"/>
        <v>0</v>
      </c>
      <c r="R60" s="1453">
        <f t="shared" si="57"/>
        <v>0</v>
      </c>
      <c r="S60" s="1453">
        <f t="shared" si="58"/>
        <v>0</v>
      </c>
      <c r="T60" s="1453">
        <f t="shared" si="59"/>
        <v>0</v>
      </c>
      <c r="U60" s="1453">
        <f t="shared" si="60"/>
        <v>0</v>
      </c>
      <c r="V60" s="1453">
        <f t="shared" si="61"/>
        <v>0</v>
      </c>
      <c r="W60" s="1168">
        <f t="shared" si="62"/>
        <v>0</v>
      </c>
      <c r="X60" s="1229">
        <f t="shared" si="63"/>
        <v>0</v>
      </c>
      <c r="Y60" s="954"/>
      <c r="Z60" s="954"/>
      <c r="AA60" s="954"/>
      <c r="AB60" s="954"/>
      <c r="AC60" s="954"/>
      <c r="AD60" s="954"/>
      <c r="AE60" s="954">
        <f>+TableC4x!AE56</f>
        <v>0.15563117895981135</v>
      </c>
      <c r="AF60" s="954">
        <f>+TableC4x!AF56</f>
        <v>0</v>
      </c>
      <c r="AG60" s="954">
        <f>+TableC4x!AG56</f>
        <v>0.16605835956332329</v>
      </c>
      <c r="AH60" s="954">
        <f>+TableC4x!AH56</f>
        <v>0.10483220922531135</v>
      </c>
      <c r="AI60" s="954">
        <f>+TableC4x!AI56</f>
        <v>0</v>
      </c>
      <c r="AJ60" s="954">
        <f>+TableC4x!AJ56</f>
        <v>0.20305200061975415</v>
      </c>
      <c r="AK60" s="954">
        <f>+TableC4x!AK56</f>
        <v>0.16859701815626024</v>
      </c>
      <c r="AL60" s="954">
        <f>+TableC4x!AL56</f>
        <v>1.681716863923282E-2</v>
      </c>
    </row>
    <row r="61" spans="1:38" ht="14.25" hidden="1" customHeight="1" x14ac:dyDescent="0.2">
      <c r="A61" s="954"/>
      <c r="B61" s="955" t="str">
        <f>+TableA1!A60</f>
        <v>Barbados</v>
      </c>
      <c r="C61" s="1452">
        <f>1000*TableA7!$P$91*(TableC2!D59+TableC2!O59)/(TableC2!$D$91+TableC2!$O$91)</f>
        <v>0</v>
      </c>
      <c r="D61" s="1750"/>
      <c r="E61" s="1756"/>
      <c r="F61" s="1153">
        <f>1000*TableA7!$P$91*(TableC2!F59+TableC2!Q59)/(TableC2!$D$91+TableC2!$O$91)</f>
        <v>0</v>
      </c>
      <c r="G61" s="1153">
        <f>1000*TableA7!$P$91*(TableC2!G59+TableC2!R59)/(TableC2!$D$91+TableC2!$O$91)</f>
        <v>0</v>
      </c>
      <c r="H61" s="1153">
        <f>1000*TableA7!$P$91*(TableC2!H59+TableC2!S59)/(TableC2!$D$91+TableC2!$O$91)</f>
        <v>0</v>
      </c>
      <c r="I61" s="1168">
        <f>1000*TableA7!$P$91*(TableC2!I59+TableC2!T59)/(TableC2!$D$91+TableC2!$O$91)</f>
        <v>0</v>
      </c>
      <c r="J61" s="1168">
        <f>1000*TableA7!$P$91*(TableC2!J59+TableC2!U59)/(TableC2!$D$91+TableC2!$O$91)</f>
        <v>0</v>
      </c>
      <c r="K61" s="1168">
        <f>1000*TableA7!$P$91*(TableC2!K59+TableC2!V59)/(TableC2!$D$91+TableC2!$O$91)</f>
        <v>0</v>
      </c>
      <c r="L61" s="1168">
        <f>1000*TableA7!$P$91*(TableC2!M59+TableC2!X59)/(TableC2!$D$91+TableC2!$O$91)</f>
        <v>0</v>
      </c>
      <c r="M61" s="1229">
        <f>1000*TableA7!$P$91*(TableC2!N59+TableC2!Y59)/(TableC2!$D$91+TableC2!$O$91)</f>
        <v>0</v>
      </c>
      <c r="N61" s="1459">
        <v>0</v>
      </c>
      <c r="O61" s="1753"/>
      <c r="P61" s="1760"/>
      <c r="Q61" s="1453">
        <f t="shared" si="56"/>
        <v>0</v>
      </c>
      <c r="R61" s="1453">
        <f t="shared" si="57"/>
        <v>0</v>
      </c>
      <c r="S61" s="1453">
        <f t="shared" si="58"/>
        <v>0</v>
      </c>
      <c r="T61" s="1453">
        <f t="shared" si="59"/>
        <v>0</v>
      </c>
      <c r="U61" s="1453">
        <f t="shared" si="60"/>
        <v>0</v>
      </c>
      <c r="V61" s="1453">
        <f t="shared" si="61"/>
        <v>0</v>
      </c>
      <c r="W61" s="1168">
        <f t="shared" si="62"/>
        <v>0</v>
      </c>
      <c r="X61" s="1229">
        <f t="shared" si="63"/>
        <v>0</v>
      </c>
      <c r="Y61" s="954"/>
      <c r="Z61" s="954"/>
      <c r="AA61" s="954"/>
      <c r="AB61" s="954"/>
      <c r="AC61" s="954"/>
      <c r="AD61" s="954"/>
      <c r="AE61" s="954">
        <f>+TableC4x!AE57</f>
        <v>0.12406614179616818</v>
      </c>
      <c r="AF61" s="954">
        <f>+TableC4x!AF57</f>
        <v>0</v>
      </c>
      <c r="AG61" s="954">
        <f>+TableC4x!AG57</f>
        <v>3.7860858532582815E-2</v>
      </c>
      <c r="AH61" s="954">
        <f>+TableC4x!AH57</f>
        <v>8.4861839410136003E-2</v>
      </c>
      <c r="AI61" s="954">
        <f>+TableC4x!AI57</f>
        <v>0</v>
      </c>
      <c r="AJ61" s="954">
        <f>+TableC4x!AJ57</f>
        <v>0.24346160157873961</v>
      </c>
      <c r="AK61" s="954">
        <f>+TableC4x!AK57</f>
        <v>0.50054733865383305</v>
      </c>
      <c r="AL61" s="954">
        <f>+TableC4x!AL57</f>
        <v>0</v>
      </c>
    </row>
    <row r="62" spans="1:38" ht="14.25" hidden="1" customHeight="1" x14ac:dyDescent="0.2">
      <c r="A62" s="954"/>
      <c r="B62" s="955" t="s">
        <v>80</v>
      </c>
      <c r="C62" s="1452">
        <f>1000*TableA7!$P$91*(TableC2!D60+TableC2!O60)/(TableC2!$D$91+TableC2!$O$91)</f>
        <v>0</v>
      </c>
      <c r="D62" s="1750"/>
      <c r="E62" s="1756"/>
      <c r="F62" s="1153">
        <f>1000*TableA7!$P$91*(TableC2!F60+TableC2!Q60)/(TableC2!$D$91+TableC2!$O$91)</f>
        <v>0</v>
      </c>
      <c r="G62" s="1153">
        <f>1000*TableA7!$P$91*(TableC2!G60+TableC2!R60)/(TableC2!$D$91+TableC2!$O$91)</f>
        <v>0</v>
      </c>
      <c r="H62" s="1153">
        <f>1000*TableA7!$P$91*(TableC2!H60+TableC2!S60)/(TableC2!$D$91+TableC2!$O$91)</f>
        <v>0</v>
      </c>
      <c r="I62" s="1168">
        <f>1000*TableA7!$P$91*(TableC2!I60+TableC2!T60)/(TableC2!$D$91+TableC2!$O$91)</f>
        <v>0</v>
      </c>
      <c r="J62" s="1168">
        <f>1000*TableA7!$P$91*(TableC2!J60+TableC2!U60)/(TableC2!$D$91+TableC2!$O$91)</f>
        <v>0</v>
      </c>
      <c r="K62" s="1168">
        <f>1000*TableA7!$P$91*(TableC2!K60+TableC2!V60)/(TableC2!$D$91+TableC2!$O$91)</f>
        <v>0</v>
      </c>
      <c r="L62" s="1168">
        <f>1000*TableA7!$P$91*(TableC2!M60+TableC2!X60)/(TableC2!$D$91+TableC2!$O$91)</f>
        <v>0</v>
      </c>
      <c r="M62" s="1229">
        <f>1000*TableA7!$P$91*(TableC2!N60+TableC2!Y60)/(TableC2!$D$91+TableC2!$O$91)</f>
        <v>0</v>
      </c>
      <c r="N62" s="1459">
        <v>0</v>
      </c>
      <c r="O62" s="1753"/>
      <c r="P62" s="1760"/>
      <c r="Q62" s="1453">
        <f t="shared" si="56"/>
        <v>0</v>
      </c>
      <c r="R62" s="1453">
        <f t="shared" si="57"/>
        <v>0</v>
      </c>
      <c r="S62" s="1453">
        <f t="shared" si="58"/>
        <v>0</v>
      </c>
      <c r="T62" s="1453">
        <f t="shared" si="59"/>
        <v>0</v>
      </c>
      <c r="U62" s="1453">
        <f t="shared" si="60"/>
        <v>0</v>
      </c>
      <c r="V62" s="1453">
        <f t="shared" si="61"/>
        <v>0</v>
      </c>
      <c r="W62" s="1168">
        <f t="shared" si="62"/>
        <v>0</v>
      </c>
      <c r="X62" s="1229">
        <f t="shared" si="63"/>
        <v>0</v>
      </c>
      <c r="Y62" s="954"/>
      <c r="Z62" s="954"/>
      <c r="AA62" s="954"/>
      <c r="AB62" s="954"/>
      <c r="AC62" s="954"/>
      <c r="AD62" s="954"/>
      <c r="AE62" s="954">
        <f>+TableC4x!AE58</f>
        <v>2.9620516229440969E-2</v>
      </c>
      <c r="AF62" s="954">
        <f>+TableC4x!AF58</f>
        <v>0</v>
      </c>
      <c r="AG62" s="954">
        <f>+TableC4x!AG58</f>
        <v>0.40121578588205087</v>
      </c>
      <c r="AH62" s="954">
        <f>+TableC4x!AH58</f>
        <v>0.17276672614832453</v>
      </c>
      <c r="AI62" s="954">
        <f>+TableC4x!AI58</f>
        <v>0</v>
      </c>
      <c r="AJ62" s="954">
        <f>+TableC4x!AJ58</f>
        <v>0.32746572827548487</v>
      </c>
      <c r="AK62" s="954">
        <f>+TableC4x!AK58</f>
        <v>0</v>
      </c>
      <c r="AL62" s="954">
        <f>+TableC4x!AL58</f>
        <v>0.87938035527217684</v>
      </c>
    </row>
    <row r="63" spans="1:38" ht="14.25" hidden="1" customHeight="1" x14ac:dyDescent="0.2">
      <c r="A63" s="954"/>
      <c r="B63" s="955" t="s">
        <v>81</v>
      </c>
      <c r="C63" s="1452">
        <f>1000*TableA7!$P$91*(TableC2!D61+TableC2!O61)/(TableC2!$D$91+TableC2!$O$91)</f>
        <v>0</v>
      </c>
      <c r="D63" s="1750"/>
      <c r="E63" s="1756"/>
      <c r="F63" s="1153">
        <f>1000*TableA7!$P$91*(TableC2!F61+TableC2!Q61)/(TableC2!$D$91+TableC2!$O$91)</f>
        <v>0</v>
      </c>
      <c r="G63" s="1153">
        <f>1000*TableA7!$P$91*(TableC2!G61+TableC2!R61)/(TableC2!$D$91+TableC2!$O$91)</f>
        <v>0</v>
      </c>
      <c r="H63" s="1153">
        <f>1000*TableA7!$P$91*(TableC2!H61+TableC2!S61)/(TableC2!$D$91+TableC2!$O$91)</f>
        <v>0</v>
      </c>
      <c r="I63" s="1168">
        <f>1000*TableA7!$P$91*(TableC2!I61+TableC2!T61)/(TableC2!$D$91+TableC2!$O$91)</f>
        <v>0</v>
      </c>
      <c r="J63" s="1168">
        <f>1000*TableA7!$P$91*(TableC2!J61+TableC2!U61)/(TableC2!$D$91+TableC2!$O$91)</f>
        <v>0</v>
      </c>
      <c r="K63" s="1168">
        <f>1000*TableA7!$P$91*(TableC2!K61+TableC2!V61)/(TableC2!$D$91+TableC2!$O$91)</f>
        <v>0</v>
      </c>
      <c r="L63" s="1168">
        <f>1000*TableA7!$P$91*(TableC2!M61+TableC2!X61)/(TableC2!$D$91+TableC2!$O$91)</f>
        <v>0</v>
      </c>
      <c r="M63" s="1229">
        <f>1000*TableA7!$P$91*(TableC2!N61+TableC2!Y61)/(TableC2!$D$91+TableC2!$O$91)</f>
        <v>0</v>
      </c>
      <c r="N63" s="1459">
        <v>0</v>
      </c>
      <c r="O63" s="1753"/>
      <c r="P63" s="1760"/>
      <c r="Q63" s="1453">
        <f t="shared" si="56"/>
        <v>0</v>
      </c>
      <c r="R63" s="1453">
        <f t="shared" si="57"/>
        <v>0</v>
      </c>
      <c r="S63" s="1453">
        <f t="shared" si="58"/>
        <v>0</v>
      </c>
      <c r="T63" s="1453">
        <f t="shared" si="59"/>
        <v>0</v>
      </c>
      <c r="U63" s="1453">
        <f t="shared" si="60"/>
        <v>0</v>
      </c>
      <c r="V63" s="1453">
        <f t="shared" si="61"/>
        <v>0</v>
      </c>
      <c r="W63" s="1168">
        <f t="shared" si="62"/>
        <v>0</v>
      </c>
      <c r="X63" s="1229">
        <f t="shared" si="63"/>
        <v>0</v>
      </c>
      <c r="Y63" s="954"/>
      <c r="Z63" s="954"/>
      <c r="AA63" s="954"/>
      <c r="AB63" s="954"/>
      <c r="AC63" s="954"/>
      <c r="AD63" s="954"/>
      <c r="AE63" s="954"/>
      <c r="AF63" s="954"/>
      <c r="AG63" s="954"/>
      <c r="AH63" s="954"/>
      <c r="AI63" s="954"/>
      <c r="AJ63" s="954"/>
      <c r="AK63" s="954"/>
      <c r="AL63" s="954"/>
    </row>
    <row r="64" spans="1:38" ht="14.25" hidden="1" customHeight="1" x14ac:dyDescent="0.2">
      <c r="A64" s="329" t="s">
        <v>645</v>
      </c>
      <c r="B64" s="955" t="s">
        <v>82</v>
      </c>
      <c r="C64" s="1452">
        <f>1000*TableA7!$P$91*(TableC2!D62+TableC2!O62)/(TableC2!$D$91+TableC2!$O$91)</f>
        <v>0</v>
      </c>
      <c r="D64" s="1750"/>
      <c r="E64" s="1756"/>
      <c r="F64" s="1153">
        <f>1000*TableA7!$P$91*(TableC2!F62+TableC2!Q62)/(TableC2!$D$91+TableC2!$O$91)</f>
        <v>0</v>
      </c>
      <c r="G64" s="1153">
        <f>1000*TableA7!$P$91*(TableC2!G62+TableC2!R62)/(TableC2!$D$91+TableC2!$O$91)</f>
        <v>0</v>
      </c>
      <c r="H64" s="1153">
        <f>1000*TableA7!$P$91*(TableC2!H62+TableC2!S62)/(TableC2!$D$91+TableC2!$O$91)</f>
        <v>0</v>
      </c>
      <c r="I64" s="1168">
        <f>1000*TableA7!$P$91*(TableC2!I62+TableC2!T62)/(TableC2!$D$91+TableC2!$O$91)</f>
        <v>0</v>
      </c>
      <c r="J64" s="1168">
        <f>1000*TableA7!$P$91*(TableC2!J62+TableC2!U62)/(TableC2!$D$91+TableC2!$O$91)</f>
        <v>0</v>
      </c>
      <c r="K64" s="1168">
        <f>1000*TableA7!$P$91*(TableC2!K62+TableC2!V62)/(TableC2!$D$91+TableC2!$O$91)</f>
        <v>0</v>
      </c>
      <c r="L64" s="1168">
        <f>1000*TableA7!$P$91*(TableC2!M62+TableC2!X62)/(TableC2!$D$91+TableC2!$O$91)</f>
        <v>0</v>
      </c>
      <c r="M64" s="1229">
        <f>1000*TableA7!$P$91*(TableC2!N62+TableC2!Y62)/(TableC2!$D$91+TableC2!$O$91)</f>
        <v>0</v>
      </c>
      <c r="N64" s="1459">
        <v>0</v>
      </c>
      <c r="O64" s="1753"/>
      <c r="P64" s="1760"/>
      <c r="Q64" s="1453">
        <f t="shared" si="56"/>
        <v>0</v>
      </c>
      <c r="R64" s="1453">
        <f t="shared" si="57"/>
        <v>0</v>
      </c>
      <c r="S64" s="1453">
        <f t="shared" si="58"/>
        <v>0</v>
      </c>
      <c r="T64" s="1453">
        <f t="shared" si="59"/>
        <v>0</v>
      </c>
      <c r="U64" s="1453">
        <f t="shared" si="60"/>
        <v>0</v>
      </c>
      <c r="V64" s="1453">
        <f t="shared" si="61"/>
        <v>0</v>
      </c>
      <c r="W64" s="1168">
        <f t="shared" si="62"/>
        <v>0</v>
      </c>
      <c r="X64" s="1229">
        <f t="shared" si="63"/>
        <v>0</v>
      </c>
      <c r="Y64" s="954"/>
      <c r="Z64" s="954"/>
      <c r="AA64" s="954"/>
      <c r="AB64" s="954"/>
      <c r="AC64" s="954"/>
      <c r="AD64" s="954"/>
      <c r="AE64" s="954"/>
      <c r="AF64" s="954"/>
      <c r="AG64" s="954"/>
      <c r="AH64" s="954"/>
      <c r="AI64" s="954"/>
      <c r="AJ64" s="954"/>
      <c r="AK64" s="954"/>
      <c r="AL64" s="954"/>
    </row>
    <row r="65" spans="1:47" ht="14.25" hidden="1" customHeight="1" x14ac:dyDescent="0.2">
      <c r="A65" s="329" t="s">
        <v>372</v>
      </c>
      <c r="B65" s="955" t="s">
        <v>153</v>
      </c>
      <c r="C65" s="1452">
        <f>1000*TableA7!$P$91*(TableC2!D63+TableC2!O63)/(TableC2!$D$91+TableC2!$O$91)</f>
        <v>0</v>
      </c>
      <c r="D65" s="1750"/>
      <c r="E65" s="1756"/>
      <c r="F65" s="1153">
        <f>1000*TableA7!$P$91*(TableC2!F63+TableC2!Q63)/(TableC2!$D$91+TableC2!$O$91)</f>
        <v>0</v>
      </c>
      <c r="G65" s="1153">
        <f>1000*TableA7!$P$91*(TableC2!G63+TableC2!R63)/(TableC2!$D$91+TableC2!$O$91)</f>
        <v>0</v>
      </c>
      <c r="H65" s="1153">
        <f>1000*TableA7!$P$91*(TableC2!H63+TableC2!S63)/(TableC2!$D$91+TableC2!$O$91)</f>
        <v>0</v>
      </c>
      <c r="I65" s="1168">
        <f>1000*TableA7!$P$91*(TableC2!I63+TableC2!T63)/(TableC2!$D$91+TableC2!$O$91)</f>
        <v>0</v>
      </c>
      <c r="J65" s="1168">
        <f>1000*TableA7!$P$91*(TableC2!J63+TableC2!U63)/(TableC2!$D$91+TableC2!$O$91)</f>
        <v>0</v>
      </c>
      <c r="K65" s="1168">
        <f>1000*TableA7!$P$91*(TableC2!K63+TableC2!V63)/(TableC2!$D$91+TableC2!$O$91)</f>
        <v>0</v>
      </c>
      <c r="L65" s="1168">
        <f>1000*TableA7!$P$91*(TableC2!M63+TableC2!X63)/(TableC2!$D$91+TableC2!$O$91)</f>
        <v>0</v>
      </c>
      <c r="M65" s="1229">
        <f>1000*TableA7!$P$91*(TableC2!N63+TableC2!Y63)/(TableC2!$D$91+TableC2!$O$91)</f>
        <v>0</v>
      </c>
      <c r="N65" s="1459">
        <v>0</v>
      </c>
      <c r="O65" s="1753"/>
      <c r="P65" s="1760"/>
      <c r="Q65" s="1453">
        <f t="shared" si="56"/>
        <v>0</v>
      </c>
      <c r="R65" s="1453">
        <f t="shared" si="57"/>
        <v>0</v>
      </c>
      <c r="S65" s="1453">
        <f t="shared" si="58"/>
        <v>0</v>
      </c>
      <c r="T65" s="1453">
        <f t="shared" si="59"/>
        <v>0</v>
      </c>
      <c r="U65" s="1453">
        <f t="shared" si="60"/>
        <v>0</v>
      </c>
      <c r="V65" s="1453">
        <f t="shared" si="61"/>
        <v>0</v>
      </c>
      <c r="W65" s="1168">
        <f t="shared" si="62"/>
        <v>0</v>
      </c>
      <c r="X65" s="1229">
        <f t="shared" si="63"/>
        <v>0</v>
      </c>
      <c r="Y65" s="954"/>
      <c r="Z65" s="954"/>
      <c r="AA65" s="954"/>
      <c r="AB65" s="954"/>
      <c r="AC65" s="954"/>
      <c r="AD65" s="954"/>
      <c r="AE65" s="954"/>
      <c r="AF65" s="954"/>
      <c r="AG65" s="954"/>
      <c r="AH65" s="954"/>
      <c r="AI65" s="954"/>
      <c r="AJ65" s="954"/>
      <c r="AK65" s="954"/>
      <c r="AL65" s="954"/>
      <c r="AM65" s="954" t="s">
        <v>752</v>
      </c>
      <c r="AN65" s="954"/>
      <c r="AO65" s="954"/>
      <c r="AP65" s="954"/>
      <c r="AQ65" s="954"/>
      <c r="AR65" s="954"/>
      <c r="AS65" s="954"/>
      <c r="AT65" s="954"/>
      <c r="AU65" s="954"/>
    </row>
    <row r="66" spans="1:47" ht="14.25" hidden="1" customHeight="1" x14ac:dyDescent="0.2">
      <c r="A66" s="954"/>
      <c r="B66" s="123" t="s">
        <v>84</v>
      </c>
      <c r="C66" s="1452">
        <f>1000*TableA7!$P$91*(TableC2!D64+TableC2!O64)/(TableC2!$D$91+TableC2!$O$91)</f>
        <v>0</v>
      </c>
      <c r="D66" s="1750"/>
      <c r="E66" s="1756"/>
      <c r="F66" s="1153">
        <f>1000*TableA7!$P$91*(TableC2!F64+TableC2!Q64)/(TableC2!$D$91+TableC2!$O$91)</f>
        <v>0</v>
      </c>
      <c r="G66" s="1153">
        <f>1000*TableA7!$P$91*(TableC2!G64+TableC2!R64)/(TableC2!$D$91+TableC2!$O$91)</f>
        <v>0</v>
      </c>
      <c r="H66" s="1153">
        <f>1000*TableA7!$P$91*(TableC2!H64+TableC2!S64)/(TableC2!$D$91+TableC2!$O$91)</f>
        <v>0</v>
      </c>
      <c r="I66" s="1168">
        <f>1000*TableA7!$P$91*(TableC2!I64+TableC2!T64)/(TableC2!$D$91+TableC2!$O$91)</f>
        <v>0</v>
      </c>
      <c r="J66" s="1168">
        <f>1000*TableA7!$P$91*(TableC2!J64+TableC2!U64)/(TableC2!$D$91+TableC2!$O$91)</f>
        <v>0</v>
      </c>
      <c r="K66" s="1168">
        <f>1000*TableA7!$P$91*(TableC2!K64+TableC2!V64)/(TableC2!$D$91+TableC2!$O$91)</f>
        <v>0</v>
      </c>
      <c r="L66" s="1168">
        <f>1000*TableA7!$P$91*(TableC2!M64+TableC2!X64)/(TableC2!$D$91+TableC2!$O$91)</f>
        <v>0</v>
      </c>
      <c r="M66" s="1229">
        <f>1000*TableA7!$P$91*(TableC2!N64+TableC2!Y64)/(TableC2!$D$91+TableC2!$O$91)</f>
        <v>0</v>
      </c>
      <c r="N66" s="1459">
        <v>0</v>
      </c>
      <c r="O66" s="1753"/>
      <c r="P66" s="1760"/>
      <c r="Q66" s="1453">
        <f t="shared" si="56"/>
        <v>0</v>
      </c>
      <c r="R66" s="1453">
        <f t="shared" si="57"/>
        <v>0</v>
      </c>
      <c r="S66" s="1453">
        <f t="shared" si="58"/>
        <v>0</v>
      </c>
      <c r="T66" s="1453">
        <f t="shared" si="59"/>
        <v>0</v>
      </c>
      <c r="U66" s="1453">
        <f t="shared" si="60"/>
        <v>0</v>
      </c>
      <c r="V66" s="1453">
        <f t="shared" si="61"/>
        <v>0</v>
      </c>
      <c r="W66" s="1168">
        <f t="shared" si="62"/>
        <v>0</v>
      </c>
      <c r="X66" s="1229">
        <f t="shared" si="63"/>
        <v>0</v>
      </c>
      <c r="Y66" s="954"/>
      <c r="Z66" s="954"/>
      <c r="AA66" s="954"/>
      <c r="AB66" s="954"/>
      <c r="AC66" s="954"/>
      <c r="AD66" s="954"/>
      <c r="AE66" s="954">
        <f>+AE55*$AM66</f>
        <v>1.3156054921771854E-2</v>
      </c>
      <c r="AF66" s="954">
        <f t="shared" ref="AF66:AL66" si="64">+AF55*$AM66</f>
        <v>0</v>
      </c>
      <c r="AG66" s="954">
        <f t="shared" si="64"/>
        <v>2.1027378247023165E-2</v>
      </c>
      <c r="AH66" s="954">
        <f t="shared" si="64"/>
        <v>3.2062503349144303E-2</v>
      </c>
      <c r="AI66" s="954">
        <f t="shared" si="64"/>
        <v>0</v>
      </c>
      <c r="AJ66" s="954">
        <f t="shared" si="64"/>
        <v>8.3220806142414241E-2</v>
      </c>
      <c r="AK66" s="954">
        <f t="shared" si="64"/>
        <v>3.5988876995160027E-2</v>
      </c>
      <c r="AL66" s="954">
        <f t="shared" si="64"/>
        <v>0</v>
      </c>
      <c r="AM66" s="954">
        <v>1</v>
      </c>
      <c r="AN66" s="954"/>
      <c r="AO66" s="954"/>
      <c r="AP66" s="954"/>
      <c r="AQ66" s="954"/>
      <c r="AR66" s="954"/>
      <c r="AS66" s="954"/>
      <c r="AT66" s="954"/>
      <c r="AU66" s="954"/>
    </row>
    <row r="67" spans="1:47" ht="14.25" hidden="1" customHeight="1" x14ac:dyDescent="0.2">
      <c r="A67" s="954"/>
      <c r="B67" s="955" t="s">
        <v>85</v>
      </c>
      <c r="C67" s="1452">
        <f>1000*TableA7!$P$91*(TableC2!D65+TableC2!O65)/(TableC2!$D$91+TableC2!$O$91)</f>
        <v>0</v>
      </c>
      <c r="D67" s="1750"/>
      <c r="E67" s="1756"/>
      <c r="F67" s="1153">
        <f>1000*TableA7!$P$91*(TableC2!F65+TableC2!Q65)/(TableC2!$D$91+TableC2!$O$91)</f>
        <v>0</v>
      </c>
      <c r="G67" s="1153">
        <f>1000*TableA7!$P$91*(TableC2!G65+TableC2!R65)/(TableC2!$D$91+TableC2!$O$91)</f>
        <v>0</v>
      </c>
      <c r="H67" s="1153">
        <f>1000*TableA7!$P$91*(TableC2!H65+TableC2!S65)/(TableC2!$D$91+TableC2!$O$91)</f>
        <v>0</v>
      </c>
      <c r="I67" s="1168">
        <f>1000*TableA7!$P$91*(TableC2!I65+TableC2!T65)/(TableC2!$D$91+TableC2!$O$91)</f>
        <v>0</v>
      </c>
      <c r="J67" s="1168">
        <f>1000*TableA7!$P$91*(TableC2!J65+TableC2!U65)/(TableC2!$D$91+TableC2!$O$91)</f>
        <v>0</v>
      </c>
      <c r="K67" s="1168">
        <f>1000*TableA7!$P$91*(TableC2!K65+TableC2!V65)/(TableC2!$D$91+TableC2!$O$91)</f>
        <v>0</v>
      </c>
      <c r="L67" s="1168">
        <f>1000*TableA7!$P$91*(TableC2!M65+TableC2!X65)/(TableC2!$D$91+TableC2!$O$91)</f>
        <v>0</v>
      </c>
      <c r="M67" s="1229">
        <f>1000*TableA7!$P$91*(TableC2!N65+TableC2!Y65)/(TableC2!$D$91+TableC2!$O$91)</f>
        <v>0</v>
      </c>
      <c r="N67" s="1459">
        <v>0</v>
      </c>
      <c r="O67" s="1753"/>
      <c r="P67" s="1760"/>
      <c r="Q67" s="1453">
        <f t="shared" si="56"/>
        <v>0</v>
      </c>
      <c r="R67" s="1453">
        <f t="shared" si="57"/>
        <v>0</v>
      </c>
      <c r="S67" s="1453">
        <f t="shared" si="58"/>
        <v>0</v>
      </c>
      <c r="T67" s="1453">
        <f t="shared" si="59"/>
        <v>0</v>
      </c>
      <c r="U67" s="1453">
        <f t="shared" si="60"/>
        <v>0</v>
      </c>
      <c r="V67" s="1453">
        <f t="shared" si="61"/>
        <v>0</v>
      </c>
      <c r="W67" s="1168">
        <f t="shared" si="62"/>
        <v>0</v>
      </c>
      <c r="X67" s="1229">
        <f t="shared" si="63"/>
        <v>0</v>
      </c>
      <c r="Y67" s="954"/>
      <c r="Z67" s="954"/>
      <c r="AA67" s="954"/>
      <c r="AB67" s="954"/>
      <c r="AC67" s="954"/>
      <c r="AD67" s="954"/>
      <c r="AE67" s="954">
        <f t="shared" ref="AE67:AL67" si="65">+AE56*$AM67</f>
        <v>1.1350097129326076E-2</v>
      </c>
      <c r="AF67" s="954">
        <f t="shared" si="65"/>
        <v>1</v>
      </c>
      <c r="AG67" s="954">
        <f t="shared" si="65"/>
        <v>3.2931743099270126E-5</v>
      </c>
      <c r="AH67" s="954">
        <f t="shared" si="65"/>
        <v>7.6566674554956471E-3</v>
      </c>
      <c r="AI67" s="954">
        <f t="shared" si="65"/>
        <v>0</v>
      </c>
      <c r="AJ67" s="954">
        <f t="shared" si="65"/>
        <v>1.7854378987558053E-4</v>
      </c>
      <c r="AK67" s="954">
        <f t="shared" si="65"/>
        <v>2.7572562502523714E-3</v>
      </c>
      <c r="AL67" s="954">
        <f t="shared" si="65"/>
        <v>2.7660228752252776E-3</v>
      </c>
      <c r="AM67" s="954">
        <v>1</v>
      </c>
      <c r="AN67" s="954"/>
      <c r="AO67" s="954"/>
      <c r="AP67" s="954"/>
      <c r="AQ67" s="954"/>
      <c r="AR67" s="954"/>
      <c r="AS67" s="954"/>
      <c r="AT67" s="954"/>
      <c r="AU67" s="954"/>
    </row>
    <row r="68" spans="1:47" ht="14.25" hidden="1" customHeight="1" x14ac:dyDescent="0.2">
      <c r="A68" s="954"/>
      <c r="B68" s="955" t="str">
        <f>+TableA1!A67</f>
        <v>Cyprus</v>
      </c>
      <c r="C68" s="1452">
        <f>1000*TableA7!$P$91*(TableC2!D66+TableC2!O66)/(TableC2!$D$91+TableC2!$O$91)</f>
        <v>0</v>
      </c>
      <c r="D68" s="1750"/>
      <c r="E68" s="1756"/>
      <c r="F68" s="1153">
        <f>1000*TableA7!$P$91*(TableC2!F66+TableC2!Q66)/(TableC2!$D$91+TableC2!$O$91)</f>
        <v>0</v>
      </c>
      <c r="G68" s="1153">
        <f>1000*TableA7!$P$91*(TableC2!G66+TableC2!R66)/(TableC2!$D$91+TableC2!$O$91)</f>
        <v>0</v>
      </c>
      <c r="H68" s="1153">
        <f>1000*TableA7!$P$91*(TableC2!H66+TableC2!S66)/(TableC2!$D$91+TableC2!$O$91)</f>
        <v>0</v>
      </c>
      <c r="I68" s="1168">
        <f>1000*TableA7!$P$91*(TableC2!I66+TableC2!T66)/(TableC2!$D$91+TableC2!$O$91)</f>
        <v>0</v>
      </c>
      <c r="J68" s="1168">
        <f>1000*TableA7!$P$91*(TableC2!J66+TableC2!U66)/(TableC2!$D$91+TableC2!$O$91)</f>
        <v>0</v>
      </c>
      <c r="K68" s="1168">
        <f>1000*TableA7!$P$91*(TableC2!K66+TableC2!V66)/(TableC2!$D$91+TableC2!$O$91)</f>
        <v>0</v>
      </c>
      <c r="L68" s="1168">
        <f>1000*TableA7!$P$91*(TableC2!M66+TableC2!X66)/(TableC2!$D$91+TableC2!$O$91)</f>
        <v>0</v>
      </c>
      <c r="M68" s="1229">
        <f>1000*TableA7!$P$91*(TableC2!N66+TableC2!Y66)/(TableC2!$D$91+TableC2!$O$91)</f>
        <v>0</v>
      </c>
      <c r="N68" s="1459">
        <v>0</v>
      </c>
      <c r="O68" s="1753"/>
      <c r="P68" s="1760"/>
      <c r="Q68" s="1453">
        <f t="shared" si="56"/>
        <v>0</v>
      </c>
      <c r="R68" s="1453">
        <f t="shared" si="57"/>
        <v>0</v>
      </c>
      <c r="S68" s="1453">
        <f t="shared" si="58"/>
        <v>0</v>
      </c>
      <c r="T68" s="1453">
        <f t="shared" si="59"/>
        <v>0</v>
      </c>
      <c r="U68" s="1453">
        <f t="shared" si="60"/>
        <v>0</v>
      </c>
      <c r="V68" s="1453">
        <f t="shared" si="61"/>
        <v>0</v>
      </c>
      <c r="W68" s="1168">
        <f t="shared" si="62"/>
        <v>0</v>
      </c>
      <c r="X68" s="1229">
        <f t="shared" si="63"/>
        <v>0</v>
      </c>
      <c r="Y68" s="954"/>
      <c r="Z68" s="954"/>
      <c r="AA68" s="954"/>
      <c r="AB68" s="954"/>
      <c r="AC68" s="954"/>
      <c r="AD68" s="954"/>
      <c r="AE68" s="954">
        <f t="shared" ref="AE68:AL68" si="66">+AE57*$AM68</f>
        <v>0.42082270990149789</v>
      </c>
      <c r="AF68" s="954">
        <f t="shared" si="66"/>
        <v>0</v>
      </c>
      <c r="AG68" s="954">
        <f t="shared" si="66"/>
        <v>0.35050929813553466</v>
      </c>
      <c r="AH68" s="954">
        <f t="shared" si="66"/>
        <v>0.24954501918761166</v>
      </c>
      <c r="AI68" s="954">
        <f t="shared" si="66"/>
        <v>0</v>
      </c>
      <c r="AJ68" s="954">
        <f t="shared" si="66"/>
        <v>0.10070665416112184</v>
      </c>
      <c r="AK68" s="954">
        <f t="shared" si="66"/>
        <v>0.14037608601858761</v>
      </c>
      <c r="AL68" s="954">
        <f t="shared" si="66"/>
        <v>8.9341538837610715E-2</v>
      </c>
      <c r="AM68" s="954">
        <v>1</v>
      </c>
      <c r="AN68" s="954"/>
      <c r="AO68" s="954"/>
      <c r="AP68" s="954"/>
      <c r="AQ68" s="954"/>
      <c r="AR68" s="954"/>
      <c r="AS68" s="954"/>
      <c r="AT68" s="954"/>
      <c r="AU68" s="954"/>
    </row>
    <row r="69" spans="1:47" ht="14.25" hidden="1" customHeight="1" x14ac:dyDescent="0.2">
      <c r="A69" s="954"/>
      <c r="B69" s="955" t="s">
        <v>87</v>
      </c>
      <c r="C69" s="1452">
        <f>1000*TableA7!$P$91*(TableC2!D67+TableC2!O67)/(TableC2!$D$91+TableC2!$O$91)</f>
        <v>0</v>
      </c>
      <c r="D69" s="1750"/>
      <c r="E69" s="1756"/>
      <c r="F69" s="1153">
        <f>1000*TableA7!$P$91*(TableC2!F67+TableC2!Q67)/(TableC2!$D$91+TableC2!$O$91)</f>
        <v>0</v>
      </c>
      <c r="G69" s="1153">
        <f>1000*TableA7!$P$91*(TableC2!G67+TableC2!R67)/(TableC2!$D$91+TableC2!$O$91)</f>
        <v>0</v>
      </c>
      <c r="H69" s="1153">
        <f>1000*TableA7!$P$91*(TableC2!H67+TableC2!S67)/(TableC2!$D$91+TableC2!$O$91)</f>
        <v>0</v>
      </c>
      <c r="I69" s="1168">
        <f>1000*TableA7!$P$91*(TableC2!I67+TableC2!T67)/(TableC2!$D$91+TableC2!$O$91)</f>
        <v>0</v>
      </c>
      <c r="J69" s="1168">
        <f>1000*TableA7!$P$91*(TableC2!J67+TableC2!U67)/(TableC2!$D$91+TableC2!$O$91)</f>
        <v>0</v>
      </c>
      <c r="K69" s="1168">
        <f>1000*TableA7!$P$91*(TableC2!K67+TableC2!V67)/(TableC2!$D$91+TableC2!$O$91)</f>
        <v>0</v>
      </c>
      <c r="L69" s="1168">
        <f>1000*TableA7!$P$91*(TableC2!M67+TableC2!X67)/(TableC2!$D$91+TableC2!$O$91)</f>
        <v>0</v>
      </c>
      <c r="M69" s="1229">
        <f>1000*TableA7!$P$91*(TableC2!N67+TableC2!Y67)/(TableC2!$D$91+TableC2!$O$91)</f>
        <v>0</v>
      </c>
      <c r="N69" s="1459">
        <v>0</v>
      </c>
      <c r="O69" s="1753"/>
      <c r="P69" s="1760"/>
      <c r="Q69" s="1453">
        <f t="shared" si="56"/>
        <v>0</v>
      </c>
      <c r="R69" s="1453">
        <f t="shared" si="57"/>
        <v>0</v>
      </c>
      <c r="S69" s="1453">
        <f t="shared" si="58"/>
        <v>0</v>
      </c>
      <c r="T69" s="1453">
        <f t="shared" si="59"/>
        <v>0</v>
      </c>
      <c r="U69" s="1453">
        <f t="shared" si="60"/>
        <v>0</v>
      </c>
      <c r="V69" s="1453">
        <f t="shared" si="61"/>
        <v>0</v>
      </c>
      <c r="W69" s="1168">
        <f t="shared" si="62"/>
        <v>0</v>
      </c>
      <c r="X69" s="1229">
        <f t="shared" si="63"/>
        <v>0</v>
      </c>
      <c r="Y69" s="954"/>
      <c r="Z69" s="954"/>
      <c r="AA69" s="954"/>
      <c r="AB69" s="954"/>
      <c r="AC69" s="954"/>
      <c r="AD69" s="954"/>
      <c r="AE69" s="954">
        <f t="shared" ref="AE69:AL69" si="67">+AE58*$AM69</f>
        <v>0.19781425288944915</v>
      </c>
      <c r="AF69" s="954">
        <f t="shared" si="67"/>
        <v>0</v>
      </c>
      <c r="AG69" s="954">
        <f t="shared" si="67"/>
        <v>2.3099299451586702E-2</v>
      </c>
      <c r="AH69" s="954">
        <f t="shared" si="67"/>
        <v>0.3187337348777961</v>
      </c>
      <c r="AI69" s="954">
        <f t="shared" si="67"/>
        <v>0</v>
      </c>
      <c r="AJ69" s="954">
        <f t="shared" si="67"/>
        <v>4.1601354325983483E-2</v>
      </c>
      <c r="AK69" s="954">
        <f t="shared" si="67"/>
        <v>0.14036900142829006</v>
      </c>
      <c r="AL69" s="954">
        <f t="shared" si="67"/>
        <v>0</v>
      </c>
      <c r="AM69" s="954">
        <v>1</v>
      </c>
      <c r="AN69" s="954"/>
      <c r="AO69" s="954"/>
      <c r="AP69" s="954"/>
      <c r="AQ69" s="954"/>
      <c r="AR69" s="954"/>
      <c r="AS69" s="954"/>
      <c r="AT69" s="954"/>
      <c r="AU69" s="954"/>
    </row>
    <row r="70" spans="1:47" ht="14.25" hidden="1" customHeight="1" x14ac:dyDescent="0.2">
      <c r="A70" s="954"/>
      <c r="B70" s="955" t="str">
        <f>+TableA1!A69</f>
        <v>Grenada</v>
      </c>
      <c r="C70" s="1452">
        <f>1000*TableA7!$P$91*(TableC2!D68+TableC2!O68)/(TableC2!$D$91+TableC2!$O$91)</f>
        <v>0</v>
      </c>
      <c r="D70" s="1750"/>
      <c r="E70" s="1756"/>
      <c r="F70" s="1153">
        <f>1000*TableA7!$P$91*(TableC2!F68+TableC2!Q68)/(TableC2!$D$91+TableC2!$O$91)</f>
        <v>0</v>
      </c>
      <c r="G70" s="1153">
        <f>1000*TableA7!$P$91*(TableC2!G68+TableC2!R68)/(TableC2!$D$91+TableC2!$O$91)</f>
        <v>0</v>
      </c>
      <c r="H70" s="1153">
        <f>1000*TableA7!$P$91*(TableC2!H68+TableC2!S68)/(TableC2!$D$91+TableC2!$O$91)</f>
        <v>0</v>
      </c>
      <c r="I70" s="1168">
        <f>1000*TableA7!$P$91*(TableC2!I68+TableC2!T68)/(TableC2!$D$91+TableC2!$O$91)</f>
        <v>0</v>
      </c>
      <c r="J70" s="1168">
        <f>1000*TableA7!$P$91*(TableC2!J68+TableC2!U68)/(TableC2!$D$91+TableC2!$O$91)</f>
        <v>0</v>
      </c>
      <c r="K70" s="1168">
        <f>1000*TableA7!$P$91*(TableC2!K68+TableC2!V68)/(TableC2!$D$91+TableC2!$O$91)</f>
        <v>0</v>
      </c>
      <c r="L70" s="1168">
        <f>1000*TableA7!$P$91*(TableC2!M68+TableC2!X68)/(TableC2!$D$91+TableC2!$O$91)</f>
        <v>0</v>
      </c>
      <c r="M70" s="1229">
        <f>1000*TableA7!$P$91*(TableC2!N68+TableC2!Y68)/(TableC2!$D$91+TableC2!$O$91)</f>
        <v>0</v>
      </c>
      <c r="N70" s="1459">
        <v>0</v>
      </c>
      <c r="O70" s="1753"/>
      <c r="P70" s="1760"/>
      <c r="Q70" s="1453">
        <f t="shared" si="56"/>
        <v>0</v>
      </c>
      <c r="R70" s="1453">
        <f t="shared" si="57"/>
        <v>0</v>
      </c>
      <c r="S70" s="1453">
        <f t="shared" si="58"/>
        <v>0</v>
      </c>
      <c r="T70" s="1453">
        <f t="shared" si="59"/>
        <v>0</v>
      </c>
      <c r="U70" s="1453">
        <f t="shared" si="60"/>
        <v>0</v>
      </c>
      <c r="V70" s="1453">
        <f t="shared" si="61"/>
        <v>0</v>
      </c>
      <c r="W70" s="1168">
        <f t="shared" si="62"/>
        <v>0</v>
      </c>
      <c r="X70" s="1229">
        <f t="shared" si="63"/>
        <v>0</v>
      </c>
      <c r="Y70" s="954"/>
      <c r="Z70" s="954"/>
      <c r="AA70" s="954"/>
      <c r="AB70" s="954"/>
      <c r="AC70" s="954"/>
      <c r="AD70" s="954"/>
      <c r="AE70" s="954">
        <f t="shared" ref="AE70:AL70" si="68">+AE59*$AM70</f>
        <v>4.7539048172534647E-2</v>
      </c>
      <c r="AF70" s="954">
        <f t="shared" si="68"/>
        <v>0</v>
      </c>
      <c r="AG70" s="954">
        <f t="shared" si="68"/>
        <v>1.9608844479923395E-4</v>
      </c>
      <c r="AH70" s="954">
        <f t="shared" si="68"/>
        <v>2.9541300346180445E-2</v>
      </c>
      <c r="AI70" s="954">
        <f t="shared" si="68"/>
        <v>1</v>
      </c>
      <c r="AJ70" s="954">
        <f t="shared" si="68"/>
        <v>3.1331110662627089E-4</v>
      </c>
      <c r="AK70" s="954">
        <f t="shared" si="68"/>
        <v>1.1364422497616567E-2</v>
      </c>
      <c r="AL70" s="954">
        <f t="shared" si="68"/>
        <v>1.1694914375754321E-2</v>
      </c>
      <c r="AM70" s="954">
        <v>1</v>
      </c>
      <c r="AN70" s="954"/>
      <c r="AO70" s="954"/>
      <c r="AP70" s="954"/>
      <c r="AQ70" s="954"/>
      <c r="AR70" s="954"/>
      <c r="AS70" s="954"/>
      <c r="AT70" s="954"/>
      <c r="AU70" s="954"/>
    </row>
    <row r="71" spans="1:47" ht="14.25" hidden="1" customHeight="1" x14ac:dyDescent="0.2">
      <c r="A71" s="954"/>
      <c r="B71" s="955" t="s">
        <v>89</v>
      </c>
      <c r="C71" s="1452">
        <f>1000*TableA7!$P$91*(TableC2!D69+TableC2!O69)/(TableC2!$D$91+TableC2!$O$91)</f>
        <v>0</v>
      </c>
      <c r="D71" s="1750"/>
      <c r="E71" s="1756"/>
      <c r="F71" s="1153">
        <f>1000*TableA7!$P$91*(TableC2!F69+TableC2!Q69)/(TableC2!$D$91+TableC2!$O$91)</f>
        <v>0</v>
      </c>
      <c r="G71" s="1153">
        <f>1000*TableA7!$P$91*(TableC2!G69+TableC2!R69)/(TableC2!$D$91+TableC2!$O$91)</f>
        <v>0</v>
      </c>
      <c r="H71" s="1153">
        <f>1000*TableA7!$P$91*(TableC2!H69+TableC2!S69)/(TableC2!$D$91+TableC2!$O$91)</f>
        <v>0</v>
      </c>
      <c r="I71" s="1168">
        <f>1000*TableA7!$P$91*(TableC2!I69+TableC2!T69)/(TableC2!$D$91+TableC2!$O$91)</f>
        <v>0</v>
      </c>
      <c r="J71" s="1168">
        <f>1000*TableA7!$P$91*(TableC2!J69+TableC2!U69)/(TableC2!$D$91+TableC2!$O$91)</f>
        <v>0</v>
      </c>
      <c r="K71" s="1168">
        <f>1000*TableA7!$P$91*(TableC2!K69+TableC2!V69)/(TableC2!$D$91+TableC2!$O$91)</f>
        <v>0</v>
      </c>
      <c r="L71" s="1168">
        <f>1000*TableA7!$P$91*(TableC2!M69+TableC2!X69)/(TableC2!$D$91+TableC2!$O$91)</f>
        <v>0</v>
      </c>
      <c r="M71" s="1229">
        <f>1000*TableA7!$P$91*(TableC2!N69+TableC2!Y69)/(TableC2!$D$91+TableC2!$O$91)</f>
        <v>0</v>
      </c>
      <c r="N71" s="1459">
        <v>0</v>
      </c>
      <c r="O71" s="1753"/>
      <c r="P71" s="1760"/>
      <c r="Q71" s="1453">
        <f t="shared" si="56"/>
        <v>0</v>
      </c>
      <c r="R71" s="1453">
        <f t="shared" si="57"/>
        <v>0</v>
      </c>
      <c r="S71" s="1453">
        <f t="shared" si="58"/>
        <v>0</v>
      </c>
      <c r="T71" s="1453">
        <f t="shared" si="59"/>
        <v>0</v>
      </c>
      <c r="U71" s="1453">
        <f t="shared" si="60"/>
        <v>0</v>
      </c>
      <c r="V71" s="1453">
        <f t="shared" si="61"/>
        <v>0</v>
      </c>
      <c r="W71" s="1168">
        <f t="shared" si="62"/>
        <v>0</v>
      </c>
      <c r="X71" s="1229">
        <f t="shared" si="63"/>
        <v>0</v>
      </c>
      <c r="Y71" s="954"/>
      <c r="Z71" s="954"/>
      <c r="AA71" s="954"/>
      <c r="AB71" s="954"/>
      <c r="AC71" s="954"/>
      <c r="AD71" s="954"/>
      <c r="AE71" s="954">
        <f t="shared" ref="AE71:AL71" si="69">+AE60*$AM71</f>
        <v>0.15563117895981135</v>
      </c>
      <c r="AF71" s="954">
        <f t="shared" si="69"/>
        <v>0</v>
      </c>
      <c r="AG71" s="954">
        <f t="shared" si="69"/>
        <v>0.16605835956332329</v>
      </c>
      <c r="AH71" s="954">
        <f t="shared" si="69"/>
        <v>0.10483220922531135</v>
      </c>
      <c r="AI71" s="954">
        <f t="shared" si="69"/>
        <v>0</v>
      </c>
      <c r="AJ71" s="954">
        <f t="shared" si="69"/>
        <v>0.20305200061975415</v>
      </c>
      <c r="AK71" s="954">
        <f t="shared" si="69"/>
        <v>0.16859701815626024</v>
      </c>
      <c r="AL71" s="954">
        <f t="shared" si="69"/>
        <v>1.681716863923282E-2</v>
      </c>
      <c r="AM71" s="954">
        <v>1</v>
      </c>
      <c r="AN71" s="954"/>
      <c r="AO71" s="954"/>
      <c r="AP71" s="954"/>
      <c r="AQ71" s="954"/>
      <c r="AR71" s="954"/>
      <c r="AS71" s="954"/>
      <c r="AT71" s="954"/>
      <c r="AU71" s="954"/>
    </row>
    <row r="72" spans="1:47" ht="14.25" hidden="1" customHeight="1" x14ac:dyDescent="0.2">
      <c r="A72" s="329" t="s">
        <v>90</v>
      </c>
      <c r="B72" s="955" t="s">
        <v>154</v>
      </c>
      <c r="C72" s="1452">
        <f>1000*TableA7!$P$91*(TableC2!D70+TableC2!O70)/(TableC2!$D$91+TableC2!$O$91)</f>
        <v>0</v>
      </c>
      <c r="D72" s="1750"/>
      <c r="E72" s="1756"/>
      <c r="F72" s="1153">
        <f>1000*TableA7!$P$91*(TableC2!F70+TableC2!Q70)/(TableC2!$D$91+TableC2!$O$91)</f>
        <v>0</v>
      </c>
      <c r="G72" s="1153">
        <f>1000*TableA7!$P$91*(TableC2!G70+TableC2!R70)/(TableC2!$D$91+TableC2!$O$91)</f>
        <v>0</v>
      </c>
      <c r="H72" s="1153">
        <f>1000*TableA7!$P$91*(TableC2!H70+TableC2!S70)/(TableC2!$D$91+TableC2!$O$91)</f>
        <v>0</v>
      </c>
      <c r="I72" s="1168">
        <f>1000*TableA7!$P$91*(TableC2!I70+TableC2!T70)/(TableC2!$D$91+TableC2!$O$91)</f>
        <v>0</v>
      </c>
      <c r="J72" s="1168">
        <f>1000*TableA7!$P$91*(TableC2!J70+TableC2!U70)/(TableC2!$D$91+TableC2!$O$91)</f>
        <v>0</v>
      </c>
      <c r="K72" s="1168">
        <f>1000*TableA7!$P$91*(TableC2!K70+TableC2!V70)/(TableC2!$D$91+TableC2!$O$91)</f>
        <v>0</v>
      </c>
      <c r="L72" s="1168">
        <f>1000*TableA7!$P$91*(TableC2!M70+TableC2!X70)/(TableC2!$D$91+TableC2!$O$91)</f>
        <v>0</v>
      </c>
      <c r="M72" s="1229">
        <f>1000*TableA7!$P$91*(TableC2!N70+TableC2!Y70)/(TableC2!$D$91+TableC2!$O$91)</f>
        <v>0</v>
      </c>
      <c r="N72" s="1459">
        <v>0</v>
      </c>
      <c r="O72" s="1753"/>
      <c r="P72" s="1760"/>
      <c r="Q72" s="1453">
        <f t="shared" si="56"/>
        <v>0</v>
      </c>
      <c r="R72" s="1453">
        <f t="shared" si="57"/>
        <v>0</v>
      </c>
      <c r="S72" s="1453">
        <f t="shared" si="58"/>
        <v>0</v>
      </c>
      <c r="T72" s="1453">
        <f t="shared" si="59"/>
        <v>0</v>
      </c>
      <c r="U72" s="1453">
        <f t="shared" si="60"/>
        <v>0</v>
      </c>
      <c r="V72" s="1453">
        <f t="shared" si="61"/>
        <v>0</v>
      </c>
      <c r="W72" s="1168">
        <f t="shared" si="62"/>
        <v>0</v>
      </c>
      <c r="X72" s="1229">
        <f t="shared" si="63"/>
        <v>0</v>
      </c>
      <c r="Y72" s="954"/>
      <c r="Z72" s="954"/>
      <c r="AA72" s="954"/>
      <c r="AB72" s="954"/>
      <c r="AC72" s="954"/>
      <c r="AD72" s="954"/>
      <c r="AE72" s="954">
        <f t="shared" ref="AE72:AL72" si="70">+AE61*$AM72</f>
        <v>0.12406614179616818</v>
      </c>
      <c r="AF72" s="954">
        <f t="shared" si="70"/>
        <v>0</v>
      </c>
      <c r="AG72" s="954">
        <f t="shared" si="70"/>
        <v>3.7860858532582815E-2</v>
      </c>
      <c r="AH72" s="954">
        <f t="shared" si="70"/>
        <v>8.4861839410136003E-2</v>
      </c>
      <c r="AI72" s="954">
        <f t="shared" si="70"/>
        <v>0</v>
      </c>
      <c r="AJ72" s="954">
        <f t="shared" si="70"/>
        <v>0.24346160157873961</v>
      </c>
      <c r="AK72" s="954">
        <f t="shared" si="70"/>
        <v>0.50054733865383305</v>
      </c>
      <c r="AL72" s="954">
        <f t="shared" si="70"/>
        <v>0</v>
      </c>
      <c r="AM72" s="954">
        <v>1</v>
      </c>
      <c r="AN72" s="954"/>
      <c r="AO72" s="954"/>
      <c r="AP72" s="954"/>
      <c r="AQ72" s="954"/>
      <c r="AR72" s="954"/>
      <c r="AS72" s="954"/>
      <c r="AT72" s="954"/>
      <c r="AU72" s="954"/>
    </row>
    <row r="73" spans="1:47" ht="14.25" hidden="1" customHeight="1" x14ac:dyDescent="0.2">
      <c r="A73" s="329" t="s">
        <v>341</v>
      </c>
      <c r="B73" s="955" t="s">
        <v>91</v>
      </c>
      <c r="C73" s="1452">
        <f>1000*TableA7!$P$91*(TableC2!D71+TableC2!O71)/(TableC2!$D$91+TableC2!$O$91)</f>
        <v>0</v>
      </c>
      <c r="D73" s="1750"/>
      <c r="E73" s="1756"/>
      <c r="F73" s="1153">
        <f>1000*TableA7!$P$91*(TableC2!F71+TableC2!Q71)/(TableC2!$D$91+TableC2!$O$91)</f>
        <v>0</v>
      </c>
      <c r="G73" s="1153">
        <f>1000*TableA7!$P$91*(TableC2!G71+TableC2!R71)/(TableC2!$D$91+TableC2!$O$91)</f>
        <v>0</v>
      </c>
      <c r="H73" s="1153">
        <f>1000*TableA7!$P$91*(TableC2!H71+TableC2!S71)/(TableC2!$D$91+TableC2!$O$91)</f>
        <v>0</v>
      </c>
      <c r="I73" s="1168">
        <f>1000*TableA7!$P$91*(TableC2!I71+TableC2!T71)/(TableC2!$D$91+TableC2!$O$91)</f>
        <v>0</v>
      </c>
      <c r="J73" s="1168">
        <f>1000*TableA7!$P$91*(TableC2!J71+TableC2!U71)/(TableC2!$D$91+TableC2!$O$91)</f>
        <v>0</v>
      </c>
      <c r="K73" s="1168">
        <f>1000*TableA7!$P$91*(TableC2!K71+TableC2!V71)/(TableC2!$D$91+TableC2!$O$91)</f>
        <v>0</v>
      </c>
      <c r="L73" s="1168">
        <f>1000*TableA7!$P$91*(TableC2!M71+TableC2!X71)/(TableC2!$D$91+TableC2!$O$91)</f>
        <v>0</v>
      </c>
      <c r="M73" s="1229">
        <f>1000*TableA7!$P$91*(TableC2!N71+TableC2!Y71)/(TableC2!$D$91+TableC2!$O$91)</f>
        <v>0</v>
      </c>
      <c r="N73" s="1459">
        <v>0</v>
      </c>
      <c r="O73" s="1753"/>
      <c r="P73" s="1760"/>
      <c r="Q73" s="1453">
        <f t="shared" si="56"/>
        <v>0</v>
      </c>
      <c r="R73" s="1453">
        <f t="shared" si="57"/>
        <v>0</v>
      </c>
      <c r="S73" s="1453">
        <f t="shared" si="58"/>
        <v>0</v>
      </c>
      <c r="T73" s="1453">
        <f t="shared" si="59"/>
        <v>0</v>
      </c>
      <c r="U73" s="1453">
        <f t="shared" si="60"/>
        <v>0</v>
      </c>
      <c r="V73" s="1453">
        <f t="shared" si="61"/>
        <v>0</v>
      </c>
      <c r="W73" s="1168">
        <f t="shared" si="62"/>
        <v>0</v>
      </c>
      <c r="X73" s="1229">
        <f t="shared" si="63"/>
        <v>0</v>
      </c>
      <c r="Y73" s="954"/>
      <c r="Z73" s="954"/>
      <c r="AA73" s="954"/>
      <c r="AB73" s="954"/>
      <c r="AC73" s="954"/>
      <c r="AD73" s="954"/>
      <c r="AE73" s="954">
        <f t="shared" ref="AE73:AL73" si="71">+AE62*$AM73</f>
        <v>2.9620516229440969E-2</v>
      </c>
      <c r="AF73" s="954">
        <f t="shared" si="71"/>
        <v>0</v>
      </c>
      <c r="AG73" s="954">
        <f t="shared" si="71"/>
        <v>0.40121578588205087</v>
      </c>
      <c r="AH73" s="954">
        <f t="shared" si="71"/>
        <v>0.17276672614832453</v>
      </c>
      <c r="AI73" s="954">
        <f t="shared" si="71"/>
        <v>0</v>
      </c>
      <c r="AJ73" s="954">
        <f t="shared" si="71"/>
        <v>0.32746572827548487</v>
      </c>
      <c r="AK73" s="954">
        <f t="shared" si="71"/>
        <v>0</v>
      </c>
      <c r="AL73" s="954">
        <f t="shared" si="71"/>
        <v>0.87938035527217684</v>
      </c>
      <c r="AM73" s="954">
        <v>1</v>
      </c>
      <c r="AN73" s="954"/>
      <c r="AO73" s="954"/>
      <c r="AP73" s="954"/>
      <c r="AQ73" s="954"/>
      <c r="AR73" s="954"/>
      <c r="AS73" s="954"/>
      <c r="AT73" s="954"/>
      <c r="AU73" s="954"/>
    </row>
    <row r="74" spans="1:47" ht="14.25" hidden="1" customHeight="1" x14ac:dyDescent="0.2">
      <c r="A74" s="954"/>
      <c r="B74" s="955" t="s">
        <v>92</v>
      </c>
      <c r="C74" s="1452">
        <f>1000*TableA7!$P$91*(TableC2!D72+TableC2!O72)/(TableC2!$D$91+TableC2!$O$91)</f>
        <v>0</v>
      </c>
      <c r="D74" s="1750"/>
      <c r="E74" s="1756"/>
      <c r="F74" s="1153">
        <f>1000*TableA7!$P$91*(TableC2!F72+TableC2!Q72)/(TableC2!$D$91+TableC2!$O$91)</f>
        <v>0</v>
      </c>
      <c r="G74" s="1153">
        <f>1000*TableA7!$P$91*(TableC2!G72+TableC2!R72)/(TableC2!$D$91+TableC2!$O$91)</f>
        <v>0</v>
      </c>
      <c r="H74" s="1153">
        <f>1000*TableA7!$P$91*(TableC2!H72+TableC2!S72)/(TableC2!$D$91+TableC2!$O$91)</f>
        <v>0</v>
      </c>
      <c r="I74" s="1168">
        <f>1000*TableA7!$P$91*(TableC2!I72+TableC2!T72)/(TableC2!$D$91+TableC2!$O$91)</f>
        <v>0</v>
      </c>
      <c r="J74" s="1168">
        <f>1000*TableA7!$P$91*(TableC2!J72+TableC2!U72)/(TableC2!$D$91+TableC2!$O$91)</f>
        <v>0</v>
      </c>
      <c r="K74" s="1168">
        <f>1000*TableA7!$P$91*(TableC2!K72+TableC2!V72)/(TableC2!$D$91+TableC2!$O$91)</f>
        <v>0</v>
      </c>
      <c r="L74" s="1168">
        <f>1000*TableA7!$P$91*(TableC2!M72+TableC2!X72)/(TableC2!$D$91+TableC2!$O$91)</f>
        <v>0</v>
      </c>
      <c r="M74" s="1229">
        <f>1000*TableA7!$P$91*(TableC2!N72+TableC2!Y72)/(TableC2!$D$91+TableC2!$O$91)</f>
        <v>0</v>
      </c>
      <c r="N74" s="1459">
        <v>0</v>
      </c>
      <c r="O74" s="1753"/>
      <c r="P74" s="1760"/>
      <c r="Q74" s="1453">
        <f t="shared" si="56"/>
        <v>0</v>
      </c>
      <c r="R74" s="1453">
        <f t="shared" si="57"/>
        <v>0</v>
      </c>
      <c r="S74" s="1453">
        <f t="shared" si="58"/>
        <v>0</v>
      </c>
      <c r="T74" s="1453">
        <f t="shared" si="59"/>
        <v>0</v>
      </c>
      <c r="U74" s="1453">
        <f t="shared" si="60"/>
        <v>0</v>
      </c>
      <c r="V74" s="1453">
        <f t="shared" si="61"/>
        <v>0</v>
      </c>
      <c r="W74" s="1168">
        <f t="shared" si="62"/>
        <v>0</v>
      </c>
      <c r="X74" s="1229">
        <f t="shared" si="63"/>
        <v>0</v>
      </c>
      <c r="Y74" s="954"/>
      <c r="Z74" s="954"/>
      <c r="AA74" s="954"/>
      <c r="AB74" s="954"/>
      <c r="AC74" s="954"/>
      <c r="AD74" s="954"/>
      <c r="AE74" s="954"/>
      <c r="AF74" s="954"/>
      <c r="AG74" s="954"/>
      <c r="AH74" s="954"/>
      <c r="AI74" s="954"/>
      <c r="AJ74" s="954"/>
      <c r="AK74" s="954"/>
      <c r="AL74" s="954"/>
      <c r="AM74" s="954"/>
      <c r="AN74" s="954"/>
      <c r="AO74" s="954"/>
      <c r="AP74" s="954"/>
      <c r="AQ74" s="954"/>
      <c r="AR74" s="954"/>
      <c r="AS74" s="954"/>
      <c r="AT74" s="954"/>
      <c r="AU74" s="954"/>
    </row>
    <row r="75" spans="1:47" ht="14.25" hidden="1" customHeight="1" x14ac:dyDescent="0.2">
      <c r="A75" s="954"/>
      <c r="B75" s="955" t="s">
        <v>93</v>
      </c>
      <c r="C75" s="1452">
        <f>1000*TableA7!$P$91*(TableC2!D73+TableC2!O73)/(TableC2!$D$91+TableC2!$O$91)</f>
        <v>0</v>
      </c>
      <c r="D75" s="1750"/>
      <c r="E75" s="1756"/>
      <c r="F75" s="1153">
        <f>1000*TableA7!$P$91*(TableC2!F73+TableC2!Q73)/(TableC2!$D$91+TableC2!$O$91)</f>
        <v>0</v>
      </c>
      <c r="G75" s="1153">
        <f>1000*TableA7!$P$91*(TableC2!G73+TableC2!R73)/(TableC2!$D$91+TableC2!$O$91)</f>
        <v>0</v>
      </c>
      <c r="H75" s="1153">
        <f>1000*TableA7!$P$91*(TableC2!H73+TableC2!S73)/(TableC2!$D$91+TableC2!$O$91)</f>
        <v>0</v>
      </c>
      <c r="I75" s="1168">
        <f>1000*TableA7!$P$91*(TableC2!I73+TableC2!T73)/(TableC2!$D$91+TableC2!$O$91)</f>
        <v>0</v>
      </c>
      <c r="J75" s="1168">
        <f>1000*TableA7!$P$91*(TableC2!J73+TableC2!U73)/(TableC2!$D$91+TableC2!$O$91)</f>
        <v>0</v>
      </c>
      <c r="K75" s="1168">
        <f>1000*TableA7!$P$91*(TableC2!K73+TableC2!V73)/(TableC2!$D$91+TableC2!$O$91)</f>
        <v>0</v>
      </c>
      <c r="L75" s="1168">
        <f>1000*TableA7!$P$91*(TableC2!M73+TableC2!X73)/(TableC2!$D$91+TableC2!$O$91)</f>
        <v>0</v>
      </c>
      <c r="M75" s="1229">
        <f>1000*TableA7!$P$91*(TableC2!N73+TableC2!Y73)/(TableC2!$D$91+TableC2!$O$91)</f>
        <v>0</v>
      </c>
      <c r="N75" s="1459">
        <v>0</v>
      </c>
      <c r="O75" s="1753"/>
      <c r="P75" s="1760"/>
      <c r="Q75" s="1453">
        <f t="shared" si="56"/>
        <v>0</v>
      </c>
      <c r="R75" s="1453">
        <f t="shared" si="57"/>
        <v>0</v>
      </c>
      <c r="S75" s="1453">
        <f t="shared" si="58"/>
        <v>0</v>
      </c>
      <c r="T75" s="1453">
        <f t="shared" si="59"/>
        <v>0</v>
      </c>
      <c r="U75" s="1453">
        <f t="shared" si="60"/>
        <v>0</v>
      </c>
      <c r="V75" s="1453">
        <f t="shared" si="61"/>
        <v>0</v>
      </c>
      <c r="W75" s="1168">
        <f t="shared" si="62"/>
        <v>0</v>
      </c>
      <c r="X75" s="1229">
        <f t="shared" si="63"/>
        <v>0</v>
      </c>
      <c r="Y75" s="954"/>
      <c r="Z75" s="954"/>
      <c r="AA75" s="954"/>
      <c r="AB75" s="954"/>
      <c r="AC75" s="954"/>
      <c r="AD75" s="954"/>
      <c r="AE75" s="954"/>
      <c r="AF75" s="954"/>
      <c r="AG75" s="954"/>
      <c r="AH75" s="954"/>
      <c r="AI75" s="954"/>
      <c r="AJ75" s="954"/>
      <c r="AK75" s="954"/>
      <c r="AL75" s="954"/>
      <c r="AM75" s="954"/>
      <c r="AN75" s="954"/>
      <c r="AO75" s="954"/>
      <c r="AP75" s="954"/>
      <c r="AQ75" s="954"/>
      <c r="AR75" s="954"/>
      <c r="AS75" s="954"/>
      <c r="AT75" s="954"/>
      <c r="AU75" s="954"/>
    </row>
    <row r="76" spans="1:47" ht="14.25" hidden="1" customHeight="1" x14ac:dyDescent="0.2">
      <c r="A76" s="954"/>
      <c r="B76" s="955" t="s">
        <v>94</v>
      </c>
      <c r="C76" s="1452">
        <f>1000*TableA7!$P$91*(TableC2!D74+TableC2!O74)/(TableC2!$D$91+TableC2!$O$91)</f>
        <v>0</v>
      </c>
      <c r="D76" s="1750"/>
      <c r="E76" s="1756"/>
      <c r="F76" s="1153">
        <f>1000*TableA7!$P$91*(TableC2!F74+TableC2!Q74)/(TableC2!$D$91+TableC2!$O$91)</f>
        <v>0</v>
      </c>
      <c r="G76" s="1153">
        <f>1000*TableA7!$P$91*(TableC2!G74+TableC2!R74)/(TableC2!$D$91+TableC2!$O$91)</f>
        <v>0</v>
      </c>
      <c r="H76" s="1153">
        <f>1000*TableA7!$P$91*(TableC2!H74+TableC2!S74)/(TableC2!$D$91+TableC2!$O$91)</f>
        <v>0</v>
      </c>
      <c r="I76" s="1168">
        <f>1000*TableA7!$P$91*(TableC2!I74+TableC2!T74)/(TableC2!$D$91+TableC2!$O$91)</f>
        <v>0</v>
      </c>
      <c r="J76" s="1168">
        <f>1000*TableA7!$P$91*(TableC2!J74+TableC2!U74)/(TableC2!$D$91+TableC2!$O$91)</f>
        <v>0</v>
      </c>
      <c r="K76" s="1168">
        <f>1000*TableA7!$P$91*(TableC2!K74+TableC2!V74)/(TableC2!$D$91+TableC2!$O$91)</f>
        <v>0</v>
      </c>
      <c r="L76" s="1168">
        <f>1000*TableA7!$P$91*(TableC2!M74+TableC2!X74)/(TableC2!$D$91+TableC2!$O$91)</f>
        <v>0</v>
      </c>
      <c r="M76" s="1229">
        <f>1000*TableA7!$P$91*(TableC2!N74+TableC2!Y74)/(TableC2!$D$91+TableC2!$O$91)</f>
        <v>0</v>
      </c>
      <c r="N76" s="1459">
        <v>0</v>
      </c>
      <c r="O76" s="1753"/>
      <c r="P76" s="1760"/>
      <c r="Q76" s="1453">
        <f t="shared" si="56"/>
        <v>0</v>
      </c>
      <c r="R76" s="1453">
        <f t="shared" si="57"/>
        <v>0</v>
      </c>
      <c r="S76" s="1453">
        <f t="shared" si="58"/>
        <v>0</v>
      </c>
      <c r="T76" s="1453">
        <f t="shared" si="59"/>
        <v>0</v>
      </c>
      <c r="U76" s="1453">
        <f t="shared" si="60"/>
        <v>0</v>
      </c>
      <c r="V76" s="1453">
        <f t="shared" si="61"/>
        <v>0</v>
      </c>
      <c r="W76" s="1168">
        <f t="shared" si="62"/>
        <v>0</v>
      </c>
      <c r="X76" s="1229">
        <f t="shared" si="63"/>
        <v>0</v>
      </c>
      <c r="Y76" s="954"/>
      <c r="Z76" s="954"/>
      <c r="AA76" s="954"/>
      <c r="AB76" s="954"/>
      <c r="AC76" s="954"/>
      <c r="AD76" s="954"/>
      <c r="AE76" s="954"/>
      <c r="AF76" s="954"/>
      <c r="AG76" s="954"/>
      <c r="AH76" s="954"/>
      <c r="AI76" s="954"/>
      <c r="AJ76" s="954"/>
      <c r="AK76" s="954"/>
      <c r="AL76" s="954"/>
      <c r="AM76" s="954"/>
      <c r="AN76" s="954"/>
      <c r="AO76" s="954"/>
      <c r="AP76" s="954"/>
      <c r="AQ76" s="954"/>
      <c r="AR76" s="954"/>
      <c r="AS76" s="954"/>
      <c r="AT76" s="954"/>
      <c r="AU76" s="954"/>
    </row>
    <row r="77" spans="1:47" ht="14.25" hidden="1" customHeight="1" x14ac:dyDescent="0.2">
      <c r="A77" s="329" t="s">
        <v>342</v>
      </c>
      <c r="B77" s="955" t="s">
        <v>95</v>
      </c>
      <c r="C77" s="1452">
        <f>1000*TableA7!$P$91*(TableC2!D75+TableC2!O75)/(TableC2!$D$91+TableC2!$O$91)</f>
        <v>0</v>
      </c>
      <c r="D77" s="1750"/>
      <c r="E77" s="1756"/>
      <c r="F77" s="1153">
        <f>1000*TableA7!$P$91*(TableC2!F75+TableC2!Q75)/(TableC2!$D$91+TableC2!$O$91)</f>
        <v>0</v>
      </c>
      <c r="G77" s="1153">
        <f>1000*TableA7!$P$91*(TableC2!G75+TableC2!R75)/(TableC2!$D$91+TableC2!$O$91)</f>
        <v>0</v>
      </c>
      <c r="H77" s="1153">
        <f>1000*TableA7!$P$91*(TableC2!H75+TableC2!S75)/(TableC2!$D$91+TableC2!$O$91)</f>
        <v>0</v>
      </c>
      <c r="I77" s="1168">
        <f>1000*TableA7!$P$91*(TableC2!I75+TableC2!T75)/(TableC2!$D$91+TableC2!$O$91)</f>
        <v>0</v>
      </c>
      <c r="J77" s="1168">
        <f>1000*TableA7!$P$91*(TableC2!J75+TableC2!U75)/(TableC2!$D$91+TableC2!$O$91)</f>
        <v>0</v>
      </c>
      <c r="K77" s="1168">
        <f>1000*TableA7!$P$91*(TableC2!K75+TableC2!V75)/(TableC2!$D$91+TableC2!$O$91)</f>
        <v>0</v>
      </c>
      <c r="L77" s="1168">
        <f>1000*TableA7!$P$91*(TableC2!M75+TableC2!X75)/(TableC2!$D$91+TableC2!$O$91)</f>
        <v>0</v>
      </c>
      <c r="M77" s="1229">
        <f>1000*TableA7!$P$91*(TableC2!N75+TableC2!Y75)/(TableC2!$D$91+TableC2!$O$91)</f>
        <v>0</v>
      </c>
      <c r="N77" s="1459">
        <v>0</v>
      </c>
      <c r="O77" s="1753"/>
      <c r="P77" s="1760"/>
      <c r="Q77" s="1453">
        <f t="shared" si="56"/>
        <v>0</v>
      </c>
      <c r="R77" s="1453">
        <f t="shared" si="57"/>
        <v>0</v>
      </c>
      <c r="S77" s="1453">
        <f t="shared" si="58"/>
        <v>0</v>
      </c>
      <c r="T77" s="1453">
        <f t="shared" si="59"/>
        <v>0</v>
      </c>
      <c r="U77" s="1453">
        <f t="shared" si="60"/>
        <v>0</v>
      </c>
      <c r="V77" s="1453">
        <f t="shared" si="61"/>
        <v>0</v>
      </c>
      <c r="W77" s="1168">
        <f t="shared" si="62"/>
        <v>0</v>
      </c>
      <c r="X77" s="1229">
        <f t="shared" si="63"/>
        <v>0</v>
      </c>
      <c r="Y77" s="954"/>
      <c r="Z77" s="954"/>
      <c r="AA77" s="954"/>
      <c r="AB77" s="954"/>
      <c r="AC77" s="954"/>
      <c r="AD77" s="954"/>
      <c r="AE77" s="954"/>
      <c r="AF77" s="954"/>
      <c r="AG77" s="954"/>
      <c r="AH77" s="954"/>
      <c r="AI77" s="954"/>
      <c r="AJ77" s="954"/>
      <c r="AK77" s="954"/>
      <c r="AL77" s="954"/>
      <c r="AM77" s="954"/>
      <c r="AN77" s="954"/>
      <c r="AO77" s="954"/>
      <c r="AP77" s="954"/>
      <c r="AQ77" s="954"/>
      <c r="AR77" s="954"/>
      <c r="AS77" s="954"/>
      <c r="AT77" s="954"/>
      <c r="AU77" s="954"/>
    </row>
    <row r="78" spans="1:47" ht="14.25" hidden="1" customHeight="1" x14ac:dyDescent="0.2">
      <c r="A78" s="954"/>
      <c r="B78" s="955" t="s">
        <v>96</v>
      </c>
      <c r="C78" s="1452">
        <f>1000*TableA7!$P$91*(TableC2!D76+TableC2!O76)/(TableC2!$D$91+TableC2!$O$91)</f>
        <v>0</v>
      </c>
      <c r="D78" s="1750"/>
      <c r="E78" s="1756"/>
      <c r="F78" s="1153">
        <f>1000*TableA7!$P$91*(TableC2!F76+TableC2!Q76)/(TableC2!$D$91+TableC2!$O$91)</f>
        <v>0</v>
      </c>
      <c r="G78" s="1153">
        <f>1000*TableA7!$P$91*(TableC2!G76+TableC2!R76)/(TableC2!$D$91+TableC2!$O$91)</f>
        <v>0</v>
      </c>
      <c r="H78" s="1153">
        <f>1000*TableA7!$P$91*(TableC2!H76+TableC2!S76)/(TableC2!$D$91+TableC2!$O$91)</f>
        <v>0</v>
      </c>
      <c r="I78" s="1168">
        <f>1000*TableA7!$P$91*(TableC2!I76+TableC2!T76)/(TableC2!$D$91+TableC2!$O$91)</f>
        <v>0</v>
      </c>
      <c r="J78" s="1168">
        <f>1000*TableA7!$P$91*(TableC2!J76+TableC2!U76)/(TableC2!$D$91+TableC2!$O$91)</f>
        <v>0</v>
      </c>
      <c r="K78" s="1168">
        <f>1000*TableA7!$P$91*(TableC2!K76+TableC2!V76)/(TableC2!$D$91+TableC2!$O$91)</f>
        <v>0</v>
      </c>
      <c r="L78" s="1168">
        <f>1000*TableA7!$P$91*(TableC2!M76+TableC2!X76)/(TableC2!$D$91+TableC2!$O$91)</f>
        <v>0</v>
      </c>
      <c r="M78" s="634">
        <f>1000*TableA7!$P$91*(TableC2!N76+TableC2!Y76)/(TableC2!$D$91+TableC2!$O$91)</f>
        <v>0</v>
      </c>
      <c r="N78" s="1459">
        <v>0</v>
      </c>
      <c r="O78" s="1753"/>
      <c r="P78" s="1760"/>
      <c r="Q78" s="1453">
        <f t="shared" si="56"/>
        <v>0</v>
      </c>
      <c r="R78" s="1453">
        <f t="shared" si="57"/>
        <v>0</v>
      </c>
      <c r="S78" s="1453">
        <f t="shared" si="58"/>
        <v>0</v>
      </c>
      <c r="T78" s="1453">
        <f t="shared" si="59"/>
        <v>0</v>
      </c>
      <c r="U78" s="1453">
        <f t="shared" si="60"/>
        <v>0</v>
      </c>
      <c r="V78" s="1453">
        <f t="shared" si="61"/>
        <v>0</v>
      </c>
      <c r="W78" s="1168">
        <f t="shared" si="62"/>
        <v>0</v>
      </c>
      <c r="X78" s="1229">
        <f t="shared" si="63"/>
        <v>0</v>
      </c>
      <c r="Y78" s="954"/>
      <c r="Z78" s="954"/>
      <c r="AA78" s="954"/>
      <c r="AB78" s="954"/>
      <c r="AC78" s="954"/>
      <c r="AD78" s="954"/>
      <c r="AE78" s="954"/>
      <c r="AF78" s="954"/>
      <c r="AG78" s="954"/>
      <c r="AH78" s="954"/>
      <c r="AI78" s="954"/>
      <c r="AJ78" s="954"/>
      <c r="AK78" s="954"/>
      <c r="AL78" s="954"/>
      <c r="AM78" s="954"/>
      <c r="AN78" s="954"/>
      <c r="AO78" s="954"/>
      <c r="AP78" s="954"/>
      <c r="AQ78" s="954"/>
      <c r="AR78" s="954"/>
      <c r="AS78" s="954"/>
      <c r="AT78" s="954"/>
      <c r="AU78" s="954"/>
    </row>
    <row r="79" spans="1:47" ht="14.25" hidden="1" customHeight="1" x14ac:dyDescent="0.2">
      <c r="A79" s="329" t="s">
        <v>373</v>
      </c>
      <c r="B79" s="955" t="s">
        <v>97</v>
      </c>
      <c r="C79" s="1452">
        <f>1000*TableA7!$P$91*(TableC2!D77+TableC2!O77)/(TableC2!$D$91+TableC2!$O$91)</f>
        <v>0</v>
      </c>
      <c r="D79" s="1750"/>
      <c r="E79" s="1756"/>
      <c r="F79" s="1153">
        <f>1000*TableA7!$P$91*(TableC2!F77+TableC2!Q77)/(TableC2!$D$91+TableC2!$O$91)</f>
        <v>0</v>
      </c>
      <c r="G79" s="1153">
        <f>1000*TableA7!$P$91*(TableC2!G77+TableC2!R77)/(TableC2!$D$91+TableC2!$O$91)</f>
        <v>0</v>
      </c>
      <c r="H79" s="1153">
        <f>1000*TableA7!$P$91*(TableC2!H77+TableC2!S77)/(TableC2!$D$91+TableC2!$O$91)</f>
        <v>0</v>
      </c>
      <c r="I79" s="1168">
        <f>1000*TableA7!$P$91*(TableC2!I77+TableC2!T77)/(TableC2!$D$91+TableC2!$O$91)</f>
        <v>0</v>
      </c>
      <c r="J79" s="1168">
        <f>1000*TableA7!$P$91*(TableC2!J77+TableC2!U77)/(TableC2!$D$91+TableC2!$O$91)</f>
        <v>0</v>
      </c>
      <c r="K79" s="1168">
        <f>1000*TableA7!$P$91*(TableC2!K77+TableC2!V77)/(TableC2!$D$91+TableC2!$O$91)</f>
        <v>0</v>
      </c>
      <c r="L79" s="1168">
        <f>1000*TableA7!$P$91*(TableC2!M77+TableC2!X77)/(TableC2!$D$91+TableC2!$O$91)</f>
        <v>0</v>
      </c>
      <c r="M79" s="1229">
        <f>1000*TableA7!$P$91*(TableC2!N77+TableC2!Y77)/(TableC2!$D$91+TableC2!$O$91)</f>
        <v>0</v>
      </c>
      <c r="N79" s="1459">
        <v>0</v>
      </c>
      <c r="O79" s="1753"/>
      <c r="P79" s="1760"/>
      <c r="Q79" s="1453">
        <f t="shared" si="56"/>
        <v>0</v>
      </c>
      <c r="R79" s="1453">
        <f t="shared" si="57"/>
        <v>0</v>
      </c>
      <c r="S79" s="1453">
        <f t="shared" si="58"/>
        <v>0</v>
      </c>
      <c r="T79" s="1453">
        <f t="shared" si="59"/>
        <v>0</v>
      </c>
      <c r="U79" s="1453">
        <f t="shared" si="60"/>
        <v>0</v>
      </c>
      <c r="V79" s="1453">
        <f t="shared" si="61"/>
        <v>0</v>
      </c>
      <c r="W79" s="1168">
        <f t="shared" si="62"/>
        <v>0</v>
      </c>
      <c r="X79" s="1229">
        <f t="shared" si="63"/>
        <v>0</v>
      </c>
      <c r="Y79" s="954"/>
      <c r="Z79" s="954"/>
      <c r="AA79" s="954"/>
      <c r="AB79" s="954"/>
      <c r="AC79" s="954"/>
      <c r="AD79" s="954"/>
      <c r="AE79" s="954"/>
      <c r="AF79" s="954"/>
      <c r="AG79" s="954"/>
      <c r="AH79" s="954"/>
      <c r="AI79" s="954"/>
      <c r="AJ79" s="954"/>
      <c r="AK79" s="954"/>
      <c r="AL79" s="954"/>
      <c r="AM79" s="954"/>
      <c r="AN79" s="954"/>
      <c r="AO79" s="954"/>
      <c r="AP79" s="954"/>
      <c r="AQ79" s="954"/>
      <c r="AR79" s="954"/>
      <c r="AS79" s="954"/>
      <c r="AT79" s="954"/>
      <c r="AU79" s="954"/>
    </row>
    <row r="80" spans="1:47" ht="14.25" hidden="1" customHeight="1" x14ac:dyDescent="0.2">
      <c r="A80" s="954"/>
      <c r="B80" s="955" t="str">
        <f>+TableA1!A79</f>
        <v>Monaco</v>
      </c>
      <c r="C80" s="1452">
        <f>1000*TableA7!$P$91*(TableC2!D78+TableC2!O78)/(TableC2!$D$91+TableC2!$O$91)</f>
        <v>0</v>
      </c>
      <c r="D80" s="1750"/>
      <c r="E80" s="1756"/>
      <c r="F80" s="1153">
        <f>1000*TableA7!$P$91*(TableC2!F78+TableC2!Q78)/(TableC2!$D$91+TableC2!$O$91)</f>
        <v>0</v>
      </c>
      <c r="G80" s="1153">
        <f>1000*TableA7!$P$91*(TableC2!G78+TableC2!R78)/(TableC2!$D$91+TableC2!$O$91)</f>
        <v>0</v>
      </c>
      <c r="H80" s="1153">
        <f>1000*TableA7!$P$91*(TableC2!H78+TableC2!S78)/(TableC2!$D$91+TableC2!$O$91)</f>
        <v>0</v>
      </c>
      <c r="I80" s="1168">
        <f>1000*TableA7!$P$91*(TableC2!I78+TableC2!T78)/(TableC2!$D$91+TableC2!$O$91)</f>
        <v>0</v>
      </c>
      <c r="J80" s="1168">
        <f>1000*TableA7!$P$91*(TableC2!J78+TableC2!U78)/(TableC2!$D$91+TableC2!$O$91)</f>
        <v>0</v>
      </c>
      <c r="K80" s="1168">
        <f>1000*TableA7!$P$91*(TableC2!K78+TableC2!V78)/(TableC2!$D$91+TableC2!$O$91)</f>
        <v>0</v>
      </c>
      <c r="L80" s="1168">
        <f>1000*TableA7!$P$91*(TableC2!M78+TableC2!X78)/(TableC2!$D$91+TableC2!$O$91)</f>
        <v>0</v>
      </c>
      <c r="M80" s="1229">
        <f>1000*TableA7!$P$91*(TableC2!N78+TableC2!Y78)/(TableC2!$D$91+TableC2!$O$91)</f>
        <v>0</v>
      </c>
      <c r="N80" s="1459">
        <v>0</v>
      </c>
      <c r="O80" s="1753"/>
      <c r="P80" s="1760"/>
      <c r="Q80" s="1453">
        <f t="shared" si="56"/>
        <v>0</v>
      </c>
      <c r="R80" s="1453">
        <f t="shared" si="57"/>
        <v>0</v>
      </c>
      <c r="S80" s="1453">
        <f t="shared" si="58"/>
        <v>0</v>
      </c>
      <c r="T80" s="1453">
        <f t="shared" si="59"/>
        <v>0</v>
      </c>
      <c r="U80" s="1453">
        <f t="shared" si="60"/>
        <v>0</v>
      </c>
      <c r="V80" s="1453">
        <f t="shared" si="61"/>
        <v>0</v>
      </c>
      <c r="W80" s="1168">
        <f t="shared" si="62"/>
        <v>0</v>
      </c>
      <c r="X80" s="1229">
        <f t="shared" si="63"/>
        <v>0</v>
      </c>
      <c r="Y80" s="954"/>
      <c r="Z80" s="954"/>
      <c r="AA80" s="954"/>
      <c r="AB80" s="954"/>
      <c r="AC80" s="954"/>
      <c r="AD80" s="954"/>
      <c r="AE80" s="954"/>
      <c r="AF80" s="954"/>
      <c r="AG80" s="954"/>
      <c r="AH80" s="954"/>
      <c r="AI80" s="954"/>
      <c r="AJ80" s="954"/>
      <c r="AK80" s="954"/>
      <c r="AL80" s="954"/>
      <c r="AM80" s="954"/>
      <c r="AN80" s="954"/>
      <c r="AO80" s="954"/>
      <c r="AP80" s="954"/>
      <c r="AQ80" s="954"/>
      <c r="AR80" s="954"/>
      <c r="AS80" s="954"/>
      <c r="AT80" s="954"/>
      <c r="AU80" s="954"/>
    </row>
    <row r="81" spans="1:35" ht="14.25" hidden="1" customHeight="1" x14ac:dyDescent="0.2">
      <c r="A81" s="954"/>
      <c r="B81" s="955" t="s">
        <v>99</v>
      </c>
      <c r="C81" s="1452">
        <f>1000*TableA7!$P$91*(TableC2!D79+TableC2!O79)/(TableC2!$D$91+TableC2!$O$91)</f>
        <v>0</v>
      </c>
      <c r="D81" s="1750"/>
      <c r="E81" s="1756"/>
      <c r="F81" s="1153">
        <f>1000*TableA7!$P$91*(TableC2!F79+TableC2!Q79)/(TableC2!$D$91+TableC2!$O$91)</f>
        <v>0</v>
      </c>
      <c r="G81" s="1153">
        <f>1000*TableA7!$P$91*(TableC2!G79+TableC2!R79)/(TableC2!$D$91+TableC2!$O$91)</f>
        <v>0</v>
      </c>
      <c r="H81" s="1153">
        <f>1000*TableA7!$P$91*(TableC2!H79+TableC2!S79)/(TableC2!$D$91+TableC2!$O$91)</f>
        <v>0</v>
      </c>
      <c r="I81" s="1168">
        <f>1000*TableA7!$P$91*(TableC2!I79+TableC2!T79)/(TableC2!$D$91+TableC2!$O$91)</f>
        <v>0</v>
      </c>
      <c r="J81" s="1168">
        <f>1000*TableA7!$P$91*(TableC2!J79+TableC2!U79)/(TableC2!$D$91+TableC2!$O$91)</f>
        <v>0</v>
      </c>
      <c r="K81" s="1168">
        <f>1000*TableA7!$P$91*(TableC2!K79+TableC2!V79)/(TableC2!$D$91+TableC2!$O$91)</f>
        <v>0</v>
      </c>
      <c r="L81" s="1168">
        <f>1000*TableA7!$P$91*(TableC2!M79+TableC2!X79)/(TableC2!$D$91+TableC2!$O$91)</f>
        <v>0</v>
      </c>
      <c r="M81" s="1229">
        <f>1000*TableA7!$P$91*(TableC2!N79+TableC2!Y79)/(TableC2!$D$91+TableC2!$O$91)</f>
        <v>0</v>
      </c>
      <c r="N81" s="1459">
        <v>0</v>
      </c>
      <c r="O81" s="1753"/>
      <c r="P81" s="1760"/>
      <c r="Q81" s="1453">
        <f t="shared" si="56"/>
        <v>0</v>
      </c>
      <c r="R81" s="1453">
        <f t="shared" si="57"/>
        <v>0</v>
      </c>
      <c r="S81" s="1453">
        <f t="shared" si="58"/>
        <v>0</v>
      </c>
      <c r="T81" s="1453">
        <f t="shared" si="59"/>
        <v>0</v>
      </c>
      <c r="U81" s="1453">
        <f t="shared" si="60"/>
        <v>0</v>
      </c>
      <c r="V81" s="1453">
        <f t="shared" si="61"/>
        <v>0</v>
      </c>
      <c r="W81" s="1168">
        <f t="shared" si="62"/>
        <v>0</v>
      </c>
      <c r="X81" s="1229">
        <f t="shared" si="63"/>
        <v>0</v>
      </c>
      <c r="Y81" s="954"/>
      <c r="Z81" s="954"/>
      <c r="AA81" s="954"/>
      <c r="AB81" s="954"/>
      <c r="AC81" s="954"/>
      <c r="AD81" s="954"/>
      <c r="AE81" s="954"/>
      <c r="AF81" s="954"/>
      <c r="AG81" s="954"/>
      <c r="AH81" s="954"/>
      <c r="AI81" s="954"/>
    </row>
    <row r="82" spans="1:35" ht="14.25" hidden="1" customHeight="1" x14ac:dyDescent="0.2">
      <c r="A82" s="954"/>
      <c r="B82" s="955" t="s">
        <v>100</v>
      </c>
      <c r="C82" s="1452">
        <f>1000*TableA7!$P$91*(TableC2!D80+TableC2!O80)/(TableC2!$D$91+TableC2!$O$91)</f>
        <v>0</v>
      </c>
      <c r="D82" s="1750"/>
      <c r="E82" s="1756"/>
      <c r="F82" s="1153">
        <f>1000*TableA7!$P$91*(TableC2!F80+TableC2!Q80)/(TableC2!$D$91+TableC2!$O$91)</f>
        <v>0</v>
      </c>
      <c r="G82" s="1153">
        <f>1000*TableA7!$P$91*(TableC2!G80+TableC2!R80)/(TableC2!$D$91+TableC2!$O$91)</f>
        <v>0</v>
      </c>
      <c r="H82" s="1153">
        <f>1000*TableA7!$P$91*(TableC2!H80+TableC2!S80)/(TableC2!$D$91+TableC2!$O$91)</f>
        <v>0</v>
      </c>
      <c r="I82" s="1168">
        <f>1000*TableA7!$P$91*(TableC2!I80+TableC2!T80)/(TableC2!$D$91+TableC2!$O$91)</f>
        <v>0</v>
      </c>
      <c r="J82" s="1168">
        <f>1000*TableA7!$P$91*(TableC2!J80+TableC2!U80)/(TableC2!$D$91+TableC2!$O$91)</f>
        <v>0</v>
      </c>
      <c r="K82" s="1168">
        <f>1000*TableA7!$P$91*(TableC2!K80+TableC2!V80)/(TableC2!$D$91+TableC2!$O$91)</f>
        <v>0</v>
      </c>
      <c r="L82" s="1168">
        <f>1000*TableA7!$P$91*(TableC2!M80+TableC2!X80)/(TableC2!$D$91+TableC2!$O$91)</f>
        <v>0</v>
      </c>
      <c r="M82" s="1229">
        <f>1000*TableA7!$P$91*(TableC2!N80+TableC2!Y80)/(TableC2!$D$91+TableC2!$O$91)</f>
        <v>0</v>
      </c>
      <c r="N82" s="1459">
        <v>0</v>
      </c>
      <c r="O82" s="1753"/>
      <c r="P82" s="1760"/>
      <c r="Q82" s="1453">
        <f t="shared" si="56"/>
        <v>0</v>
      </c>
      <c r="R82" s="1453">
        <f t="shared" si="57"/>
        <v>0</v>
      </c>
      <c r="S82" s="1453">
        <f t="shared" si="58"/>
        <v>0</v>
      </c>
      <c r="T82" s="1453">
        <f t="shared" si="59"/>
        <v>0</v>
      </c>
      <c r="U82" s="1453">
        <f t="shared" si="60"/>
        <v>0</v>
      </c>
      <c r="V82" s="1453">
        <f t="shared" si="61"/>
        <v>0</v>
      </c>
      <c r="W82" s="1168">
        <f t="shared" si="62"/>
        <v>0</v>
      </c>
      <c r="X82" s="1229">
        <f t="shared" si="63"/>
        <v>0</v>
      </c>
      <c r="Y82" s="954"/>
      <c r="Z82" s="954"/>
      <c r="AA82" s="954"/>
      <c r="AB82" s="954"/>
      <c r="AC82" s="954"/>
      <c r="AD82" s="954"/>
      <c r="AE82" s="954"/>
      <c r="AF82" s="954"/>
      <c r="AG82" s="954"/>
      <c r="AH82" s="954"/>
      <c r="AI82" s="954"/>
    </row>
    <row r="83" spans="1:35" ht="14.25" hidden="1" customHeight="1" x14ac:dyDescent="0.2">
      <c r="A83" s="954"/>
      <c r="B83" s="955" t="str">
        <f>+TableA1!A82</f>
        <v>Seychelles</v>
      </c>
      <c r="C83" s="1452">
        <f>1000*TableA7!$P$91*(TableC2!D81+TableC2!O81)/(TableC2!$D$91+TableC2!$O$91)</f>
        <v>0</v>
      </c>
      <c r="D83" s="1750"/>
      <c r="E83" s="1756"/>
      <c r="F83" s="1153">
        <f>1000*TableA7!$P$91*(TableC2!F81+TableC2!Q81)/(TableC2!$D$91+TableC2!$O$91)</f>
        <v>0</v>
      </c>
      <c r="G83" s="1153">
        <f>1000*TableA7!$P$91*(TableC2!G81+TableC2!R81)/(TableC2!$D$91+TableC2!$O$91)</f>
        <v>0</v>
      </c>
      <c r="H83" s="1153">
        <f>1000*TableA7!$P$91*(TableC2!H81+TableC2!S81)/(TableC2!$D$91+TableC2!$O$91)</f>
        <v>0</v>
      </c>
      <c r="I83" s="1168">
        <f>1000*TableA7!$P$91*(TableC2!I81+TableC2!T81)/(TableC2!$D$91+TableC2!$O$91)</f>
        <v>0</v>
      </c>
      <c r="J83" s="1168">
        <f>1000*TableA7!$P$91*(TableC2!J81+TableC2!U81)/(TableC2!$D$91+TableC2!$O$91)</f>
        <v>0</v>
      </c>
      <c r="K83" s="1168">
        <f>1000*TableA7!$P$91*(TableC2!K81+TableC2!V81)/(TableC2!$D$91+TableC2!$O$91)</f>
        <v>0</v>
      </c>
      <c r="L83" s="1168">
        <f>1000*TableA7!$P$91*(TableC2!M81+TableC2!X81)/(TableC2!$D$91+TableC2!$O$91)</f>
        <v>0</v>
      </c>
      <c r="M83" s="1229">
        <f>1000*TableA7!$P$91*(TableC2!N81+TableC2!Y81)/(TableC2!$D$91+TableC2!$O$91)</f>
        <v>0</v>
      </c>
      <c r="N83" s="1459">
        <v>0</v>
      </c>
      <c r="O83" s="1753"/>
      <c r="P83" s="1760"/>
      <c r="Q83" s="1453">
        <f t="shared" si="56"/>
        <v>0</v>
      </c>
      <c r="R83" s="1453">
        <f t="shared" si="57"/>
        <v>0</v>
      </c>
      <c r="S83" s="1453">
        <f t="shared" si="58"/>
        <v>0</v>
      </c>
      <c r="T83" s="1453">
        <f t="shared" si="59"/>
        <v>0</v>
      </c>
      <c r="U83" s="1453">
        <f t="shared" si="60"/>
        <v>0</v>
      </c>
      <c r="V83" s="1453">
        <f t="shared" si="61"/>
        <v>0</v>
      </c>
      <c r="W83" s="1168">
        <f t="shared" si="62"/>
        <v>0</v>
      </c>
      <c r="X83" s="1229">
        <f t="shared" si="63"/>
        <v>0</v>
      </c>
      <c r="Y83" s="954"/>
      <c r="Z83" s="954"/>
      <c r="AA83" s="954"/>
      <c r="AB83" s="954"/>
      <c r="AC83" s="954"/>
      <c r="AD83" s="954"/>
      <c r="AE83" s="954"/>
      <c r="AF83" s="954"/>
      <c r="AG83" s="954"/>
      <c r="AH83" s="954"/>
      <c r="AI83" s="954"/>
    </row>
    <row r="84" spans="1:35" hidden="1" x14ac:dyDescent="0.2">
      <c r="A84" s="954"/>
      <c r="B84" s="955" t="s">
        <v>102</v>
      </c>
      <c r="C84" s="1452">
        <f>1000*TableA7!$P$91*(TableC2!D82+TableC2!O82)/(TableC2!$D$91+TableC2!$O$91)</f>
        <v>0</v>
      </c>
      <c r="D84" s="1750"/>
      <c r="E84" s="1756"/>
      <c r="F84" s="1153">
        <f>1000*TableA7!$P$91*(TableC2!F82+TableC2!Q82)/(TableC2!$D$91+TableC2!$O$91)</f>
        <v>0</v>
      </c>
      <c r="G84" s="1153">
        <f>1000*TableA7!$P$91*(TableC2!G82+TableC2!R82)/(TableC2!$D$91+TableC2!$O$91)</f>
        <v>0</v>
      </c>
      <c r="H84" s="1153">
        <f>1000*TableA7!$P$91*(TableC2!H82+TableC2!S82)/(TableC2!$D$91+TableC2!$O$91)</f>
        <v>0</v>
      </c>
      <c r="I84" s="1168">
        <f>1000*TableA7!$P$91*(TableC2!I82+TableC2!T82)/(TableC2!$D$91+TableC2!$O$91)</f>
        <v>0</v>
      </c>
      <c r="J84" s="1168">
        <f>1000*TableA7!$P$91*(TableC2!J82+TableC2!U82)/(TableC2!$D$91+TableC2!$O$91)</f>
        <v>0</v>
      </c>
      <c r="K84" s="1168">
        <f>1000*TableA7!$P$91*(TableC2!K82+TableC2!V82)/(TableC2!$D$91+TableC2!$O$91)</f>
        <v>0</v>
      </c>
      <c r="L84" s="1168">
        <f>1000*TableA7!$P$91*(TableC2!M82+TableC2!X82)/(TableC2!$D$91+TableC2!$O$91)</f>
        <v>0</v>
      </c>
      <c r="M84" s="1229">
        <f>1000*TableA7!$P$91*(TableC2!N82+TableC2!Y82)/(TableC2!$D$91+TableC2!$O$91)</f>
        <v>0</v>
      </c>
      <c r="N84" s="1459">
        <v>0</v>
      </c>
      <c r="O84" s="1753"/>
      <c r="P84" s="1760"/>
      <c r="Q84" s="1453">
        <f t="shared" si="56"/>
        <v>0</v>
      </c>
      <c r="R84" s="1453">
        <f t="shared" si="57"/>
        <v>0</v>
      </c>
      <c r="S84" s="1453">
        <f t="shared" si="58"/>
        <v>0</v>
      </c>
      <c r="T84" s="1453">
        <f t="shared" si="59"/>
        <v>0</v>
      </c>
      <c r="U84" s="1453">
        <f t="shared" si="60"/>
        <v>0</v>
      </c>
      <c r="V84" s="1453">
        <f t="shared" si="61"/>
        <v>0</v>
      </c>
      <c r="W84" s="1168">
        <f t="shared" si="62"/>
        <v>0</v>
      </c>
      <c r="X84" s="1229">
        <f t="shared" si="63"/>
        <v>0</v>
      </c>
      <c r="Y84" s="954"/>
      <c r="Z84" s="954"/>
      <c r="AA84" s="954"/>
      <c r="AB84" s="954"/>
      <c r="AC84" s="954"/>
      <c r="AD84" s="954"/>
      <c r="AE84" s="954"/>
      <c r="AF84" s="954"/>
      <c r="AG84" s="954"/>
      <c r="AH84" s="954"/>
      <c r="AI84" s="954"/>
    </row>
    <row r="85" spans="1:35" hidden="1" x14ac:dyDescent="0.2">
      <c r="A85" s="954"/>
      <c r="B85" s="955" t="str">
        <f>+TableA1!A84</f>
        <v>St. Kitts and Nevis</v>
      </c>
      <c r="C85" s="1452">
        <f>1000*TableA7!$P$91*(TableC2!D83+TableC2!O83)/(TableC2!$D$91+TableC2!$O$91)</f>
        <v>0</v>
      </c>
      <c r="D85" s="1750"/>
      <c r="E85" s="1756"/>
      <c r="F85" s="1153">
        <f>1000*TableA7!$P$91*(TableC2!F83+TableC2!Q83)/(TableC2!$D$91+TableC2!$O$91)</f>
        <v>0</v>
      </c>
      <c r="G85" s="1153">
        <f>1000*TableA7!$P$91*(TableC2!G83+TableC2!R83)/(TableC2!$D$91+TableC2!$O$91)</f>
        <v>0</v>
      </c>
      <c r="H85" s="1153">
        <f>1000*TableA7!$P$91*(TableC2!H83+TableC2!S83)/(TableC2!$D$91+TableC2!$O$91)</f>
        <v>0</v>
      </c>
      <c r="I85" s="1168">
        <f>1000*TableA7!$P$91*(TableC2!I83+TableC2!T83)/(TableC2!$D$91+TableC2!$O$91)</f>
        <v>0</v>
      </c>
      <c r="J85" s="1168">
        <f>1000*TableA7!$P$91*(TableC2!J83+TableC2!U83)/(TableC2!$D$91+TableC2!$O$91)</f>
        <v>0</v>
      </c>
      <c r="K85" s="1168">
        <f>1000*TableA7!$P$91*(TableC2!K83+TableC2!V83)/(TableC2!$D$91+TableC2!$O$91)</f>
        <v>0</v>
      </c>
      <c r="L85" s="1168">
        <f>1000*TableA7!$P$91*(TableC2!M83+TableC2!X83)/(TableC2!$D$91+TableC2!$O$91)</f>
        <v>0</v>
      </c>
      <c r="M85" s="1229">
        <f>1000*TableA7!$P$91*(TableC2!N83+TableC2!Y83)/(TableC2!$D$91+TableC2!$O$91)</f>
        <v>0</v>
      </c>
      <c r="N85" s="1459">
        <v>0</v>
      </c>
      <c r="O85" s="1753"/>
      <c r="P85" s="1760"/>
      <c r="Q85" s="1453">
        <f t="shared" si="56"/>
        <v>0</v>
      </c>
      <c r="R85" s="1453">
        <f t="shared" si="57"/>
        <v>0</v>
      </c>
      <c r="S85" s="1453">
        <f t="shared" si="58"/>
        <v>0</v>
      </c>
      <c r="T85" s="1453">
        <f t="shared" si="59"/>
        <v>0</v>
      </c>
      <c r="U85" s="1453">
        <f t="shared" si="60"/>
        <v>0</v>
      </c>
      <c r="V85" s="1453">
        <f t="shared" si="61"/>
        <v>0</v>
      </c>
      <c r="W85" s="1168">
        <f t="shared" si="62"/>
        <v>0</v>
      </c>
      <c r="X85" s="1229">
        <f t="shared" si="63"/>
        <v>0</v>
      </c>
      <c r="Y85" s="954"/>
      <c r="Z85" s="954"/>
      <c r="AA85" s="954"/>
      <c r="AB85" s="954"/>
      <c r="AC85" s="954"/>
      <c r="AD85" s="954"/>
      <c r="AE85" s="954"/>
      <c r="AF85" s="954"/>
      <c r="AG85" s="954"/>
      <c r="AH85" s="954"/>
      <c r="AI85" s="954"/>
    </row>
    <row r="86" spans="1:35" hidden="1" x14ac:dyDescent="0.2">
      <c r="A86" s="954"/>
      <c r="B86" s="955" t="str">
        <f>+TableA1!A85</f>
        <v>St. Lucia</v>
      </c>
      <c r="C86" s="1452">
        <f>1000*TableA7!$P$91*(TableC2!D84+TableC2!O84)/(TableC2!$D$91+TableC2!$O$91)</f>
        <v>0</v>
      </c>
      <c r="D86" s="1750"/>
      <c r="E86" s="1756"/>
      <c r="F86" s="1153">
        <f>1000*TableA7!$P$91*(TableC2!F84+TableC2!Q84)/(TableC2!$D$91+TableC2!$O$91)</f>
        <v>0</v>
      </c>
      <c r="G86" s="1153">
        <f>1000*TableA7!$P$91*(TableC2!G84+TableC2!R84)/(TableC2!$D$91+TableC2!$O$91)</f>
        <v>0</v>
      </c>
      <c r="H86" s="1153">
        <f>1000*TableA7!$P$91*(TableC2!H84+TableC2!S84)/(TableC2!$D$91+TableC2!$O$91)</f>
        <v>0</v>
      </c>
      <c r="I86" s="1168">
        <f>1000*TableA7!$P$91*(TableC2!I84+TableC2!T84)/(TableC2!$D$91+TableC2!$O$91)</f>
        <v>0</v>
      </c>
      <c r="J86" s="1168">
        <f>1000*TableA7!$P$91*(TableC2!J84+TableC2!U84)/(TableC2!$D$91+TableC2!$O$91)</f>
        <v>0</v>
      </c>
      <c r="K86" s="1168">
        <f>1000*TableA7!$P$91*(TableC2!K84+TableC2!V84)/(TableC2!$D$91+TableC2!$O$91)</f>
        <v>0</v>
      </c>
      <c r="L86" s="1168">
        <f>1000*TableA7!$P$91*(TableC2!M84+TableC2!X84)/(TableC2!$D$91+TableC2!$O$91)</f>
        <v>0</v>
      </c>
      <c r="M86" s="1229">
        <f>1000*TableA7!$P$91*(TableC2!N84+TableC2!Y84)/(TableC2!$D$91+TableC2!$O$91)</f>
        <v>0</v>
      </c>
      <c r="N86" s="1459">
        <v>0</v>
      </c>
      <c r="O86" s="1753"/>
      <c r="P86" s="1760"/>
      <c r="Q86" s="1453">
        <f t="shared" si="56"/>
        <v>0</v>
      </c>
      <c r="R86" s="1453">
        <f t="shared" si="57"/>
        <v>0</v>
      </c>
      <c r="S86" s="1453">
        <f t="shared" si="58"/>
        <v>0</v>
      </c>
      <c r="T86" s="1453">
        <f t="shared" si="59"/>
        <v>0</v>
      </c>
      <c r="U86" s="1453">
        <f t="shared" si="60"/>
        <v>0</v>
      </c>
      <c r="V86" s="1453">
        <f t="shared" si="61"/>
        <v>0</v>
      </c>
      <c r="W86" s="1168">
        <f t="shared" si="62"/>
        <v>0</v>
      </c>
      <c r="X86" s="1229">
        <f t="shared" si="63"/>
        <v>0</v>
      </c>
      <c r="Y86" s="954"/>
      <c r="Z86" s="954"/>
      <c r="AA86" s="954"/>
      <c r="AB86" s="954"/>
      <c r="AC86" s="954"/>
      <c r="AD86" s="954"/>
      <c r="AE86" s="954"/>
      <c r="AF86" s="954"/>
      <c r="AG86" s="954"/>
      <c r="AH86" s="954"/>
      <c r="AI86" s="954"/>
    </row>
    <row r="87" spans="1:35" hidden="1" x14ac:dyDescent="0.2">
      <c r="A87" s="954"/>
      <c r="B87" s="955" t="str">
        <f>+TableA1!A86</f>
        <v>St. Vincent and the Grenadines</v>
      </c>
      <c r="C87" s="1452">
        <f>1000*TableA7!$P$91*(TableC2!D85+TableC2!O85)/(TableC2!$D$91+TableC2!$O$91)</f>
        <v>0</v>
      </c>
      <c r="D87" s="1750"/>
      <c r="E87" s="1756"/>
      <c r="F87" s="1153">
        <f>1000*TableA7!$P$91*(TableC2!F85+TableC2!Q85)/(TableC2!$D$91+TableC2!$O$91)</f>
        <v>0</v>
      </c>
      <c r="G87" s="1153">
        <f>1000*TableA7!$P$91*(TableC2!G85+TableC2!R85)/(TableC2!$D$91+TableC2!$O$91)</f>
        <v>0</v>
      </c>
      <c r="H87" s="1153">
        <f>1000*TableA7!$P$91*(TableC2!H85+TableC2!S85)/(TableC2!$D$91+TableC2!$O$91)</f>
        <v>0</v>
      </c>
      <c r="I87" s="1168">
        <f>1000*TableA7!$P$91*(TableC2!I85+TableC2!T85)/(TableC2!$D$91+TableC2!$O$91)</f>
        <v>0</v>
      </c>
      <c r="J87" s="1168">
        <f>1000*TableA7!$P$91*(TableC2!J85+TableC2!U85)/(TableC2!$D$91+TableC2!$O$91)</f>
        <v>0</v>
      </c>
      <c r="K87" s="1168">
        <f>1000*TableA7!$P$91*(TableC2!K85+TableC2!V85)/(TableC2!$D$91+TableC2!$O$91)</f>
        <v>0</v>
      </c>
      <c r="L87" s="1168">
        <f>1000*TableA7!$P$91*(TableC2!M85+TableC2!X85)/(TableC2!$D$91+TableC2!$O$91)</f>
        <v>0</v>
      </c>
      <c r="M87" s="1229">
        <f>1000*TableA7!$P$91*(TableC2!N85+TableC2!Y85)/(TableC2!$D$91+TableC2!$O$91)</f>
        <v>0</v>
      </c>
      <c r="N87" s="1459">
        <v>0</v>
      </c>
      <c r="O87" s="1753"/>
      <c r="P87" s="1760"/>
      <c r="Q87" s="1453">
        <f t="shared" si="56"/>
        <v>0</v>
      </c>
      <c r="R87" s="1453">
        <f t="shared" si="57"/>
        <v>0</v>
      </c>
      <c r="S87" s="1453">
        <f t="shared" si="58"/>
        <v>0</v>
      </c>
      <c r="T87" s="1453">
        <f t="shared" si="59"/>
        <v>0</v>
      </c>
      <c r="U87" s="1453">
        <f t="shared" si="60"/>
        <v>0</v>
      </c>
      <c r="V87" s="1453">
        <f t="shared" si="61"/>
        <v>0</v>
      </c>
      <c r="W87" s="1168">
        <f t="shared" si="62"/>
        <v>0</v>
      </c>
      <c r="X87" s="1229">
        <f t="shared" si="63"/>
        <v>0</v>
      </c>
      <c r="Y87" s="954"/>
      <c r="Z87" s="954"/>
      <c r="AA87" s="954"/>
      <c r="AB87" s="954"/>
      <c r="AC87" s="954"/>
      <c r="AD87" s="954"/>
      <c r="AE87" s="954"/>
      <c r="AF87" s="954"/>
      <c r="AG87" s="954"/>
      <c r="AH87" s="954"/>
      <c r="AI87" s="954"/>
    </row>
    <row r="88" spans="1:35" hidden="1" x14ac:dyDescent="0.2">
      <c r="A88" s="329" t="s">
        <v>374</v>
      </c>
      <c r="B88" s="955" t="str">
        <f>+TableA1!A87</f>
        <v>Turks and Caicos</v>
      </c>
      <c r="C88" s="1452">
        <f>1000*TableA7!$P$91*(TableC2!D86+TableC2!O86)/(TableC2!$D$91+TableC2!$O$91)</f>
        <v>0</v>
      </c>
      <c r="D88" s="1750"/>
      <c r="E88" s="1756"/>
      <c r="F88" s="1153">
        <f>1000*TableA7!$P$91*(TableC2!F86+TableC2!Q86)/(TableC2!$D$91+TableC2!$O$91)</f>
        <v>0</v>
      </c>
      <c r="G88" s="1153">
        <f>1000*TableA7!$P$91*(TableC2!G86+TableC2!R86)/(TableC2!$D$91+TableC2!$O$91)</f>
        <v>0</v>
      </c>
      <c r="H88" s="1153">
        <f>1000*TableA7!$P$91*(TableC2!H86+TableC2!S86)/(TableC2!$D$91+TableC2!$O$91)</f>
        <v>0</v>
      </c>
      <c r="I88" s="1168">
        <f>1000*TableA7!$P$91*(TableC2!I86+TableC2!T86)/(TableC2!$D$91+TableC2!$O$91)</f>
        <v>0</v>
      </c>
      <c r="J88" s="1168">
        <f>1000*TableA7!$P$91*(TableC2!J86+TableC2!U86)/(TableC2!$D$91+TableC2!$O$91)</f>
        <v>0</v>
      </c>
      <c r="K88" s="1168">
        <f>1000*TableA7!$P$91*(TableC2!K86+TableC2!V86)/(TableC2!$D$91+TableC2!$O$91)</f>
        <v>0</v>
      </c>
      <c r="L88" s="1168">
        <f>1000*TableA7!$P$91*(TableC2!M86+TableC2!X86)/(TableC2!$D$91+TableC2!$O$91)</f>
        <v>0</v>
      </c>
      <c r="M88" s="1229">
        <f>1000*TableA7!$P$91*(TableC2!N86+TableC2!Y86)/(TableC2!$D$91+TableC2!$O$91)</f>
        <v>0</v>
      </c>
      <c r="N88" s="1459">
        <v>0</v>
      </c>
      <c r="O88" s="1753"/>
      <c r="P88" s="1760"/>
      <c r="Q88" s="1453">
        <f t="shared" si="56"/>
        <v>0</v>
      </c>
      <c r="R88" s="1453">
        <f t="shared" si="57"/>
        <v>0</v>
      </c>
      <c r="S88" s="1453">
        <f t="shared" si="58"/>
        <v>0</v>
      </c>
      <c r="T88" s="1453">
        <f t="shared" si="59"/>
        <v>0</v>
      </c>
      <c r="U88" s="1453">
        <f t="shared" si="60"/>
        <v>0</v>
      </c>
      <c r="V88" s="1453">
        <f t="shared" si="61"/>
        <v>0</v>
      </c>
      <c r="W88" s="1168">
        <f t="shared" si="62"/>
        <v>0</v>
      </c>
      <c r="X88" s="1229">
        <f t="shared" si="63"/>
        <v>0</v>
      </c>
      <c r="Y88" s="954"/>
      <c r="Z88" s="954"/>
      <c r="AA88" s="954"/>
      <c r="AB88" s="954"/>
      <c r="AC88" s="954"/>
      <c r="AD88" s="954"/>
      <c r="AE88" s="954"/>
      <c r="AF88" s="954"/>
      <c r="AG88" s="954"/>
      <c r="AH88" s="954"/>
      <c r="AI88" s="954"/>
    </row>
    <row r="89" spans="1:35" hidden="1" x14ac:dyDescent="0.2">
      <c r="A89" s="954"/>
      <c r="B89" s="955" t="str">
        <f>+TableA1!A88</f>
        <v>Panama</v>
      </c>
      <c r="C89" s="1452">
        <f>1000*TableA7!$P$91*(TableC2!D87+TableC2!O87)/(TableC2!$D$91+TableC2!$O$91)</f>
        <v>0</v>
      </c>
      <c r="D89" s="1750"/>
      <c r="E89" s="1756"/>
      <c r="F89" s="1153">
        <f>1000*TableA7!$P$91*(TableC2!F87+TableC2!Q87)/(TableC2!$D$91+TableC2!$O$91)</f>
        <v>0</v>
      </c>
      <c r="G89" s="1153">
        <f>1000*TableA7!$P$91*(TableC2!G87+TableC2!R87)/(TableC2!$D$91+TableC2!$O$91)</f>
        <v>0</v>
      </c>
      <c r="H89" s="1153">
        <f>1000*TableA7!$P$91*(TableC2!H87+TableC2!S87)/(TableC2!$D$91+TableC2!$O$91)</f>
        <v>0</v>
      </c>
      <c r="I89" s="1168">
        <f>1000*TableA7!$P$91*(TableC2!I87+TableC2!T87)/(TableC2!$D$91+TableC2!$O$91)</f>
        <v>0</v>
      </c>
      <c r="J89" s="1168">
        <f>1000*TableA7!$P$91*(TableC2!J87+TableC2!U87)/(TableC2!$D$91+TableC2!$O$91)</f>
        <v>0</v>
      </c>
      <c r="K89" s="1168">
        <f>1000*TableA7!$P$91*(TableC2!K87+TableC2!V87)/(TableC2!$D$91+TableC2!$O$91)</f>
        <v>0</v>
      </c>
      <c r="L89" s="1168">
        <f>1000*TableA7!$P$91*(TableC2!M87+TableC2!X87)/(TableC2!$D$91+TableC2!$O$91)</f>
        <v>0</v>
      </c>
      <c r="M89" s="1229">
        <f>1000*TableA7!$P$91*(TableC2!N87+TableC2!Y87)/(TableC2!$D$91+TableC2!$O$91)</f>
        <v>0</v>
      </c>
      <c r="N89" s="1459">
        <v>0</v>
      </c>
      <c r="O89" s="1753"/>
      <c r="P89" s="1760"/>
      <c r="Q89" s="1453">
        <f t="shared" si="56"/>
        <v>0</v>
      </c>
      <c r="R89" s="1453">
        <f t="shared" si="57"/>
        <v>0</v>
      </c>
      <c r="S89" s="1453">
        <f t="shared" si="58"/>
        <v>0</v>
      </c>
      <c r="T89" s="1453">
        <f t="shared" si="59"/>
        <v>0</v>
      </c>
      <c r="U89" s="1453">
        <f t="shared" si="60"/>
        <v>0</v>
      </c>
      <c r="V89" s="1453">
        <f t="shared" si="61"/>
        <v>0</v>
      </c>
      <c r="W89" s="1168">
        <f t="shared" si="62"/>
        <v>0</v>
      </c>
      <c r="X89" s="1229">
        <f t="shared" si="63"/>
        <v>0</v>
      </c>
      <c r="Y89" s="954"/>
      <c r="Z89" s="954"/>
      <c r="AA89" s="954"/>
      <c r="AB89" s="954"/>
      <c r="AC89" s="954"/>
      <c r="AD89" s="954"/>
      <c r="AE89" s="954"/>
      <c r="AF89" s="954"/>
      <c r="AG89" s="954"/>
      <c r="AH89" s="954"/>
      <c r="AI89" s="954"/>
    </row>
    <row r="90" spans="1:35" hidden="1" x14ac:dyDescent="0.2">
      <c r="A90" s="954"/>
      <c r="B90" s="955" t="s">
        <v>108</v>
      </c>
      <c r="C90" s="1452">
        <f>1000*TableA7!$P$91*(TableC2!D88+TableC2!O88)/(TableC2!$D$91+TableC2!$O$91)</f>
        <v>0</v>
      </c>
      <c r="D90" s="1750"/>
      <c r="E90" s="1756"/>
      <c r="F90" s="1153">
        <f>1000*TableA7!$P$91*(TableC2!F88+TableC2!Q88)/(TableC2!$D$91+TableC2!$O$91)</f>
        <v>0</v>
      </c>
      <c r="G90" s="1153">
        <f>1000*TableA7!$P$91*(TableC2!G88+TableC2!R88)/(TableC2!$D$91+TableC2!$O$91)</f>
        <v>0</v>
      </c>
      <c r="H90" s="1153">
        <f>1000*TableA7!$P$91*(TableC2!H88+TableC2!S88)/(TableC2!$D$91+TableC2!$O$91)</f>
        <v>0</v>
      </c>
      <c r="I90" s="1168">
        <f>1000*TableA7!$P$91*(TableC2!I88+TableC2!T88)/(TableC2!$D$91+TableC2!$O$91)</f>
        <v>0</v>
      </c>
      <c r="J90" s="1168">
        <f>1000*TableA7!$P$91*(TableC2!J88+TableC2!U88)/(TableC2!$D$91+TableC2!$O$91)</f>
        <v>0</v>
      </c>
      <c r="K90" s="1168">
        <f>1000*TableA7!$P$91*(TableC2!K88+TableC2!V88)/(TableC2!$D$91+TableC2!$O$91)</f>
        <v>0</v>
      </c>
      <c r="L90" s="1168">
        <f>1000*TableA7!$P$91*(TableC2!M88+TableC2!X88)/(TableC2!$D$91+TableC2!$O$91)</f>
        <v>0</v>
      </c>
      <c r="M90" s="1229">
        <f>1000*TableA7!$P$91*(TableC2!N88+TableC2!Y88)/(TableC2!$D$91+TableC2!$O$91)</f>
        <v>0</v>
      </c>
      <c r="N90" s="1459">
        <v>0</v>
      </c>
      <c r="O90" s="1753"/>
      <c r="P90" s="1760"/>
      <c r="Q90" s="1453">
        <f t="shared" si="56"/>
        <v>0</v>
      </c>
      <c r="R90" s="1453">
        <f t="shared" si="57"/>
        <v>0</v>
      </c>
      <c r="S90" s="1453">
        <f t="shared" si="58"/>
        <v>0</v>
      </c>
      <c r="T90" s="1453">
        <f t="shared" si="59"/>
        <v>0</v>
      </c>
      <c r="U90" s="1453">
        <f t="shared" si="60"/>
        <v>0</v>
      </c>
      <c r="V90" s="1453">
        <f t="shared" si="61"/>
        <v>0</v>
      </c>
      <c r="W90" s="1168">
        <f t="shared" si="62"/>
        <v>0</v>
      </c>
      <c r="X90" s="1229">
        <f t="shared" si="63"/>
        <v>0</v>
      </c>
      <c r="Y90" s="954"/>
      <c r="Z90" s="954"/>
      <c r="AA90" s="954"/>
      <c r="AB90" s="954"/>
      <c r="AC90" s="954"/>
      <c r="AD90" s="954"/>
      <c r="AE90" s="954"/>
      <c r="AF90" s="954"/>
      <c r="AG90" s="954"/>
      <c r="AH90" s="954"/>
      <c r="AI90" s="954"/>
    </row>
    <row r="91" spans="1:35" ht="40" customHeight="1" x14ac:dyDescent="0.2">
      <c r="A91" s="954"/>
      <c r="B91" s="1503" t="s">
        <v>155</v>
      </c>
      <c r="C91" s="1462">
        <f t="shared" ref="C91" si="72">+E91+D91</f>
        <v>78717.942430662981</v>
      </c>
      <c r="D91" s="1751">
        <f t="shared" ref="D91" si="73">+SUM(F91:K91)</f>
        <v>32128.448563024547</v>
      </c>
      <c r="E91" s="1757">
        <f t="shared" ref="E91" si="74">+SUM(L91:M91)</f>
        <v>46589.493867638434</v>
      </c>
      <c r="F91" s="1342">
        <f>1000*TableA7!$P$91*(TableC2!F89+TableC2!Q89)/(TableC2!$D$91+TableC2!$O$91)</f>
        <v>2456.8195224799219</v>
      </c>
      <c r="G91" s="1342">
        <f>1000*TableA7!$P$91*(TableC2!G89+TableC2!R89)/(TableC2!$D$91+TableC2!$O$91)</f>
        <v>643.35297746956837</v>
      </c>
      <c r="H91" s="1342">
        <f>1000*TableA7!$P$91*(TableC2!H89+TableC2!S89)/(TableC2!$D$91+TableC2!$O$91)</f>
        <v>17081.92437547115</v>
      </c>
      <c r="I91" s="1463">
        <f>1000*TableA7!$P$91*(TableC2!I89+TableC2!T89)/(TableC2!$D$91+TableC2!$O$91)</f>
        <v>3677.4371199912403</v>
      </c>
      <c r="J91" s="1463">
        <f>1000*TableA7!$P$91*(TableC2!J89+TableC2!U89)/(TableC2!$D$91+TableC2!$O$91)</f>
        <v>3100.7926635407334</v>
      </c>
      <c r="K91" s="1463">
        <f>1000*TableA7!$P$91*(TableC2!K89+TableC2!V89)/(TableC2!$D$91+TableC2!$O$91)</f>
        <v>5168.1219040719297</v>
      </c>
      <c r="L91" s="1463">
        <f>1000*TableA7!$P$91*(TableC2!M89+TableC2!X89)/(TableC2!$D$91+TableC2!$O$91)</f>
        <v>3824.9758160131223</v>
      </c>
      <c r="M91" s="1466">
        <f>1000*TableA7!$P$91*(TableC2!N89+TableC2!Y89)/(TableC2!$D$91+TableC2!$O$91)</f>
        <v>42764.518051625309</v>
      </c>
      <c r="N91" s="1462">
        <f t="shared" ref="N91" si="75">+P91+O91</f>
        <v>19924.194321217783</v>
      </c>
      <c r="O91" s="1751">
        <f t="shared" ref="O91" si="76">+SUM(Q91:V91)</f>
        <v>2481.0410131236144</v>
      </c>
      <c r="P91" s="1757">
        <f t="shared" ref="P91" si="77">+SUM(W91:X91)</f>
        <v>17443.15330809417</v>
      </c>
      <c r="Q91" s="1342">
        <f>1000*TableA7!$P$91*TableC3!E89/TableC3!$C$91</f>
        <v>516.06991313591834</v>
      </c>
      <c r="R91" s="1342">
        <f>1000*TableA7!$P$91*TableC3!F89/TableC3!$C$91</f>
        <v>48.035185488895884</v>
      </c>
      <c r="S91" s="1342">
        <f>1000*TableA7!$P$91*TableC3!G89/TableC3!$C$91</f>
        <v>15.894548048324211</v>
      </c>
      <c r="T91" s="1463">
        <f>1000*TableA7!$P$91*TableC3!H89/TableC3!$C$91</f>
        <v>1490.2721495788899</v>
      </c>
      <c r="U91" s="1463">
        <f>1000*TableA7!$P$91*TableC3!I89/TableC3!$C$91</f>
        <v>15.481920664578277</v>
      </c>
      <c r="V91" s="1463">
        <f>1000*TableA7!$P$91*TableC3!J89/TableC3!$C$91</f>
        <v>395.28729620700761</v>
      </c>
      <c r="W91" s="1463">
        <f>1000*TableA7!$P$91*TableC3!L89/TableC3!$C$91</f>
        <v>0</v>
      </c>
      <c r="X91" s="1466">
        <f>1000*TableA7!$P$91*TableC3!M89/TableC3!$C$91</f>
        <v>17443.15330809417</v>
      </c>
      <c r="Y91" s="954"/>
      <c r="Z91" s="954"/>
      <c r="AA91" s="954"/>
      <c r="AB91" s="954"/>
      <c r="AC91" s="954"/>
      <c r="AD91" s="954"/>
      <c r="AE91" s="954"/>
      <c r="AF91" s="954"/>
      <c r="AG91" s="954"/>
      <c r="AH91" s="954"/>
      <c r="AI91" s="954"/>
    </row>
    <row r="92" spans="1:35" ht="40" hidden="1" customHeight="1" x14ac:dyDescent="0.2">
      <c r="A92" s="954"/>
      <c r="B92" s="310"/>
      <c r="C92" s="1470"/>
      <c r="D92" s="1746"/>
      <c r="E92" s="1755"/>
      <c r="F92" s="245">
        <f>1000*TableA7!$P$91*(TableC2!F90+TableC2!Q90)/(TableC2!$D$91+TableC2!$O$91)</f>
        <v>45844.245734219949</v>
      </c>
      <c r="G92" s="245">
        <f>1000*TableA7!$P$91*(TableC2!G90+TableC2!R90)/(TableC2!$D$91+TableC2!$O$91)</f>
        <v>2352.407244170844</v>
      </c>
      <c r="H92" s="245">
        <f>1000*TableA7!$P$91*(TableC2!H90+TableC2!S90)/(TableC2!$D$91+TableC2!$O$91)</f>
        <v>103151.35752398905</v>
      </c>
      <c r="I92" s="245">
        <f>1000*TableA7!$P$91*(TableC2!I90+TableC2!T90)/(TableC2!$D$91+TableC2!$O$91)</f>
        <v>105662.19970888982</v>
      </c>
      <c r="J92" s="245">
        <f>1000*TableA7!$P$91*(TableC2!J90+TableC2!U90)/(TableC2!$D$91+TableC2!$O$91)</f>
        <v>4443.316159951034</v>
      </c>
      <c r="K92" s="245">
        <f>1000*TableA7!$P$91*(TableC2!K90+TableC2!V90)/(TableC2!$D$91+TableC2!$O$91)</f>
        <v>103785.40677992148</v>
      </c>
      <c r="L92" s="245">
        <f>1000*TableA7!$P$91*(TableC2!M90+TableC2!X90)/(TableC2!$D$91+TableC2!$O$91)</f>
        <v>81651.693762084658</v>
      </c>
      <c r="M92" s="623">
        <f>1000*TableA7!$P$91*(TableC2!N90+TableC2!Y90)/(TableC2!$D$91+TableC2!$O$91)</f>
        <v>347865.48583864461</v>
      </c>
      <c r="N92" s="1470"/>
      <c r="O92" s="1746"/>
      <c r="P92" s="1755"/>
      <c r="Q92" s="1746">
        <f>+SUMPRODUCT($F92:$M92,$AE$66:$AL$66)</f>
        <v>17735.584639415265</v>
      </c>
      <c r="R92" s="1746">
        <f>+SUMPRODUCT($F92:$M92,$AE$67:$AL$67)</f>
        <v>4891.0299400289041</v>
      </c>
      <c r="S92" s="1746">
        <f>+SUMPRODUCT($F92:$M92,$AE$68:$AL$68)</f>
        <v>134807.94937247006</v>
      </c>
      <c r="T92" s="1746">
        <f>+SUMPRODUCT($F92:$M92,$AE$69:$AL$69)</f>
        <v>60908.457063727583</v>
      </c>
      <c r="U92" s="1746">
        <f>+SUMPRODUCT($F92:$M92,$AE$70:$AL$70)</f>
        <v>14793.032069829187</v>
      </c>
      <c r="V92" s="1746">
        <f>+SUMPRODUCT($F92:$M92,$AE$71:$AL$71)</f>
        <v>76030.920173003193</v>
      </c>
      <c r="W92" s="1746">
        <f>+SUMPRODUCT($F92:$M92,$AE$72:$AL$72)</f>
        <v>84698.105634207182</v>
      </c>
      <c r="X92" s="632">
        <f>+SUMPRODUCT($F92:$M92,$AE$73:$AL$73)</f>
        <v>400891.03385919007</v>
      </c>
      <c r="Y92" s="954"/>
      <c r="Z92" s="954"/>
      <c r="AA92" s="954"/>
      <c r="AB92" s="954"/>
      <c r="AC92" s="954"/>
      <c r="AD92" s="954"/>
      <c r="AE92" s="954"/>
      <c r="AF92" s="954"/>
      <c r="AG92" s="954"/>
      <c r="AH92" s="954"/>
      <c r="AI92" s="954"/>
    </row>
    <row r="93" spans="1:35" ht="40" customHeight="1" thickBot="1" x14ac:dyDescent="0.25">
      <c r="A93" s="954"/>
      <c r="B93" s="330" t="str">
        <f>+TableC3!B91</f>
        <v>Non-haven total</v>
      </c>
      <c r="C93" s="1749">
        <f>1000*TableA7!$P$91*(TableC2!D91+TableC2!O91)/(TableC2!$D$91+TableC2!$O$91)</f>
        <v>616461.62984891725</v>
      </c>
      <c r="D93" s="1752">
        <f t="shared" ref="D93" si="78">+SUM(F93:K93)</f>
        <v>291090.05346102011</v>
      </c>
      <c r="E93" s="1758">
        <f t="shared" ref="E93" si="79">+SUM(L93:M93)</f>
        <v>325371.29665729316</v>
      </c>
      <c r="F93" s="1747">
        <f>1000*TableA7!$P$91*(TableC2!F91+TableC2!Q91)/(TableC2!$D$91+TableC2!$O$91)</f>
        <v>33765.495023400748</v>
      </c>
      <c r="G93" s="1747">
        <f>1000*TableA7!$P$91*(TableC2!G91+TableC2!R91)/(TableC2!$D$91+TableC2!$O$91)</f>
        <v>2250.1600095749436</v>
      </c>
      <c r="H93" s="1747">
        <f>1000*TableA7!$P$91*(TableC2!H91+TableC2!S91)/(TableC2!$D$91+TableC2!$O$91)</f>
        <v>88827.178117135452</v>
      </c>
      <c r="I93" s="1747">
        <f>1000*TableA7!$P$91*(TableC2!I91+TableC2!T91)/(TableC2!$D$91+TableC2!$O$91)</f>
        <v>87677.932773085748</v>
      </c>
      <c r="J93" s="1747">
        <f>1000*TableA7!$P$91*(TableC2!J91+TableC2!U91)/(TableC2!$D$91+TableC2!$O$91)</f>
        <v>4302.8044063658681</v>
      </c>
      <c r="K93" s="1747">
        <f>1000*TableA7!$P$91*(TableC2!K91+TableC2!V91)/(TableC2!$D$91+TableC2!$O$91)</f>
        <v>74266.483131457338</v>
      </c>
      <c r="L93" s="1747">
        <f>1000*TableA7!$P$91*(TableC2!M91+TableC2!X91)/(TableC2!$D$91+TableC2!$O$91)</f>
        <v>50102.998963108526</v>
      </c>
      <c r="M93" s="1748">
        <f>1000*TableA7!$P$91*(TableC2!N91+TableC2!Y91)/(TableC2!$D$91+TableC2!$O$91)</f>
        <v>275268.29769418464</v>
      </c>
      <c r="N93" s="1749">
        <v>616462</v>
      </c>
      <c r="O93" s="1752">
        <f t="shared" ref="O93" si="80">+SUM(Q93:V93)</f>
        <v>240136.54355668652</v>
      </c>
      <c r="P93" s="1758">
        <f t="shared" ref="P93" si="81">+SUM(W93:X93)</f>
        <v>376324.80656162673</v>
      </c>
      <c r="Q93" s="1752">
        <f>+SUMPRODUCT($F93:$M93,$AE$66:$AL$66)</f>
        <v>13106.864655390324</v>
      </c>
      <c r="R93" s="1752">
        <f>+SUMPRODUCT($F93:$M93,$AE$67:$AL$67)</f>
        <v>4220.4527006020026</v>
      </c>
      <c r="S93" s="1752">
        <f>+SUMPRODUCT($F93:$M93,$AE$68:$AL$68)</f>
        <v>106328.9156242251</v>
      </c>
      <c r="T93" s="1752">
        <f>+SUMPRODUCT($F93:$M93,$AE$69:$AL$69)</f>
        <v>46799.550949704149</v>
      </c>
      <c r="U93" s="1752">
        <f>+SUMPRODUCT($F93:$M93,$AE$70:$AL$70)</f>
        <v>12327.421364370341</v>
      </c>
      <c r="V93" s="1752">
        <f>+SUMPRODUCT($F93:$M93,$AE$71:$AL$71)</f>
        <v>57353.338262394631</v>
      </c>
      <c r="W93" s="1752">
        <f>+SUMPRODUCT($F93:$M93,$AE$72:$AL$72)</f>
        <v>58152.698285099534</v>
      </c>
      <c r="X93" s="1748">
        <f>+SUMPRODUCT($F93:$M93,$AE$73:$AL$73)</f>
        <v>318172.1082765272</v>
      </c>
      <c r="Y93" s="954"/>
      <c r="Z93" s="954"/>
      <c r="AA93" s="954"/>
      <c r="AB93" s="954"/>
      <c r="AC93" s="954"/>
      <c r="AD93" s="954"/>
      <c r="AE93" s="954"/>
      <c r="AF93" s="954"/>
      <c r="AG93" s="954"/>
      <c r="AH93" s="954"/>
      <c r="AI93" s="954"/>
    </row>
    <row r="94" spans="1:35" s="2" customFormat="1" x14ac:dyDescent="0.2">
      <c r="F94" s="954"/>
      <c r="G94" s="954"/>
      <c r="H94" s="954"/>
      <c r="I94" s="954"/>
      <c r="J94" s="954"/>
      <c r="K94" s="954"/>
      <c r="L94" s="954"/>
      <c r="M94" s="954"/>
      <c r="Q94" s="954"/>
      <c r="R94" s="954"/>
      <c r="S94" s="954"/>
      <c r="T94" s="954"/>
      <c r="U94" s="954"/>
      <c r="V94" s="954"/>
      <c r="W94" s="954"/>
      <c r="X94" s="954"/>
    </row>
    <row r="95" spans="1:35" x14ac:dyDescent="0.2">
      <c r="A95" s="954"/>
      <c r="B95" s="954"/>
      <c r="C95" s="954"/>
      <c r="F95" s="954"/>
      <c r="G95" s="954"/>
      <c r="H95" s="954"/>
      <c r="I95" s="954"/>
      <c r="J95" s="954"/>
      <c r="K95" s="954"/>
      <c r="L95" s="954"/>
      <c r="M95" s="954"/>
      <c r="N95" s="954"/>
      <c r="Q95" s="954"/>
      <c r="R95" s="954"/>
      <c r="S95" s="954"/>
      <c r="T95" s="954"/>
      <c r="U95" s="954"/>
      <c r="V95" s="954"/>
      <c r="W95" s="954"/>
      <c r="X95" s="954"/>
      <c r="Y95" s="954"/>
      <c r="Z95" s="954"/>
      <c r="AA95" s="954"/>
      <c r="AB95" s="954">
        <v>13.106870602869716</v>
      </c>
      <c r="AC95" s="954">
        <v>4.220454615709551</v>
      </c>
      <c r="AD95" s="954">
        <v>106.3289638729139</v>
      </c>
      <c r="AE95" s="954">
        <v>46.799572185855702</v>
      </c>
      <c r="AF95" s="954">
        <v>12.327426958163089</v>
      </c>
      <c r="AG95" s="954">
        <v>57.353364287520073</v>
      </c>
      <c r="AH95" s="954">
        <v>58.152724672949248</v>
      </c>
      <c r="AI95" s="954">
        <f>616.4-SUM(AB95:AH95)</f>
        <v>318.1106228040187</v>
      </c>
    </row>
    <row r="96" spans="1:35" x14ac:dyDescent="0.2">
      <c r="A96" s="954"/>
      <c r="B96" s="954"/>
      <c r="C96" s="954"/>
      <c r="F96" s="954"/>
      <c r="G96" s="954"/>
      <c r="H96" s="954"/>
      <c r="I96" s="954"/>
      <c r="J96" s="954"/>
      <c r="K96" s="954"/>
      <c r="L96" s="954"/>
      <c r="M96" s="954"/>
      <c r="N96" s="954"/>
      <c r="Q96" s="954"/>
      <c r="R96" s="954"/>
      <c r="S96" s="954"/>
      <c r="T96" s="954"/>
      <c r="U96" s="954"/>
      <c r="V96" s="954"/>
      <c r="W96" s="954"/>
      <c r="X96" s="954"/>
      <c r="Y96" s="954"/>
      <c r="Z96" s="954"/>
      <c r="AA96" s="954"/>
      <c r="AB96" s="954">
        <v>13451.757542997082</v>
      </c>
      <c r="AC96" s="954">
        <v>4239.7805356675117</v>
      </c>
      <c r="AD96" s="954">
        <v>103692.43974123732</v>
      </c>
      <c r="AE96" s="954">
        <v>47800.070538824817</v>
      </c>
      <c r="AF96" s="954">
        <v>12408.29736024392</v>
      </c>
      <c r="AG96" s="954">
        <v>51913.634027380635</v>
      </c>
      <c r="AH96" s="954">
        <v>60242.565516298455</v>
      </c>
      <c r="AI96" s="954">
        <v>322695.94950579893</v>
      </c>
    </row>
    <row r="97" spans="17:35" x14ac:dyDescent="0.2">
      <c r="Q97" s="954"/>
      <c r="R97" s="954"/>
      <c r="S97" s="954"/>
      <c r="T97" s="954"/>
      <c r="U97" s="954"/>
      <c r="V97" s="954"/>
      <c r="W97" s="954"/>
      <c r="X97" s="954"/>
      <c r="Y97" s="954"/>
      <c r="Z97" s="954"/>
      <c r="AA97" s="954"/>
      <c r="AB97" s="954">
        <f t="shared" ref="AB97:AI97" si="82">1000*AB95/AB96</f>
        <v>0.97436119859988757</v>
      </c>
      <c r="AC97" s="954">
        <f t="shared" si="82"/>
        <v>0.9954417640735459</v>
      </c>
      <c r="AD97" s="954">
        <f t="shared" si="82"/>
        <v>1.0254263872877905</v>
      </c>
      <c r="AE97" s="954">
        <f t="shared" si="82"/>
        <v>0.9790691030015013</v>
      </c>
      <c r="AF97" s="954">
        <f t="shared" si="82"/>
        <v>0.9934825544768181</v>
      </c>
      <c r="AG97" s="954">
        <f t="shared" si="82"/>
        <v>1.1047842317736876</v>
      </c>
      <c r="AH97" s="954">
        <f t="shared" si="82"/>
        <v>0.96530956433480897</v>
      </c>
      <c r="AI97" s="954">
        <f t="shared" si="82"/>
        <v>0.98579056629374329</v>
      </c>
    </row>
    <row r="98" spans="17:35" x14ac:dyDescent="0.2">
      <c r="Q98" s="954"/>
      <c r="R98" s="954"/>
      <c r="S98" s="954"/>
      <c r="T98" s="954"/>
      <c r="U98" s="954"/>
      <c r="V98" s="954"/>
      <c r="W98" s="954"/>
      <c r="X98" s="954"/>
      <c r="Y98" s="954"/>
      <c r="Z98" s="954"/>
      <c r="AA98" s="954"/>
      <c r="AB98" s="954"/>
      <c r="AC98" s="954"/>
      <c r="AD98" s="954"/>
      <c r="AE98" s="954"/>
      <c r="AF98" s="954"/>
      <c r="AG98" s="954"/>
      <c r="AH98" s="954"/>
      <c r="AI98" s="954"/>
    </row>
  </sheetData>
  <mergeCells count="5">
    <mergeCell ref="B5:X5"/>
    <mergeCell ref="C7:M7"/>
    <mergeCell ref="N7:X7"/>
    <mergeCell ref="C8:C9"/>
    <mergeCell ref="N8:N9"/>
  </mergeCells>
  <pageMargins left="0.7" right="0.7" top="0.75" bottom="0.75" header="0.3" footer="0.3"/>
  <pageSetup scale="29" orientation="landscape" horizontalDpi="4294967292" verticalDpi="429496729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I11"/>
  <sheetViews>
    <sheetView topLeftCell="B1" workbookViewId="0">
      <selection activeCell="G10" sqref="G10"/>
    </sheetView>
  </sheetViews>
  <sheetFormatPr baseColWidth="10" defaultColWidth="8.83203125" defaultRowHeight="16" x14ac:dyDescent="0.2"/>
  <cols>
    <col min="1" max="1" width="0" hidden="1" customWidth="1"/>
    <col min="2" max="2" width="21.5" bestFit="1" customWidth="1"/>
    <col min="3" max="9" width="19.1640625" customWidth="1"/>
  </cols>
  <sheetData>
    <row r="1" spans="2:9" ht="17" thickBot="1" x14ac:dyDescent="0.25"/>
    <row r="2" spans="2:9" ht="40" customHeight="1" x14ac:dyDescent="0.2">
      <c r="B2" s="2090" t="s">
        <v>753</v>
      </c>
      <c r="C2" s="2091"/>
      <c r="D2" s="2091"/>
      <c r="E2" s="2091"/>
      <c r="F2" s="2091"/>
      <c r="G2" s="2091"/>
      <c r="H2" s="2091"/>
      <c r="I2" s="2092"/>
    </row>
    <row r="3" spans="2:9" x14ac:dyDescent="0.2">
      <c r="B3" s="527"/>
      <c r="C3" s="528"/>
      <c r="D3" s="528"/>
      <c r="E3" s="528"/>
      <c r="F3" s="528"/>
      <c r="G3" s="528"/>
      <c r="H3" s="528"/>
      <c r="I3" s="1060"/>
    </row>
    <row r="4" spans="2:9" ht="17" thickBot="1" x14ac:dyDescent="0.25">
      <c r="B4" s="527"/>
      <c r="C4" s="126" t="s">
        <v>1</v>
      </c>
      <c r="D4" s="126" t="s">
        <v>2</v>
      </c>
      <c r="E4" s="126" t="s">
        <v>3</v>
      </c>
      <c r="F4" s="126" t="s">
        <v>4</v>
      </c>
      <c r="G4" s="126" t="s">
        <v>5</v>
      </c>
      <c r="H4" s="126" t="s">
        <v>6</v>
      </c>
      <c r="I4" s="1653" t="s">
        <v>7</v>
      </c>
    </row>
    <row r="5" spans="2:9" x14ac:dyDescent="0.2">
      <c r="B5" s="527"/>
      <c r="C5" s="2365" t="s">
        <v>754</v>
      </c>
      <c r="D5" s="2366"/>
      <c r="E5" s="2366"/>
      <c r="F5" s="2366"/>
      <c r="G5" s="2366"/>
      <c r="H5" s="2366"/>
      <c r="I5" s="2367"/>
    </row>
    <row r="6" spans="2:9" ht="48" customHeight="1" x14ac:dyDescent="0.2">
      <c r="B6" s="1654"/>
      <c r="C6" s="1654" t="s">
        <v>755</v>
      </c>
      <c r="D6" s="1655" t="s">
        <v>756</v>
      </c>
      <c r="E6" s="1656" t="s">
        <v>757</v>
      </c>
      <c r="F6" s="1656" t="s">
        <v>758</v>
      </c>
      <c r="G6" s="1657" t="s">
        <v>759</v>
      </c>
      <c r="H6" s="1657" t="s">
        <v>760</v>
      </c>
      <c r="I6" s="1658" t="s">
        <v>761</v>
      </c>
    </row>
    <row r="7" spans="2:9" x14ac:dyDescent="0.2">
      <c r="B7" s="955" t="s">
        <v>762</v>
      </c>
      <c r="C7" s="1834">
        <v>2015</v>
      </c>
      <c r="D7" s="1860">
        <v>2012</v>
      </c>
      <c r="E7" s="1860">
        <v>2014</v>
      </c>
      <c r="F7" s="1860">
        <v>2012</v>
      </c>
      <c r="G7" s="1860">
        <v>2013</v>
      </c>
      <c r="H7" s="1860">
        <v>2013</v>
      </c>
      <c r="I7" s="1861">
        <v>2013</v>
      </c>
    </row>
    <row r="8" spans="2:9" ht="7.5" customHeight="1" x14ac:dyDescent="0.2">
      <c r="B8" s="527"/>
      <c r="C8" s="527"/>
      <c r="D8" s="528"/>
      <c r="E8" s="528"/>
      <c r="F8" s="528"/>
      <c r="G8" s="528"/>
      <c r="H8" s="528"/>
      <c r="I8" s="1060"/>
    </row>
    <row r="9" spans="2:9" x14ac:dyDescent="0.2">
      <c r="B9" s="955" t="s">
        <v>763</v>
      </c>
      <c r="C9" s="1659">
        <f>+TableD1b!C91</f>
        <v>181.40240730377607</v>
      </c>
      <c r="D9" s="1196">
        <v>279</v>
      </c>
      <c r="E9" s="1660" t="s">
        <v>764</v>
      </c>
      <c r="F9" s="1860">
        <v>200</v>
      </c>
      <c r="G9" s="1196">
        <v>600</v>
      </c>
      <c r="H9" s="1196">
        <v>123</v>
      </c>
      <c r="I9" s="1661">
        <f>+TableD1b!D91</f>
        <v>450.90414750000002</v>
      </c>
    </row>
    <row r="10" spans="2:9" ht="17" thickBot="1" x14ac:dyDescent="0.25">
      <c r="B10" s="989" t="s">
        <v>765</v>
      </c>
      <c r="C10" s="1662">
        <f>+TableC4!C93/1000</f>
        <v>616.46162984891726</v>
      </c>
      <c r="D10" s="1663">
        <v>1076</v>
      </c>
      <c r="E10" s="1664"/>
      <c r="F10" s="1664">
        <v>700</v>
      </c>
      <c r="G10" s="1664"/>
      <c r="H10" s="1664"/>
      <c r="I10" s="1665"/>
    </row>
    <row r="11" spans="2:9" x14ac:dyDescent="0.2">
      <c r="B11" s="954"/>
      <c r="C11" s="954"/>
      <c r="D11" s="954"/>
      <c r="E11" s="954"/>
      <c r="F11" s="954"/>
      <c r="G11" s="954"/>
      <c r="H11" s="954"/>
      <c r="I11" s="954"/>
    </row>
  </sheetData>
  <mergeCells count="2">
    <mergeCell ref="B2:I2"/>
    <mergeCell ref="C5:I5"/>
  </mergeCells>
  <pageMargins left="0.7" right="0.7" top="0.75" bottom="0.75" header="0.3" footer="0.3"/>
  <pageSetup paperSize="9" scale="56"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92"/>
  <sheetViews>
    <sheetView topLeftCell="B1" workbookViewId="0">
      <pane xSplit="1" ySplit="7" topLeftCell="C9" activePane="bottomRight" state="frozen"/>
      <selection pane="topRight" activeCell="C1" sqref="C1"/>
      <selection pane="bottomLeft" activeCell="B8" sqref="B8"/>
      <selection pane="bottomRight" activeCell="F21" sqref="F21"/>
    </sheetView>
  </sheetViews>
  <sheetFormatPr baseColWidth="10" defaultColWidth="8.83203125" defaultRowHeight="16" x14ac:dyDescent="0.2"/>
  <cols>
    <col min="1" max="1" width="0" hidden="1" customWidth="1"/>
    <col min="2" max="2" width="28.5" bestFit="1" customWidth="1"/>
    <col min="3" max="8" width="13.83203125" customWidth="1"/>
  </cols>
  <sheetData>
    <row r="1" spans="2:8" ht="17" thickBot="1" x14ac:dyDescent="0.25"/>
    <row r="2" spans="2:8" ht="34" customHeight="1" thickTop="1" x14ac:dyDescent="0.2">
      <c r="B2" s="1951" t="s">
        <v>766</v>
      </c>
      <c r="C2" s="1952"/>
      <c r="D2" s="1952"/>
      <c r="E2" s="1952"/>
      <c r="F2" s="1952"/>
      <c r="G2" s="1952"/>
      <c r="H2" s="1953"/>
    </row>
    <row r="3" spans="2:8" ht="20" x14ac:dyDescent="0.2">
      <c r="B3" s="4"/>
      <c r="C3" s="620"/>
      <c r="D3" s="620"/>
      <c r="E3" s="620"/>
      <c r="F3" s="620"/>
      <c r="G3" s="620"/>
      <c r="H3" s="5"/>
    </row>
    <row r="4" spans="2:8" ht="20" x14ac:dyDescent="0.2">
      <c r="B4" s="4"/>
      <c r="C4" s="126" t="s">
        <v>1</v>
      </c>
      <c r="D4" s="126" t="s">
        <v>2</v>
      </c>
      <c r="E4" s="126" t="s">
        <v>3</v>
      </c>
      <c r="F4" s="126" t="s">
        <v>4</v>
      </c>
      <c r="G4" s="126" t="s">
        <v>5</v>
      </c>
      <c r="H4" s="185" t="s">
        <v>6</v>
      </c>
    </row>
    <row r="5" spans="2:8" s="690" customFormat="1" ht="37" customHeight="1" x14ac:dyDescent="0.2">
      <c r="B5" s="694"/>
      <c r="C5" s="2368" t="s">
        <v>767</v>
      </c>
      <c r="D5" s="2369"/>
      <c r="E5" s="2369"/>
      <c r="F5" s="2370" t="s">
        <v>768</v>
      </c>
      <c r="G5" s="2369"/>
      <c r="H5" s="2371"/>
    </row>
    <row r="6" spans="2:8" ht="24.75" customHeight="1" x14ac:dyDescent="0.2">
      <c r="B6" s="1148"/>
      <c r="C6" s="2072" t="s">
        <v>769</v>
      </c>
      <c r="D6" s="2290" t="s">
        <v>770</v>
      </c>
      <c r="E6" s="2290" t="s">
        <v>771</v>
      </c>
      <c r="F6" s="2372" t="s">
        <v>769</v>
      </c>
      <c r="G6" s="2290" t="s">
        <v>770</v>
      </c>
      <c r="H6" s="2193" t="s">
        <v>771</v>
      </c>
    </row>
    <row r="7" spans="2:8" ht="76" customHeight="1" x14ac:dyDescent="0.2">
      <c r="B7" s="1799"/>
      <c r="C7" s="2028"/>
      <c r="D7" s="2105"/>
      <c r="E7" s="2105"/>
      <c r="F7" s="2373"/>
      <c r="G7" s="2105"/>
      <c r="H7" s="2374"/>
    </row>
    <row r="8" spans="2:8" ht="36" customHeight="1" x14ac:dyDescent="0.2">
      <c r="B8" s="622" t="s">
        <v>28</v>
      </c>
      <c r="C8" s="521">
        <f>+SUM(C9:C43)</f>
        <v>135.29200400789469</v>
      </c>
      <c r="D8" s="517">
        <f>+SUM(D9:D43)</f>
        <v>298.88243619999997</v>
      </c>
      <c r="E8" s="517">
        <f>+SUM(E9:E43)</f>
        <v>205.59999999999997</v>
      </c>
      <c r="F8" s="699">
        <f>+TableC4d!K10</f>
        <v>0.12000189394058862</v>
      </c>
      <c r="G8" s="516"/>
      <c r="H8" s="269"/>
    </row>
    <row r="9" spans="2:8" x14ac:dyDescent="0.2">
      <c r="B9" s="1149" t="s">
        <v>29</v>
      </c>
      <c r="C9" s="1666">
        <f>+TableC4d!E11</f>
        <v>3.8877283887920422</v>
      </c>
      <c r="D9" s="1509">
        <v>6.0546769999999999</v>
      </c>
      <c r="E9" s="1509">
        <v>7.4</v>
      </c>
      <c r="F9" s="815">
        <f>+TableC4d!K11</f>
        <v>7.3234785047652198E-2</v>
      </c>
      <c r="G9" s="1667"/>
      <c r="H9" s="1158">
        <v>0.09</v>
      </c>
    </row>
    <row r="10" spans="2:8" x14ac:dyDescent="0.2">
      <c r="B10" s="1149" t="s">
        <v>30</v>
      </c>
      <c r="C10" s="1666">
        <f>+TableC4d!E12</f>
        <v>0.89735970006267607</v>
      </c>
      <c r="D10" s="1509">
        <v>0.54273579999999999</v>
      </c>
      <c r="E10" s="1509"/>
      <c r="F10" s="815">
        <f>+TableC4d!K12</f>
        <v>0.10563824176055445</v>
      </c>
      <c r="G10" s="1637">
        <v>5.5407900000000003E-2</v>
      </c>
      <c r="H10" s="1158"/>
    </row>
    <row r="11" spans="2:8" x14ac:dyDescent="0.2">
      <c r="B11" s="1149" t="s">
        <v>31</v>
      </c>
      <c r="C11" s="1666"/>
      <c r="D11" s="1509">
        <v>3.4911379999999999</v>
      </c>
      <c r="E11" s="1509"/>
      <c r="F11" s="815"/>
      <c r="G11" s="1637">
        <v>0.22103329999999999</v>
      </c>
      <c r="H11" s="1158"/>
    </row>
    <row r="12" spans="2:8" x14ac:dyDescent="0.2">
      <c r="B12" s="1149" t="s">
        <v>32</v>
      </c>
      <c r="C12" s="1666">
        <f>+TableC4d!E14</f>
        <v>5.0127609994141498</v>
      </c>
      <c r="D12" s="1509">
        <v>3.3886159999999999</v>
      </c>
      <c r="E12" s="1509"/>
      <c r="F12" s="815">
        <f>+TableC4d!K14</f>
        <v>0.10131006286761744</v>
      </c>
      <c r="G12" s="1637">
        <v>6.7325999999999997E-2</v>
      </c>
      <c r="H12" s="1158"/>
    </row>
    <row r="13" spans="2:8" x14ac:dyDescent="0.2">
      <c r="B13" s="1149" t="s">
        <v>33</v>
      </c>
      <c r="C13" s="1666">
        <f>+TableC4d!E15</f>
        <v>1.2436594498947362</v>
      </c>
      <c r="D13" s="1509">
        <v>-0.17879149999999999</v>
      </c>
      <c r="E13" s="1509">
        <v>0.8</v>
      </c>
      <c r="F13" s="815">
        <f>+TableC4d!K15</f>
        <v>0.11894894394587266</v>
      </c>
      <c r="G13" s="1637"/>
      <c r="H13" s="1158"/>
    </row>
    <row r="14" spans="2:8" x14ac:dyDescent="0.2">
      <c r="B14" s="1149" t="s">
        <v>34</v>
      </c>
      <c r="C14" s="1666">
        <f>+TableC4d!E16</f>
        <v>0.33451941359786869</v>
      </c>
      <c r="D14" s="1509">
        <v>-0.18294589999999999</v>
      </c>
      <c r="E14" s="1509"/>
      <c r="F14" s="815">
        <f>+TableC4d!K16</f>
        <v>4.9844079449585167E-2</v>
      </c>
      <c r="G14" s="1637"/>
      <c r="H14" s="1158">
        <v>0.08</v>
      </c>
    </row>
    <row r="15" spans="2:8" x14ac:dyDescent="0.2">
      <c r="B15" s="1149" t="s">
        <v>35</v>
      </c>
      <c r="C15" s="1666">
        <f>+TableC4d!E17</f>
        <v>0.65158855790127423</v>
      </c>
      <c r="D15" s="1509">
        <v>0.42116629999999999</v>
      </c>
      <c r="E15" s="1509">
        <v>1.3</v>
      </c>
      <c r="F15" s="815">
        <f>+TableC4d!K17</f>
        <v>8.4310816146709378E-2</v>
      </c>
      <c r="G15" s="1637">
        <v>3.95492E-2</v>
      </c>
      <c r="H15" s="1158">
        <v>0.13</v>
      </c>
    </row>
    <row r="16" spans="2:8" x14ac:dyDescent="0.2">
      <c r="B16" s="1088" t="s">
        <v>36</v>
      </c>
      <c r="C16" s="1666">
        <f>+TableC4d!E18</f>
        <v>4.8738699368325256E-2</v>
      </c>
      <c r="D16" s="1509">
        <v>-7.6499999999999997E-3</v>
      </c>
      <c r="E16" s="1509"/>
      <c r="F16" s="815">
        <f>+TableC4d!K18</f>
        <v>0.10357464690128163</v>
      </c>
      <c r="G16" s="1637"/>
      <c r="H16" s="1158"/>
    </row>
    <row r="17" spans="1:8" x14ac:dyDescent="0.2">
      <c r="B17" s="1149" t="s">
        <v>37</v>
      </c>
      <c r="C17" s="1666">
        <f>+TableC4d!E19</f>
        <v>0.5429738731271827</v>
      </c>
      <c r="D17" s="1509">
        <v>0.2772077</v>
      </c>
      <c r="E17" s="1509">
        <v>1</v>
      </c>
      <c r="F17" s="815">
        <f>+TableC4d!K19</f>
        <v>0.10767039354958928</v>
      </c>
      <c r="G17" s="1637"/>
      <c r="H17" s="1158">
        <v>0.18</v>
      </c>
    </row>
    <row r="18" spans="1:8" x14ac:dyDescent="0.2">
      <c r="B18" s="1088" t="s">
        <v>38</v>
      </c>
      <c r="C18" s="1666">
        <f>+TableC4d!E20</f>
        <v>10.693640491484475</v>
      </c>
      <c r="D18" s="1509">
        <v>19.78098</v>
      </c>
      <c r="E18" s="1509">
        <v>15.3</v>
      </c>
      <c r="F18" s="815">
        <f>+TableC4d!K20</f>
        <v>0.20997996704769475</v>
      </c>
      <c r="G18" s="1637">
        <v>0.28272059999999999</v>
      </c>
      <c r="H18" s="1158">
        <v>0.23</v>
      </c>
    </row>
    <row r="19" spans="1:8" x14ac:dyDescent="0.2">
      <c r="B19" s="1149" t="s">
        <v>39</v>
      </c>
      <c r="C19" s="1666">
        <f>+TableC4d!E21</f>
        <v>16.317569428841562</v>
      </c>
      <c r="D19" s="1509">
        <v>15.02406</v>
      </c>
      <c r="E19" s="1509">
        <v>17.2</v>
      </c>
      <c r="F19" s="815">
        <f>+TableC4d!K21</f>
        <v>0.27916595513803488</v>
      </c>
      <c r="G19" s="1637">
        <v>0.22871900000000001</v>
      </c>
      <c r="H19" s="1158">
        <v>0.28000000000000003</v>
      </c>
    </row>
    <row r="20" spans="1:8" x14ac:dyDescent="0.2">
      <c r="B20" s="1149" t="s">
        <v>40</v>
      </c>
      <c r="C20" s="1666">
        <f>+TableC4d!E22</f>
        <v>0.30348861345669476</v>
      </c>
      <c r="D20" s="1509">
        <v>0.43454910000000002</v>
      </c>
      <c r="E20" s="1509">
        <v>0.7</v>
      </c>
      <c r="F20" s="815">
        <f>+TableC4d!K22</f>
        <v>7.2011378873881565E-2</v>
      </c>
      <c r="G20" s="1637"/>
      <c r="H20" s="1158">
        <v>0.26</v>
      </c>
    </row>
    <row r="21" spans="1:8" x14ac:dyDescent="0.2">
      <c r="B21" s="1149" t="s">
        <v>41</v>
      </c>
      <c r="C21" s="1666">
        <f>+TableC4d!E23</f>
        <v>0.45502892025811503</v>
      </c>
      <c r="D21" s="1509">
        <v>-0.120253</v>
      </c>
      <c r="E21" s="1509"/>
      <c r="F21" s="815">
        <f>+TableC4d!K23</f>
        <v>0.20717165133116644</v>
      </c>
      <c r="G21" s="1637">
        <v>-6.66129E-4</v>
      </c>
      <c r="H21" s="1158"/>
    </row>
    <row r="22" spans="1:8" x14ac:dyDescent="0.2">
      <c r="B22" s="1149" t="s">
        <v>42</v>
      </c>
      <c r="C22" s="1666">
        <f>+TableC4d!E24</f>
        <v>8.7549352432114438E-2</v>
      </c>
      <c r="D22" s="1509">
        <v>-9.2580000000000006E-3</v>
      </c>
      <c r="E22" s="1509"/>
      <c r="F22" s="815">
        <f>+TableC4d!K24</f>
        <v>0.21980592416387462</v>
      </c>
      <c r="G22" s="1637"/>
      <c r="H22" s="1158"/>
    </row>
    <row r="23" spans="1:8" x14ac:dyDescent="0.2">
      <c r="B23" s="1149" t="s">
        <v>43</v>
      </c>
      <c r="C23" s="1508"/>
      <c r="D23" s="1509">
        <v>-0.45094679999999998</v>
      </c>
      <c r="E23" s="1509"/>
      <c r="F23" s="815"/>
      <c r="G23" s="1637">
        <v>-8.3434199999999996E-4</v>
      </c>
      <c r="H23" s="1158"/>
    </row>
    <row r="24" spans="1:8" x14ac:dyDescent="0.2">
      <c r="B24" s="1149" t="s">
        <v>44</v>
      </c>
      <c r="C24" s="1508">
        <f>+TableC4d!E26</f>
        <v>0.17016457999789139</v>
      </c>
      <c r="D24" s="1509">
        <v>0.35420950000000001</v>
      </c>
      <c r="E24" s="1509"/>
      <c r="F24" s="815">
        <f>+TableC4d!K26</f>
        <v>1.9073748557127242E-2</v>
      </c>
      <c r="G24" s="1637"/>
      <c r="H24" s="1158"/>
    </row>
    <row r="25" spans="1:8" x14ac:dyDescent="0.2">
      <c r="B25" s="1149" t="s">
        <v>45</v>
      </c>
      <c r="C25" s="1508">
        <f>+TableC4d!E27</f>
        <v>7.128579649914653</v>
      </c>
      <c r="D25" s="1509">
        <v>5.3349219999999997</v>
      </c>
      <c r="E25" s="1509">
        <v>9</v>
      </c>
      <c r="F25" s="815">
        <f>+TableC4d!K27</f>
        <v>0.19118227241411057</v>
      </c>
      <c r="G25" s="1637">
        <v>8.6582199999999998E-2</v>
      </c>
      <c r="H25" s="1158">
        <v>0.16</v>
      </c>
    </row>
    <row r="26" spans="1:8" x14ac:dyDescent="0.2">
      <c r="B26" s="1149" t="s">
        <v>46</v>
      </c>
      <c r="C26" s="1508">
        <f>+TableC4d!E28</f>
        <v>2.8965109563043363</v>
      </c>
      <c r="D26" s="1509">
        <v>46.791370000000001</v>
      </c>
      <c r="E26" s="1509">
        <v>39.799999999999997</v>
      </c>
      <c r="F26" s="815">
        <f>+TableC4d!K28</f>
        <v>1.7437633144078594E-2</v>
      </c>
      <c r="G26" s="1637">
        <v>0.23993980000000001</v>
      </c>
      <c r="H26" s="1158">
        <v>0.18</v>
      </c>
    </row>
    <row r="27" spans="1:8" x14ac:dyDescent="0.2">
      <c r="A27" t="s">
        <v>637</v>
      </c>
      <c r="B27" s="1149" t="s">
        <v>47</v>
      </c>
      <c r="C27" s="1508">
        <f>+TableC4d!E29</f>
        <v>1.1699809090485687</v>
      </c>
      <c r="D27" s="1509">
        <v>1.117426</v>
      </c>
      <c r="E27" s="1509"/>
      <c r="F27" s="815">
        <f>+TableC4d!K29</f>
        <v>2.5672298890945015E-2</v>
      </c>
      <c r="G27" s="1637">
        <v>2.7490799999999996E-2</v>
      </c>
      <c r="H27" s="1158"/>
    </row>
    <row r="28" spans="1:8" x14ac:dyDescent="0.2">
      <c r="B28" s="1148" t="s">
        <v>48</v>
      </c>
      <c r="C28" s="1508">
        <f>+TableC4d!E30</f>
        <v>3.0146845091089225E-2</v>
      </c>
      <c r="D28" s="1509">
        <v>-0.30267640000000001</v>
      </c>
      <c r="E28" s="1509"/>
      <c r="F28" s="815">
        <f>+TableC4d!K30</f>
        <v>6.9945021635384561E-2</v>
      </c>
      <c r="G28" s="1637">
        <v>-6.2269200000000004E-3</v>
      </c>
      <c r="H28" s="1158"/>
    </row>
    <row r="29" spans="1:8" x14ac:dyDescent="0.2">
      <c r="B29" s="1148" t="s">
        <v>49</v>
      </c>
      <c r="C29" s="1508"/>
      <c r="D29" s="1509">
        <v>0.2251773</v>
      </c>
      <c r="E29" s="1509"/>
      <c r="F29" s="815"/>
      <c r="G29" s="1637">
        <v>0.1024834</v>
      </c>
      <c r="H29" s="1158"/>
    </row>
    <row r="30" spans="1:8" x14ac:dyDescent="0.2">
      <c r="B30" s="1148" t="s">
        <v>50</v>
      </c>
      <c r="C30" s="1508">
        <f>+TableC4d!E32</f>
        <v>3.9287668656222849</v>
      </c>
      <c r="D30" s="1509"/>
      <c r="E30" s="1509">
        <v>5.7</v>
      </c>
      <c r="F30" s="815">
        <f>+TableC4d!K32</f>
        <v>0.10509727731973387</v>
      </c>
      <c r="G30" s="1667"/>
      <c r="H30" s="1158"/>
    </row>
    <row r="31" spans="1:8" x14ac:dyDescent="0.2">
      <c r="B31" s="1148" t="s">
        <v>51</v>
      </c>
      <c r="C31" s="1508"/>
      <c r="D31" s="1509">
        <v>1.0396730000000001</v>
      </c>
      <c r="E31" s="1509"/>
      <c r="F31" s="815"/>
      <c r="G31" s="1637"/>
      <c r="H31" s="1158"/>
    </row>
    <row r="32" spans="1:8" x14ac:dyDescent="0.2">
      <c r="B32" s="1148" t="s">
        <v>52</v>
      </c>
      <c r="C32" s="1508">
        <f>+TableC4d!E34</f>
        <v>0.42656415068203546</v>
      </c>
      <c r="D32" s="1509">
        <v>0.51807639999999999</v>
      </c>
      <c r="E32" s="1509"/>
      <c r="F32" s="815">
        <f>+TableC4d!K34</f>
        <v>5.3623417899033209E-2</v>
      </c>
      <c r="G32" s="1637">
        <v>6.3262799999999994E-2</v>
      </c>
      <c r="H32" s="1158"/>
    </row>
    <row r="33" spans="2:8" x14ac:dyDescent="0.2">
      <c r="B33" s="1148" t="s">
        <v>53</v>
      </c>
      <c r="C33" s="1508">
        <f>+TableC4d!E35</f>
        <v>1.4082294707463936</v>
      </c>
      <c r="D33" s="1509"/>
      <c r="E33" s="1509">
        <v>2.2999999999999998</v>
      </c>
      <c r="F33" s="815">
        <f>+TableC4d!K35</f>
        <v>8.2933723016851785E-2</v>
      </c>
      <c r="G33" s="1667"/>
      <c r="H33" s="1158">
        <v>0.04</v>
      </c>
    </row>
    <row r="34" spans="2:8" x14ac:dyDescent="0.2">
      <c r="B34" s="1148" t="s">
        <v>54</v>
      </c>
      <c r="C34" s="1508">
        <f>+TableC4d!E36</f>
        <v>0.70221461489869563</v>
      </c>
      <c r="D34" s="1509">
        <v>-0.47335290000000002</v>
      </c>
      <c r="E34" s="1509">
        <v>1.3</v>
      </c>
      <c r="F34" s="815">
        <f>+TableC4d!K36</f>
        <v>7.996006497283209E-2</v>
      </c>
      <c r="G34" s="1637"/>
      <c r="H34" s="1158">
        <v>0.13</v>
      </c>
    </row>
    <row r="35" spans="2:8" x14ac:dyDescent="0.2">
      <c r="B35" s="1148" t="s">
        <v>55</v>
      </c>
      <c r="C35" s="1508">
        <f>+TableC4d!E37</f>
        <v>0.55401828129230823</v>
      </c>
      <c r="D35" s="1509">
        <v>1.110344</v>
      </c>
      <c r="E35" s="1509">
        <v>1.1000000000000001</v>
      </c>
      <c r="F35" s="815">
        <f>+TableC4d!K37</f>
        <v>8.8987018527531159E-2</v>
      </c>
      <c r="G35" s="1637">
        <v>0.1556527</v>
      </c>
      <c r="H35" s="1158">
        <v>0.19</v>
      </c>
    </row>
    <row r="36" spans="2:8" x14ac:dyDescent="0.2">
      <c r="B36" s="1148" t="s">
        <v>56</v>
      </c>
      <c r="C36" s="1508">
        <f>+TableC4d!E38</f>
        <v>0.14009898329065634</v>
      </c>
      <c r="D36" s="1509">
        <v>4.1199800000000002E-2</v>
      </c>
      <c r="E36" s="1509"/>
      <c r="F36" s="815">
        <f>+TableC4d!K38</f>
        <v>4.8028448162720727E-2</v>
      </c>
      <c r="G36" s="1637">
        <v>1.6635199999999999E-2</v>
      </c>
      <c r="H36" s="1158"/>
    </row>
    <row r="37" spans="2:8" x14ac:dyDescent="0.2">
      <c r="B37" s="1148" t="s">
        <v>57</v>
      </c>
      <c r="C37" s="1508">
        <f>+TableC4d!E39</f>
        <v>3.8300831716674075E-2</v>
      </c>
      <c r="D37" s="1509">
        <v>-6.5226199999999998E-2</v>
      </c>
      <c r="E37" s="1509"/>
      <c r="F37" s="815">
        <f>+TableC4d!K39</f>
        <v>6.0803338265822897E-2</v>
      </c>
      <c r="G37" s="1637">
        <v>0</v>
      </c>
      <c r="H37" s="1158"/>
    </row>
    <row r="38" spans="2:8" x14ac:dyDescent="0.2">
      <c r="B38" s="1148" t="s">
        <v>58</v>
      </c>
      <c r="C38" s="1508">
        <f>+TableC4d!E40</f>
        <v>4.0213800257688312</v>
      </c>
      <c r="D38" s="1509">
        <v>5.516292</v>
      </c>
      <c r="E38" s="1509">
        <v>6.6</v>
      </c>
      <c r="F38" s="815">
        <f>+TableC4d!K40</f>
        <v>0.14169566205750209</v>
      </c>
      <c r="G38" s="1637">
        <v>0.20176680000000002</v>
      </c>
      <c r="H38" s="1158">
        <v>0.24</v>
      </c>
    </row>
    <row r="39" spans="2:8" x14ac:dyDescent="0.2">
      <c r="B39" s="1074" t="s">
        <v>59</v>
      </c>
      <c r="C39" s="1508">
        <f>+TableC4d!E41</f>
        <v>1.8790398127610988</v>
      </c>
      <c r="D39" s="1509">
        <v>2.1090999999999999E-2</v>
      </c>
      <c r="E39" s="1509"/>
      <c r="F39" s="815">
        <f>+TableC4d!K41</f>
        <v>0.12759064303400486</v>
      </c>
      <c r="G39" s="1637">
        <v>1.4819E-3</v>
      </c>
      <c r="H39" s="1158"/>
    </row>
    <row r="40" spans="2:8" x14ac:dyDescent="0.2">
      <c r="B40" s="1148" t="s">
        <v>60</v>
      </c>
      <c r="C40" s="1508"/>
      <c r="D40" s="1509">
        <v>-0.17759559999999999</v>
      </c>
      <c r="E40" s="1509"/>
      <c r="F40" s="815"/>
      <c r="G40" s="1637">
        <v>-9.636499999999999E-5</v>
      </c>
      <c r="H40" s="1158"/>
    </row>
    <row r="41" spans="2:8" x14ac:dyDescent="0.2">
      <c r="B41" s="1148" t="s">
        <v>61</v>
      </c>
      <c r="C41" s="1508">
        <f>+TableC4d!E43</f>
        <v>0.99509856411795194</v>
      </c>
      <c r="D41" s="1509">
        <v>-0.52164840000000001</v>
      </c>
      <c r="E41" s="1509">
        <v>2.2999999999999998</v>
      </c>
      <c r="F41" s="815">
        <f>+TableC4d!K43</f>
        <v>8.1066999260363509E-2</v>
      </c>
      <c r="G41" s="1637">
        <v>-3.4273900000000005E-4</v>
      </c>
      <c r="H41" s="1158">
        <v>0.14000000000000001</v>
      </c>
    </row>
    <row r="42" spans="2:8" x14ac:dyDescent="0.2">
      <c r="B42" s="1148" t="s">
        <v>62</v>
      </c>
      <c r="C42" s="1508">
        <f>+TableC4d!E44</f>
        <v>12.300180136609274</v>
      </c>
      <c r="D42" s="1509">
        <v>1.0578700000000001</v>
      </c>
      <c r="E42" s="1509"/>
      <c r="F42" s="815">
        <f>+TableC4d!K44</f>
        <v>0.17523172069902965</v>
      </c>
      <c r="G42" s="1637">
        <v>1.6709000000000002E-2</v>
      </c>
      <c r="H42" s="1158"/>
    </row>
    <row r="43" spans="2:8" x14ac:dyDescent="0.2">
      <c r="B43" s="1148" t="s">
        <v>63</v>
      </c>
      <c r="C43" s="1508">
        <f>+TableC4d!E45</f>
        <v>57.026123441400721</v>
      </c>
      <c r="D43" s="1509">
        <v>188.83</v>
      </c>
      <c r="E43" s="1509">
        <v>93.8</v>
      </c>
      <c r="F43" s="815">
        <f>+TableC4d!K45</f>
        <v>0.14080811485538131</v>
      </c>
      <c r="G43" s="1637">
        <v>0.49270219999999992</v>
      </c>
      <c r="H43" s="1158">
        <v>0.26</v>
      </c>
    </row>
    <row r="44" spans="2:8" ht="37.5" customHeight="1" x14ac:dyDescent="0.2">
      <c r="B44" s="7" t="s">
        <v>64</v>
      </c>
      <c r="C44" s="522">
        <f>SUM(C45:C51)</f>
        <v>27.422697354796586</v>
      </c>
      <c r="D44" s="691">
        <f>SUM(D45:D51)</f>
        <v>95.918962999999991</v>
      </c>
      <c r="E44" s="691">
        <f>SUM(E45:E51)</f>
        <v>61.7</v>
      </c>
      <c r="F44" s="699">
        <f>+TableC4d!K46</f>
        <v>4.630666039475545E-2</v>
      </c>
      <c r="G44" s="518"/>
      <c r="H44" s="695"/>
    </row>
    <row r="45" spans="2:8" x14ac:dyDescent="0.2">
      <c r="B45" s="1149" t="s">
        <v>65</v>
      </c>
      <c r="C45" s="1508">
        <f>+TableC4d!E47</f>
        <v>4.8321019687632383</v>
      </c>
      <c r="D45" s="1509">
        <v>-21.821300000000001</v>
      </c>
      <c r="E45" s="1509">
        <v>13.5</v>
      </c>
      <c r="F45" s="815">
        <f>+TableC4d!K47</f>
        <v>9.0271246129663765E-2</v>
      </c>
      <c r="G45" s="1667"/>
      <c r="H45" s="1158">
        <v>0.17</v>
      </c>
    </row>
    <row r="46" spans="2:8" x14ac:dyDescent="0.2">
      <c r="B46" s="1148" t="s">
        <v>66</v>
      </c>
      <c r="C46" s="1508">
        <f>+TableC4d!E48</f>
        <v>15.131451982825235</v>
      </c>
      <c r="D46" s="1509">
        <v>66.806979999999996</v>
      </c>
      <c r="E46" s="1509">
        <v>32.700000000000003</v>
      </c>
      <c r="F46" s="815">
        <f>+TableC4d!K48</f>
        <v>3.5861224922702772E-2</v>
      </c>
      <c r="G46" s="1667"/>
      <c r="H46" s="1158">
        <v>0.11</v>
      </c>
    </row>
    <row r="47" spans="2:8" x14ac:dyDescent="0.2">
      <c r="B47" s="1148" t="s">
        <v>67</v>
      </c>
      <c r="C47" s="1508">
        <f>+TableC4d!E49</f>
        <v>0.35090435988265745</v>
      </c>
      <c r="D47" s="1509">
        <v>2.7593570000000001</v>
      </c>
      <c r="E47" s="1509"/>
      <c r="F47" s="815">
        <f>+TableC4d!K49</f>
        <v>2.060605590013246E-2</v>
      </c>
      <c r="G47" s="1667"/>
      <c r="H47" s="1158"/>
    </row>
    <row r="48" spans="2:8" x14ac:dyDescent="0.2">
      <c r="B48" s="1148" t="s">
        <v>68</v>
      </c>
      <c r="C48" s="1508">
        <f>+TableC4d!E50</f>
        <v>0.31725599660623816</v>
      </c>
      <c r="D48" s="1509">
        <v>1.1794260000000001</v>
      </c>
      <c r="E48" s="1509"/>
      <c r="F48" s="815">
        <f>+TableC4d!K50</f>
        <v>0.20608794998489571</v>
      </c>
      <c r="G48" s="1667"/>
      <c r="H48" s="1158"/>
    </row>
    <row r="49" spans="2:8" x14ac:dyDescent="0.2">
      <c r="B49" s="1148" t="s">
        <v>69</v>
      </c>
      <c r="C49" s="1508">
        <f>+TableC4d!E51</f>
        <v>3.2797817073095037</v>
      </c>
      <c r="D49" s="1509">
        <v>41.16892</v>
      </c>
      <c r="E49" s="1509">
        <v>9.6999999999999993</v>
      </c>
      <c r="F49" s="815">
        <f>+TableC4d!K51</f>
        <v>8.7746373397239688E-2</v>
      </c>
      <c r="G49" s="1667"/>
      <c r="H49" s="1158">
        <v>0.14000000000000001</v>
      </c>
    </row>
    <row r="50" spans="2:8" x14ac:dyDescent="0.2">
      <c r="B50" s="1148" t="s">
        <v>70</v>
      </c>
      <c r="C50" s="1508">
        <f>+TableC4d!E52</f>
        <v>2.3686208698667821</v>
      </c>
      <c r="D50" s="1509"/>
      <c r="E50" s="1509">
        <v>5.8</v>
      </c>
      <c r="F50" s="815">
        <f>+TableC4d!K52</f>
        <v>5.640790843651218E-2</v>
      </c>
      <c r="G50" s="1667"/>
      <c r="H50" s="1158">
        <v>7.0000000000000007E-2</v>
      </c>
    </row>
    <row r="51" spans="2:8" x14ac:dyDescent="0.2">
      <c r="B51" s="1148" t="s">
        <v>71</v>
      </c>
      <c r="C51" s="1508">
        <f>+TableC4d!E53</f>
        <v>1.1425804695429322</v>
      </c>
      <c r="D51" s="1509">
        <v>5.8255800000000004</v>
      </c>
      <c r="E51" s="1509"/>
      <c r="F51" s="815">
        <f>+TableC4d!K53</f>
        <v>6.0818162944512984E-2</v>
      </c>
      <c r="G51" s="1667"/>
      <c r="H51" s="1158"/>
    </row>
    <row r="52" spans="2:8" ht="37.5" hidden="1" customHeight="1" x14ac:dyDescent="0.2">
      <c r="B52" s="7" t="s">
        <v>72</v>
      </c>
      <c r="C52" s="521"/>
      <c r="D52" s="519"/>
      <c r="E52" s="266"/>
      <c r="F52" s="700"/>
      <c r="G52" s="246"/>
      <c r="H52" s="684"/>
    </row>
    <row r="53" spans="2:8" hidden="1" x14ac:dyDescent="0.2">
      <c r="B53" s="1148" t="str">
        <f>+TableC5!A54</f>
        <v>Andorra</v>
      </c>
      <c r="C53" s="1668"/>
      <c r="D53" s="519"/>
      <c r="E53" s="1178"/>
      <c r="F53" s="700"/>
      <c r="G53" s="1669"/>
      <c r="H53" s="1158"/>
    </row>
    <row r="54" spans="2:8" hidden="1" x14ac:dyDescent="0.2">
      <c r="B54" s="1148" t="str">
        <f>+TableC5!A55</f>
        <v>Anguilla</v>
      </c>
      <c r="C54" s="1668"/>
      <c r="D54" s="519"/>
      <c r="E54" s="1178"/>
      <c r="F54" s="700"/>
      <c r="G54" s="1669"/>
      <c r="H54" s="1158"/>
    </row>
    <row r="55" spans="2:8" hidden="1" x14ac:dyDescent="0.2">
      <c r="B55" s="1148" t="str">
        <f>+TableC5!A56</f>
        <v>Antigua and Barbuda</v>
      </c>
      <c r="C55" s="1668"/>
      <c r="D55" s="519"/>
      <c r="E55" s="1178"/>
      <c r="F55" s="700"/>
      <c r="G55" s="1669"/>
      <c r="H55" s="1158"/>
    </row>
    <row r="56" spans="2:8" hidden="1" x14ac:dyDescent="0.2">
      <c r="B56" s="1148" t="str">
        <f>+TableC5!A57</f>
        <v>Aruba</v>
      </c>
      <c r="C56" s="1668"/>
      <c r="D56" s="519"/>
      <c r="E56" s="1178"/>
      <c r="F56" s="700"/>
      <c r="G56" s="1669"/>
      <c r="H56" s="1158"/>
    </row>
    <row r="57" spans="2:8" hidden="1" x14ac:dyDescent="0.2">
      <c r="B57" s="1148" t="str">
        <f>+TableC5!A58</f>
        <v>Bahamas, The</v>
      </c>
      <c r="C57" s="1668"/>
      <c r="D57" s="519"/>
      <c r="E57" s="1178"/>
      <c r="F57" s="700"/>
      <c r="G57" s="1669"/>
      <c r="H57" s="1158"/>
    </row>
    <row r="58" spans="2:8" hidden="1" x14ac:dyDescent="0.2">
      <c r="B58" s="1148" t="str">
        <f>+TableC5!A59</f>
        <v>Bahrain</v>
      </c>
      <c r="C58" s="1668"/>
      <c r="D58" s="519"/>
      <c r="E58" s="1178"/>
      <c r="F58" s="700"/>
      <c r="G58" s="1669"/>
      <c r="H58" s="1158"/>
    </row>
    <row r="59" spans="2:8" hidden="1" x14ac:dyDescent="0.2">
      <c r="B59" s="1148" t="str">
        <f>+TableC5!A60</f>
        <v>Barbados</v>
      </c>
      <c r="C59" s="1668"/>
      <c r="D59" s="519"/>
      <c r="E59" s="1178"/>
      <c r="F59" s="700"/>
      <c r="G59" s="1669"/>
      <c r="H59" s="1158"/>
    </row>
    <row r="60" spans="2:8" hidden="1" x14ac:dyDescent="0.2">
      <c r="B60" s="1148" t="str">
        <f>+TableC5!A61</f>
        <v>Belize</v>
      </c>
      <c r="C60" s="1668"/>
      <c r="D60" s="519"/>
      <c r="E60" s="1178"/>
      <c r="F60" s="700"/>
      <c r="G60" s="1669"/>
      <c r="H60" s="1158"/>
    </row>
    <row r="61" spans="2:8" hidden="1" x14ac:dyDescent="0.2">
      <c r="B61" s="1148" t="str">
        <f>+TableC5!A62</f>
        <v>Bermuda</v>
      </c>
      <c r="C61" s="1668"/>
      <c r="D61" s="519"/>
      <c r="E61" s="1178"/>
      <c r="F61" s="700"/>
      <c r="G61" s="1669"/>
      <c r="H61" s="1158"/>
    </row>
    <row r="62" spans="2:8" hidden="1" x14ac:dyDescent="0.2">
      <c r="B62" s="1148" t="str">
        <f>+TableC5!A63</f>
        <v>Bonaire</v>
      </c>
      <c r="C62" s="1668"/>
      <c r="D62" s="519"/>
      <c r="E62" s="1178"/>
      <c r="F62" s="700"/>
      <c r="G62" s="1669"/>
      <c r="H62" s="1158"/>
    </row>
    <row r="63" spans="2:8" hidden="1" x14ac:dyDescent="0.2">
      <c r="B63" s="1148" t="str">
        <f>+TableC5!A64</f>
        <v>British Virgin Islands</v>
      </c>
      <c r="C63" s="1668"/>
      <c r="D63" s="519"/>
      <c r="E63" s="1178"/>
      <c r="F63" s="700"/>
      <c r="G63" s="1669"/>
      <c r="H63" s="1158"/>
    </row>
    <row r="64" spans="2:8" hidden="1" x14ac:dyDescent="0.2">
      <c r="B64" s="1148" t="str">
        <f>+TableC5!A65</f>
        <v>Cayman Islands</v>
      </c>
      <c r="C64" s="523"/>
      <c r="D64" s="519"/>
      <c r="E64" s="1178"/>
      <c r="F64" s="700"/>
      <c r="G64" s="520"/>
      <c r="H64" s="1158"/>
    </row>
    <row r="65" spans="2:8" hidden="1" x14ac:dyDescent="0.2">
      <c r="B65" s="1148" t="str">
        <f>+TableC5!A66</f>
        <v>Curacao</v>
      </c>
      <c r="C65" s="1668"/>
      <c r="D65" s="519"/>
      <c r="E65" s="1178"/>
      <c r="F65" s="700"/>
      <c r="G65" s="1669"/>
      <c r="H65" s="1158"/>
    </row>
    <row r="66" spans="2:8" hidden="1" x14ac:dyDescent="0.2">
      <c r="B66" s="1148" t="str">
        <f>+TableC5!A67</f>
        <v>Cyprus</v>
      </c>
      <c r="C66" s="1668"/>
      <c r="D66" s="519"/>
      <c r="E66" s="1178"/>
      <c r="F66" s="700"/>
      <c r="G66" s="1669"/>
      <c r="H66" s="1158"/>
    </row>
    <row r="67" spans="2:8" hidden="1" x14ac:dyDescent="0.2">
      <c r="B67" s="1148" t="str">
        <f>+TableC5!A68</f>
        <v>Jersey</v>
      </c>
      <c r="C67" s="1668"/>
      <c r="D67" s="519"/>
      <c r="E67" s="1178"/>
      <c r="F67" s="700"/>
      <c r="G67" s="1669"/>
      <c r="H67" s="1158"/>
    </row>
    <row r="68" spans="2:8" hidden="1" x14ac:dyDescent="0.2">
      <c r="B68" s="1148" t="str">
        <f>+TableC5!A69</f>
        <v>Grenada</v>
      </c>
      <c r="C68" s="1668"/>
      <c r="D68" s="519"/>
      <c r="E68" s="1178"/>
      <c r="F68" s="700"/>
      <c r="G68" s="1669"/>
      <c r="H68" s="1158"/>
    </row>
    <row r="69" spans="2:8" hidden="1" x14ac:dyDescent="0.2">
      <c r="B69" s="1148" t="str">
        <f>+TableC5!A70</f>
        <v>Guernsey</v>
      </c>
      <c r="C69" s="1668"/>
      <c r="D69" s="519"/>
      <c r="E69" s="1178"/>
      <c r="F69" s="700"/>
      <c r="G69" s="1669"/>
      <c r="H69" s="1158"/>
    </row>
    <row r="70" spans="2:8" hidden="1" x14ac:dyDescent="0.2">
      <c r="B70" s="1148" t="str">
        <f>+TableC5!A71</f>
        <v>Gibraltar</v>
      </c>
      <c r="C70" s="1668"/>
      <c r="D70" s="519"/>
      <c r="E70" s="1178"/>
      <c r="F70" s="700"/>
      <c r="G70" s="1669"/>
      <c r="H70" s="1158"/>
    </row>
    <row r="71" spans="2:8" hidden="1" x14ac:dyDescent="0.2">
      <c r="B71" s="1148" t="str">
        <f>+TableC5!A72</f>
        <v>Hong Kong</v>
      </c>
      <c r="C71" s="1668"/>
      <c r="D71" s="519"/>
      <c r="E71" s="1178"/>
      <c r="F71" s="700"/>
      <c r="G71" s="1669"/>
      <c r="H71" s="1158"/>
    </row>
    <row r="72" spans="2:8" hidden="1" x14ac:dyDescent="0.2">
      <c r="B72" s="1148" t="str">
        <f>+TableC5!A73</f>
        <v>Isle of man</v>
      </c>
      <c r="C72" s="1668"/>
      <c r="D72" s="519"/>
      <c r="E72" s="1178"/>
      <c r="F72" s="700"/>
      <c r="G72" s="1669"/>
      <c r="H72" s="1158"/>
    </row>
    <row r="73" spans="2:8" hidden="1" x14ac:dyDescent="0.2">
      <c r="B73" s="1148" t="str">
        <f>+TableC5!A74</f>
        <v>Lebanon</v>
      </c>
      <c r="C73" s="1668"/>
      <c r="D73" s="519"/>
      <c r="E73" s="1178"/>
      <c r="F73" s="700"/>
      <c r="G73" s="1669"/>
      <c r="H73" s="1158"/>
    </row>
    <row r="74" spans="2:8" hidden="1" x14ac:dyDescent="0.2">
      <c r="B74" s="1148" t="str">
        <f>+TableC5!A75</f>
        <v>Liechtenstein</v>
      </c>
      <c r="C74" s="1668"/>
      <c r="D74" s="519"/>
      <c r="E74" s="1178"/>
      <c r="F74" s="700"/>
      <c r="G74" s="1669"/>
      <c r="H74" s="1158"/>
    </row>
    <row r="75" spans="2:8" hidden="1" x14ac:dyDescent="0.2">
      <c r="B75" s="1148" t="str">
        <f>+TableC5!A76</f>
        <v>Macau</v>
      </c>
      <c r="C75" s="1668"/>
      <c r="D75" s="519"/>
      <c r="E75" s="1178"/>
      <c r="F75" s="700"/>
      <c r="G75" s="1669"/>
      <c r="H75" s="1158"/>
    </row>
    <row r="76" spans="2:8" hidden="1" x14ac:dyDescent="0.2">
      <c r="B76" s="1148" t="str">
        <f>+TableC5!A77</f>
        <v>Malta</v>
      </c>
      <c r="C76" s="1668"/>
      <c r="D76" s="519"/>
      <c r="E76" s="1178"/>
      <c r="F76" s="700"/>
      <c r="G76" s="1669"/>
      <c r="H76" s="1158"/>
    </row>
    <row r="77" spans="2:8" hidden="1" x14ac:dyDescent="0.2">
      <c r="B77" s="1148" t="str">
        <f>+TableC5!A78</f>
        <v>Marshall Islands</v>
      </c>
      <c r="C77" s="1668"/>
      <c r="D77" s="519"/>
      <c r="E77" s="1178"/>
      <c r="F77" s="700"/>
      <c r="G77" s="1669"/>
      <c r="H77" s="1158"/>
    </row>
    <row r="78" spans="2:8" hidden="1" x14ac:dyDescent="0.2">
      <c r="B78" s="1148" t="str">
        <f>+TableC5!A79</f>
        <v>Monaco</v>
      </c>
      <c r="C78" s="1668"/>
      <c r="D78" s="519"/>
      <c r="E78" s="1178"/>
      <c r="F78" s="700"/>
      <c r="G78" s="1669"/>
      <c r="H78" s="1158"/>
    </row>
    <row r="79" spans="2:8" hidden="1" x14ac:dyDescent="0.2">
      <c r="B79" s="1148" t="str">
        <f>+TableC5!A80</f>
        <v>Sint Maarten</v>
      </c>
      <c r="C79" s="1668"/>
      <c r="D79" s="519"/>
      <c r="E79" s="1178"/>
      <c r="F79" s="700"/>
      <c r="G79" s="1669"/>
      <c r="H79" s="1158"/>
    </row>
    <row r="80" spans="2:8" hidden="1" x14ac:dyDescent="0.2">
      <c r="B80" s="1148" t="str">
        <f>+TableC5!A81</f>
        <v>Mauritius</v>
      </c>
      <c r="C80" s="1668"/>
      <c r="D80" s="519"/>
      <c r="E80" s="1178"/>
      <c r="F80" s="700"/>
      <c r="G80" s="1669"/>
      <c r="H80" s="1158"/>
    </row>
    <row r="81" spans="2:8" hidden="1" x14ac:dyDescent="0.2">
      <c r="B81" s="1148" t="str">
        <f>+TableC5!A82</f>
        <v>Seychelles</v>
      </c>
      <c r="C81" s="1668"/>
      <c r="D81" s="519"/>
      <c r="E81" s="1178"/>
      <c r="F81" s="700"/>
      <c r="G81" s="1669"/>
      <c r="H81" s="1158"/>
    </row>
    <row r="82" spans="2:8" hidden="1" x14ac:dyDescent="0.2">
      <c r="B82" s="1148" t="str">
        <f>+TableC5!A83</f>
        <v>Singapore</v>
      </c>
      <c r="C82" s="1668"/>
      <c r="D82" s="519"/>
      <c r="E82" s="1178"/>
      <c r="F82" s="700"/>
      <c r="G82" s="1669"/>
      <c r="H82" s="1158"/>
    </row>
    <row r="83" spans="2:8" hidden="1" x14ac:dyDescent="0.2">
      <c r="B83" s="1148" t="str">
        <f>+TableC5!A84</f>
        <v>St. Kitts and Nevis</v>
      </c>
      <c r="C83" s="1668"/>
      <c r="D83" s="519"/>
      <c r="E83" s="1178"/>
      <c r="F83" s="700"/>
      <c r="G83" s="1669"/>
      <c r="H83" s="1158"/>
    </row>
    <row r="84" spans="2:8" hidden="1" x14ac:dyDescent="0.2">
      <c r="B84" s="1148" t="str">
        <f>+TableC5!A85</f>
        <v>St. Lucia</v>
      </c>
      <c r="C84" s="1668"/>
      <c r="D84" s="519"/>
      <c r="E84" s="1178"/>
      <c r="F84" s="700"/>
      <c r="G84" s="1669"/>
      <c r="H84" s="1158"/>
    </row>
    <row r="85" spans="2:8" hidden="1" x14ac:dyDescent="0.2">
      <c r="B85" s="1148" t="str">
        <f>+TableC5!A86</f>
        <v>St. Vincent and the Grenadines</v>
      </c>
      <c r="C85" s="1668"/>
      <c r="D85" s="519"/>
      <c r="E85" s="1178"/>
      <c r="F85" s="700"/>
      <c r="G85" s="1669"/>
      <c r="H85" s="1158"/>
    </row>
    <row r="86" spans="2:8" hidden="1" x14ac:dyDescent="0.2">
      <c r="B86" s="1148" t="str">
        <f>+TableC5!A87</f>
        <v>Turks and Caicos</v>
      </c>
      <c r="C86" s="1668"/>
      <c r="D86" s="519"/>
      <c r="E86" s="1178"/>
      <c r="F86" s="700"/>
      <c r="G86" s="1669"/>
      <c r="H86" s="1158"/>
    </row>
    <row r="87" spans="2:8" hidden="1" x14ac:dyDescent="0.2">
      <c r="B87" s="1148" t="str">
        <f>+TableC5!A88</f>
        <v>Panama</v>
      </c>
      <c r="C87" s="1668"/>
      <c r="D87" s="519"/>
      <c r="E87" s="1178"/>
      <c r="F87" s="700"/>
      <c r="G87" s="1669"/>
      <c r="H87" s="1158"/>
    </row>
    <row r="88" spans="2:8" hidden="1" x14ac:dyDescent="0.2">
      <c r="B88" s="1148" t="str">
        <f>+TableC5!A89</f>
        <v>Puerto Rico</v>
      </c>
      <c r="C88" s="1668"/>
      <c r="D88" s="519"/>
      <c r="E88" s="1178"/>
      <c r="F88" s="700"/>
      <c r="G88" s="1669"/>
      <c r="H88" s="1158"/>
    </row>
    <row r="89" spans="2:8" ht="39" customHeight="1" x14ac:dyDescent="0.2">
      <c r="B89" s="622" t="s">
        <v>155</v>
      </c>
      <c r="C89" s="522">
        <f>+TableC4d!E91</f>
        <v>18.687705941084808</v>
      </c>
      <c r="D89" s="691">
        <v>56.102748300000087</v>
      </c>
      <c r="E89" s="691">
        <v>11.700000000000045</v>
      </c>
      <c r="F89" s="699">
        <f>+TableC4d!K91</f>
        <v>7.0004884806695672E-2</v>
      </c>
      <c r="G89" s="266"/>
      <c r="H89" s="684"/>
    </row>
    <row r="90" spans="2:8" hidden="1" x14ac:dyDescent="0.2">
      <c r="B90" s="622"/>
      <c r="C90" s="265"/>
      <c r="D90" s="266"/>
      <c r="E90" s="266"/>
      <c r="F90" s="699"/>
      <c r="G90" s="266"/>
      <c r="H90" s="684"/>
    </row>
    <row r="91" spans="2:8" ht="40" customHeight="1" thickBot="1" x14ac:dyDescent="0.25">
      <c r="B91" s="263" t="s">
        <v>772</v>
      </c>
      <c r="C91" s="696">
        <f>+C89+C8+C44</f>
        <v>181.40240730377607</v>
      </c>
      <c r="D91" s="697">
        <v>450.90414750000002</v>
      </c>
      <c r="E91" s="698">
        <f>+E89+E44+E8</f>
        <v>279</v>
      </c>
      <c r="F91" s="816">
        <f>+TableC4d!K93</f>
        <v>9.1314753737725546E-2</v>
      </c>
      <c r="G91" s="283"/>
      <c r="H91" s="685"/>
    </row>
    <row r="92" spans="2:8" ht="17" thickTop="1" x14ac:dyDescent="0.2"/>
  </sheetData>
  <mergeCells count="9">
    <mergeCell ref="C5:E5"/>
    <mergeCell ref="F5:H5"/>
    <mergeCell ref="F6:F7"/>
    <mergeCell ref="B2:H2"/>
    <mergeCell ref="H6:H7"/>
    <mergeCell ref="E6:E7"/>
    <mergeCell ref="C6:C7"/>
    <mergeCell ref="D6:D7"/>
    <mergeCell ref="G6:G7"/>
  </mergeCells>
  <pageMargins left="0.7" right="0.7" top="0.75" bottom="0.75" header="0.3" footer="0.3"/>
  <pageSetup paperSize="9" scale="77" orientation="portrait"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E15"/>
  <sheetViews>
    <sheetView workbookViewId="0">
      <selection activeCell="A3" sqref="A3:E14"/>
    </sheetView>
  </sheetViews>
  <sheetFormatPr baseColWidth="10" defaultColWidth="7.6640625" defaultRowHeight="15" x14ac:dyDescent="0.2"/>
  <cols>
    <col min="1" max="1" width="38.1640625" style="540" bestFit="1" customWidth="1"/>
    <col min="2" max="2" width="20" style="540" customWidth="1"/>
    <col min="3" max="4" width="14.1640625" style="540" customWidth="1"/>
    <col min="5" max="5" width="17.5" style="540" bestFit="1" customWidth="1"/>
    <col min="6" max="6" width="12" style="540" customWidth="1"/>
    <col min="7" max="7" width="51.33203125" style="540" bestFit="1" customWidth="1"/>
    <col min="8" max="9" width="25.1640625" style="540" bestFit="1" customWidth="1"/>
    <col min="10" max="10" width="18" style="540" customWidth="1"/>
    <col min="11" max="16384" width="7.6640625" style="540"/>
  </cols>
  <sheetData>
    <row r="2" spans="1:5" ht="16" thickBot="1" x14ac:dyDescent="0.25"/>
    <row r="3" spans="1:5" ht="26.25" customHeight="1" thickTop="1" x14ac:dyDescent="0.2">
      <c r="A3" s="1951" t="s">
        <v>773</v>
      </c>
      <c r="B3" s="1952"/>
      <c r="C3" s="1952"/>
      <c r="D3" s="1952"/>
      <c r="E3" s="1953"/>
    </row>
    <row r="4" spans="1:5" ht="16" x14ac:dyDescent="0.2">
      <c r="A4" s="1148"/>
      <c r="B4" s="1027"/>
      <c r="C4" s="1027"/>
      <c r="D4" s="1027"/>
      <c r="E4" s="1073"/>
    </row>
    <row r="5" spans="1:5" ht="17" thickBot="1" x14ac:dyDescent="0.25">
      <c r="A5" s="1148"/>
      <c r="B5" s="126" t="s">
        <v>1</v>
      </c>
      <c r="C5" s="126" t="s">
        <v>2</v>
      </c>
      <c r="D5" s="126" t="s">
        <v>3</v>
      </c>
      <c r="E5" s="185" t="s">
        <v>4</v>
      </c>
    </row>
    <row r="6" spans="1:5" ht="41.25" customHeight="1" x14ac:dyDescent="0.2">
      <c r="A6" s="1867"/>
      <c r="B6" s="1670" t="s">
        <v>774</v>
      </c>
      <c r="C6" s="1811" t="s">
        <v>775</v>
      </c>
      <c r="D6" s="1671" t="s">
        <v>776</v>
      </c>
      <c r="E6" s="1672" t="s">
        <v>777</v>
      </c>
    </row>
    <row r="7" spans="1:5" ht="20.25" customHeight="1" x14ac:dyDescent="0.2">
      <c r="A7" s="692" t="s">
        <v>762</v>
      </c>
      <c r="B7" s="1834">
        <v>2006</v>
      </c>
      <c r="C7" s="1860">
        <v>2010</v>
      </c>
      <c r="D7" s="1860">
        <v>1999</v>
      </c>
      <c r="E7" s="1673">
        <v>2004</v>
      </c>
    </row>
    <row r="8" spans="1:5" ht="8.25" customHeight="1" x14ac:dyDescent="0.2">
      <c r="A8" s="692"/>
      <c r="B8" s="1834"/>
      <c r="C8" s="1860"/>
      <c r="D8" s="1860"/>
      <c r="E8" s="1673"/>
    </row>
    <row r="9" spans="1:5" ht="16" x14ac:dyDescent="0.2">
      <c r="A9" s="692" t="s">
        <v>778</v>
      </c>
      <c r="B9" s="1834" t="s">
        <v>779</v>
      </c>
      <c r="C9" s="1860" t="s">
        <v>780</v>
      </c>
      <c r="D9" s="1860" t="s">
        <v>781</v>
      </c>
      <c r="E9" s="1673" t="s">
        <v>652</v>
      </c>
    </row>
    <row r="10" spans="1:5" ht="16" x14ac:dyDescent="0.2">
      <c r="A10" s="692" t="s">
        <v>782</v>
      </c>
      <c r="B10" s="1659">
        <v>31.546979865771814</v>
      </c>
      <c r="C10" s="1196">
        <v>196.19979116778524</v>
      </c>
      <c r="D10" s="1196">
        <v>340</v>
      </c>
      <c r="E10" s="1186">
        <v>4396.92</v>
      </c>
    </row>
    <row r="11" spans="1:5" ht="16" x14ac:dyDescent="0.2">
      <c r="A11" s="692" t="s">
        <v>783</v>
      </c>
      <c r="B11" s="1208">
        <v>8344.4295302013415</v>
      </c>
      <c r="C11" s="1153">
        <v>50983.9</v>
      </c>
      <c r="D11" s="1153">
        <v>36872</v>
      </c>
      <c r="E11" s="1186">
        <v>218486.95200000002</v>
      </c>
    </row>
    <row r="12" spans="1:5" ht="16" x14ac:dyDescent="0.2">
      <c r="A12" s="692" t="s">
        <v>784</v>
      </c>
      <c r="B12" s="1674">
        <v>3.7806035453463315E-3</v>
      </c>
      <c r="C12" s="1675">
        <v>3.8482695746654381E-3</v>
      </c>
      <c r="D12" s="1675">
        <v>9.2210891733564768E-3</v>
      </c>
      <c r="E12" s="1676">
        <v>2.0124405415294547E-2</v>
      </c>
    </row>
    <row r="13" spans="1:5" ht="16" x14ac:dyDescent="0.2">
      <c r="A13" s="692" t="s">
        <v>785</v>
      </c>
      <c r="B13" s="1834" t="s">
        <v>786</v>
      </c>
      <c r="C13" s="1178">
        <v>0.79310344827586221</v>
      </c>
      <c r="D13" s="1178">
        <v>0.68382352941176472</v>
      </c>
      <c r="E13" s="1673" t="s">
        <v>786</v>
      </c>
    </row>
    <row r="14" spans="1:5" ht="17" thickBot="1" x14ac:dyDescent="0.25">
      <c r="A14" s="693" t="s">
        <v>787</v>
      </c>
      <c r="B14" s="1259" t="s">
        <v>786</v>
      </c>
      <c r="C14" s="1677">
        <v>0.93628185907046479</v>
      </c>
      <c r="D14" s="1677">
        <v>1</v>
      </c>
      <c r="E14" s="1678" t="s">
        <v>786</v>
      </c>
    </row>
    <row r="15" spans="1:5" ht="16" thickTop="1" x14ac:dyDescent="0.2"/>
  </sheetData>
  <mergeCells count="1">
    <mergeCell ref="A3:E3"/>
  </mergeCells>
  <pageMargins left="0.7" right="0.7" top="0.75" bottom="0.75" header="0.3" footer="0.3"/>
  <pageSetup paperSize="9" scale="84"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1"/>
  <sheetViews>
    <sheetView workbookViewId="0">
      <selection activeCell="A2" sqref="A2:E10"/>
    </sheetView>
  </sheetViews>
  <sheetFormatPr baseColWidth="10" defaultColWidth="7.6640625" defaultRowHeight="15" x14ac:dyDescent="0.2"/>
  <cols>
    <col min="1" max="1" width="34.6640625" style="725" bestFit="1" customWidth="1"/>
    <col min="2" max="2" width="20" style="725" customWidth="1"/>
    <col min="3" max="5" width="14.1640625" style="725" customWidth="1"/>
    <col min="6" max="7" width="7.6640625" style="725"/>
    <col min="8" max="8" width="12" style="725" customWidth="1"/>
    <col min="9" max="9" width="51.33203125" style="725" bestFit="1" customWidth="1"/>
    <col min="10" max="11" width="25.1640625" style="725" bestFit="1" customWidth="1"/>
    <col min="12" max="12" width="18" style="725" customWidth="1"/>
    <col min="13" max="16384" width="7.6640625" style="725"/>
  </cols>
  <sheetData>
    <row r="1" spans="1:12" ht="30.75" customHeight="1" x14ac:dyDescent="0.2"/>
    <row r="2" spans="1:12" ht="16.5" customHeight="1" thickBot="1" x14ac:dyDescent="0.25">
      <c r="A2" s="2375" t="s">
        <v>788</v>
      </c>
      <c r="B2" s="2375"/>
      <c r="C2" s="2375"/>
      <c r="D2" s="2375"/>
      <c r="E2" s="2375"/>
      <c r="H2" s="2376" t="s">
        <v>789</v>
      </c>
      <c r="I2" s="2376"/>
      <c r="J2" s="2376"/>
      <c r="K2" s="2376"/>
      <c r="L2" s="2376"/>
    </row>
    <row r="3" spans="1:12" s="745" customFormat="1" ht="18" customHeight="1" thickTop="1" x14ac:dyDescent="0.2">
      <c r="A3" s="746"/>
      <c r="B3" s="746" t="s">
        <v>774</v>
      </c>
      <c r="C3" s="746" t="s">
        <v>775</v>
      </c>
      <c r="D3" s="746" t="s">
        <v>776</v>
      </c>
      <c r="E3" s="746" t="s">
        <v>777</v>
      </c>
      <c r="H3" s="1679"/>
      <c r="I3" s="1679" t="s">
        <v>790</v>
      </c>
      <c r="J3" s="1680" t="s">
        <v>791</v>
      </c>
      <c r="K3" s="1680" t="s">
        <v>792</v>
      </c>
      <c r="L3" s="1679" t="s">
        <v>793</v>
      </c>
    </row>
    <row r="4" spans="1:12" x14ac:dyDescent="0.2">
      <c r="A4" s="726" t="s">
        <v>794</v>
      </c>
      <c r="B4" s="744">
        <v>2006</v>
      </c>
      <c r="C4" s="726">
        <v>2010</v>
      </c>
      <c r="D4" s="726">
        <v>1999</v>
      </c>
      <c r="E4" s="726">
        <v>2004</v>
      </c>
      <c r="H4" s="725" t="s">
        <v>30</v>
      </c>
      <c r="I4" s="736">
        <v>3880.5</v>
      </c>
      <c r="J4" s="735">
        <v>4.71</v>
      </c>
      <c r="K4" s="735">
        <f t="shared" ref="K4:K25" si="0">+J4*$H$31</f>
        <v>5.0271489971346703</v>
      </c>
      <c r="L4" s="734">
        <f t="shared" ref="L4:L25" si="1">+K4/I4</f>
        <v>1.2954900134350394E-3</v>
      </c>
    </row>
    <row r="5" spans="1:12" x14ac:dyDescent="0.2">
      <c r="A5" s="725" t="s">
        <v>795</v>
      </c>
      <c r="B5" s="737" t="s">
        <v>779</v>
      </c>
      <c r="C5" s="737" t="s">
        <v>780</v>
      </c>
      <c r="D5" s="737" t="s">
        <v>781</v>
      </c>
      <c r="E5" s="737" t="s">
        <v>652</v>
      </c>
      <c r="H5" s="725" t="s">
        <v>31</v>
      </c>
      <c r="I5" s="736">
        <v>7697.1</v>
      </c>
      <c r="J5" s="735">
        <v>8.7799999999999994</v>
      </c>
      <c r="K5" s="735">
        <f t="shared" si="0"/>
        <v>9.3712034383954137</v>
      </c>
      <c r="L5" s="734">
        <f t="shared" si="1"/>
        <v>1.2174979457711883E-3</v>
      </c>
    </row>
    <row r="6" spans="1:12" x14ac:dyDescent="0.2">
      <c r="A6" s="725" t="s">
        <v>796</v>
      </c>
      <c r="B6" s="743">
        <v>31.546979865771814</v>
      </c>
      <c r="C6" s="743">
        <v>196.19979116778524</v>
      </c>
      <c r="D6" s="743">
        <v>340</v>
      </c>
      <c r="E6" s="743">
        <f>5500*0.79944</f>
        <v>4396.92</v>
      </c>
      <c r="H6" s="725" t="s">
        <v>451</v>
      </c>
      <c r="I6" s="736">
        <v>388.7</v>
      </c>
      <c r="J6" s="735">
        <v>0.45</v>
      </c>
      <c r="K6" s="735">
        <f t="shared" si="0"/>
        <v>0.48030085959885388</v>
      </c>
      <c r="L6" s="734">
        <f t="shared" si="1"/>
        <v>1.2356595307405555E-3</v>
      </c>
    </row>
    <row r="7" spans="1:12" x14ac:dyDescent="0.2">
      <c r="A7" s="725" t="s">
        <v>797</v>
      </c>
      <c r="B7" s="743">
        <v>8344.4295302013415</v>
      </c>
      <c r="C7" s="743">
        <v>50983.9</v>
      </c>
      <c r="D7" s="743">
        <v>36872</v>
      </c>
      <c r="E7" s="743">
        <f>273300*0.79944</f>
        <v>218486.95200000002</v>
      </c>
      <c r="H7" s="725" t="s">
        <v>34</v>
      </c>
      <c r="I7" s="736">
        <v>2154.3000000000002</v>
      </c>
      <c r="J7" s="735">
        <v>37.14</v>
      </c>
      <c r="K7" s="735">
        <f t="shared" si="0"/>
        <v>39.64083094555874</v>
      </c>
      <c r="L7" s="734">
        <f t="shared" si="1"/>
        <v>1.8400794200231507E-2</v>
      </c>
    </row>
    <row r="8" spans="1:12" x14ac:dyDescent="0.2">
      <c r="A8" s="725" t="s">
        <v>784</v>
      </c>
      <c r="B8" s="734">
        <f>+B6/B7</f>
        <v>3.7806035453463315E-3</v>
      </c>
      <c r="C8" s="734">
        <f>+C6/C7</f>
        <v>3.8482695746654381E-3</v>
      </c>
      <c r="D8" s="734">
        <f>+D6/D7</f>
        <v>9.2210891733564768E-3</v>
      </c>
      <c r="E8" s="734">
        <f>+E6/E7</f>
        <v>2.0124405415294547E-2</v>
      </c>
      <c r="H8" s="725" t="s">
        <v>35</v>
      </c>
      <c r="I8" s="736">
        <v>3888.9</v>
      </c>
      <c r="J8" s="735">
        <v>16.87</v>
      </c>
      <c r="K8" s="735">
        <f t="shared" si="0"/>
        <v>18.005945558739256</v>
      </c>
      <c r="L8" s="734">
        <f t="shared" si="1"/>
        <v>4.6300870577127866E-3</v>
      </c>
    </row>
    <row r="9" spans="1:12" x14ac:dyDescent="0.2">
      <c r="A9" s="725" t="s">
        <v>785</v>
      </c>
      <c r="B9" s="742" t="s">
        <v>786</v>
      </c>
      <c r="C9" s="741">
        <f>+(118.6+8.5+6.3)/168.2</f>
        <v>0.79310344827586221</v>
      </c>
      <c r="D9" s="741">
        <f>232.5/D6</f>
        <v>0.68382352941176472</v>
      </c>
      <c r="E9" s="741" t="s">
        <v>786</v>
      </c>
      <c r="H9" s="725" t="s">
        <v>36</v>
      </c>
      <c r="I9" s="736">
        <v>104.5</v>
      </c>
      <c r="J9" s="735">
        <v>0.19</v>
      </c>
      <c r="K9" s="735">
        <f t="shared" si="0"/>
        <v>0.20279369627507163</v>
      </c>
      <c r="L9" s="734">
        <f t="shared" si="1"/>
        <v>1.9406095337327429E-3</v>
      </c>
    </row>
    <row r="10" spans="1:12" ht="16" thickBot="1" x14ac:dyDescent="0.25">
      <c r="A10" s="740" t="s">
        <v>787</v>
      </c>
      <c r="B10" s="739" t="s">
        <v>786</v>
      </c>
      <c r="C10" s="738">
        <f>1-(8.5)/(118.6+8.5+6.3)</f>
        <v>0.93628185907046479</v>
      </c>
      <c r="D10" s="738">
        <v>1</v>
      </c>
      <c r="E10" s="738" t="s">
        <v>786</v>
      </c>
      <c r="H10" s="725" t="s">
        <v>37</v>
      </c>
      <c r="I10" s="736">
        <v>5296.3</v>
      </c>
      <c r="J10" s="735">
        <v>72.510000000000005</v>
      </c>
      <c r="K10" s="735">
        <f t="shared" si="0"/>
        <v>77.392478510028653</v>
      </c>
      <c r="L10" s="734">
        <f t="shared" si="1"/>
        <v>1.4612555653952504E-2</v>
      </c>
    </row>
    <row r="11" spans="1:12" ht="16" thickTop="1" x14ac:dyDescent="0.2">
      <c r="E11" s="737"/>
      <c r="H11" s="725" t="s">
        <v>38</v>
      </c>
      <c r="I11" s="736">
        <v>36872</v>
      </c>
      <c r="J11" s="735">
        <v>4.9800000000000004</v>
      </c>
      <c r="K11" s="735">
        <f t="shared" si="0"/>
        <v>5.3153295128939835</v>
      </c>
      <c r="L11" s="734">
        <f t="shared" si="1"/>
        <v>1.4415625712990842E-4</v>
      </c>
    </row>
    <row r="12" spans="1:12" x14ac:dyDescent="0.2">
      <c r="H12" s="729" t="s">
        <v>39</v>
      </c>
      <c r="I12" s="736">
        <v>53829</v>
      </c>
      <c r="J12" s="735">
        <v>-1260.1400000000001</v>
      </c>
      <c r="K12" s="735">
        <f t="shared" si="0"/>
        <v>-1344.9918338108882</v>
      </c>
      <c r="L12" s="734">
        <f t="shared" si="1"/>
        <v>-2.4986379717455057E-2</v>
      </c>
    </row>
    <row r="13" spans="1:12" x14ac:dyDescent="0.2">
      <c r="H13" s="725" t="s">
        <v>41</v>
      </c>
      <c r="I13" s="736">
        <v>1038.3</v>
      </c>
      <c r="J13" s="735">
        <v>0.89</v>
      </c>
      <c r="K13" s="735">
        <f t="shared" si="0"/>
        <v>0.94992836676217762</v>
      </c>
      <c r="L13" s="734">
        <f t="shared" si="1"/>
        <v>9.1488815059441171E-4</v>
      </c>
    </row>
    <row r="14" spans="1:12" x14ac:dyDescent="0.2">
      <c r="H14" s="725" t="s">
        <v>45</v>
      </c>
      <c r="I14" s="736">
        <v>31769</v>
      </c>
      <c r="J14" s="735">
        <v>-55.53</v>
      </c>
      <c r="K14" s="735">
        <f t="shared" si="0"/>
        <v>-59.269126074498566</v>
      </c>
      <c r="L14" s="734">
        <f t="shared" si="1"/>
        <v>-1.8656276897131973E-3</v>
      </c>
    </row>
    <row r="15" spans="1:12" x14ac:dyDescent="0.2">
      <c r="H15" s="725" t="s">
        <v>49</v>
      </c>
      <c r="I15" s="736">
        <v>1328.4</v>
      </c>
      <c r="J15" s="735">
        <v>0.62</v>
      </c>
      <c r="K15" s="735">
        <f t="shared" si="0"/>
        <v>0.66174785100286526</v>
      </c>
      <c r="L15" s="734">
        <f t="shared" si="1"/>
        <v>4.9815405826773959E-4</v>
      </c>
    </row>
    <row r="16" spans="1:12" x14ac:dyDescent="0.2">
      <c r="H16" s="725" t="s">
        <v>51</v>
      </c>
      <c r="I16" s="736">
        <v>17215</v>
      </c>
      <c r="J16" s="735">
        <v>7.94</v>
      </c>
      <c r="K16" s="735">
        <f t="shared" si="0"/>
        <v>8.4746418338108889</v>
      </c>
      <c r="L16" s="734">
        <f t="shared" si="1"/>
        <v>4.9228241846127727E-4</v>
      </c>
    </row>
    <row r="17" spans="8:12" x14ac:dyDescent="0.2">
      <c r="H17" s="725" t="s">
        <v>53</v>
      </c>
      <c r="I17" s="736">
        <v>6776</v>
      </c>
      <c r="J17" s="735">
        <v>11.46</v>
      </c>
      <c r="K17" s="735">
        <f t="shared" si="0"/>
        <v>12.231661891117479</v>
      </c>
      <c r="L17" s="734">
        <f t="shared" si="1"/>
        <v>1.8051449071897106E-3</v>
      </c>
    </row>
    <row r="18" spans="8:12" x14ac:dyDescent="0.2">
      <c r="H18" s="725" t="s">
        <v>54</v>
      </c>
      <c r="I18" s="736">
        <v>3766.9</v>
      </c>
      <c r="J18" s="735">
        <v>4.82</v>
      </c>
      <c r="K18" s="735">
        <f t="shared" si="0"/>
        <v>5.1445558739255013</v>
      </c>
      <c r="L18" s="734">
        <f t="shared" si="1"/>
        <v>1.3657266914241157E-3</v>
      </c>
    </row>
    <row r="19" spans="8:12" x14ac:dyDescent="0.2">
      <c r="H19" s="725" t="s">
        <v>55</v>
      </c>
      <c r="I19" s="736">
        <v>4141.3999999999996</v>
      </c>
      <c r="J19" s="735">
        <v>-1.1399999999999999</v>
      </c>
      <c r="K19" s="735">
        <f t="shared" si="0"/>
        <v>-1.2167621776504296</v>
      </c>
      <c r="L19" s="734">
        <f t="shared" si="1"/>
        <v>-2.9380455344821309E-4</v>
      </c>
    </row>
    <row r="20" spans="8:12" x14ac:dyDescent="0.2">
      <c r="H20" s="725" t="s">
        <v>543</v>
      </c>
      <c r="I20" s="736">
        <v>1282</v>
      </c>
      <c r="J20" s="735">
        <v>0.56000000000000005</v>
      </c>
      <c r="K20" s="735">
        <f t="shared" si="0"/>
        <v>0.59770773638968488</v>
      </c>
      <c r="L20" s="734">
        <f t="shared" si="1"/>
        <v>4.6623068361129869E-4</v>
      </c>
    </row>
    <row r="21" spans="8:12" x14ac:dyDescent="0.2">
      <c r="H21" s="725" t="s">
        <v>56</v>
      </c>
      <c r="I21" s="736">
        <v>595</v>
      </c>
      <c r="J21" s="735">
        <v>-0.05</v>
      </c>
      <c r="K21" s="735">
        <f t="shared" si="0"/>
        <v>-5.3366762177650434E-2</v>
      </c>
      <c r="L21" s="734">
        <f t="shared" si="1"/>
        <v>-8.9692037273362071E-5</v>
      </c>
    </row>
    <row r="22" spans="8:12" x14ac:dyDescent="0.2">
      <c r="H22" s="725" t="s">
        <v>58</v>
      </c>
      <c r="I22" s="736">
        <v>16499</v>
      </c>
      <c r="J22" s="735">
        <v>33.130000000000003</v>
      </c>
      <c r="K22" s="735">
        <f t="shared" si="0"/>
        <v>35.36081661891118</v>
      </c>
      <c r="L22" s="734">
        <f t="shared" si="1"/>
        <v>2.1432096865816827E-3</v>
      </c>
    </row>
    <row r="23" spans="8:12" x14ac:dyDescent="0.2">
      <c r="H23" s="725" t="s">
        <v>59</v>
      </c>
      <c r="I23" s="736">
        <v>7396.8</v>
      </c>
      <c r="J23" s="735">
        <v>77.599999999999994</v>
      </c>
      <c r="K23" s="735">
        <f t="shared" si="0"/>
        <v>82.825214899713458</v>
      </c>
      <c r="L23" s="734">
        <f t="shared" si="1"/>
        <v>1.1197438743742356E-2</v>
      </c>
    </row>
    <row r="24" spans="8:12" x14ac:dyDescent="0.2">
      <c r="H24" s="1681" t="s">
        <v>62</v>
      </c>
      <c r="I24" s="1682">
        <v>49896.800000000003</v>
      </c>
      <c r="J24" s="1683">
        <v>127.14</v>
      </c>
      <c r="K24" s="1683">
        <f t="shared" si="0"/>
        <v>135.70100286532951</v>
      </c>
      <c r="L24" s="1684">
        <f t="shared" si="1"/>
        <v>2.7196333806041571E-3</v>
      </c>
    </row>
    <row r="25" spans="8:12" ht="16" thickBot="1" x14ac:dyDescent="0.25">
      <c r="H25" s="733" t="s">
        <v>231</v>
      </c>
      <c r="I25" s="732">
        <f>SUM(I4:I24)</f>
        <v>255815.89999999997</v>
      </c>
      <c r="J25" s="731">
        <f>-907.07</f>
        <v>-907.07</v>
      </c>
      <c r="K25" s="731">
        <f t="shared" si="0"/>
        <v>-968.14777936962753</v>
      </c>
      <c r="L25" s="730">
        <f t="shared" si="1"/>
        <v>-3.7845488860138391E-3</v>
      </c>
    </row>
    <row r="26" spans="8:12" ht="16" thickTop="1" x14ac:dyDescent="0.2"/>
    <row r="27" spans="8:12" x14ac:dyDescent="0.2">
      <c r="H27" s="729" t="s">
        <v>798</v>
      </c>
    </row>
    <row r="29" spans="8:12" x14ac:dyDescent="0.2">
      <c r="H29" s="728" t="s">
        <v>799</v>
      </c>
      <c r="I29" s="726"/>
    </row>
    <row r="31" spans="8:12" x14ac:dyDescent="0.2">
      <c r="H31" s="727">
        <f>745/698</f>
        <v>1.0673352435530086</v>
      </c>
      <c r="I31" s="726"/>
    </row>
  </sheetData>
  <mergeCells count="2">
    <mergeCell ref="A2:E2"/>
    <mergeCell ref="H2:L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2:V100"/>
  <sheetViews>
    <sheetView topLeftCell="A3" zoomScale="84" zoomScaleNormal="150" zoomScalePageLayoutView="150" workbookViewId="0">
      <pane xSplit="2" ySplit="6" topLeftCell="C81" activePane="bottomRight" state="frozen"/>
      <selection pane="topRight" activeCell="D18" sqref="D18"/>
      <selection pane="bottomLeft" activeCell="D18" sqref="D18"/>
      <selection pane="bottomRight" activeCell="B3" sqref="B3:Q94"/>
    </sheetView>
  </sheetViews>
  <sheetFormatPr baseColWidth="10" defaultColWidth="10.83203125" defaultRowHeight="16" x14ac:dyDescent="0.2"/>
  <cols>
    <col min="1" max="1" width="7.6640625" style="145" customWidth="1"/>
    <col min="2" max="2" width="19" style="837" customWidth="1"/>
    <col min="3" max="3" width="10.5" style="837" bestFit="1" customWidth="1"/>
    <col min="4" max="4" width="10.5" style="837" customWidth="1"/>
    <col min="5" max="7" width="11.33203125" style="837" customWidth="1"/>
    <col min="8" max="8" width="14.6640625" style="837" bestFit="1" customWidth="1"/>
    <col min="9" max="9" width="14.6640625" style="837" customWidth="1"/>
    <col min="10" max="11" width="11.33203125" style="837" customWidth="1"/>
    <col min="12" max="12" width="14.33203125" style="837" bestFit="1" customWidth="1"/>
    <col min="13" max="14" width="11.33203125" style="837" customWidth="1"/>
    <col min="15" max="15" width="10.83203125" style="837"/>
    <col min="16" max="16" width="12" style="837" bestFit="1" customWidth="1"/>
    <col min="17" max="17" width="10.83203125" style="837"/>
    <col min="18" max="18" width="7.6640625" style="145" customWidth="1"/>
    <col min="19" max="19" width="20.5" style="837" bestFit="1" customWidth="1"/>
    <col min="20" max="20" width="19.83203125" style="837" bestFit="1" customWidth="1"/>
    <col min="21" max="21" width="10.83203125" style="837"/>
    <col min="22" max="22" width="15.33203125" style="837" bestFit="1" customWidth="1"/>
    <col min="23" max="23" width="11.83203125" style="837" bestFit="1" customWidth="1"/>
    <col min="24" max="25" width="10.83203125" style="837"/>
    <col min="26" max="26" width="21.1640625" style="837" bestFit="1" customWidth="1"/>
    <col min="27" max="16384" width="10.83203125" style="837"/>
  </cols>
  <sheetData>
    <row r="2" spans="1:22" ht="17" thickBot="1" x14ac:dyDescent="0.25"/>
    <row r="3" spans="1:22" ht="32.25" customHeight="1" x14ac:dyDescent="0.2">
      <c r="B3" s="2382" t="s">
        <v>800</v>
      </c>
      <c r="C3" s="2383"/>
      <c r="D3" s="2383"/>
      <c r="E3" s="2383"/>
      <c r="F3" s="2383"/>
      <c r="G3" s="2383"/>
      <c r="H3" s="2383"/>
      <c r="I3" s="2383"/>
      <c r="J3" s="2383"/>
      <c r="K3" s="2383"/>
      <c r="L3" s="2383"/>
      <c r="M3" s="2383"/>
      <c r="N3" s="2383"/>
      <c r="O3" s="2383"/>
      <c r="P3" s="2383"/>
      <c r="Q3" s="2384"/>
    </row>
    <row r="4" spans="1:22" ht="12" customHeight="1" x14ac:dyDescent="0.2">
      <c r="B4" s="886"/>
      <c r="C4" s="885"/>
      <c r="D4" s="885"/>
      <c r="E4" s="885"/>
      <c r="F4" s="885"/>
      <c r="G4" s="885"/>
      <c r="H4" s="885"/>
      <c r="I4" s="885"/>
      <c r="J4" s="885"/>
      <c r="K4" s="885"/>
      <c r="L4" s="885"/>
      <c r="M4" s="885"/>
      <c r="N4" s="885"/>
      <c r="Q4" s="884"/>
    </row>
    <row r="5" spans="1:22" ht="17" thickBot="1" x14ac:dyDescent="0.25">
      <c r="B5" s="859"/>
      <c r="C5" s="883" t="s">
        <v>1</v>
      </c>
      <c r="D5" s="883" t="s">
        <v>2</v>
      </c>
      <c r="E5" s="883" t="s">
        <v>3</v>
      </c>
      <c r="F5" s="883" t="s">
        <v>4</v>
      </c>
      <c r="G5" s="883" t="s">
        <v>5</v>
      </c>
      <c r="H5" s="883" t="s">
        <v>6</v>
      </c>
      <c r="I5" s="883" t="s">
        <v>7</v>
      </c>
      <c r="J5" s="883" t="s">
        <v>8</v>
      </c>
      <c r="K5" s="883" t="s">
        <v>9</v>
      </c>
      <c r="L5" s="883" t="s">
        <v>10</v>
      </c>
      <c r="M5" s="883" t="s">
        <v>11</v>
      </c>
      <c r="N5" s="883" t="s">
        <v>12</v>
      </c>
      <c r="O5" s="883" t="s">
        <v>13</v>
      </c>
      <c r="P5" s="883" t="s">
        <v>177</v>
      </c>
      <c r="Q5" s="882" t="s">
        <v>178</v>
      </c>
    </row>
    <row r="6" spans="1:22" ht="35.25" customHeight="1" x14ac:dyDescent="0.2">
      <c r="B6" s="881"/>
      <c r="C6" s="2387" t="s">
        <v>801</v>
      </c>
      <c r="D6" s="2387"/>
      <c r="E6" s="2387"/>
      <c r="F6" s="2387"/>
      <c r="G6" s="2387"/>
      <c r="H6" s="2387" t="s">
        <v>802</v>
      </c>
      <c r="I6" s="2387"/>
      <c r="J6" s="2387"/>
      <c r="K6" s="2387"/>
      <c r="L6" s="2387"/>
      <c r="M6" s="2387" t="s">
        <v>162</v>
      </c>
      <c r="N6" s="2387"/>
      <c r="O6" s="2387"/>
      <c r="P6" s="2387"/>
      <c r="Q6" s="2388"/>
    </row>
    <row r="7" spans="1:22" ht="85" customHeight="1" x14ac:dyDescent="0.2">
      <c r="A7" s="148"/>
      <c r="B7" s="859"/>
      <c r="C7" s="2385" t="s">
        <v>803</v>
      </c>
      <c r="D7" s="2377" t="s">
        <v>804</v>
      </c>
      <c r="E7" s="878" t="s">
        <v>805</v>
      </c>
      <c r="F7" s="878" t="s">
        <v>806</v>
      </c>
      <c r="G7" s="880" t="s">
        <v>807</v>
      </c>
      <c r="H7" s="2386" t="s">
        <v>803</v>
      </c>
      <c r="I7" s="2377" t="s">
        <v>804</v>
      </c>
      <c r="J7" s="878" t="s">
        <v>805</v>
      </c>
      <c r="K7" s="878" t="s">
        <v>806</v>
      </c>
      <c r="L7" s="879" t="s">
        <v>807</v>
      </c>
      <c r="M7" s="2377" t="s">
        <v>803</v>
      </c>
      <c r="N7" s="2377" t="s">
        <v>804</v>
      </c>
      <c r="O7" s="878" t="s">
        <v>805</v>
      </c>
      <c r="P7" s="878" t="s">
        <v>806</v>
      </c>
      <c r="Q7" s="877" t="s">
        <v>807</v>
      </c>
      <c r="R7" s="148"/>
      <c r="S7" s="837" t="s">
        <v>1147</v>
      </c>
      <c r="T7" s="837" t="s">
        <v>1147</v>
      </c>
      <c r="U7" s="837" t="s">
        <v>1148</v>
      </c>
      <c r="V7" s="837" t="s">
        <v>1148</v>
      </c>
    </row>
    <row r="8" spans="1:22" ht="33" customHeight="1" x14ac:dyDescent="0.2">
      <c r="A8" s="148"/>
      <c r="B8" s="859"/>
      <c r="C8" s="2385"/>
      <c r="D8" s="2378"/>
      <c r="E8" s="875" t="s">
        <v>754</v>
      </c>
      <c r="F8" s="875" t="s">
        <v>808</v>
      </c>
      <c r="G8" s="876" t="s">
        <v>754</v>
      </c>
      <c r="H8" s="2386"/>
      <c r="I8" s="2378"/>
      <c r="J8" s="875" t="s">
        <v>754</v>
      </c>
      <c r="K8" s="875" t="s">
        <v>808</v>
      </c>
      <c r="L8" s="876" t="s">
        <v>754</v>
      </c>
      <c r="M8" s="2378"/>
      <c r="N8" s="2378"/>
      <c r="O8" s="875" t="s">
        <v>754</v>
      </c>
      <c r="P8" s="875" t="s">
        <v>808</v>
      </c>
      <c r="Q8" s="874" t="s">
        <v>754</v>
      </c>
      <c r="R8" s="148"/>
      <c r="S8" s="837" t="s">
        <v>884</v>
      </c>
      <c r="T8" s="837" t="s">
        <v>885</v>
      </c>
      <c r="U8" s="837" t="s">
        <v>884</v>
      </c>
      <c r="V8" s="837" t="s">
        <v>885</v>
      </c>
    </row>
    <row r="9" spans="1:22" ht="40" customHeight="1" x14ac:dyDescent="0.2">
      <c r="B9" s="873" t="s">
        <v>28</v>
      </c>
      <c r="C9" s="868">
        <f t="shared" ref="C9:C52" si="0">+IF(G9&gt;0,G9/E9,"")</f>
        <v>3.0900158166991041</v>
      </c>
      <c r="D9" s="866">
        <f t="shared" ref="D9:D49" si="1">+G9/F9</f>
        <v>0.13295330543030764</v>
      </c>
      <c r="E9" s="871">
        <f>+SUM(E10:E44)</f>
        <v>15382.439705866644</v>
      </c>
      <c r="F9" s="871">
        <f>+SUM(F10:F44)</f>
        <v>357508.8399397778</v>
      </c>
      <c r="G9" s="872">
        <f>+SUM(G10:G44)</f>
        <v>47531.981990548244</v>
      </c>
      <c r="H9" s="866">
        <f>+IF(L9&gt;0,L9/J9,"")</f>
        <v>3.296693683253737</v>
      </c>
      <c r="I9" s="866">
        <f t="shared" ref="I9:I22" si="2">+L9/K9</f>
        <v>0.20563597055527447</v>
      </c>
      <c r="J9" s="871">
        <f>+SUM(J10:J44)</f>
        <v>2276.3407946990947</v>
      </c>
      <c r="K9" s="871">
        <f>+SUM(K10:K44)</f>
        <v>36493.607118216372</v>
      </c>
      <c r="L9" s="872">
        <f>+SUM(L10:L44)</f>
        <v>7504.398318817297</v>
      </c>
      <c r="M9" s="866">
        <f>+IF(Q9&gt;0,Q9/O9,"")</f>
        <v>3.0528371746490119</v>
      </c>
      <c r="N9" s="866">
        <f t="shared" ref="N9:N22" si="3">+Q9/P9</f>
        <v>0.12468410759526835</v>
      </c>
      <c r="O9" s="871">
        <f>+SUM(O10:O44)</f>
        <v>13106.098911167552</v>
      </c>
      <c r="P9" s="871">
        <f>+SUM(P10:P44)</f>
        <v>320897.23977105814</v>
      </c>
      <c r="Q9" s="870">
        <f>+SUM(Q10:Q44)</f>
        <v>40010.785970639241</v>
      </c>
    </row>
    <row r="10" spans="1:22" ht="14.25" customHeight="1" x14ac:dyDescent="0.2">
      <c r="A10" s="145" t="s">
        <v>809</v>
      </c>
      <c r="B10" s="864" t="s">
        <v>29</v>
      </c>
      <c r="C10" s="826">
        <f t="shared" si="0"/>
        <v>3.481317291595619</v>
      </c>
      <c r="D10" s="827">
        <f t="shared" si="1"/>
        <v>0.23694866782897228</v>
      </c>
      <c r="E10" s="855">
        <v>496.98457655004552</v>
      </c>
      <c r="F10" s="855">
        <v>7301.8388997604197</v>
      </c>
      <c r="G10" s="858">
        <v>1730.1610000000001</v>
      </c>
      <c r="H10" s="827">
        <f t="shared" ref="H10:H52" si="4">+IFERROR(L10/J10,"")</f>
        <v>2.9571700000000001</v>
      </c>
      <c r="I10" s="827">
        <f t="shared" si="2"/>
        <v>0.43762637385941966</v>
      </c>
      <c r="J10" s="857">
        <v>103.34199428911158</v>
      </c>
      <c r="K10" s="857">
        <v>698.31222135186272</v>
      </c>
      <c r="L10" s="856">
        <v>305.59984525193209</v>
      </c>
      <c r="M10" s="827">
        <f t="shared" ref="M10:M49" si="5">+IFERROR(Q10/O10,"")</f>
        <v>3.6189203580718536</v>
      </c>
      <c r="N10" s="827">
        <f t="shared" si="3"/>
        <v>0.21572732634001954</v>
      </c>
      <c r="O10" s="855">
        <f t="shared" ref="O10:O44" si="6">+IF(AND(E10&gt;0,J10&gt;0),E10-J10,"")</f>
        <v>393.64258226093392</v>
      </c>
      <c r="P10" s="855">
        <f t="shared" ref="P10:P44" si="7">+IFERROR(IF(AND(F10&gt;0,K10&gt;0),F10-K10,""),"")</f>
        <v>6603.526678408557</v>
      </c>
      <c r="Q10" s="854">
        <f t="shared" ref="Q10:Q44" si="8">+IFERROR(IF(AND(G10&gt;0,L10&gt;0),G10-L10,""),"")</f>
        <v>1424.561154748068</v>
      </c>
      <c r="S10" s="1916">
        <f>+TableA4!C10</f>
        <v>197.29292981323601</v>
      </c>
      <c r="T10" s="1916">
        <f>+TableA4!F10</f>
        <v>576.76532319745445</v>
      </c>
      <c r="U10" s="837">
        <f t="shared" ref="U10:U22" si="9">+IF(S10/K10&gt;0,S10/K10,"")</f>
        <v>0.2825282499442679</v>
      </c>
      <c r="V10" s="837">
        <f t="shared" ref="V10:V22" si="10">+T10/P10</f>
        <v>8.7342014545544966E-2</v>
      </c>
    </row>
    <row r="11" spans="1:22" ht="14.25" customHeight="1" x14ac:dyDescent="0.2">
      <c r="A11" s="145" t="s">
        <v>810</v>
      </c>
      <c r="B11" s="864" t="s">
        <v>30</v>
      </c>
      <c r="C11" s="826">
        <f t="shared" si="0"/>
        <v>5.5589601654952894</v>
      </c>
      <c r="D11" s="827">
        <f t="shared" si="1"/>
        <v>0.25199362023294941</v>
      </c>
      <c r="E11" s="869">
        <v>124.3274896607254</v>
      </c>
      <c r="F11" s="855">
        <v>2742.6550000000002</v>
      </c>
      <c r="G11" s="858">
        <v>691.13156249999997</v>
      </c>
      <c r="H11" s="827">
        <f t="shared" si="4"/>
        <v>4.8111471682326874</v>
      </c>
      <c r="I11" s="827">
        <f t="shared" si="2"/>
        <v>0.30122861727115979</v>
      </c>
      <c r="J11" s="857">
        <v>34.166269406006975</v>
      </c>
      <c r="K11" s="857">
        <v>545.69500000000005</v>
      </c>
      <c r="L11" s="856">
        <v>164.37895030178555</v>
      </c>
      <c r="M11" s="827">
        <f t="shared" si="5"/>
        <v>5.8423412051219179</v>
      </c>
      <c r="N11" s="827">
        <f t="shared" si="3"/>
        <v>0.23976431623616923</v>
      </c>
      <c r="O11" s="855">
        <f t="shared" si="6"/>
        <v>90.16122025471843</v>
      </c>
      <c r="P11" s="855">
        <f t="shared" si="7"/>
        <v>2196.96</v>
      </c>
      <c r="Q11" s="854">
        <f t="shared" si="8"/>
        <v>526.75261219821436</v>
      </c>
      <c r="S11" s="1916">
        <f>+TableA4!C11</f>
        <v>58.214990623901087</v>
      </c>
      <c r="T11" s="1916">
        <f>+TableA4!F11</f>
        <v>158.62208414605075</v>
      </c>
      <c r="U11" s="837">
        <f t="shared" si="9"/>
        <v>0.10668045451012211</v>
      </c>
      <c r="V11" s="837">
        <f t="shared" si="10"/>
        <v>7.2200715600671275E-2</v>
      </c>
    </row>
    <row r="12" spans="1:22" x14ac:dyDescent="0.2">
      <c r="A12" s="145" t="s">
        <v>811</v>
      </c>
      <c r="B12" s="864" t="s">
        <v>31</v>
      </c>
      <c r="C12" s="826">
        <f t="shared" si="0"/>
        <v>3.0069536965468577</v>
      </c>
      <c r="D12" s="827">
        <f t="shared" si="1"/>
        <v>0.18083148404617411</v>
      </c>
      <c r="E12" s="869">
        <v>166.52659153848629</v>
      </c>
      <c r="F12" s="855">
        <v>2769.085</v>
      </c>
      <c r="G12" s="858">
        <v>500.73775000000001</v>
      </c>
      <c r="H12" s="827">
        <f t="shared" si="4"/>
        <v>2.1784300742147589</v>
      </c>
      <c r="I12" s="827">
        <f t="shared" si="2"/>
        <v>0.23510719634065672</v>
      </c>
      <c r="J12" s="857">
        <v>47.376726963536328</v>
      </c>
      <c r="K12" s="857">
        <v>438.97800000000001</v>
      </c>
      <c r="L12" s="856">
        <v>103.2068868352288</v>
      </c>
      <c r="M12" s="827">
        <f t="shared" si="5"/>
        <v>3.3363937473441996</v>
      </c>
      <c r="N12" s="827">
        <f t="shared" si="3"/>
        <v>0.17060626965404216</v>
      </c>
      <c r="O12" s="855">
        <f t="shared" si="6"/>
        <v>119.14986457494996</v>
      </c>
      <c r="P12" s="855">
        <f t="shared" si="7"/>
        <v>2330.107</v>
      </c>
      <c r="Q12" s="854">
        <f t="shared" si="8"/>
        <v>397.53086316477118</v>
      </c>
      <c r="S12" s="1916">
        <f>+TableA4!C12</f>
        <v>77.081904759105726</v>
      </c>
      <c r="T12" s="1916">
        <f>+TableA4!F12</f>
        <v>206.30227928386392</v>
      </c>
      <c r="U12" s="837">
        <f t="shared" si="9"/>
        <v>0.17559400416218063</v>
      </c>
      <c r="V12" s="837">
        <f t="shared" si="10"/>
        <v>8.8537684871923872E-2</v>
      </c>
    </row>
    <row r="13" spans="1:22" x14ac:dyDescent="0.2">
      <c r="A13" s="145" t="s">
        <v>812</v>
      </c>
      <c r="B13" s="864" t="s">
        <v>32</v>
      </c>
      <c r="C13" s="826">
        <f t="shared" si="0"/>
        <v>2.2053567966313423</v>
      </c>
      <c r="D13" s="827">
        <f t="shared" si="1"/>
        <v>0.11840889506314953</v>
      </c>
      <c r="E13" s="855">
        <v>613.39428253347273</v>
      </c>
      <c r="F13" s="855">
        <v>11424.42254256788</v>
      </c>
      <c r="G13" s="858">
        <v>1352.75325</v>
      </c>
      <c r="H13" s="827">
        <f t="shared" si="4"/>
        <v>3.2777000000000003</v>
      </c>
      <c r="I13" s="827">
        <f t="shared" si="2"/>
        <v>0.22644356487007861</v>
      </c>
      <c r="J13" s="857">
        <v>91.55391880071636</v>
      </c>
      <c r="K13" s="857">
        <v>1325.2144295877065</v>
      </c>
      <c r="L13" s="856">
        <v>300.08627965310802</v>
      </c>
      <c r="M13" s="827">
        <f t="shared" si="5"/>
        <v>2.0172202909278618</v>
      </c>
      <c r="N13" s="827">
        <f t="shared" si="3"/>
        <v>0.10423262483262766</v>
      </c>
      <c r="O13" s="855">
        <f t="shared" si="6"/>
        <v>521.84036373275637</v>
      </c>
      <c r="P13" s="855">
        <f t="shared" si="7"/>
        <v>10099.208112980174</v>
      </c>
      <c r="Q13" s="854">
        <f t="shared" si="8"/>
        <v>1052.666970346892</v>
      </c>
      <c r="S13" s="1916">
        <f>+TableA4!C13</f>
        <v>160.04835909901968</v>
      </c>
      <c r="T13" s="1916">
        <f>+TableA4!F13</f>
        <v>803.70531731983169</v>
      </c>
      <c r="U13" s="837">
        <f t="shared" si="9"/>
        <v>0.12077166949413089</v>
      </c>
      <c r="V13" s="837">
        <f t="shared" si="10"/>
        <v>7.9581023415772195E-2</v>
      </c>
    </row>
    <row r="14" spans="1:22" x14ac:dyDescent="0.2">
      <c r="A14" s="145" t="s">
        <v>813</v>
      </c>
      <c r="B14" s="864" t="s">
        <v>33</v>
      </c>
      <c r="C14" s="826">
        <f t="shared" si="0"/>
        <v>3.4537554555269896</v>
      </c>
      <c r="D14" s="827">
        <f t="shared" si="1"/>
        <v>4.4822137481688472E-2</v>
      </c>
      <c r="E14" s="855">
        <v>67.029473521292758</v>
      </c>
      <c r="F14" s="855">
        <v>5164.9346252138157</v>
      </c>
      <c r="G14" s="858">
        <v>231.50340985526677</v>
      </c>
      <c r="H14" s="827">
        <f t="shared" si="4"/>
        <v>6.7684900000000008</v>
      </c>
      <c r="I14" s="827">
        <f t="shared" si="2"/>
        <v>0.15444711315829332</v>
      </c>
      <c r="J14" s="857">
        <v>9.9875864667598862</v>
      </c>
      <c r="K14" s="857">
        <v>437.69597075676825</v>
      </c>
      <c r="L14" s="856">
        <v>67.600879124399626</v>
      </c>
      <c r="M14" s="827">
        <f t="shared" si="5"/>
        <v>2.8733714677807547</v>
      </c>
      <c r="N14" s="827">
        <f t="shared" si="3"/>
        <v>3.4671939098385202E-2</v>
      </c>
      <c r="O14" s="855">
        <f t="shared" si="6"/>
        <v>57.041887054532872</v>
      </c>
      <c r="P14" s="855">
        <f t="shared" si="7"/>
        <v>4727.2386544570472</v>
      </c>
      <c r="Q14" s="854">
        <f t="shared" si="8"/>
        <v>163.90253073086714</v>
      </c>
      <c r="S14" s="1916">
        <f>+TableA4!C14</f>
        <v>27.305278745233569</v>
      </c>
      <c r="T14" s="1916">
        <f>+TableA4!F14</f>
        <v>126.87040275696704</v>
      </c>
      <c r="U14" s="837">
        <f t="shared" si="9"/>
        <v>6.2384121786689617E-2</v>
      </c>
      <c r="V14" s="837">
        <f t="shared" si="10"/>
        <v>2.6838163255698561E-2</v>
      </c>
    </row>
    <row r="15" spans="1:22" x14ac:dyDescent="0.2">
      <c r="A15" s="145" t="s">
        <v>814</v>
      </c>
      <c r="B15" s="864" t="s">
        <v>34</v>
      </c>
      <c r="C15" s="826">
        <f t="shared" si="0"/>
        <v>5.8567195984267206</v>
      </c>
      <c r="D15" s="827">
        <f t="shared" si="1"/>
        <v>8.8064214554096215E-2</v>
      </c>
      <c r="E15" s="869">
        <v>54.009329742364955</v>
      </c>
      <c r="F15" s="855">
        <v>3591.8960000000002</v>
      </c>
      <c r="G15" s="858">
        <v>316.3175</v>
      </c>
      <c r="H15" s="827">
        <f t="shared" si="4"/>
        <v>5.0574983418529955</v>
      </c>
      <c r="I15" s="827">
        <f t="shared" si="2"/>
        <v>0.12008709361182347</v>
      </c>
      <c r="J15" s="857">
        <v>22.880712544827599</v>
      </c>
      <c r="K15" s="857">
        <v>963.62699999999995</v>
      </c>
      <c r="L15" s="856">
        <v>115.71916575588061</v>
      </c>
      <c r="M15" s="827">
        <f t="shared" si="5"/>
        <v>6.4441774901581264</v>
      </c>
      <c r="N15" s="827">
        <f t="shared" si="3"/>
        <v>7.6323365014813682E-2</v>
      </c>
      <c r="O15" s="855">
        <f t="shared" si="6"/>
        <v>31.128617197537356</v>
      </c>
      <c r="P15" s="855">
        <f t="shared" si="7"/>
        <v>2628.2690000000002</v>
      </c>
      <c r="Q15" s="854">
        <f t="shared" si="8"/>
        <v>200.59833424411937</v>
      </c>
      <c r="S15" s="1916">
        <f>+TableA4!C15</f>
        <v>46.856993653406334</v>
      </c>
      <c r="T15" s="1916">
        <f>+TableA4!F15</f>
        <v>65.296550734011731</v>
      </c>
      <c r="U15" s="837">
        <f t="shared" si="9"/>
        <v>4.8625654587725685E-2</v>
      </c>
      <c r="V15" s="837">
        <f t="shared" si="10"/>
        <v>2.4843937486616372E-2</v>
      </c>
    </row>
    <row r="16" spans="1:22" x14ac:dyDescent="0.2">
      <c r="A16" s="145" t="s">
        <v>815</v>
      </c>
      <c r="B16" s="864" t="s">
        <v>35</v>
      </c>
      <c r="C16" s="826">
        <f t="shared" si="0"/>
        <v>4.2101555979239409</v>
      </c>
      <c r="D16" s="827">
        <f t="shared" si="1"/>
        <v>0.24911472763689882</v>
      </c>
      <c r="E16" s="869">
        <v>98.579989289388223</v>
      </c>
      <c r="F16" s="855">
        <v>1666.048</v>
      </c>
      <c r="G16" s="858">
        <v>415.03709375</v>
      </c>
      <c r="H16" s="827">
        <f t="shared" si="4"/>
        <v>2.9473841846386866</v>
      </c>
      <c r="I16" s="827">
        <f t="shared" si="2"/>
        <v>0.18914404956710307</v>
      </c>
      <c r="J16" s="857">
        <v>22.761452923037087</v>
      </c>
      <c r="K16" s="857">
        <v>354.68599999999998</v>
      </c>
      <c r="L16" s="856">
        <v>67.086746364757516</v>
      </c>
      <c r="M16" s="827">
        <f t="shared" si="5"/>
        <v>4.5892517062577536</v>
      </c>
      <c r="N16" s="827">
        <f t="shared" si="3"/>
        <v>0.26533508473269962</v>
      </c>
      <c r="O16" s="855">
        <f t="shared" si="6"/>
        <v>75.81853636635114</v>
      </c>
      <c r="P16" s="855">
        <f t="shared" si="7"/>
        <v>1311.3620000000001</v>
      </c>
      <c r="Q16" s="854">
        <f t="shared" si="8"/>
        <v>347.95034738524248</v>
      </c>
      <c r="S16" s="1916">
        <f>+TableA4!C16</f>
        <v>36.60079380297519</v>
      </c>
      <c r="T16" s="1916">
        <f>+TableA4!F16</f>
        <v>134.71563491698186</v>
      </c>
      <c r="U16" s="837">
        <f t="shared" si="9"/>
        <v>0.10319210175472161</v>
      </c>
      <c r="V16" s="837">
        <f t="shared" si="10"/>
        <v>0.10272955516248133</v>
      </c>
    </row>
    <row r="17" spans="1:22" x14ac:dyDescent="0.2">
      <c r="A17" s="145" t="s">
        <v>816</v>
      </c>
      <c r="B17" s="864" t="s">
        <v>36</v>
      </c>
      <c r="C17" s="826">
        <f t="shared" si="0"/>
        <v>4.2523415263833346</v>
      </c>
      <c r="D17" s="827">
        <f t="shared" si="1"/>
        <v>0.13831160795229278</v>
      </c>
      <c r="E17" s="869">
        <v>7.9577756114007627</v>
      </c>
      <c r="F17" s="855">
        <v>244.65899999999999</v>
      </c>
      <c r="G17" s="858">
        <v>33.839179689999995</v>
      </c>
      <c r="H17" s="827">
        <f t="shared" si="4"/>
        <v>2.9073120151665002</v>
      </c>
      <c r="I17" s="827">
        <f t="shared" si="2"/>
        <v>0.10047777000456205</v>
      </c>
      <c r="J17" s="857">
        <v>3.2197474636718431</v>
      </c>
      <c r="K17" s="857">
        <v>93.162999999999997</v>
      </c>
      <c r="L17" s="856">
        <v>9.3608104869350139</v>
      </c>
      <c r="M17" s="827">
        <f t="shared" si="5"/>
        <v>5.166362132060824</v>
      </c>
      <c r="N17" s="827">
        <f t="shared" si="3"/>
        <v>0.16157766015647265</v>
      </c>
      <c r="O17" s="855">
        <f t="shared" si="6"/>
        <v>4.7380281477289197</v>
      </c>
      <c r="P17" s="855">
        <f t="shared" si="7"/>
        <v>151.49599999999998</v>
      </c>
      <c r="Q17" s="854">
        <f t="shared" si="8"/>
        <v>24.478369203064979</v>
      </c>
      <c r="S17" s="1916">
        <f>+TableA4!C17</f>
        <v>5.8723090121622592</v>
      </c>
      <c r="T17" s="1916">
        <f>+TableA4!F17</f>
        <v>8.4277756096293501</v>
      </c>
      <c r="U17" s="837">
        <f t="shared" si="9"/>
        <v>6.3032631110658308E-2</v>
      </c>
      <c r="V17" s="837">
        <f t="shared" si="10"/>
        <v>5.5630350699882182E-2</v>
      </c>
    </row>
    <row r="18" spans="1:22" x14ac:dyDescent="0.2">
      <c r="A18" s="145" t="s">
        <v>817</v>
      </c>
      <c r="B18" s="864" t="s">
        <v>37</v>
      </c>
      <c r="C18" s="826">
        <f t="shared" si="0"/>
        <v>3.4863289788377578</v>
      </c>
      <c r="D18" s="827">
        <f t="shared" si="1"/>
        <v>0.18095028521661602</v>
      </c>
      <c r="E18" s="869">
        <v>75.447591606139355</v>
      </c>
      <c r="F18" s="855">
        <v>1453.6320000000001</v>
      </c>
      <c r="G18" s="858">
        <v>263.03512499999999</v>
      </c>
      <c r="H18" s="827">
        <f t="shared" si="4"/>
        <v>2.7544524513892781</v>
      </c>
      <c r="I18" s="827">
        <f t="shared" si="2"/>
        <v>0.18420637943609547</v>
      </c>
      <c r="J18" s="857">
        <v>16.339177250094341</v>
      </c>
      <c r="K18" s="857">
        <v>244.321</v>
      </c>
      <c r="L18" s="856">
        <v>45.00548683020628</v>
      </c>
      <c r="M18" s="827">
        <f t="shared" si="5"/>
        <v>3.6886396047857408</v>
      </c>
      <c r="N18" s="827">
        <f t="shared" si="3"/>
        <v>0.1802924460042071</v>
      </c>
      <c r="O18" s="855">
        <f t="shared" si="6"/>
        <v>59.108414356045017</v>
      </c>
      <c r="P18" s="855">
        <f t="shared" si="7"/>
        <v>1209.3110000000001</v>
      </c>
      <c r="Q18" s="854">
        <f t="shared" si="8"/>
        <v>218.02963816979371</v>
      </c>
      <c r="S18" s="1916">
        <f>+TableA4!C18</f>
        <v>28.12836736505291</v>
      </c>
      <c r="T18" s="1916">
        <f>+TableA4!F18</f>
        <v>99.642774496781783</v>
      </c>
      <c r="U18" s="837">
        <f t="shared" si="9"/>
        <v>0.11512873377668277</v>
      </c>
      <c r="V18" s="837">
        <f t="shared" si="10"/>
        <v>8.2396318644899255E-2</v>
      </c>
    </row>
    <row r="19" spans="1:22" x14ac:dyDescent="0.2">
      <c r="A19" s="145" t="s">
        <v>818</v>
      </c>
      <c r="B19" s="864" t="s">
        <v>38</v>
      </c>
      <c r="C19" s="826">
        <f t="shared" si="0"/>
        <v>2.6507328962746661</v>
      </c>
      <c r="D19" s="827">
        <f t="shared" si="1"/>
        <v>0.14506478214910593</v>
      </c>
      <c r="E19" s="869">
        <v>871.38042208861668</v>
      </c>
      <c r="F19" s="855">
        <v>15922.519</v>
      </c>
      <c r="G19" s="858">
        <v>2309.79675</v>
      </c>
      <c r="H19" s="827">
        <f t="shared" si="4"/>
        <v>1.8651390114912509</v>
      </c>
      <c r="I19" s="827">
        <f t="shared" si="2"/>
        <v>0.1604858759321765</v>
      </c>
      <c r="J19" s="857">
        <v>153.37468637532214</v>
      </c>
      <c r="K19" s="857">
        <v>1782.4939999999999</v>
      </c>
      <c r="L19" s="856">
        <v>286.06511093384898</v>
      </c>
      <c r="M19" s="827">
        <f t="shared" si="5"/>
        <v>2.8185452266000328</v>
      </c>
      <c r="N19" s="827">
        <f t="shared" si="3"/>
        <v>0.14312079639648098</v>
      </c>
      <c r="O19" s="855">
        <f t="shared" si="6"/>
        <v>718.0057357132946</v>
      </c>
      <c r="P19" s="855">
        <f t="shared" si="7"/>
        <v>14140.025</v>
      </c>
      <c r="Q19" s="854">
        <f t="shared" si="8"/>
        <v>2023.731639066151</v>
      </c>
      <c r="S19" s="1916">
        <f>+TableA4!C19</f>
        <v>211.37422828897019</v>
      </c>
      <c r="T19" s="1916">
        <f>+TableA4!F19</f>
        <v>1097.0916107921014</v>
      </c>
      <c r="U19" s="837">
        <f t="shared" si="9"/>
        <v>0.11858341643167955</v>
      </c>
      <c r="V19" s="837">
        <f t="shared" si="10"/>
        <v>7.7587671223502186E-2</v>
      </c>
    </row>
    <row r="20" spans="1:22" x14ac:dyDescent="0.2">
      <c r="A20" s="145" t="s">
        <v>819</v>
      </c>
      <c r="B20" s="864" t="s">
        <v>39</v>
      </c>
      <c r="C20" s="826">
        <f t="shared" si="0"/>
        <v>2.9519903642634002</v>
      </c>
      <c r="D20" s="827">
        <f t="shared" si="1"/>
        <v>0.12776033754199193</v>
      </c>
      <c r="E20" s="869">
        <v>1223.0067020902579</v>
      </c>
      <c r="F20" s="855">
        <v>28258.41</v>
      </c>
      <c r="G20" s="858">
        <v>3610.3040000000001</v>
      </c>
      <c r="H20" s="827">
        <f t="shared" si="4"/>
        <v>3.3795864752042459</v>
      </c>
      <c r="I20" s="827">
        <f t="shared" si="2"/>
        <v>0.2581822877163451</v>
      </c>
      <c r="J20" s="857">
        <v>234.01373793675208</v>
      </c>
      <c r="K20" s="857">
        <v>3063.2220000000002</v>
      </c>
      <c r="L20" s="856">
        <v>790.86966374303813</v>
      </c>
      <c r="M20" s="827">
        <f t="shared" si="5"/>
        <v>2.8508133408918219</v>
      </c>
      <c r="N20" s="827">
        <f t="shared" si="3"/>
        <v>0.11190368320557728</v>
      </c>
      <c r="O20" s="855">
        <f t="shared" si="6"/>
        <v>988.99296415350591</v>
      </c>
      <c r="P20" s="855">
        <f t="shared" si="7"/>
        <v>25195.187999999998</v>
      </c>
      <c r="Q20" s="854">
        <f t="shared" si="8"/>
        <v>2819.4343362569621</v>
      </c>
      <c r="S20" s="1916">
        <f>+TableA4!C20</f>
        <v>418.34195930404996</v>
      </c>
      <c r="T20" s="1916">
        <f>+TableA4!F20</f>
        <v>1654.6313044242552</v>
      </c>
      <c r="U20" s="837">
        <f t="shared" si="9"/>
        <v>0.13656925919964336</v>
      </c>
      <c r="V20" s="837">
        <f t="shared" si="10"/>
        <v>6.5672512720455004E-2</v>
      </c>
    </row>
    <row r="21" spans="1:22" x14ac:dyDescent="0.2">
      <c r="A21" s="145" t="s">
        <v>820</v>
      </c>
      <c r="B21" s="864" t="s">
        <v>40</v>
      </c>
      <c r="C21" s="826">
        <f t="shared" si="0"/>
        <v>4.800780294954893</v>
      </c>
      <c r="D21" s="827">
        <f t="shared" si="1"/>
        <v>6.147764241837958E-2</v>
      </c>
      <c r="E21" s="869">
        <v>27.693378982519995</v>
      </c>
      <c r="F21" s="855">
        <v>2162.5720000000001</v>
      </c>
      <c r="G21" s="858">
        <v>132.94982811999998</v>
      </c>
      <c r="H21" s="827">
        <f t="shared" si="4"/>
        <v>4.0765586258133419</v>
      </c>
      <c r="I21" s="827">
        <f t="shared" si="2"/>
        <v>0.13824577991346368</v>
      </c>
      <c r="J21" s="857">
        <v>4.1948249888750162</v>
      </c>
      <c r="K21" s="857">
        <v>123.696</v>
      </c>
      <c r="L21" s="856">
        <v>17.100449992175804</v>
      </c>
      <c r="M21" s="827">
        <f t="shared" si="5"/>
        <v>4.9300641290163991</v>
      </c>
      <c r="N21" s="827">
        <f t="shared" si="3"/>
        <v>5.6820217672788415E-2</v>
      </c>
      <c r="O21" s="855">
        <f t="shared" si="6"/>
        <v>23.498553993644979</v>
      </c>
      <c r="P21" s="855">
        <f t="shared" si="7"/>
        <v>2038.8760000000002</v>
      </c>
      <c r="Q21" s="854">
        <f t="shared" si="8"/>
        <v>115.84937812782417</v>
      </c>
      <c r="S21" s="1916">
        <f>+TableA4!C21</f>
        <v>8.6576655673265428</v>
      </c>
      <c r="T21" s="1916">
        <f>+TableA4!F21</f>
        <v>56.71710061367979</v>
      </c>
      <c r="U21" s="837">
        <f t="shared" si="9"/>
        <v>6.9991475612198803E-2</v>
      </c>
      <c r="V21" s="837">
        <f t="shared" si="10"/>
        <v>2.7817827378261249E-2</v>
      </c>
    </row>
    <row r="22" spans="1:22" x14ac:dyDescent="0.2">
      <c r="A22" s="145" t="s">
        <v>821</v>
      </c>
      <c r="B22" s="864" t="s">
        <v>41</v>
      </c>
      <c r="C22" s="826">
        <f t="shared" si="0"/>
        <v>5.4496531444664109</v>
      </c>
      <c r="D22" s="827">
        <f t="shared" si="1"/>
        <v>7.1800964935391079E-2</v>
      </c>
      <c r="E22" s="869">
        <v>34.2062595652135</v>
      </c>
      <c r="F22" s="855">
        <v>2596.2359999999999</v>
      </c>
      <c r="G22" s="858">
        <v>186.41225</v>
      </c>
      <c r="H22" s="827">
        <f t="shared" si="4"/>
        <v>5.5143268311945191</v>
      </c>
      <c r="I22" s="827">
        <f t="shared" si="2"/>
        <v>0.12931448405704929</v>
      </c>
      <c r="J22" s="857">
        <v>15.828195934347765</v>
      </c>
      <c r="K22" s="857">
        <v>674.95799999999997</v>
      </c>
      <c r="L22" s="856">
        <v>87.281845530177876</v>
      </c>
      <c r="M22" s="827">
        <f t="shared" si="5"/>
        <v>5.3939526198687116</v>
      </c>
      <c r="N22" s="827">
        <f t="shared" si="3"/>
        <v>5.15960753570395E-2</v>
      </c>
      <c r="O22" s="855">
        <f t="shared" si="6"/>
        <v>18.378063630865736</v>
      </c>
      <c r="P22" s="855">
        <f t="shared" si="7"/>
        <v>1921.2779999999998</v>
      </c>
      <c r="Q22" s="854">
        <f t="shared" si="8"/>
        <v>99.130404469822125</v>
      </c>
      <c r="S22" s="1916">
        <f>+TableA4!C22</f>
        <v>34.774086885014654</v>
      </c>
      <c r="T22" s="1916">
        <f>+TableA4!F22</f>
        <v>31.826312280853983</v>
      </c>
      <c r="U22" s="837">
        <f t="shared" si="9"/>
        <v>5.1520371467579693E-2</v>
      </c>
      <c r="V22" s="837">
        <f t="shared" si="10"/>
        <v>1.656517811626115E-2</v>
      </c>
    </row>
    <row r="23" spans="1:22" ht="17" x14ac:dyDescent="0.2">
      <c r="A23" s="145" t="s">
        <v>822</v>
      </c>
      <c r="B23" s="864" t="s">
        <v>42</v>
      </c>
      <c r="C23" s="826">
        <f t="shared" si="0"/>
        <v>3.2759700275955947</v>
      </c>
      <c r="D23" s="827">
        <f t="shared" si="1"/>
        <v>0.142361783342771</v>
      </c>
      <c r="E23" s="855">
        <v>5.1275502981429524</v>
      </c>
      <c r="F23" s="855">
        <v>117.99305050331219</v>
      </c>
      <c r="G23" s="858">
        <v>16.797701091705168</v>
      </c>
      <c r="H23" s="827" t="str">
        <f t="shared" si="4"/>
        <v/>
      </c>
      <c r="I23" s="827"/>
      <c r="J23" s="857">
        <v>1.4154993051686313</v>
      </c>
      <c r="K23" s="857" t="s">
        <v>262</v>
      </c>
      <c r="L23" s="856" t="s">
        <v>262</v>
      </c>
      <c r="M23" s="827" t="str">
        <f t="shared" si="5"/>
        <v/>
      </c>
      <c r="N23" s="827"/>
      <c r="O23" s="855">
        <f t="shared" si="6"/>
        <v>3.7120509929743211</v>
      </c>
      <c r="P23" s="855" t="str">
        <f t="shared" si="7"/>
        <v/>
      </c>
      <c r="Q23" s="854" t="str">
        <f t="shared" si="8"/>
        <v/>
      </c>
      <c r="S23" s="1916">
        <f>+TableA4!C23</f>
        <v>1.4368665366564288</v>
      </c>
      <c r="T23" s="1916">
        <f>+TableA4!F23</f>
        <v>7.3599732176614454</v>
      </c>
    </row>
    <row r="24" spans="1:22" x14ac:dyDescent="0.2">
      <c r="A24" s="145" t="s">
        <v>823</v>
      </c>
      <c r="B24" s="864" t="s">
        <v>43</v>
      </c>
      <c r="C24" s="826">
        <f t="shared" si="0"/>
        <v>3.2206512748704248</v>
      </c>
      <c r="D24" s="827">
        <f t="shared" si="1"/>
        <v>0.1510853378572892</v>
      </c>
      <c r="E24" s="869">
        <v>61.361034049457722</v>
      </c>
      <c r="F24" s="855">
        <v>1308.019</v>
      </c>
      <c r="G24" s="858">
        <v>197.62249253875356</v>
      </c>
      <c r="H24" s="827">
        <f t="shared" si="4"/>
        <v>5.4716008479763198</v>
      </c>
      <c r="I24" s="827">
        <f>+L24/K24</f>
        <v>0.33424889387920881</v>
      </c>
      <c r="J24" s="857">
        <v>14.534778765501809</v>
      </c>
      <c r="K24" s="857">
        <v>237.93199999999999</v>
      </c>
      <c r="L24" s="856">
        <v>79.528507818467901</v>
      </c>
      <c r="M24" s="827">
        <f t="shared" si="5"/>
        <v>2.521960895744491</v>
      </c>
      <c r="N24" s="827">
        <f>+Q24/P24</f>
        <v>0.11035923688474457</v>
      </c>
      <c r="O24" s="855">
        <f t="shared" si="6"/>
        <v>46.826255283955916</v>
      </c>
      <c r="P24" s="855">
        <f t="shared" si="7"/>
        <v>1070.087</v>
      </c>
      <c r="Q24" s="854">
        <f t="shared" si="8"/>
        <v>118.09398472028566</v>
      </c>
      <c r="S24" s="1916">
        <f>+TableA4!C24</f>
        <v>129.43928440981816</v>
      </c>
      <c r="T24" s="1916">
        <f>+TableA4!F24</f>
        <v>86.920682384723904</v>
      </c>
      <c r="U24" s="837">
        <f t="shared" ref="U24:U44" si="11">+IF(S24/K24&gt;0,S24/K24,"")</f>
        <v>0.54401797324369217</v>
      </c>
      <c r="V24" s="837">
        <f t="shared" ref="V24:V44" si="12">+T24/P24</f>
        <v>8.1227678109091969E-2</v>
      </c>
    </row>
    <row r="25" spans="1:22" x14ac:dyDescent="0.2">
      <c r="A25" s="145" t="s">
        <v>824</v>
      </c>
      <c r="B25" s="864" t="s">
        <v>44</v>
      </c>
      <c r="C25" s="826">
        <f t="shared" si="0"/>
        <v>1.7168739622418689</v>
      </c>
      <c r="D25" s="827">
        <f t="shared" si="1"/>
        <v>7.6088109021998335E-2</v>
      </c>
      <c r="E25" s="855">
        <v>91.954332974943853</v>
      </c>
      <c r="F25" s="855">
        <v>2074.884</v>
      </c>
      <c r="G25" s="858">
        <v>157.874</v>
      </c>
      <c r="H25" s="827">
        <f t="shared" si="4"/>
        <v>1.1980599999999999</v>
      </c>
      <c r="I25" s="827">
        <f>+L25/K25</f>
        <v>8.1275159193857013E-2</v>
      </c>
      <c r="J25" s="857">
        <v>11.482695813055287</v>
      </c>
      <c r="K25" s="857">
        <v>169.26400000000001</v>
      </c>
      <c r="L25" s="856">
        <v>13.756958545789015</v>
      </c>
      <c r="M25" s="827">
        <f t="shared" si="5"/>
        <v>1.7909048024496379</v>
      </c>
      <c r="N25" s="827">
        <f>+Q25/P25</f>
        <v>7.5627376630288817E-2</v>
      </c>
      <c r="O25" s="855">
        <f t="shared" si="6"/>
        <v>80.471637161888566</v>
      </c>
      <c r="P25" s="855">
        <f t="shared" si="7"/>
        <v>1905.62</v>
      </c>
      <c r="Q25" s="854">
        <f t="shared" si="8"/>
        <v>144.11704145421098</v>
      </c>
      <c r="S25" s="1916">
        <f>+TableA4!C25</f>
        <v>20.001467408286921</v>
      </c>
      <c r="T25" s="1916">
        <f>+TableA4!F25</f>
        <v>148.60948418134916</v>
      </c>
      <c r="U25" s="837">
        <f t="shared" si="11"/>
        <v>0.11816728547291167</v>
      </c>
      <c r="V25" s="837">
        <f t="shared" si="12"/>
        <v>7.7984847021625073E-2</v>
      </c>
    </row>
    <row r="26" spans="1:22" x14ac:dyDescent="0.2">
      <c r="A26" s="145" t="s">
        <v>825</v>
      </c>
      <c r="B26" s="864" t="s">
        <v>45</v>
      </c>
      <c r="C26" s="826">
        <f t="shared" si="0"/>
        <v>4.0971874872271385</v>
      </c>
      <c r="D26" s="827">
        <f t="shared" si="1"/>
        <v>0.1416191303959051</v>
      </c>
      <c r="E26" s="869">
        <v>491.69619556839115</v>
      </c>
      <c r="F26" s="855">
        <v>14225.278</v>
      </c>
      <c r="G26" s="858">
        <v>2014.5715</v>
      </c>
      <c r="H26" s="827">
        <f t="shared" si="4"/>
        <v>3.3803340314423336</v>
      </c>
      <c r="I26" s="827">
        <f>+L26/K26</f>
        <v>0.23520857895128969</v>
      </c>
      <c r="J26" s="857">
        <v>81.299813448428011</v>
      </c>
      <c r="K26" s="857">
        <v>1168.412</v>
      </c>
      <c r="L26" s="856">
        <v>274.8205261496343</v>
      </c>
      <c r="M26" s="827">
        <f t="shared" si="5"/>
        <v>4.2391966636338871</v>
      </c>
      <c r="N26" s="827">
        <f>+Q26/P26</f>
        <v>0.13324414709091489</v>
      </c>
      <c r="O26" s="855">
        <f t="shared" si="6"/>
        <v>410.39638211996316</v>
      </c>
      <c r="P26" s="855">
        <f t="shared" si="7"/>
        <v>13056.866</v>
      </c>
      <c r="Q26" s="854">
        <f t="shared" si="8"/>
        <v>1739.7509738503657</v>
      </c>
      <c r="S26" s="1916">
        <f>+TableA4!C26</f>
        <v>133.17920652871467</v>
      </c>
      <c r="T26" s="1916">
        <f>+TableA4!F26</f>
        <v>739.57202203995701</v>
      </c>
      <c r="U26" s="837">
        <f t="shared" si="11"/>
        <v>0.11398308689804168</v>
      </c>
      <c r="V26" s="837">
        <f t="shared" si="12"/>
        <v>5.6642384324075701E-2</v>
      </c>
    </row>
    <row r="27" spans="1:22" x14ac:dyDescent="0.2">
      <c r="A27" s="145" t="s">
        <v>826</v>
      </c>
      <c r="B27" s="864" t="s">
        <v>46</v>
      </c>
      <c r="C27" s="826">
        <f t="shared" si="0"/>
        <v>3.7052171564949217</v>
      </c>
      <c r="D27" s="827">
        <f t="shared" si="1"/>
        <v>0.14545222977998268</v>
      </c>
      <c r="E27" s="855">
        <v>1514.0182782989034</v>
      </c>
      <c r="F27" s="855">
        <v>38567.758696347075</v>
      </c>
      <c r="G27" s="858">
        <v>5609.7664999999997</v>
      </c>
      <c r="H27" s="827">
        <f t="shared" si="4"/>
        <v>1.0523800000000001</v>
      </c>
      <c r="I27" s="827">
        <f>+L27/K27</f>
        <v>0.10940132347603941</v>
      </c>
      <c r="J27" s="857">
        <v>135.22206240620594</v>
      </c>
      <c r="K27" s="857">
        <v>1300.7611746690618</v>
      </c>
      <c r="L27" s="856">
        <v>142.30499403504302</v>
      </c>
      <c r="M27" s="827">
        <f t="shared" si="5"/>
        <v>3.9653876642133552</v>
      </c>
      <c r="N27" s="827">
        <f>+Q27/P27</f>
        <v>0.14671054470606501</v>
      </c>
      <c r="O27" s="855">
        <f t="shared" si="6"/>
        <v>1378.7962158926975</v>
      </c>
      <c r="P27" s="855">
        <f t="shared" si="7"/>
        <v>37266.997521678015</v>
      </c>
      <c r="Q27" s="854">
        <f t="shared" si="8"/>
        <v>5467.4615059649568</v>
      </c>
      <c r="S27" s="1916">
        <f>+TableA4!C27</f>
        <v>206.25682932165813</v>
      </c>
      <c r="T27" s="1916">
        <f>+TableA4!F27</f>
        <v>2527.5002498086451</v>
      </c>
      <c r="U27" s="837">
        <f t="shared" si="11"/>
        <v>0.15856625592636847</v>
      </c>
      <c r="V27" s="837">
        <f t="shared" si="12"/>
        <v>6.7821408159817853E-2</v>
      </c>
    </row>
    <row r="28" spans="1:22" x14ac:dyDescent="0.2">
      <c r="A28" s="145" t="s">
        <v>827</v>
      </c>
      <c r="B28" s="864" t="s">
        <v>47</v>
      </c>
      <c r="C28" s="826">
        <f t="shared" si="0"/>
        <v>4.7798663945429567</v>
      </c>
      <c r="D28" s="827">
        <f t="shared" si="1"/>
        <v>0.12414683693476472</v>
      </c>
      <c r="E28" s="855">
        <v>414.68018379403401</v>
      </c>
      <c r="F28" s="855">
        <v>15965.899123483427</v>
      </c>
      <c r="G28" s="858">
        <v>1982.115875</v>
      </c>
      <c r="H28" s="827">
        <f t="shared" si="4"/>
        <v>2.0147200000000001</v>
      </c>
      <c r="I28" s="827">
        <f>+L28/K28</f>
        <v>0.15303662955804084</v>
      </c>
      <c r="J28" s="857">
        <v>64.003009513839302</v>
      </c>
      <c r="K28" s="857">
        <v>842.59659729906241</v>
      </c>
      <c r="L28" s="856">
        <v>128.94814332772233</v>
      </c>
      <c r="M28" s="827">
        <f t="shared" si="5"/>
        <v>5.2845405050275023</v>
      </c>
      <c r="N28" s="827"/>
      <c r="O28" s="855">
        <f t="shared" si="6"/>
        <v>350.67717428019472</v>
      </c>
      <c r="P28" s="855">
        <f t="shared" si="7"/>
        <v>15123.302526184365</v>
      </c>
      <c r="Q28" s="854">
        <f t="shared" si="8"/>
        <v>1853.1677316722776</v>
      </c>
      <c r="S28" s="1916">
        <f>+TableA4!C28</f>
        <v>68.707525310376454</v>
      </c>
      <c r="T28" s="1916">
        <f>+TableA4!F28</f>
        <v>774.75512246413768</v>
      </c>
      <c r="U28" s="837">
        <f t="shared" si="11"/>
        <v>8.1542609512805952E-2</v>
      </c>
      <c r="V28" s="837">
        <f t="shared" si="12"/>
        <v>5.1229228610796672E-2</v>
      </c>
    </row>
    <row r="29" spans="1:22" x14ac:dyDescent="0.2">
      <c r="A29" s="145" t="s">
        <v>828</v>
      </c>
      <c r="B29" s="864" t="s">
        <v>48</v>
      </c>
      <c r="C29" s="826">
        <f t="shared" si="0"/>
        <v>6.0780889422493036</v>
      </c>
      <c r="D29" s="827">
        <f t="shared" si="1"/>
        <v>8.8296635740784585E-2</v>
      </c>
      <c r="E29" s="869">
        <v>9.2021529203390635</v>
      </c>
      <c r="F29" s="855">
        <v>633.45000000000005</v>
      </c>
      <c r="G29" s="858">
        <v>55.931503909999996</v>
      </c>
      <c r="H29" s="827">
        <f t="shared" si="4"/>
        <v>5.5547658732680256</v>
      </c>
      <c r="I29" s="827">
        <f t="shared" ref="I29:I52" si="13">+L29/K29</f>
        <v>0.12839451804317503</v>
      </c>
      <c r="J29" s="857">
        <v>2.9223870232507698</v>
      </c>
      <c r="K29" s="857">
        <v>126.432</v>
      </c>
      <c r="L29" s="856">
        <v>16.233175705234707</v>
      </c>
      <c r="M29" s="827">
        <f t="shared" si="5"/>
        <v>6.321625496130677</v>
      </c>
      <c r="N29" s="827">
        <f t="shared" ref="N29:N52" si="14">+Q29/P29</f>
        <v>7.8297670309072434E-2</v>
      </c>
      <c r="O29" s="855">
        <f t="shared" si="6"/>
        <v>6.2797658970882937</v>
      </c>
      <c r="P29" s="855">
        <f t="shared" si="7"/>
        <v>507.01800000000003</v>
      </c>
      <c r="Q29" s="854">
        <f t="shared" si="8"/>
        <v>39.698328204765289</v>
      </c>
      <c r="S29" s="1916">
        <f>+TableA4!C29</f>
        <v>5.6429965651966789</v>
      </c>
      <c r="T29" s="1916">
        <f>+TableA4!F29</f>
        <v>11.222582328819794</v>
      </c>
      <c r="U29" s="837">
        <f t="shared" si="11"/>
        <v>4.4632660759907926E-2</v>
      </c>
      <c r="V29" s="837">
        <f t="shared" si="12"/>
        <v>2.2134485025817215E-2</v>
      </c>
    </row>
    <row r="30" spans="1:22" x14ac:dyDescent="0.2">
      <c r="A30" s="145" t="s">
        <v>829</v>
      </c>
      <c r="B30" s="864" t="s">
        <v>49</v>
      </c>
      <c r="C30" s="826">
        <f t="shared" si="0"/>
        <v>2.2956882192748305</v>
      </c>
      <c r="D30" s="827">
        <f t="shared" si="1"/>
        <v>0.1933696418088944</v>
      </c>
      <c r="E30" s="869">
        <v>21.552271978652684</v>
      </c>
      <c r="F30" s="855">
        <v>255.869</v>
      </c>
      <c r="G30" s="858">
        <v>49.477296880000004</v>
      </c>
      <c r="H30" s="827">
        <f t="shared" si="4"/>
        <v>1.448858085801517</v>
      </c>
      <c r="I30" s="827">
        <f t="shared" si="13"/>
        <v>0.16146643743375119</v>
      </c>
      <c r="J30" s="857">
        <v>11.134697263599653</v>
      </c>
      <c r="K30" s="857">
        <v>99.912999999999997</v>
      </c>
      <c r="L30" s="856">
        <v>16.132596163318382</v>
      </c>
      <c r="M30" s="827">
        <f t="shared" si="5"/>
        <v>3.2008122455315533</v>
      </c>
      <c r="N30" s="827">
        <f t="shared" si="14"/>
        <v>0.21380838644670047</v>
      </c>
      <c r="O30" s="855">
        <f t="shared" si="6"/>
        <v>10.41757471505303</v>
      </c>
      <c r="P30" s="855">
        <f t="shared" si="7"/>
        <v>155.95600000000002</v>
      </c>
      <c r="Q30" s="854">
        <f t="shared" si="8"/>
        <v>33.344700716681622</v>
      </c>
      <c r="S30" s="1916">
        <f>+TableA4!C30</f>
        <v>25.429791085099801</v>
      </c>
      <c r="T30" s="1916">
        <f>+TableA4!F30</f>
        <v>13.801337312664764</v>
      </c>
      <c r="U30" s="837">
        <f t="shared" si="11"/>
        <v>0.25451934267912885</v>
      </c>
      <c r="V30" s="837">
        <f t="shared" si="12"/>
        <v>8.8495071126886829E-2</v>
      </c>
    </row>
    <row r="31" spans="1:22" x14ac:dyDescent="0.2">
      <c r="A31" s="145" t="s">
        <v>830</v>
      </c>
      <c r="B31" s="859" t="s">
        <v>50</v>
      </c>
      <c r="C31" s="826">
        <f t="shared" si="0"/>
        <v>9.5797899597877514</v>
      </c>
      <c r="D31" s="827">
        <f t="shared" si="1"/>
        <v>4.2736244821519324E-2</v>
      </c>
      <c r="E31" s="855">
        <v>140.22820286912128</v>
      </c>
      <c r="F31" s="855">
        <v>31433.663288269461</v>
      </c>
      <c r="G31" s="858">
        <v>1343.3567299246879</v>
      </c>
      <c r="H31" s="827">
        <f t="shared" si="4"/>
        <v>2.7238899999999999</v>
      </c>
      <c r="I31" s="827">
        <f t="shared" si="13"/>
        <v>5.4253262422202644E-2</v>
      </c>
      <c r="J31" s="857">
        <v>32.357373994477598</v>
      </c>
      <c r="K31" s="857">
        <v>1624.5645610013667</v>
      </c>
      <c r="L31" s="856">
        <v>88.137927449817582</v>
      </c>
      <c r="M31" s="827">
        <f t="shared" si="5"/>
        <v>11.636313687118838</v>
      </c>
      <c r="N31" s="827">
        <f t="shared" si="14"/>
        <v>4.2108579462909072E-2</v>
      </c>
      <c r="O31" s="855">
        <f t="shared" si="6"/>
        <v>107.87082887464368</v>
      </c>
      <c r="P31" s="855">
        <f t="shared" si="7"/>
        <v>29809.098727268094</v>
      </c>
      <c r="Q31" s="854">
        <f t="shared" si="8"/>
        <v>1255.2188024748702</v>
      </c>
      <c r="S31" s="1916">
        <f>+TableA4!C31</f>
        <v>65.009276406836875</v>
      </c>
      <c r="T31" s="1916">
        <f>+TableA4!F31</f>
        <v>515.50971661618576</v>
      </c>
      <c r="U31" s="837">
        <f t="shared" si="11"/>
        <v>4.0016431459495676E-2</v>
      </c>
      <c r="V31" s="837">
        <f t="shared" si="12"/>
        <v>1.72937035544996E-2</v>
      </c>
    </row>
    <row r="32" spans="1:22" x14ac:dyDescent="0.2">
      <c r="A32" s="145" t="s">
        <v>831</v>
      </c>
      <c r="B32" s="859" t="s">
        <v>51</v>
      </c>
      <c r="C32" s="826">
        <f t="shared" si="0"/>
        <v>2.9202643827552666</v>
      </c>
      <c r="D32" s="827">
        <f t="shared" si="1"/>
        <v>0.15081767375249652</v>
      </c>
      <c r="E32" s="869">
        <v>282.03899700441076</v>
      </c>
      <c r="F32" s="855">
        <v>5461.0870000000004</v>
      </c>
      <c r="G32" s="858">
        <v>823.62843750000002</v>
      </c>
      <c r="H32" s="827">
        <f t="shared" si="4"/>
        <v>2.9254487115313106</v>
      </c>
      <c r="I32" s="827">
        <f t="shared" si="13"/>
        <v>0.24817144798456189</v>
      </c>
      <c r="J32" s="857">
        <v>77.710709775013825</v>
      </c>
      <c r="K32" s="857">
        <v>916.05499999999995</v>
      </c>
      <c r="L32" s="856">
        <v>227.33869578349783</v>
      </c>
      <c r="M32" s="827">
        <f t="shared" si="5"/>
        <v>2.9182926642313349</v>
      </c>
      <c r="N32" s="827">
        <f t="shared" si="14"/>
        <v>0.13119593915213407</v>
      </c>
      <c r="O32" s="855">
        <f t="shared" si="6"/>
        <v>204.32828722939695</v>
      </c>
      <c r="P32" s="855">
        <f t="shared" si="7"/>
        <v>4545.0320000000002</v>
      </c>
      <c r="Q32" s="854">
        <f t="shared" si="8"/>
        <v>596.28974171650225</v>
      </c>
      <c r="S32" s="1916">
        <f>+TableA4!C32</f>
        <v>140.66521226439096</v>
      </c>
      <c r="T32" s="1916">
        <f>+TableA4!F32</f>
        <v>360.4732447354283</v>
      </c>
      <c r="U32" s="837">
        <f t="shared" si="11"/>
        <v>0.1535554221792261</v>
      </c>
      <c r="V32" s="837">
        <f t="shared" si="12"/>
        <v>7.9311486637592049E-2</v>
      </c>
    </row>
    <row r="33" spans="1:22" x14ac:dyDescent="0.2">
      <c r="A33" s="145" t="s">
        <v>832</v>
      </c>
      <c r="B33" s="859" t="s">
        <v>52</v>
      </c>
      <c r="C33" s="826">
        <f t="shared" si="0"/>
        <v>2.7719727366678355</v>
      </c>
      <c r="D33" s="827">
        <f t="shared" si="1"/>
        <v>0.12442219910297715</v>
      </c>
      <c r="E33" s="855">
        <v>57.141860911103748</v>
      </c>
      <c r="F33" s="855">
        <v>1273.05</v>
      </c>
      <c r="G33" s="858">
        <v>158.39568056804507</v>
      </c>
      <c r="H33" s="827">
        <f t="shared" si="4"/>
        <v>1.8212900000000001</v>
      </c>
      <c r="I33" s="827">
        <f t="shared" si="13"/>
        <v>5.7446548961500678E-2</v>
      </c>
      <c r="J33" s="857">
        <v>9.1720055414100905</v>
      </c>
      <c r="K33" s="857">
        <v>290.79000000000002</v>
      </c>
      <c r="L33" s="856">
        <v>16.704881972514784</v>
      </c>
      <c r="M33" s="827">
        <f t="shared" si="5"/>
        <v>2.9537466290767167</v>
      </c>
      <c r="N33" s="827">
        <f t="shared" si="14"/>
        <v>0.14424978986778478</v>
      </c>
      <c r="O33" s="855">
        <f t="shared" si="6"/>
        <v>47.969855369693661</v>
      </c>
      <c r="P33" s="855">
        <f t="shared" si="7"/>
        <v>982.26</v>
      </c>
      <c r="Q33" s="854">
        <f t="shared" si="8"/>
        <v>141.69079859553028</v>
      </c>
      <c r="S33" s="1916">
        <f>+TableA4!C33</f>
        <v>18.692186411311809</v>
      </c>
      <c r="T33" s="1916">
        <f>+TableA4!F33</f>
        <v>99.032320640763714</v>
      </c>
      <c r="U33" s="837">
        <f t="shared" si="11"/>
        <v>6.428070570278141E-2</v>
      </c>
      <c r="V33" s="837">
        <f t="shared" si="12"/>
        <v>0.10082088310708337</v>
      </c>
    </row>
    <row r="34" spans="1:22" x14ac:dyDescent="0.2">
      <c r="A34" s="145" t="s">
        <v>833</v>
      </c>
      <c r="B34" s="859" t="s">
        <v>53</v>
      </c>
      <c r="C34" s="826">
        <f t="shared" si="0"/>
        <v>3.8328112451296037</v>
      </c>
      <c r="D34" s="827">
        <f t="shared" si="1"/>
        <v>0.28659257722826242</v>
      </c>
      <c r="E34" s="869">
        <v>120.45063054869772</v>
      </c>
      <c r="F34" s="855">
        <v>1610.874</v>
      </c>
      <c r="G34" s="858">
        <v>461.66453124999998</v>
      </c>
      <c r="H34" s="827">
        <f t="shared" si="4"/>
        <v>3.4946060559333687</v>
      </c>
      <c r="I34" s="827">
        <f t="shared" si="13"/>
        <v>0.34417605887332126</v>
      </c>
      <c r="J34" s="857">
        <v>33.195608121398337</v>
      </c>
      <c r="K34" s="857">
        <v>337.053</v>
      </c>
      <c r="L34" s="856">
        <v>116.00557317142955</v>
      </c>
      <c r="M34" s="827">
        <f t="shared" si="5"/>
        <v>3.9614792187644263</v>
      </c>
      <c r="N34" s="827">
        <f t="shared" si="14"/>
        <v>0.27135598963949448</v>
      </c>
      <c r="O34" s="855">
        <f t="shared" si="6"/>
        <v>87.25502242729938</v>
      </c>
      <c r="P34" s="855">
        <f t="shared" si="7"/>
        <v>1273.8209999999999</v>
      </c>
      <c r="Q34" s="854">
        <f t="shared" si="8"/>
        <v>345.65895807857044</v>
      </c>
      <c r="S34" s="1916">
        <f>+TableA4!C34</f>
        <v>60.982347489637597</v>
      </c>
      <c r="T34" s="1916">
        <f>+TableA4!F34</f>
        <v>183.06939399835491</v>
      </c>
      <c r="U34" s="837">
        <f t="shared" si="11"/>
        <v>0.18092806617842772</v>
      </c>
      <c r="V34" s="837">
        <f t="shared" si="12"/>
        <v>0.14371673413953368</v>
      </c>
    </row>
    <row r="35" spans="1:22" x14ac:dyDescent="0.2">
      <c r="A35" s="145" t="s">
        <v>834</v>
      </c>
      <c r="B35" s="859" t="s">
        <v>54</v>
      </c>
      <c r="C35" s="826">
        <f t="shared" si="0"/>
        <v>2.9962995153441319</v>
      </c>
      <c r="D35" s="827">
        <f t="shared" si="1"/>
        <v>6.1047230498978568E-2</v>
      </c>
      <c r="E35" s="869">
        <v>110.83432816023345</v>
      </c>
      <c r="F35" s="855">
        <v>5439.933</v>
      </c>
      <c r="G35" s="858">
        <v>332.09284374999999</v>
      </c>
      <c r="H35" s="827">
        <f t="shared" si="4"/>
        <v>2.695840785956483</v>
      </c>
      <c r="I35" s="827">
        <f t="shared" si="13"/>
        <v>6.7428599473708828E-2</v>
      </c>
      <c r="J35" s="857">
        <v>39.193037102238662</v>
      </c>
      <c r="K35" s="857">
        <v>1566.9639999999999</v>
      </c>
      <c r="L35" s="856">
        <v>105.65818794572068</v>
      </c>
      <c r="M35" s="827">
        <f t="shared" si="5"/>
        <v>3.1606724622114468</v>
      </c>
      <c r="N35" s="827">
        <f t="shared" si="14"/>
        <v>5.8465393294983591E-2</v>
      </c>
      <c r="O35" s="855">
        <f t="shared" si="6"/>
        <v>71.641291057994792</v>
      </c>
      <c r="P35" s="855">
        <f t="shared" si="7"/>
        <v>3872.9690000000001</v>
      </c>
      <c r="Q35" s="854">
        <f t="shared" si="8"/>
        <v>226.43465580427932</v>
      </c>
      <c r="S35" s="1916">
        <f>+TableA4!C35</f>
        <v>83.337596477929566</v>
      </c>
      <c r="T35" s="1916">
        <f>+TableA4!F35</f>
        <v>151.56172703977839</v>
      </c>
      <c r="U35" s="837">
        <f t="shared" si="11"/>
        <v>5.3184116851395159E-2</v>
      </c>
      <c r="V35" s="837">
        <f t="shared" si="12"/>
        <v>3.9133214606101516E-2</v>
      </c>
    </row>
    <row r="36" spans="1:22" x14ac:dyDescent="0.2">
      <c r="A36" s="145" t="s">
        <v>835</v>
      </c>
      <c r="B36" s="859" t="s">
        <v>55</v>
      </c>
      <c r="C36" s="826">
        <f t="shared" si="0"/>
        <v>4.0327758755141243</v>
      </c>
      <c r="D36" s="827">
        <f t="shared" si="1"/>
        <v>7.7770166463602797E-2</v>
      </c>
      <c r="E36" s="869">
        <v>57.993657247362911</v>
      </c>
      <c r="F36" s="855">
        <v>3007.2640000000001</v>
      </c>
      <c r="G36" s="858">
        <v>233.87542188</v>
      </c>
      <c r="H36" s="827">
        <f t="shared" si="4"/>
        <v>3.8364912067746038</v>
      </c>
      <c r="I36" s="827">
        <f t="shared" si="13"/>
        <v>0.12788421869713573</v>
      </c>
      <c r="J36" s="857">
        <v>13.115654195957454</v>
      </c>
      <c r="K36" s="857">
        <v>393.46600000000001</v>
      </c>
      <c r="L36" s="856">
        <v>50.318091993887208</v>
      </c>
      <c r="M36" s="827">
        <f t="shared" si="5"/>
        <v>4.0901403227736592</v>
      </c>
      <c r="N36" s="827">
        <f t="shared" si="14"/>
        <v>7.0226287527235379E-2</v>
      </c>
      <c r="O36" s="855">
        <f t="shared" si="6"/>
        <v>44.878003051405457</v>
      </c>
      <c r="P36" s="855">
        <f t="shared" si="7"/>
        <v>2613.7980000000002</v>
      </c>
      <c r="Q36" s="854">
        <f t="shared" si="8"/>
        <v>183.5573298861128</v>
      </c>
      <c r="S36" s="1916">
        <f>+TableA4!C36</f>
        <v>24.453109744915967</v>
      </c>
      <c r="T36" s="1916">
        <f>+TableA4!F36</f>
        <v>77.300792783645278</v>
      </c>
      <c r="U36" s="837">
        <f t="shared" si="11"/>
        <v>6.2147961310293563E-2</v>
      </c>
      <c r="V36" s="837">
        <f t="shared" si="12"/>
        <v>2.9574126532978168E-2</v>
      </c>
    </row>
    <row r="37" spans="1:22" x14ac:dyDescent="0.2">
      <c r="A37" s="145" t="s">
        <v>836</v>
      </c>
      <c r="B37" s="859" t="s">
        <v>56</v>
      </c>
      <c r="C37" s="826">
        <f t="shared" si="0"/>
        <v>2.042816863001891</v>
      </c>
      <c r="D37" s="827">
        <f t="shared" si="1"/>
        <v>2.8874183365466183E-2</v>
      </c>
      <c r="E37" s="869">
        <v>21.242901141118761</v>
      </c>
      <c r="F37" s="855">
        <v>1502.912</v>
      </c>
      <c r="G37" s="858">
        <v>43.395356670159515</v>
      </c>
      <c r="H37" s="827">
        <f t="shared" si="4"/>
        <v>1.844812201348802</v>
      </c>
      <c r="I37" s="827">
        <f t="shared" si="13"/>
        <v>4.5380937888974411E-2</v>
      </c>
      <c r="J37" s="857">
        <v>9.6007058772968481</v>
      </c>
      <c r="K37" s="857">
        <v>390.28500000000003</v>
      </c>
      <c r="L37" s="856">
        <v>17.71149934399838</v>
      </c>
      <c r="M37" s="827">
        <f t="shared" si="5"/>
        <v>2.2061008894064544</v>
      </c>
      <c r="N37" s="827">
        <f t="shared" si="14"/>
        <v>2.3083978122192914E-2</v>
      </c>
      <c r="O37" s="855">
        <f t="shared" si="6"/>
        <v>11.642195263821913</v>
      </c>
      <c r="P37" s="855">
        <f t="shared" si="7"/>
        <v>1112.627</v>
      </c>
      <c r="Q37" s="854">
        <f t="shared" si="8"/>
        <v>25.683857326161135</v>
      </c>
      <c r="S37" s="1916">
        <f>+TableA4!C37</f>
        <v>19.882539197567318</v>
      </c>
      <c r="T37" s="1916">
        <f>+TableA4!F37</f>
        <v>23.474362912875762</v>
      </c>
      <c r="U37" s="837">
        <f t="shared" si="11"/>
        <v>5.0943641691500612E-2</v>
      </c>
      <c r="V37" s="837">
        <f t="shared" si="12"/>
        <v>2.1098142425876563E-2</v>
      </c>
    </row>
    <row r="38" spans="1:22" x14ac:dyDescent="0.2">
      <c r="A38" s="145" t="s">
        <v>837</v>
      </c>
      <c r="B38" s="859" t="s">
        <v>57</v>
      </c>
      <c r="C38" s="826">
        <f t="shared" si="0"/>
        <v>4.3221762235348162</v>
      </c>
      <c r="D38" s="827">
        <f t="shared" si="1"/>
        <v>0.10921944096458891</v>
      </c>
      <c r="E38" s="869">
        <v>14.942894708531718</v>
      </c>
      <c r="F38" s="855">
        <v>591.34</v>
      </c>
      <c r="G38" s="858">
        <v>64.585824220000006</v>
      </c>
      <c r="H38" s="827">
        <f t="shared" si="4"/>
        <v>3.3996080988515156</v>
      </c>
      <c r="I38" s="827">
        <f t="shared" si="13"/>
        <v>0.1119093004510788</v>
      </c>
      <c r="J38" s="857">
        <v>3.988545148405708</v>
      </c>
      <c r="K38" s="857">
        <v>121.16500000000001</v>
      </c>
      <c r="L38" s="856">
        <v>13.559490389154965</v>
      </c>
      <c r="M38" s="827">
        <f t="shared" si="5"/>
        <v>4.6580888760918882</v>
      </c>
      <c r="N38" s="827">
        <f t="shared" si="14"/>
        <v>0.10852625901174039</v>
      </c>
      <c r="O38" s="855">
        <f t="shared" si="6"/>
        <v>10.95434956012601</v>
      </c>
      <c r="P38" s="855">
        <f t="shared" si="7"/>
        <v>470.17500000000001</v>
      </c>
      <c r="Q38" s="854">
        <f t="shared" si="8"/>
        <v>51.02633383084504</v>
      </c>
      <c r="S38" s="1916">
        <f>+TableA4!C38</f>
        <v>6.1878086902872891</v>
      </c>
      <c r="T38" s="1916">
        <f>+TableA4!F38</f>
        <v>17.287919606108581</v>
      </c>
      <c r="U38" s="837">
        <f t="shared" si="11"/>
        <v>5.1069274875477973E-2</v>
      </c>
      <c r="V38" s="837">
        <f t="shared" si="12"/>
        <v>3.6769117043884893E-2</v>
      </c>
    </row>
    <row r="39" spans="1:22" x14ac:dyDescent="0.2">
      <c r="A39" s="145" t="s">
        <v>838</v>
      </c>
      <c r="B39" s="859" t="s">
        <v>58</v>
      </c>
      <c r="C39" s="826">
        <f t="shared" si="0"/>
        <v>2.9600268366574625</v>
      </c>
      <c r="D39" s="827">
        <f t="shared" si="1"/>
        <v>0.10475523411099644</v>
      </c>
      <c r="E39" s="869">
        <v>393.17191976124013</v>
      </c>
      <c r="F39" s="855">
        <v>11109.701999999999</v>
      </c>
      <c r="G39" s="858">
        <v>1163.7994339134052</v>
      </c>
      <c r="H39" s="827">
        <f t="shared" si="4"/>
        <v>2.8500573972468635</v>
      </c>
      <c r="I39" s="827">
        <f t="shared" si="13"/>
        <v>0.17196455041775643</v>
      </c>
      <c r="J39" s="857">
        <v>84.581926770837981</v>
      </c>
      <c r="K39" s="857">
        <v>1401.82</v>
      </c>
      <c r="L39" s="856">
        <v>241.06334606661932</v>
      </c>
      <c r="M39" s="827">
        <f t="shared" si="5"/>
        <v>2.9901685369152107</v>
      </c>
      <c r="N39" s="827">
        <f t="shared" si="14"/>
        <v>9.5050196103206239E-2</v>
      </c>
      <c r="O39" s="855">
        <f t="shared" si="6"/>
        <v>308.58999299040215</v>
      </c>
      <c r="P39" s="855">
        <f t="shared" si="7"/>
        <v>9707.8819999999996</v>
      </c>
      <c r="Q39" s="854">
        <f t="shared" si="8"/>
        <v>922.73608784678595</v>
      </c>
      <c r="S39" s="1916">
        <f>+TableA4!C39</f>
        <v>149.10309882409237</v>
      </c>
      <c r="T39" s="1916">
        <f>+TableA4!F39</f>
        <v>529.87199042805275</v>
      </c>
      <c r="U39" s="837">
        <f t="shared" si="11"/>
        <v>0.1063639403233599</v>
      </c>
      <c r="V39" s="837">
        <f t="shared" si="12"/>
        <v>5.4581626602800977E-2</v>
      </c>
    </row>
    <row r="40" spans="1:22" x14ac:dyDescent="0.2">
      <c r="A40" s="145" t="s">
        <v>839</v>
      </c>
      <c r="B40" s="859" t="s">
        <v>59</v>
      </c>
      <c r="C40" s="826">
        <f t="shared" si="0"/>
        <v>4.3866430452995058</v>
      </c>
      <c r="D40" s="827">
        <f t="shared" si="1"/>
        <v>0.23198890791914323</v>
      </c>
      <c r="E40" s="869">
        <v>164.05430760342725</v>
      </c>
      <c r="F40" s="855">
        <v>3102.078</v>
      </c>
      <c r="G40" s="858">
        <v>719.64768749999996</v>
      </c>
      <c r="H40" s="827">
        <f t="shared" si="4"/>
        <v>3.3811703204576546</v>
      </c>
      <c r="I40" s="827">
        <f t="shared" si="13"/>
        <v>0.22751533146991837</v>
      </c>
      <c r="J40" s="857">
        <v>45.364312208613207</v>
      </c>
      <c r="K40" s="857">
        <v>674.17200000000003</v>
      </c>
      <c r="L40" s="856">
        <v>153.38446604773782</v>
      </c>
      <c r="M40" s="827">
        <f t="shared" si="5"/>
        <v>4.7709431580027175</v>
      </c>
      <c r="N40" s="827">
        <f t="shared" si="14"/>
        <v>0.23323111415856385</v>
      </c>
      <c r="O40" s="855">
        <f t="shared" si="6"/>
        <v>118.68999539481405</v>
      </c>
      <c r="P40" s="855">
        <f t="shared" si="7"/>
        <v>2427.9059999999999</v>
      </c>
      <c r="Q40" s="854">
        <f t="shared" si="8"/>
        <v>566.26322145226209</v>
      </c>
      <c r="S40" s="1916">
        <f>+TableA4!C40</f>
        <v>78.161963173851206</v>
      </c>
      <c r="T40" s="1916">
        <f>+TableA4!F40</f>
        <v>209.66337935483429</v>
      </c>
      <c r="U40" s="837">
        <f t="shared" si="11"/>
        <v>0.11593771793229503</v>
      </c>
      <c r="V40" s="837">
        <f t="shared" si="12"/>
        <v>8.6355641180026865E-2</v>
      </c>
    </row>
    <row r="41" spans="1:22" x14ac:dyDescent="0.2">
      <c r="A41" s="145" t="s">
        <v>840</v>
      </c>
      <c r="B41" s="859" t="s">
        <v>60</v>
      </c>
      <c r="C41" s="826">
        <f t="shared" si="0"/>
        <v>1.7770127969844032</v>
      </c>
      <c r="D41" s="827">
        <f t="shared" si="1"/>
        <v>0.1231524981241746</v>
      </c>
      <c r="E41" s="855">
        <v>321.15382930461016</v>
      </c>
      <c r="F41" s="855">
        <v>4634.0469999999996</v>
      </c>
      <c r="G41" s="858">
        <v>570.69446447483688</v>
      </c>
      <c r="H41" s="827">
        <f t="shared" si="4"/>
        <v>0.85955000000000004</v>
      </c>
      <c r="I41" s="827">
        <f t="shared" si="13"/>
        <v>3.849423923889609E-2</v>
      </c>
      <c r="J41" s="857">
        <v>18.886427858840669</v>
      </c>
      <c r="K41" s="857">
        <v>421.721</v>
      </c>
      <c r="L41" s="856">
        <v>16.233829066066498</v>
      </c>
      <c r="M41" s="827">
        <f t="shared" si="5"/>
        <v>1.8343381812155071</v>
      </c>
      <c r="N41" s="827">
        <f t="shared" si="14"/>
        <v>0.13162813975194951</v>
      </c>
      <c r="O41" s="855">
        <f t="shared" si="6"/>
        <v>302.26740144576951</v>
      </c>
      <c r="P41" s="855">
        <f t="shared" si="7"/>
        <v>4212.3259999999991</v>
      </c>
      <c r="Q41" s="854">
        <f t="shared" si="8"/>
        <v>554.46063540877037</v>
      </c>
      <c r="S41" s="1916">
        <f>+TableA4!C41</f>
        <v>79.990300559539349</v>
      </c>
      <c r="T41" s="1916">
        <f>+TableA4!F41</f>
        <v>403.53027060718148</v>
      </c>
      <c r="U41" s="837">
        <f t="shared" si="11"/>
        <v>0.18967587708352049</v>
      </c>
      <c r="V41" s="837">
        <f t="shared" si="12"/>
        <v>9.5797493025749095E-2</v>
      </c>
    </row>
    <row r="42" spans="1:22" x14ac:dyDescent="0.2">
      <c r="A42" s="145" t="s">
        <v>841</v>
      </c>
      <c r="B42" s="859" t="s">
        <v>61</v>
      </c>
      <c r="C42" s="826">
        <f t="shared" si="0"/>
        <v>4.6600757408108189</v>
      </c>
      <c r="D42" s="827">
        <f t="shared" si="1"/>
        <v>4.8533754489864959E-2</v>
      </c>
      <c r="E42" s="855">
        <v>180.37437743772173</v>
      </c>
      <c r="F42" s="855">
        <v>17319.04464009498</v>
      </c>
      <c r="G42" s="858">
        <v>840.55826056138142</v>
      </c>
      <c r="H42" s="827">
        <f t="shared" si="4"/>
        <v>1.05114</v>
      </c>
      <c r="I42" s="827">
        <f t="shared" si="13"/>
        <v>7.1316210841993452E-2</v>
      </c>
      <c r="J42" s="857">
        <v>8.3567244424339737</v>
      </c>
      <c r="K42" s="857">
        <v>123.1709765102617</v>
      </c>
      <c r="L42" s="856">
        <v>8.7840873304200464</v>
      </c>
      <c r="M42" s="827">
        <f t="shared" si="5"/>
        <v>4.8354000810239341</v>
      </c>
      <c r="N42" s="827">
        <f t="shared" si="14"/>
        <v>4.837056781781255E-2</v>
      </c>
      <c r="O42" s="855">
        <f t="shared" si="6"/>
        <v>172.01765299528776</v>
      </c>
      <c r="P42" s="855">
        <f t="shared" si="7"/>
        <v>17195.87366358472</v>
      </c>
      <c r="Q42" s="854">
        <f t="shared" si="8"/>
        <v>831.77417323096142</v>
      </c>
      <c r="S42" s="1916">
        <f>+TableA4!C42</f>
        <v>13.18393403924207</v>
      </c>
      <c r="T42" s="1916">
        <f>+TableA4!F42</f>
        <v>448.57325499947069</v>
      </c>
      <c r="U42" s="837">
        <f t="shared" si="11"/>
        <v>0.10703766758026541</v>
      </c>
      <c r="V42" s="837">
        <f t="shared" si="12"/>
        <v>2.6086098547548838E-2</v>
      </c>
    </row>
    <row r="43" spans="1:22" x14ac:dyDescent="0.2">
      <c r="A43" s="145" t="s">
        <v>842</v>
      </c>
      <c r="B43" s="859" t="s">
        <v>62</v>
      </c>
      <c r="C43" s="826">
        <f t="shared" si="0"/>
        <v>2.7521182749327822</v>
      </c>
      <c r="D43" s="827">
        <f t="shared" si="1"/>
        <v>0.14514875312203893</v>
      </c>
      <c r="E43" s="869">
        <v>1012.5690365062753</v>
      </c>
      <c r="F43" s="855">
        <v>19198.991999999998</v>
      </c>
      <c r="G43" s="858">
        <v>2786.70975</v>
      </c>
      <c r="H43" s="827">
        <f t="shared" si="4"/>
        <v>3.112146330796818</v>
      </c>
      <c r="I43" s="827">
        <f t="shared" si="13"/>
        <v>0.23782860019575947</v>
      </c>
      <c r="J43" s="857">
        <v>280.65878878006157</v>
      </c>
      <c r="K43" s="857">
        <v>3672.6080000000002</v>
      </c>
      <c r="L43" s="856">
        <v>873.45121970774778</v>
      </c>
      <c r="M43" s="827">
        <f t="shared" si="5"/>
        <v>2.6140616779667583</v>
      </c>
      <c r="N43" s="827">
        <f t="shared" si="14"/>
        <v>0.12322627923489798</v>
      </c>
      <c r="O43" s="855">
        <f t="shared" si="6"/>
        <v>731.91024772621381</v>
      </c>
      <c r="P43" s="855">
        <f t="shared" si="7"/>
        <v>15526.383999999998</v>
      </c>
      <c r="Q43" s="854">
        <f t="shared" si="8"/>
        <v>1913.2585302922521</v>
      </c>
      <c r="S43" s="1916">
        <f>+TableA4!C43</f>
        <v>481.06573204045446</v>
      </c>
      <c r="T43" s="1916">
        <f>+TableA4!F43</f>
        <v>1138.476087085809</v>
      </c>
      <c r="U43" s="837">
        <f t="shared" si="11"/>
        <v>0.13098749772381219</v>
      </c>
      <c r="V43" s="837">
        <f t="shared" si="12"/>
        <v>7.332525635626487E-2</v>
      </c>
    </row>
    <row r="44" spans="1:22" x14ac:dyDescent="0.2">
      <c r="A44" s="145" t="s">
        <v>242</v>
      </c>
      <c r="B44" s="859" t="s">
        <v>63</v>
      </c>
      <c r="C44" s="826">
        <f t="shared" si="0"/>
        <v>2.6724911051525608</v>
      </c>
      <c r="D44" s="827">
        <f t="shared" si="1"/>
        <v>0.17275643440163449</v>
      </c>
      <c r="E44" s="869">
        <v>6036.1069000000007</v>
      </c>
      <c r="F44" s="855">
        <v>93376.794073537414</v>
      </c>
      <c r="G44" s="858">
        <v>16131.441999999999</v>
      </c>
      <c r="H44" s="827">
        <f t="shared" si="4"/>
        <v>4.720713033639087</v>
      </c>
      <c r="I44" s="827">
        <f t="shared" si="13"/>
        <v>0.25788985140996118</v>
      </c>
      <c r="J44" s="857">
        <v>539.10500000000002</v>
      </c>
      <c r="K44" s="857">
        <v>9868.3991870402824</v>
      </c>
      <c r="L44" s="856">
        <v>2544.96</v>
      </c>
      <c r="M44" s="827">
        <f t="shared" si="5"/>
        <v>2.4716167553080157</v>
      </c>
      <c r="N44" s="827">
        <f t="shared" si="14"/>
        <v>0.16269600222188993</v>
      </c>
      <c r="O44" s="855">
        <f t="shared" si="6"/>
        <v>5497.0019000000011</v>
      </c>
      <c r="P44" s="855">
        <f t="shared" si="7"/>
        <v>83508.394886497132</v>
      </c>
      <c r="Q44" s="854">
        <f t="shared" si="8"/>
        <v>13586.482</v>
      </c>
      <c r="R44" s="853"/>
      <c r="S44" s="1916">
        <f>+TableA4!C44</f>
        <v>834.53200000000004</v>
      </c>
      <c r="T44" s="1916">
        <f>+TableA4!F44</f>
        <v>8915.2314999999999</v>
      </c>
      <c r="U44" s="837">
        <f t="shared" si="11"/>
        <v>8.4566096707554425E-2</v>
      </c>
      <c r="V44" s="837">
        <f t="shared" si="12"/>
        <v>0.10675850628092418</v>
      </c>
    </row>
    <row r="45" spans="1:22" ht="40" customHeight="1" x14ac:dyDescent="0.2">
      <c r="A45" s="853"/>
      <c r="B45" s="846" t="s">
        <v>64</v>
      </c>
      <c r="C45" s="868">
        <f t="shared" si="0"/>
        <v>1.6801622963746727</v>
      </c>
      <c r="D45" s="866">
        <f t="shared" si="1"/>
        <v>1.3538521803939461E-2</v>
      </c>
      <c r="E45" s="845">
        <v>4635.4243070321654</v>
      </c>
      <c r="F45" s="845">
        <f>+F46+F47+F48+F49+F51</f>
        <v>575267.02406372735</v>
      </c>
      <c r="G45" s="867">
        <f>SUM(G46:G52)</f>
        <v>7788.2651483741392</v>
      </c>
      <c r="H45" s="866">
        <f t="shared" si="4"/>
        <v>1.9118246661948899</v>
      </c>
      <c r="I45" s="866">
        <f t="shared" si="13"/>
        <v>7.2171752825818419E-2</v>
      </c>
      <c r="J45" s="845">
        <f>+SUM(J46:J52)</f>
        <v>419.75893109651639</v>
      </c>
      <c r="K45" s="845">
        <f>+SUM(K46:K52)</f>
        <v>11119.384619391372</v>
      </c>
      <c r="L45" s="867">
        <f>+SUM(L46:L52)</f>
        <v>802.50547832592122</v>
      </c>
      <c r="M45" s="866">
        <f t="shared" si="5"/>
        <v>2.0306095706622829</v>
      </c>
      <c r="N45" s="866">
        <f t="shared" si="14"/>
        <v>9.9419204706696282E-3</v>
      </c>
      <c r="O45" s="845">
        <f>+SUM(O46:O52)</f>
        <v>4215.6653759356486</v>
      </c>
      <c r="P45" s="845">
        <f>+SUM(P46:P52)</f>
        <v>861037.91358411103</v>
      </c>
      <c r="Q45" s="865">
        <f>+SUM(Q46:Q52)</f>
        <v>8560.3704590845391</v>
      </c>
    </row>
    <row r="46" spans="1:22" x14ac:dyDescent="0.2">
      <c r="A46" s="145" t="s">
        <v>843</v>
      </c>
      <c r="B46" s="864" t="s">
        <v>65</v>
      </c>
      <c r="C46" s="826">
        <f t="shared" si="0"/>
        <v>2.9575235233458526</v>
      </c>
      <c r="D46" s="827">
        <f t="shared" si="1"/>
        <v>3.422710872748267E-2</v>
      </c>
      <c r="E46" s="855">
        <v>683.84777930021517</v>
      </c>
      <c r="F46" s="855">
        <v>59090.468604035057</v>
      </c>
      <c r="G46" s="858">
        <v>2022.4958936682092</v>
      </c>
      <c r="H46" s="827">
        <f t="shared" si="4"/>
        <v>1.9422399999999997</v>
      </c>
      <c r="I46" s="827">
        <f t="shared" si="13"/>
        <v>0.10715394693222455</v>
      </c>
      <c r="J46" s="857">
        <v>104.04870666105121</v>
      </c>
      <c r="K46" s="857">
        <v>1885.9553549920245</v>
      </c>
      <c r="L46" s="856">
        <v>202.08756002536009</v>
      </c>
      <c r="M46" s="827">
        <f t="shared" si="5"/>
        <v>3.13972274111548</v>
      </c>
      <c r="N46" s="827">
        <f t="shared" si="14"/>
        <v>3.1822809604507951E-2</v>
      </c>
      <c r="O46" s="855">
        <f t="shared" ref="O46:O52" si="15">+IF(AND(E46&gt;0,J46&gt;0),E46-J46,"")</f>
        <v>579.79907263916391</v>
      </c>
      <c r="P46" s="855">
        <f t="shared" ref="P46:Q49" si="16">+IFERROR(IF(AND(F46&gt;0,K46&gt;0),F46-K46,""),"")</f>
        <v>57204.513249043033</v>
      </c>
      <c r="Q46" s="854">
        <f t="shared" si="16"/>
        <v>1820.4083336428491</v>
      </c>
      <c r="S46" s="1916">
        <f>+TableA4!C46</f>
        <v>171.85972585851067</v>
      </c>
      <c r="T46" s="1916">
        <f>+TableA4!F46</f>
        <v>933.20795344170438</v>
      </c>
      <c r="U46" s="837">
        <f t="shared" ref="U46:U52" si="17">+S46/K46</f>
        <v>9.1126083872349911E-2</v>
      </c>
      <c r="V46" s="837">
        <f t="shared" ref="V46:V52" si="18">+T46/P46</f>
        <v>1.6313537174574524E-2</v>
      </c>
    </row>
    <row r="47" spans="1:22" x14ac:dyDescent="0.2">
      <c r="A47" s="145" t="s">
        <v>844</v>
      </c>
      <c r="B47" s="859" t="s">
        <v>66</v>
      </c>
      <c r="C47" s="826">
        <f t="shared" si="0"/>
        <v>1.0124827596699679</v>
      </c>
      <c r="D47" s="827">
        <f t="shared" si="1"/>
        <v>6.6557315636438736E-3</v>
      </c>
      <c r="E47" s="855">
        <v>3000.3468631285727</v>
      </c>
      <c r="F47" s="855">
        <v>456418.56840218144</v>
      </c>
      <c r="G47" s="858">
        <v>3037.7994719475491</v>
      </c>
      <c r="H47" s="827">
        <f t="shared" si="4"/>
        <v>1.96011</v>
      </c>
      <c r="I47" s="827">
        <f t="shared" si="13"/>
        <v>6.4526259113114659E-2</v>
      </c>
      <c r="J47" s="857">
        <v>188.62094795395103</v>
      </c>
      <c r="K47" s="857">
        <v>5729.726337395492</v>
      </c>
      <c r="L47" s="856">
        <v>369.71780629401894</v>
      </c>
      <c r="M47" s="827">
        <f t="shared" si="5"/>
        <v>0.94891242821860522</v>
      </c>
      <c r="N47" s="827">
        <f t="shared" si="14"/>
        <v>5.9200082554295786E-3</v>
      </c>
      <c r="O47" s="855">
        <f t="shared" si="15"/>
        <v>2811.7259151746216</v>
      </c>
      <c r="P47" s="855">
        <f t="shared" si="16"/>
        <v>450688.84206478595</v>
      </c>
      <c r="Q47" s="854">
        <f t="shared" si="16"/>
        <v>2668.0816656535303</v>
      </c>
      <c r="S47" s="1916">
        <f>+TableA4!C47</f>
        <v>402.25088376888084</v>
      </c>
      <c r="T47" s="1916">
        <f>+TableA4!F47</f>
        <v>5809.5939015696886</v>
      </c>
      <c r="U47" s="837">
        <f t="shared" si="17"/>
        <v>7.0204205241629083E-2</v>
      </c>
      <c r="V47" s="837">
        <f t="shared" si="18"/>
        <v>1.2890476442579794E-2</v>
      </c>
    </row>
    <row r="48" spans="1:22" x14ac:dyDescent="0.2">
      <c r="A48" s="145" t="s">
        <v>845</v>
      </c>
      <c r="B48" s="859" t="s">
        <v>67</v>
      </c>
      <c r="C48" s="826">
        <f t="shared" si="0"/>
        <v>5.8654591343026388</v>
      </c>
      <c r="D48" s="827">
        <f t="shared" si="1"/>
        <v>2.1524734512741107E-2</v>
      </c>
      <c r="E48" s="855">
        <v>54.170478374899503</v>
      </c>
      <c r="F48" s="855">
        <v>14761.377289253976</v>
      </c>
      <c r="G48" s="858">
        <v>317.73472719359785</v>
      </c>
      <c r="H48" s="827">
        <f t="shared" si="4"/>
        <v>2.4127800000000001</v>
      </c>
      <c r="I48" s="827">
        <f t="shared" si="13"/>
        <v>0.10036365100009582</v>
      </c>
      <c r="J48" s="857">
        <v>11.396413822804858</v>
      </c>
      <c r="K48" s="857">
        <v>273.97408393762851</v>
      </c>
      <c r="L48" s="856">
        <v>27.497039343387108</v>
      </c>
      <c r="M48" s="827">
        <f t="shared" si="5"/>
        <v>6.7853661065276958</v>
      </c>
      <c r="N48" s="827">
        <f t="shared" si="14"/>
        <v>2.003379651528606E-2</v>
      </c>
      <c r="O48" s="855">
        <f t="shared" si="15"/>
        <v>42.774064552094643</v>
      </c>
      <c r="P48" s="855">
        <f t="shared" si="16"/>
        <v>14487.403205316348</v>
      </c>
      <c r="Q48" s="854">
        <f t="shared" si="16"/>
        <v>290.23768785021076</v>
      </c>
      <c r="S48" s="1916">
        <f>+TableA4!C48</f>
        <v>27.321661734164316</v>
      </c>
      <c r="T48" s="1916">
        <f>+TableA4!F48</f>
        <v>107.70243796323683</v>
      </c>
      <c r="U48" s="837">
        <f t="shared" si="17"/>
        <v>9.9723526187185718E-2</v>
      </c>
      <c r="V48" s="837">
        <f t="shared" si="18"/>
        <v>7.4342127734606002E-3</v>
      </c>
    </row>
    <row r="49" spans="1:22" x14ac:dyDescent="0.2">
      <c r="A49" s="145" t="s">
        <v>846</v>
      </c>
      <c r="B49" s="859" t="s">
        <v>68</v>
      </c>
      <c r="C49" s="826">
        <f t="shared" si="0"/>
        <v>4.1451078495310663</v>
      </c>
      <c r="D49" s="827">
        <f t="shared" si="1"/>
        <v>4.7831781660845021E-2</v>
      </c>
      <c r="E49" s="855">
        <v>15.631819704056245</v>
      </c>
      <c r="F49" s="855">
        <v>1354.6553422821678</v>
      </c>
      <c r="G49" s="858">
        <v>64.795578557737926</v>
      </c>
      <c r="H49" s="827">
        <f t="shared" si="4"/>
        <v>1.80599</v>
      </c>
      <c r="I49" s="827">
        <f t="shared" si="13"/>
        <v>3.9950500372258176E-2</v>
      </c>
      <c r="J49" s="857">
        <v>1.8941195373363828</v>
      </c>
      <c r="K49" s="857">
        <v>85.624983701318726</v>
      </c>
      <c r="L49" s="856">
        <v>3.4207609432341339</v>
      </c>
      <c r="M49" s="827">
        <f t="shared" si="5"/>
        <v>4.4676195338130027</v>
      </c>
      <c r="N49" s="827">
        <f t="shared" si="14"/>
        <v>4.8363553479633836E-2</v>
      </c>
      <c r="O49" s="855">
        <f t="shared" si="15"/>
        <v>13.737700166719861</v>
      </c>
      <c r="P49" s="855">
        <f t="shared" si="16"/>
        <v>1269.030358580849</v>
      </c>
      <c r="Q49" s="854">
        <f t="shared" si="16"/>
        <v>61.37481761450379</v>
      </c>
      <c r="S49" s="1916">
        <f>+TableA4!C49</f>
        <v>5.2422977692851846</v>
      </c>
      <c r="T49" s="1916">
        <f>+TableA4!F49</f>
        <v>24.745204125570524</v>
      </c>
      <c r="U49" s="837">
        <f t="shared" si="17"/>
        <v>6.1223927207643337E-2</v>
      </c>
      <c r="V49" s="837">
        <f t="shared" si="18"/>
        <v>1.9499300358143502E-2</v>
      </c>
    </row>
    <row r="50" spans="1:22" x14ac:dyDescent="0.2">
      <c r="A50" s="145" t="s">
        <v>847</v>
      </c>
      <c r="B50" s="859" t="s">
        <v>69</v>
      </c>
      <c r="C50" s="826" t="str">
        <f t="shared" si="0"/>
        <v/>
      </c>
      <c r="D50" s="827"/>
      <c r="E50" s="855">
        <v>318.62573018831665</v>
      </c>
      <c r="F50" s="855">
        <v>284452.38605557522</v>
      </c>
      <c r="G50" s="863"/>
      <c r="H50" s="827">
        <f t="shared" si="4"/>
        <v>0.89122000000000001</v>
      </c>
      <c r="I50" s="827">
        <f t="shared" si="13"/>
        <v>1.9789899575823135E-2</v>
      </c>
      <c r="J50" s="857">
        <v>21.047688887867402</v>
      </c>
      <c r="K50" s="857">
        <v>947.86338954248913</v>
      </c>
      <c r="L50" s="856">
        <v>18.758121290645185</v>
      </c>
      <c r="M50" s="827">
        <v>4.16</v>
      </c>
      <c r="N50" s="827">
        <f t="shared" si="14"/>
        <v>4.3665075963113982E-3</v>
      </c>
      <c r="O50" s="855">
        <f t="shared" si="15"/>
        <v>297.57804130044923</v>
      </c>
      <c r="P50" s="855">
        <f>+IFERROR(IF(AND(F50&gt;0,K50&gt;0),F50-K50,""),"")</f>
        <v>283504.52266603272</v>
      </c>
      <c r="Q50" s="854">
        <f>+M50*O50</f>
        <v>1237.9246518098689</v>
      </c>
      <c r="S50" s="1916">
        <f>+TableA4!C50</f>
        <v>40.810781580339878</v>
      </c>
      <c r="T50" s="1916">
        <f>+TableA4!F50</f>
        <v>878.2050162885447</v>
      </c>
      <c r="U50" s="837">
        <f t="shared" si="17"/>
        <v>4.3055552129762351E-2</v>
      </c>
      <c r="V50" s="837">
        <f t="shared" si="18"/>
        <v>3.0976755080661163E-3</v>
      </c>
    </row>
    <row r="51" spans="1:22" x14ac:dyDescent="0.2">
      <c r="A51" s="145" t="s">
        <v>848</v>
      </c>
      <c r="B51" s="859" t="s">
        <v>70</v>
      </c>
      <c r="C51" s="826">
        <f t="shared" si="0"/>
        <v>5.0367582488930687</v>
      </c>
      <c r="D51" s="827">
        <f>+G51/F51</f>
        <v>5.3742769036280592E-2</v>
      </c>
      <c r="E51" s="855">
        <v>465.66449313355542</v>
      </c>
      <c r="F51" s="855">
        <v>43641.954425974756</v>
      </c>
      <c r="G51" s="858">
        <v>2345.4394770070448</v>
      </c>
      <c r="H51" s="827">
        <f t="shared" si="4"/>
        <v>2.3278099999999999</v>
      </c>
      <c r="I51" s="827">
        <f t="shared" si="13"/>
        <v>8.7326556684011569E-2</v>
      </c>
      <c r="J51" s="857">
        <v>64.762767723495699</v>
      </c>
      <c r="K51" s="857">
        <v>1726.3410359798602</v>
      </c>
      <c r="L51" s="856">
        <v>150.75541833443052</v>
      </c>
      <c r="M51" s="827">
        <f>+IFERROR(Q51/O51,"")</f>
        <v>5.4743692021474741</v>
      </c>
      <c r="N51" s="827">
        <f t="shared" si="14"/>
        <v>5.2359583486292896E-2</v>
      </c>
      <c r="O51" s="855">
        <f t="shared" si="15"/>
        <v>400.90172541005973</v>
      </c>
      <c r="P51" s="855">
        <f>+IFERROR(IF(AND(F51&gt;0,K51&gt;0),F51-K51,""),"")</f>
        <v>41915.613389994898</v>
      </c>
      <c r="Q51" s="854">
        <f>+IFERROR(IF(AND(G51&gt;0,L51&gt;0),G51-L51,""),"")</f>
        <v>2194.6840586726144</v>
      </c>
      <c r="S51" s="1916">
        <f>+TableA4!C51</f>
        <v>126.88808218662315</v>
      </c>
      <c r="T51" s="1916">
        <f>+TableA4!F51</f>
        <v>729.45341887224606</v>
      </c>
      <c r="U51" s="837">
        <f t="shared" si="17"/>
        <v>7.3501167812188559E-2</v>
      </c>
      <c r="V51" s="837">
        <f t="shared" si="18"/>
        <v>1.7402904547410582E-2</v>
      </c>
    </row>
    <row r="52" spans="1:22" x14ac:dyDescent="0.2">
      <c r="A52" s="145" t="s">
        <v>849</v>
      </c>
      <c r="B52" s="859" t="s">
        <v>71</v>
      </c>
      <c r="C52" s="826" t="str">
        <f t="shared" si="0"/>
        <v/>
      </c>
      <c r="D52" s="827"/>
      <c r="E52" s="855">
        <v>97.137143202548756</v>
      </c>
      <c r="F52" s="855">
        <v>12437.888084199702</v>
      </c>
      <c r="G52" s="858"/>
      <c r="H52" s="827">
        <f t="shared" si="4"/>
        <v>1.08148</v>
      </c>
      <c r="I52" s="827">
        <f t="shared" si="13"/>
        <v>6.4415425758922895E-2</v>
      </c>
      <c r="J52" s="857">
        <v>27.988286510009779</v>
      </c>
      <c r="K52" s="857">
        <v>469.89943384256077</v>
      </c>
      <c r="L52" s="856">
        <v>30.268772094845374</v>
      </c>
      <c r="M52" s="827">
        <v>4.16</v>
      </c>
      <c r="N52" s="827">
        <f t="shared" si="14"/>
        <v>2.403572164420276E-2</v>
      </c>
      <c r="O52" s="855">
        <f t="shared" si="15"/>
        <v>69.14885669253897</v>
      </c>
      <c r="P52" s="855">
        <f>+IFERROR(IF(AND(F52&gt;0,K52&gt;0),F52-K52,""),"")</f>
        <v>11967.988650357142</v>
      </c>
      <c r="Q52" s="854">
        <f>+M52*O52</f>
        <v>287.65924384096212</v>
      </c>
      <c r="R52" s="862"/>
      <c r="S52" s="1916">
        <f>+TableA4!C52</f>
        <v>39.737006241612832</v>
      </c>
      <c r="T52" s="1916">
        <f>+TableA4!F52</f>
        <v>152.58236700674223</v>
      </c>
      <c r="U52" s="837">
        <f t="shared" si="17"/>
        <v>8.4564916192103073E-2</v>
      </c>
      <c r="V52" s="837">
        <f t="shared" si="18"/>
        <v>1.2749207194659978E-2</v>
      </c>
    </row>
    <row r="53" spans="1:22" ht="40" customHeight="1" x14ac:dyDescent="0.2">
      <c r="A53" s="862"/>
      <c r="B53" s="846" t="s">
        <v>72</v>
      </c>
      <c r="C53" s="827"/>
      <c r="D53" s="827"/>
      <c r="E53" s="845"/>
      <c r="F53" s="845"/>
      <c r="G53" s="858"/>
      <c r="H53" s="827"/>
      <c r="I53" s="827"/>
      <c r="J53" s="845"/>
      <c r="K53" s="857"/>
      <c r="L53" s="856"/>
      <c r="M53" s="827"/>
      <c r="N53" s="827"/>
      <c r="O53" s="855"/>
      <c r="P53" s="855"/>
      <c r="Q53" s="854"/>
      <c r="S53" s="1916"/>
    </row>
    <row r="54" spans="1:22" ht="17" x14ac:dyDescent="0.2">
      <c r="A54" s="145" t="s">
        <v>850</v>
      </c>
      <c r="B54" s="859" t="s">
        <v>73</v>
      </c>
      <c r="C54" s="827" t="str">
        <f t="shared" ref="C54:C89" si="19">+IFERROR(IF(G54&gt;0,G54/E54,""),"")</f>
        <v/>
      </c>
      <c r="D54" s="827" t="str">
        <f t="shared" ref="D54:D89" si="20">+IFERROR(G54/F54,"")</f>
        <v/>
      </c>
      <c r="E54" s="855">
        <v>0.50910500000000003</v>
      </c>
      <c r="F54" s="855" t="s">
        <v>262</v>
      </c>
      <c r="G54" s="858" t="s">
        <v>262</v>
      </c>
      <c r="H54" s="827" t="str">
        <f t="shared" ref="H54:H89" si="21">+IFERROR(L54/J54,"")</f>
        <v/>
      </c>
      <c r="I54" s="827" t="str">
        <f t="shared" ref="I54:I89" si="22">+IFERROR(L54/K54,"")</f>
        <v/>
      </c>
      <c r="J54" s="860">
        <v>0.20364200000000002</v>
      </c>
      <c r="K54" s="857" t="s">
        <v>262</v>
      </c>
      <c r="L54" s="856" t="s">
        <v>262</v>
      </c>
      <c r="M54" s="827" t="str">
        <f t="shared" ref="M54:M88" si="23">+IFERROR(Q54/O54,"")</f>
        <v/>
      </c>
      <c r="N54" s="827" t="str">
        <f t="shared" ref="N54:N89" si="24">+IFERROR(Q54/P54,"")</f>
        <v/>
      </c>
      <c r="O54" s="855">
        <f t="shared" ref="O54:O89" si="25">+IF(AND(E54&gt;0,J54&gt;0),E54-J54,"")</f>
        <v>0.30546300000000004</v>
      </c>
      <c r="P54" s="855" t="str">
        <f t="shared" ref="P54:P88" si="26">+IFERROR(IF(AND(F54&gt;0,K54&gt;0),F54-K54,""),"")</f>
        <v/>
      </c>
      <c r="Q54" s="854" t="str">
        <f t="shared" ref="Q54:Q88" si="27">+IFERROR(IF(AND(G54&gt;0,L54&gt;0),G54-L54,""),"")</f>
        <v/>
      </c>
      <c r="S54" s="1916">
        <f>+TableA4!C54</f>
        <v>0.16140384864391827</v>
      </c>
      <c r="T54" s="1916">
        <f>+TableA4!F54</f>
        <v>1.7287961513560819</v>
      </c>
    </row>
    <row r="55" spans="1:22" ht="17" x14ac:dyDescent="0.2">
      <c r="A55" s="145" t="s">
        <v>851</v>
      </c>
      <c r="B55" s="859" t="s">
        <v>74</v>
      </c>
      <c r="C55" s="827">
        <f t="shared" si="19"/>
        <v>12.648108876539794</v>
      </c>
      <c r="D55" s="827" t="str">
        <f t="shared" si="20"/>
        <v/>
      </c>
      <c r="E55" s="855">
        <v>4.8179904000000003E-2</v>
      </c>
      <c r="F55" s="855" t="s">
        <v>262</v>
      </c>
      <c r="G55" s="858">
        <v>0.60938467145323516</v>
      </c>
      <c r="H55" s="827" t="str">
        <f t="shared" si="21"/>
        <v/>
      </c>
      <c r="I55" s="827" t="str">
        <f t="shared" si="22"/>
        <v/>
      </c>
      <c r="J55" s="860">
        <v>1.9271961600000002E-2</v>
      </c>
      <c r="K55" s="857" t="s">
        <v>262</v>
      </c>
      <c r="L55" s="856" t="s">
        <v>262</v>
      </c>
      <c r="M55" s="827" t="str">
        <f t="shared" si="23"/>
        <v/>
      </c>
      <c r="N55" s="827" t="str">
        <f t="shared" si="24"/>
        <v/>
      </c>
      <c r="O55" s="855">
        <f t="shared" si="25"/>
        <v>2.8907942400000001E-2</v>
      </c>
      <c r="P55" s="855" t="str">
        <f t="shared" si="26"/>
        <v/>
      </c>
      <c r="Q55" s="854" t="str">
        <f t="shared" si="27"/>
        <v/>
      </c>
      <c r="S55" s="1916">
        <f>+TableA4!C55</f>
        <v>0.14529533849679047</v>
      </c>
      <c r="T55" s="1916">
        <f>+TableA4!F55</f>
        <v>3.3586661503209547E-2</v>
      </c>
    </row>
    <row r="56" spans="1:22" ht="17" x14ac:dyDescent="0.2">
      <c r="A56" s="145" t="s">
        <v>852</v>
      </c>
      <c r="B56" s="859" t="s">
        <v>76</v>
      </c>
      <c r="C56" s="827">
        <f t="shared" si="19"/>
        <v>50.584994261622356</v>
      </c>
      <c r="D56" s="827" t="str">
        <f t="shared" si="20"/>
        <v/>
      </c>
      <c r="E56" s="855">
        <v>9.4220399999999996E-2</v>
      </c>
      <c r="F56" s="855" t="s">
        <v>262</v>
      </c>
      <c r="G56" s="858">
        <v>4.766138393327763</v>
      </c>
      <c r="H56" s="827" t="str">
        <f t="shared" si="21"/>
        <v/>
      </c>
      <c r="I56" s="827" t="str">
        <f t="shared" si="22"/>
        <v/>
      </c>
      <c r="J56" s="857">
        <v>3.7688159999999998E-2</v>
      </c>
      <c r="K56" s="857" t="s">
        <v>262</v>
      </c>
      <c r="L56" s="856" t="s">
        <v>262</v>
      </c>
      <c r="M56" s="827" t="str">
        <f t="shared" si="23"/>
        <v/>
      </c>
      <c r="N56" s="827" t="str">
        <f t="shared" si="24"/>
        <v/>
      </c>
      <c r="O56" s="855">
        <f t="shared" si="25"/>
        <v>5.6532239999999997E-2</v>
      </c>
      <c r="P56" s="855" t="str">
        <f t="shared" si="26"/>
        <v/>
      </c>
      <c r="Q56" s="854" t="str">
        <f t="shared" si="27"/>
        <v/>
      </c>
      <c r="S56" s="1916">
        <f>+TableA4!C56</f>
        <v>0.13299863583449367</v>
      </c>
      <c r="T56" s="1916">
        <f>+TableA4!F56</f>
        <v>0.78461636416550629</v>
      </c>
    </row>
    <row r="57" spans="1:22" ht="17" x14ac:dyDescent="0.2">
      <c r="A57" s="145" t="s">
        <v>853</v>
      </c>
      <c r="B57" s="859" t="str">
        <f>+TableA1!A56</f>
        <v>Antigua and Barbuda</v>
      </c>
      <c r="C57" s="827">
        <f t="shared" si="19"/>
        <v>4.796343106708739</v>
      </c>
      <c r="D57" s="827" t="str">
        <f t="shared" si="20"/>
        <v/>
      </c>
      <c r="E57" s="855">
        <v>0.45270100000000002</v>
      </c>
      <c r="F57" s="855" t="s">
        <v>262</v>
      </c>
      <c r="G57" s="858">
        <v>2.171309320750153</v>
      </c>
      <c r="H57" s="827" t="str">
        <f t="shared" si="21"/>
        <v/>
      </c>
      <c r="I57" s="827" t="str">
        <f t="shared" si="22"/>
        <v/>
      </c>
      <c r="J57" s="857">
        <v>0.18108040000000003</v>
      </c>
      <c r="K57" s="857" t="s">
        <v>262</v>
      </c>
      <c r="L57" s="856" t="s">
        <v>262</v>
      </c>
      <c r="M57" s="827" t="str">
        <f t="shared" si="23"/>
        <v/>
      </c>
      <c r="N57" s="827" t="str">
        <f t="shared" si="24"/>
        <v/>
      </c>
      <c r="O57" s="855">
        <f t="shared" si="25"/>
        <v>0.27162059999999999</v>
      </c>
      <c r="P57" s="855" t="str">
        <f t="shared" si="26"/>
        <v/>
      </c>
      <c r="Q57" s="854" t="str">
        <f t="shared" si="27"/>
        <v/>
      </c>
      <c r="S57" s="1916">
        <f>+TableA4!C57</f>
        <v>0.23496326669783862</v>
      </c>
      <c r="T57" s="1916">
        <f>+TableA4!F57</f>
        <v>1.4458167333021614</v>
      </c>
    </row>
    <row r="58" spans="1:22" ht="17" x14ac:dyDescent="0.2">
      <c r="A58" s="145" t="s">
        <v>854</v>
      </c>
      <c r="B58" s="859" t="s">
        <v>152</v>
      </c>
      <c r="C58" s="827">
        <f t="shared" si="19"/>
        <v>26.453686752262247</v>
      </c>
      <c r="D58" s="827">
        <f t="shared" si="20"/>
        <v>0.10548458423996171</v>
      </c>
      <c r="E58" s="855">
        <v>0.49227100000000001</v>
      </c>
      <c r="F58" s="855">
        <v>123.45294741456162</v>
      </c>
      <c r="G58" s="858">
        <v>13.022382831222888</v>
      </c>
      <c r="H58" s="827" t="str">
        <f t="shared" si="21"/>
        <v/>
      </c>
      <c r="I58" s="827" t="str">
        <f t="shared" si="22"/>
        <v/>
      </c>
      <c r="J58" s="857">
        <v>0.19690840000000001</v>
      </c>
      <c r="K58" s="857" t="s">
        <v>262</v>
      </c>
      <c r="L58" s="856" t="s">
        <v>262</v>
      </c>
      <c r="M58" s="827" t="str">
        <f t="shared" si="23"/>
        <v/>
      </c>
      <c r="N58" s="827" t="str">
        <f t="shared" si="24"/>
        <v/>
      </c>
      <c r="O58" s="855">
        <f t="shared" si="25"/>
        <v>0.29536260000000003</v>
      </c>
      <c r="P58" s="855" t="str">
        <f t="shared" si="26"/>
        <v/>
      </c>
      <c r="Q58" s="854" t="str">
        <f t="shared" si="27"/>
        <v/>
      </c>
      <c r="S58" s="1916">
        <f>+TableA4!C58</f>
        <v>1.0606760880178145</v>
      </c>
      <c r="T58" s="1916">
        <f>+TableA4!F58</f>
        <v>6.496113911982186</v>
      </c>
    </row>
    <row r="59" spans="1:22" ht="17" x14ac:dyDescent="0.2">
      <c r="A59" s="145" t="e">
        <v>#REF!</v>
      </c>
      <c r="B59" s="859" t="s">
        <v>78</v>
      </c>
      <c r="C59" s="827" t="str">
        <f t="shared" si="19"/>
        <v/>
      </c>
      <c r="D59" s="827" t="str">
        <f t="shared" si="20"/>
        <v/>
      </c>
      <c r="E59" s="855">
        <v>10.122538414747584</v>
      </c>
      <c r="F59" s="855" t="s">
        <v>262</v>
      </c>
      <c r="G59" s="858" t="s">
        <v>262</v>
      </c>
      <c r="H59" s="827" t="str">
        <f t="shared" si="21"/>
        <v/>
      </c>
      <c r="I59" s="827" t="str">
        <f t="shared" si="22"/>
        <v/>
      </c>
      <c r="J59" s="857">
        <v>4.0490153658990335</v>
      </c>
      <c r="K59" s="857" t="s">
        <v>262</v>
      </c>
      <c r="L59" s="856" t="s">
        <v>262</v>
      </c>
      <c r="M59" s="827" t="str">
        <f t="shared" si="23"/>
        <v/>
      </c>
      <c r="N59" s="827" t="str">
        <f t="shared" si="24"/>
        <v/>
      </c>
      <c r="O59" s="855">
        <f t="shared" si="25"/>
        <v>6.0735230488485508</v>
      </c>
      <c r="P59" s="855" t="str">
        <f t="shared" si="26"/>
        <v/>
      </c>
      <c r="Q59" s="854" t="str">
        <f t="shared" si="27"/>
        <v/>
      </c>
      <c r="S59" s="1916">
        <f>+TableA4!C59</f>
        <v>4.7529171260279162</v>
      </c>
      <c r="T59" s="1916">
        <f>+TableA4!F59</f>
        <v>17.364282873972083</v>
      </c>
    </row>
    <row r="60" spans="1:22" x14ac:dyDescent="0.2">
      <c r="A60" s="145" t="s">
        <v>855</v>
      </c>
      <c r="B60" s="859" t="str">
        <f>+TableA1!A60</f>
        <v>Barbados</v>
      </c>
      <c r="C60" s="827">
        <f t="shared" si="19"/>
        <v>10.842095805347817</v>
      </c>
      <c r="D60" s="827">
        <f t="shared" si="20"/>
        <v>4.2028099593696959E-2</v>
      </c>
      <c r="E60" s="855">
        <v>0.34493299999999999</v>
      </c>
      <c r="F60" s="855">
        <v>88.98324379594132</v>
      </c>
      <c r="G60" s="858">
        <v>3.7397966324260388</v>
      </c>
      <c r="H60" s="827">
        <f t="shared" si="21"/>
        <v>25.265309999999999</v>
      </c>
      <c r="I60" s="827">
        <f t="shared" si="22"/>
        <v>13.562922493796524</v>
      </c>
      <c r="J60" s="857">
        <v>0.13797319999999999</v>
      </c>
      <c r="K60" s="857">
        <v>0.25701950824288894</v>
      </c>
      <c r="L60" s="856">
        <v>3.4859356696919996</v>
      </c>
      <c r="M60" s="827">
        <f t="shared" si="23"/>
        <v>1.2266196755796979</v>
      </c>
      <c r="N60" s="827"/>
      <c r="O60" s="855">
        <f t="shared" si="25"/>
        <v>0.2069598</v>
      </c>
      <c r="P60" s="855">
        <f t="shared" si="26"/>
        <v>88.726224287698429</v>
      </c>
      <c r="Q60" s="854">
        <f t="shared" si="27"/>
        <v>0.25386096273403913</v>
      </c>
      <c r="S60" s="1916">
        <f>+TableA4!C60</f>
        <v>2.4919779098343042</v>
      </c>
      <c r="T60" s="1916">
        <f>+TableA4!F60</f>
        <v>0.59000209016569594</v>
      </c>
      <c r="U60" s="837">
        <f>+S60/K60</f>
        <v>9.6956761254065267</v>
      </c>
      <c r="V60" s="837">
        <f>+T60/P60</f>
        <v>6.6496922967508448E-3</v>
      </c>
    </row>
    <row r="61" spans="1:22" ht="17" x14ac:dyDescent="0.2">
      <c r="A61" s="145" t="s">
        <v>856</v>
      </c>
      <c r="B61" s="859" t="s">
        <v>80</v>
      </c>
      <c r="C61" s="827">
        <f t="shared" si="19"/>
        <v>9.1198659571085141</v>
      </c>
      <c r="D61" s="827">
        <f t="shared" si="20"/>
        <v>1.2906584576894699E-2</v>
      </c>
      <c r="E61" s="855">
        <v>0.13389599999999999</v>
      </c>
      <c r="F61" s="855">
        <v>94.61167398066199</v>
      </c>
      <c r="G61" s="858">
        <v>1.2211135721930015</v>
      </c>
      <c r="H61" s="827" t="str">
        <f t="shared" si="21"/>
        <v/>
      </c>
      <c r="I61" s="827" t="str">
        <f t="shared" si="22"/>
        <v/>
      </c>
      <c r="J61" s="857">
        <v>5.3558399999999999E-2</v>
      </c>
      <c r="K61" s="857" t="s">
        <v>262</v>
      </c>
      <c r="L61" s="856" t="s">
        <v>262</v>
      </c>
      <c r="M61" s="827" t="str">
        <f t="shared" si="23"/>
        <v/>
      </c>
      <c r="N61" s="827"/>
      <c r="O61" s="855">
        <f t="shared" si="25"/>
        <v>8.0337599999999981E-2</v>
      </c>
      <c r="P61" s="855" t="str">
        <f t="shared" si="26"/>
        <v/>
      </c>
      <c r="Q61" s="854" t="str">
        <f t="shared" si="27"/>
        <v/>
      </c>
      <c r="S61" s="1916">
        <f>+TableA4!C61</f>
        <v>0.13025787396569335</v>
      </c>
      <c r="T61" s="1916">
        <f>+TableA4!F61</f>
        <v>1.0412821260343066</v>
      </c>
    </row>
    <row r="62" spans="1:22" ht="17" x14ac:dyDescent="0.2">
      <c r="A62" s="145" t="s">
        <v>857</v>
      </c>
      <c r="B62" s="859" t="s">
        <v>81</v>
      </c>
      <c r="C62" s="827">
        <f t="shared" si="19"/>
        <v>1.2200064964025406</v>
      </c>
      <c r="D62" s="827" t="str">
        <f t="shared" si="20"/>
        <v/>
      </c>
      <c r="E62" s="855">
        <v>3.0988699999999998</v>
      </c>
      <c r="F62" s="855" t="s">
        <v>262</v>
      </c>
      <c r="G62" s="858">
        <v>3.7806415315069404</v>
      </c>
      <c r="H62" s="827">
        <f t="shared" si="21"/>
        <v>6.3358299999999996</v>
      </c>
      <c r="I62" s="827">
        <f t="shared" si="22"/>
        <v>21.531764361161525</v>
      </c>
      <c r="J62" s="857">
        <v>1.2395480000000001</v>
      </c>
      <c r="K62" s="857">
        <v>0.36474323576594919</v>
      </c>
      <c r="L62" s="856">
        <v>7.8535654048400003</v>
      </c>
      <c r="M62" s="827"/>
      <c r="N62" s="827"/>
      <c r="O62" s="855">
        <f t="shared" si="25"/>
        <v>1.8593219999999997</v>
      </c>
      <c r="P62" s="855" t="str">
        <f t="shared" si="26"/>
        <v/>
      </c>
      <c r="Q62" s="854">
        <f>+M62*O62</f>
        <v>0</v>
      </c>
      <c r="S62" s="1916">
        <f>+TableA4!C62</f>
        <v>1.2395480000000001</v>
      </c>
      <c r="T62" s="1916">
        <f>+TableA4!F62</f>
        <v>3.6072220000000002</v>
      </c>
    </row>
    <row r="63" spans="1:22" ht="17" x14ac:dyDescent="0.2">
      <c r="A63" s="145" t="s">
        <v>858</v>
      </c>
      <c r="B63" s="859" t="s">
        <v>82</v>
      </c>
      <c r="C63" s="827" t="str">
        <f t="shared" si="19"/>
        <v/>
      </c>
      <c r="D63" s="827" t="str">
        <f t="shared" si="20"/>
        <v/>
      </c>
      <c r="E63" s="855">
        <v>7.2464799999999996E-2</v>
      </c>
      <c r="F63" s="855" t="s">
        <v>262</v>
      </c>
      <c r="G63" s="858" t="s">
        <v>262</v>
      </c>
      <c r="H63" s="827" t="str">
        <f t="shared" si="21"/>
        <v/>
      </c>
      <c r="I63" s="827" t="str">
        <f t="shared" si="22"/>
        <v/>
      </c>
      <c r="J63" s="857">
        <v>2.8985919999999998E-2</v>
      </c>
      <c r="K63" s="857" t="s">
        <v>262</v>
      </c>
      <c r="L63" s="856" t="s">
        <v>262</v>
      </c>
      <c r="M63" s="827" t="str">
        <f t="shared" si="23"/>
        <v/>
      </c>
      <c r="N63" s="827" t="str">
        <f t="shared" si="24"/>
        <v/>
      </c>
      <c r="O63" s="855">
        <f t="shared" si="25"/>
        <v>4.3478879999999998E-2</v>
      </c>
      <c r="P63" s="855" t="str">
        <f t="shared" si="26"/>
        <v/>
      </c>
      <c r="Q63" s="854" t="str">
        <f t="shared" si="27"/>
        <v/>
      </c>
      <c r="S63" s="1916">
        <f>+TableA4!C63</f>
        <v>1.6844057443692596E-2</v>
      </c>
      <c r="T63" s="1916">
        <f>+TableA4!F63</f>
        <v>0.2522019425563074</v>
      </c>
    </row>
    <row r="64" spans="1:22" ht="17" x14ac:dyDescent="0.2">
      <c r="A64" s="145" t="e">
        <v>#REF!</v>
      </c>
      <c r="B64" s="859" t="s">
        <v>153</v>
      </c>
      <c r="C64" s="827" t="str">
        <f t="shared" si="19"/>
        <v/>
      </c>
      <c r="D64" s="827" t="str">
        <f t="shared" si="20"/>
        <v/>
      </c>
      <c r="E64" s="855">
        <v>0.16297200000000001</v>
      </c>
      <c r="F64" s="855" t="s">
        <v>262</v>
      </c>
      <c r="G64" s="858" t="s">
        <v>262</v>
      </c>
      <c r="H64" s="827" t="str">
        <f t="shared" si="21"/>
        <v/>
      </c>
      <c r="I64" s="827" t="str">
        <f t="shared" si="22"/>
        <v/>
      </c>
      <c r="J64" s="857">
        <v>6.5188800000000005E-2</v>
      </c>
      <c r="K64" s="857" t="s">
        <v>262</v>
      </c>
      <c r="L64" s="856" t="s">
        <v>262</v>
      </c>
      <c r="M64" s="827" t="str">
        <f t="shared" si="23"/>
        <v/>
      </c>
      <c r="N64" s="827" t="str">
        <f t="shared" si="24"/>
        <v/>
      </c>
      <c r="O64" s="855">
        <f t="shared" si="25"/>
        <v>9.7783200000000001E-2</v>
      </c>
      <c r="P64" s="855" t="str">
        <f t="shared" si="26"/>
        <v/>
      </c>
      <c r="Q64" s="854" t="str">
        <f t="shared" si="27"/>
        <v/>
      </c>
      <c r="S64" s="1916">
        <f>+TableA4!C64</f>
        <v>-4.8543913474907159</v>
      </c>
      <c r="T64" s="1916">
        <f>+TableA4!F64</f>
        <v>5.4594723474907161</v>
      </c>
    </row>
    <row r="65" spans="1:22" ht="17" x14ac:dyDescent="0.2">
      <c r="A65" s="145" t="s">
        <v>859</v>
      </c>
      <c r="B65" s="861" t="s">
        <v>84</v>
      </c>
      <c r="C65" s="827">
        <f t="shared" si="19"/>
        <v>2.8773186948383258</v>
      </c>
      <c r="D65" s="827" t="str">
        <f t="shared" si="20"/>
        <v/>
      </c>
      <c r="E65" s="855">
        <v>1.41639</v>
      </c>
      <c r="F65" s="855" t="s">
        <v>262</v>
      </c>
      <c r="G65" s="858">
        <v>4.0754054261820567</v>
      </c>
      <c r="H65" s="827" t="str">
        <f t="shared" si="21"/>
        <v/>
      </c>
      <c r="I65" s="827" t="str">
        <f t="shared" si="22"/>
        <v/>
      </c>
      <c r="J65" s="857">
        <v>0.56655600000000006</v>
      </c>
      <c r="K65" s="857" t="s">
        <v>262</v>
      </c>
      <c r="L65" s="856" t="s">
        <v>262</v>
      </c>
      <c r="M65" s="827" t="str">
        <f t="shared" si="23"/>
        <v/>
      </c>
      <c r="N65" s="827" t="str">
        <f t="shared" si="24"/>
        <v/>
      </c>
      <c r="O65" s="855">
        <f t="shared" si="25"/>
        <v>0.84983399999999998</v>
      </c>
      <c r="P65" s="855" t="str">
        <f t="shared" si="26"/>
        <v/>
      </c>
      <c r="Q65" s="854" t="str">
        <f t="shared" si="27"/>
        <v/>
      </c>
      <c r="S65" s="1916">
        <f>+TableA4!C65</f>
        <v>25.149475082111486</v>
      </c>
      <c r="T65" s="1916">
        <f>+TableA4!F65</f>
        <v>-22.830515082111486</v>
      </c>
    </row>
    <row r="66" spans="1:22" ht="17" x14ac:dyDescent="0.2">
      <c r="A66" s="145" t="s">
        <v>860</v>
      </c>
      <c r="B66" s="859" t="s">
        <v>85</v>
      </c>
      <c r="C66" s="827" t="str">
        <f t="shared" si="19"/>
        <v/>
      </c>
      <c r="D66" s="827" t="str">
        <f t="shared" si="20"/>
        <v/>
      </c>
      <c r="E66" s="855">
        <v>1.3583099999999999</v>
      </c>
      <c r="F66" s="855" t="s">
        <v>262</v>
      </c>
      <c r="G66" s="858">
        <v>0</v>
      </c>
      <c r="H66" s="827" t="str">
        <f t="shared" si="21"/>
        <v/>
      </c>
      <c r="I66" s="827" t="str">
        <f t="shared" si="22"/>
        <v/>
      </c>
      <c r="J66" s="857">
        <v>0.54332400000000003</v>
      </c>
      <c r="K66" s="857" t="s">
        <v>262</v>
      </c>
      <c r="L66" s="856" t="s">
        <v>262</v>
      </c>
      <c r="M66" s="827" t="str">
        <f t="shared" si="23"/>
        <v/>
      </c>
      <c r="N66" s="827" t="str">
        <f t="shared" si="24"/>
        <v/>
      </c>
      <c r="O66" s="855">
        <f t="shared" si="25"/>
        <v>0.81498599999999988</v>
      </c>
      <c r="P66" s="855" t="str">
        <f t="shared" si="26"/>
        <v/>
      </c>
      <c r="Q66" s="854" t="str">
        <f t="shared" si="27"/>
        <v/>
      </c>
      <c r="S66" s="1916">
        <f>+TableA4!C66</f>
        <v>-3.7772554797817461</v>
      </c>
      <c r="T66" s="1916">
        <f>+TableA4!F66</f>
        <v>5.8019854797817461</v>
      </c>
    </row>
    <row r="67" spans="1:22" x14ac:dyDescent="0.2">
      <c r="A67" s="145" t="s">
        <v>861</v>
      </c>
      <c r="B67" s="859" t="str">
        <f>+TableA1!A67</f>
        <v>Cyprus</v>
      </c>
      <c r="C67" s="827">
        <f t="shared" si="19"/>
        <v>5.7580469835039052</v>
      </c>
      <c r="D67" s="827">
        <f t="shared" si="20"/>
        <v>0.14801994603568444</v>
      </c>
      <c r="E67" s="855">
        <v>5.5453299999999999</v>
      </c>
      <c r="F67" s="855">
        <v>215.71600000000001</v>
      </c>
      <c r="G67" s="858">
        <v>31.930270679033708</v>
      </c>
      <c r="H67" s="827">
        <f t="shared" si="21"/>
        <v>1.5469715044664523</v>
      </c>
      <c r="I67" s="827">
        <f t="shared" si="22"/>
        <v>0.22964710193716911</v>
      </c>
      <c r="J67" s="857">
        <v>2.2181320000000002</v>
      </c>
      <c r="K67" s="857">
        <v>14.942</v>
      </c>
      <c r="L67" s="856">
        <v>3.4313869971451809</v>
      </c>
      <c r="M67" s="827">
        <f t="shared" si="23"/>
        <v>8.5654306361955399</v>
      </c>
      <c r="N67" s="827">
        <f t="shared" si="24"/>
        <v>0.14194509090763011</v>
      </c>
      <c r="O67" s="855">
        <f t="shared" si="25"/>
        <v>3.3271979999999997</v>
      </c>
      <c r="P67" s="855">
        <f t="shared" si="26"/>
        <v>200.774</v>
      </c>
      <c r="Q67" s="854">
        <f t="shared" si="27"/>
        <v>28.498883681888525</v>
      </c>
      <c r="S67" s="1916">
        <f>+TableA4!C67</f>
        <v>7.3633393969721084</v>
      </c>
      <c r="T67" s="1916">
        <f>+TableA4!F67</f>
        <v>2.5994106030278914</v>
      </c>
      <c r="U67" s="837">
        <f>+S67/K67</f>
        <v>0.49279476622755375</v>
      </c>
      <c r="V67" s="837">
        <f>+T67/P67</f>
        <v>1.2946948325121237E-2</v>
      </c>
    </row>
    <row r="68" spans="1:22" ht="17" x14ac:dyDescent="0.2">
      <c r="A68" s="145" t="s">
        <v>862</v>
      </c>
      <c r="B68" s="859" t="s">
        <v>87</v>
      </c>
      <c r="C68" s="827" t="str">
        <f t="shared" si="19"/>
        <v/>
      </c>
      <c r="D68" s="827" t="str">
        <f t="shared" si="20"/>
        <v/>
      </c>
      <c r="E68" s="855">
        <v>1.2626299999999999</v>
      </c>
      <c r="F68" s="855" t="s">
        <v>262</v>
      </c>
      <c r="G68" s="858" t="s">
        <v>262</v>
      </c>
      <c r="H68" s="827" t="str">
        <f t="shared" si="21"/>
        <v/>
      </c>
      <c r="I68" s="827" t="str">
        <f t="shared" si="22"/>
        <v/>
      </c>
      <c r="J68" s="857">
        <v>0.50505199999999995</v>
      </c>
      <c r="K68" s="857" t="s">
        <v>262</v>
      </c>
      <c r="L68" s="856" t="s">
        <v>262</v>
      </c>
      <c r="M68" s="827" t="str">
        <f t="shared" si="23"/>
        <v/>
      </c>
      <c r="N68" s="827" t="str">
        <f t="shared" si="24"/>
        <v/>
      </c>
      <c r="O68" s="855">
        <f t="shared" si="25"/>
        <v>0.75757799999999997</v>
      </c>
      <c r="P68" s="855" t="str">
        <f t="shared" si="26"/>
        <v/>
      </c>
      <c r="Q68" s="854" t="str">
        <f t="shared" si="27"/>
        <v/>
      </c>
      <c r="S68" s="1916">
        <f>+TableA4!C68</f>
        <v>3.1336845789067267</v>
      </c>
      <c r="T68" s="1916">
        <f>+TableA4!F68</f>
        <v>1.554175421093273</v>
      </c>
    </row>
    <row r="69" spans="1:22" ht="17" x14ac:dyDescent="0.2">
      <c r="A69" s="145" t="s">
        <v>863</v>
      </c>
      <c r="B69" s="859" t="str">
        <f>+TableA1!A69</f>
        <v>Grenada</v>
      </c>
      <c r="C69" s="827">
        <f t="shared" si="19"/>
        <v>18.178054423338033</v>
      </c>
      <c r="D69" s="827" t="str">
        <f t="shared" si="20"/>
        <v/>
      </c>
      <c r="E69" s="855">
        <v>7.3907048000000003E-2</v>
      </c>
      <c r="F69" s="855" t="s">
        <v>262</v>
      </c>
      <c r="G69" s="858">
        <v>1.3434863408122564</v>
      </c>
      <c r="H69" s="827" t="str">
        <f t="shared" si="21"/>
        <v/>
      </c>
      <c r="I69" s="827" t="str">
        <f t="shared" si="22"/>
        <v/>
      </c>
      <c r="J69" s="857">
        <v>2.9562819200000003E-2</v>
      </c>
      <c r="K69" s="857" t="s">
        <v>262</v>
      </c>
      <c r="L69" s="856" t="s">
        <v>262</v>
      </c>
      <c r="M69" s="827" t="str">
        <f t="shared" si="23"/>
        <v/>
      </c>
      <c r="N69" s="827" t="str">
        <f t="shared" si="24"/>
        <v/>
      </c>
      <c r="O69" s="855">
        <f t="shared" si="25"/>
        <v>4.4344228799999996E-2</v>
      </c>
      <c r="P69" s="855" t="str">
        <f t="shared" si="26"/>
        <v/>
      </c>
      <c r="Q69" s="854" t="str">
        <f t="shared" si="27"/>
        <v/>
      </c>
      <c r="S69" s="1916">
        <f>+TableA4!C69</f>
        <v>4.8885746177407069E-2</v>
      </c>
      <c r="T69" s="1916">
        <f>+TableA4!F69</f>
        <v>0.45794825382259297</v>
      </c>
    </row>
    <row r="70" spans="1:22" ht="17" x14ac:dyDescent="0.2">
      <c r="A70" s="145" t="s">
        <v>864</v>
      </c>
      <c r="B70" s="859" t="s">
        <v>89</v>
      </c>
      <c r="C70" s="827" t="str">
        <f t="shared" si="19"/>
        <v/>
      </c>
      <c r="D70" s="827" t="str">
        <f t="shared" si="20"/>
        <v/>
      </c>
      <c r="E70" s="855">
        <v>0.84902900000000003</v>
      </c>
      <c r="F70" s="855" t="s">
        <v>262</v>
      </c>
      <c r="G70" s="858" t="s">
        <v>262</v>
      </c>
      <c r="H70" s="827" t="str">
        <f t="shared" si="21"/>
        <v/>
      </c>
      <c r="I70" s="827" t="str">
        <f t="shared" si="22"/>
        <v/>
      </c>
      <c r="J70" s="857">
        <v>0.33961160000000001</v>
      </c>
      <c r="K70" s="857" t="s">
        <v>262</v>
      </c>
      <c r="L70" s="856" t="s">
        <v>262</v>
      </c>
      <c r="M70" s="827" t="str">
        <f t="shared" si="23"/>
        <v/>
      </c>
      <c r="N70" s="827" t="str">
        <f t="shared" si="24"/>
        <v/>
      </c>
      <c r="O70" s="855">
        <f t="shared" si="25"/>
        <v>0.50941740000000002</v>
      </c>
      <c r="P70" s="855" t="str">
        <f t="shared" si="26"/>
        <v/>
      </c>
      <c r="Q70" s="854" t="str">
        <f t="shared" si="27"/>
        <v/>
      </c>
      <c r="S70" s="1916">
        <f>+TableA4!C70</f>
        <v>-2.0687888906068452</v>
      </c>
      <c r="T70" s="1916">
        <f>+TableA4!F70</f>
        <v>5.2210488906068449</v>
      </c>
    </row>
    <row r="71" spans="1:22" ht="17" x14ac:dyDescent="0.2">
      <c r="A71" s="145" t="s">
        <v>865</v>
      </c>
      <c r="B71" s="859" t="s">
        <v>154</v>
      </c>
      <c r="C71" s="827" t="str">
        <f t="shared" si="19"/>
        <v/>
      </c>
      <c r="D71" s="827" t="str">
        <f t="shared" si="20"/>
        <v/>
      </c>
      <c r="E71" s="855">
        <v>0.45451200000000003</v>
      </c>
      <c r="F71" s="855" t="s">
        <v>262</v>
      </c>
      <c r="G71" s="858" t="s">
        <v>262</v>
      </c>
      <c r="H71" s="827" t="str">
        <f t="shared" si="21"/>
        <v/>
      </c>
      <c r="I71" s="827" t="str">
        <f t="shared" si="22"/>
        <v/>
      </c>
      <c r="J71" s="857">
        <v>0.18180480000000002</v>
      </c>
      <c r="K71" s="857" t="s">
        <v>262</v>
      </c>
      <c r="L71" s="856" t="s">
        <v>262</v>
      </c>
      <c r="M71" s="827" t="str">
        <f t="shared" si="23"/>
        <v/>
      </c>
      <c r="N71" s="827" t="str">
        <f t="shared" si="24"/>
        <v/>
      </c>
      <c r="O71" s="855">
        <f t="shared" si="25"/>
        <v>0.27270720000000004</v>
      </c>
      <c r="P71" s="855" t="str">
        <f t="shared" si="26"/>
        <v/>
      </c>
      <c r="Q71" s="854" t="str">
        <f t="shared" si="27"/>
        <v/>
      </c>
      <c r="S71" s="1916">
        <f>+TableA4!C71</f>
        <v>-3.4119978828111419</v>
      </c>
      <c r="T71" s="1916">
        <f>+TableA4!F71</f>
        <v>5.0994978828111419</v>
      </c>
    </row>
    <row r="72" spans="1:22" x14ac:dyDescent="0.2">
      <c r="A72" s="145" t="s">
        <v>866</v>
      </c>
      <c r="B72" s="859" t="s">
        <v>91</v>
      </c>
      <c r="C72" s="827">
        <f t="shared" si="19"/>
        <v>2.8127670309221471</v>
      </c>
      <c r="D72" s="827">
        <f t="shared" si="20"/>
        <v>0.14403407545691116</v>
      </c>
      <c r="E72" s="855">
        <v>117.069</v>
      </c>
      <c r="F72" s="855">
        <v>2286.1800063522724</v>
      </c>
      <c r="G72" s="858">
        <v>329.28782354302484</v>
      </c>
      <c r="H72" s="827">
        <f t="shared" si="21"/>
        <v>0.49170999999999998</v>
      </c>
      <c r="I72" s="827">
        <f t="shared" si="22"/>
        <v>0.11734003212757226</v>
      </c>
      <c r="J72" s="857">
        <v>23.587237340311784</v>
      </c>
      <c r="K72" s="857">
        <v>98.841633688963512</v>
      </c>
      <c r="L72" s="856">
        <v>11.598080472604707</v>
      </c>
      <c r="M72" s="827">
        <f t="shared" si="23"/>
        <v>3.398414129469729</v>
      </c>
      <c r="N72" s="827">
        <f t="shared" si="24"/>
        <v>0.14524032817272817</v>
      </c>
      <c r="O72" s="855">
        <f t="shared" si="25"/>
        <v>93.481762659688215</v>
      </c>
      <c r="P72" s="855">
        <f t="shared" si="26"/>
        <v>2187.3383726633087</v>
      </c>
      <c r="Q72" s="854">
        <f t="shared" si="27"/>
        <v>317.68974307042015</v>
      </c>
      <c r="S72" s="1916">
        <f>+TableA4!C72</f>
        <v>51.525126827377107</v>
      </c>
      <c r="T72" s="1916">
        <f>+TableA4!F72</f>
        <v>167.56687317262291</v>
      </c>
      <c r="U72" s="837">
        <f>+S72/K72</f>
        <v>0.52128971268845303</v>
      </c>
      <c r="V72" s="837">
        <f>+T72/P72</f>
        <v>7.6607659458098859E-2</v>
      </c>
    </row>
    <row r="73" spans="1:22" ht="17" x14ac:dyDescent="0.2">
      <c r="A73" s="145" t="s">
        <v>867</v>
      </c>
      <c r="B73" s="859" t="s">
        <v>92</v>
      </c>
      <c r="C73" s="827" t="str">
        <f t="shared" si="19"/>
        <v/>
      </c>
      <c r="D73" s="827" t="str">
        <f t="shared" si="20"/>
        <v/>
      </c>
      <c r="E73" s="855">
        <v>1.22997</v>
      </c>
      <c r="F73" s="855" t="s">
        <v>262</v>
      </c>
      <c r="G73" s="858" t="s">
        <v>262</v>
      </c>
      <c r="H73" s="827" t="str">
        <f t="shared" si="21"/>
        <v/>
      </c>
      <c r="I73" s="827" t="str">
        <f t="shared" si="22"/>
        <v/>
      </c>
      <c r="J73" s="857">
        <v>0.49198800000000004</v>
      </c>
      <c r="K73" s="857" t="s">
        <v>262</v>
      </c>
      <c r="L73" s="856" t="s">
        <v>262</v>
      </c>
      <c r="M73" s="827" t="str">
        <f t="shared" si="23"/>
        <v/>
      </c>
      <c r="N73" s="827" t="str">
        <f t="shared" si="24"/>
        <v/>
      </c>
      <c r="O73" s="855">
        <f t="shared" si="25"/>
        <v>0.73798199999999992</v>
      </c>
      <c r="P73" s="855" t="str">
        <f t="shared" si="26"/>
        <v/>
      </c>
      <c r="Q73" s="854" t="str">
        <f t="shared" si="27"/>
        <v/>
      </c>
      <c r="S73" s="1916">
        <f>+TableA4!C73</f>
        <v>1.2034496315253735</v>
      </c>
      <c r="T73" s="1916">
        <f>+TableA4!F73</f>
        <v>3.3631803684746266</v>
      </c>
    </row>
    <row r="74" spans="1:22" ht="17" x14ac:dyDescent="0.2">
      <c r="A74" s="145" t="s">
        <v>868</v>
      </c>
      <c r="B74" s="859" t="s">
        <v>93</v>
      </c>
      <c r="C74" s="827" t="str">
        <f t="shared" si="19"/>
        <v/>
      </c>
      <c r="D74" s="827" t="str">
        <f t="shared" si="20"/>
        <v/>
      </c>
      <c r="E74" s="855">
        <v>15.218728393333157</v>
      </c>
      <c r="F74" s="855">
        <v>1292.2352669821701</v>
      </c>
      <c r="G74" s="858" t="s">
        <v>262</v>
      </c>
      <c r="H74" s="827" t="str">
        <f t="shared" si="21"/>
        <v/>
      </c>
      <c r="I74" s="827" t="str">
        <f t="shared" si="22"/>
        <v/>
      </c>
      <c r="J74" s="857">
        <v>6.0874913573332634</v>
      </c>
      <c r="K74" s="857" t="s">
        <v>262</v>
      </c>
      <c r="L74" s="856" t="s">
        <v>262</v>
      </c>
      <c r="M74" s="827" t="str">
        <f t="shared" si="23"/>
        <v/>
      </c>
      <c r="N74" s="827" t="str">
        <f t="shared" si="24"/>
        <v/>
      </c>
      <c r="O74" s="855">
        <f t="shared" si="25"/>
        <v>9.1312370359998933</v>
      </c>
      <c r="P74" s="855" t="str">
        <f t="shared" si="26"/>
        <v/>
      </c>
      <c r="Q74" s="854" t="str">
        <f t="shared" si="27"/>
        <v/>
      </c>
      <c r="S74" s="1916">
        <f>+TableA4!C74</f>
        <v>6.0152157422435497</v>
      </c>
      <c r="T74" s="1916">
        <f>+TableA4!F74</f>
        <v>27.236884257756451</v>
      </c>
    </row>
    <row r="75" spans="1:22" ht="17" x14ac:dyDescent="0.2">
      <c r="A75" s="145" t="s">
        <v>869</v>
      </c>
      <c r="B75" s="859" t="s">
        <v>94</v>
      </c>
      <c r="C75" s="827" t="str">
        <f t="shared" si="19"/>
        <v/>
      </c>
      <c r="D75" s="827" t="str">
        <f t="shared" si="20"/>
        <v/>
      </c>
      <c r="E75" s="855">
        <v>2.9184000000000001</v>
      </c>
      <c r="F75" s="855" t="s">
        <v>262</v>
      </c>
      <c r="G75" s="858" t="s">
        <v>262</v>
      </c>
      <c r="H75" s="827" t="str">
        <f t="shared" si="21"/>
        <v/>
      </c>
      <c r="I75" s="827" t="str">
        <f t="shared" si="22"/>
        <v/>
      </c>
      <c r="J75" s="857">
        <v>1.1673600000000002</v>
      </c>
      <c r="K75" s="857" t="s">
        <v>262</v>
      </c>
      <c r="L75" s="856" t="s">
        <v>262</v>
      </c>
      <c r="M75" s="827" t="str">
        <f t="shared" si="23"/>
        <v/>
      </c>
      <c r="N75" s="827" t="str">
        <f t="shared" si="24"/>
        <v/>
      </c>
      <c r="O75" s="855">
        <f t="shared" si="25"/>
        <v>1.7510399999999999</v>
      </c>
      <c r="P75" s="855" t="str">
        <f t="shared" si="26"/>
        <v/>
      </c>
      <c r="Q75" s="854" t="str">
        <f t="shared" si="27"/>
        <v/>
      </c>
      <c r="S75" s="1916">
        <f>+TableA4!C75</f>
        <v>-1.8038415681969429</v>
      </c>
      <c r="T75" s="1916">
        <f>+TableA4!F75</f>
        <v>6.5427315681969427</v>
      </c>
    </row>
    <row r="76" spans="1:22" ht="17" x14ac:dyDescent="0.2">
      <c r="A76" s="145" t="e">
        <v>#REF!</v>
      </c>
      <c r="B76" s="859" t="s">
        <v>95</v>
      </c>
      <c r="C76" s="827" t="str">
        <f t="shared" si="19"/>
        <v/>
      </c>
      <c r="D76" s="827" t="str">
        <f t="shared" si="20"/>
        <v/>
      </c>
      <c r="E76" s="855">
        <v>10.102600000000001</v>
      </c>
      <c r="F76" s="855" t="s">
        <v>262</v>
      </c>
      <c r="G76" s="858" t="s">
        <v>262</v>
      </c>
      <c r="H76" s="827" t="str">
        <f t="shared" si="21"/>
        <v/>
      </c>
      <c r="I76" s="827" t="str">
        <f t="shared" si="22"/>
        <v/>
      </c>
      <c r="J76" s="857">
        <v>3.7507153715351045</v>
      </c>
      <c r="K76" s="857" t="s">
        <v>262</v>
      </c>
      <c r="L76" s="856" t="s">
        <v>262</v>
      </c>
      <c r="M76" s="827" t="str">
        <f t="shared" si="23"/>
        <v/>
      </c>
      <c r="N76" s="827" t="str">
        <f t="shared" si="24"/>
        <v/>
      </c>
      <c r="O76" s="855">
        <f t="shared" si="25"/>
        <v>6.3518846284648962</v>
      </c>
      <c r="P76" s="855" t="str">
        <f t="shared" si="26"/>
        <v/>
      </c>
      <c r="Q76" s="854" t="str">
        <f t="shared" si="27"/>
        <v/>
      </c>
      <c r="S76" s="1916">
        <f>+TableA4!C76</f>
        <v>12.385535326215198</v>
      </c>
      <c r="T76" s="1916">
        <f>+TableA4!F76</f>
        <v>12.831964673784803</v>
      </c>
    </row>
    <row r="77" spans="1:22" x14ac:dyDescent="0.2">
      <c r="A77" s="145" t="s">
        <v>870</v>
      </c>
      <c r="B77" s="859" t="s">
        <v>96</v>
      </c>
      <c r="C77" s="827">
        <f t="shared" si="19"/>
        <v>5.3662034595534234</v>
      </c>
      <c r="D77" s="827">
        <f t="shared" si="20"/>
        <v>0.10988418309679379</v>
      </c>
      <c r="E77" s="855">
        <v>2.7482700000000002</v>
      </c>
      <c r="F77" s="855">
        <v>134.21199999999999</v>
      </c>
      <c r="G77" s="858">
        <v>14.747775981786887</v>
      </c>
      <c r="H77" s="827">
        <f t="shared" si="21"/>
        <v>4.2653950159185055</v>
      </c>
      <c r="I77" s="827">
        <f t="shared" si="22"/>
        <v>0.22763157746295162</v>
      </c>
      <c r="J77" s="857">
        <v>1.0993080000000002</v>
      </c>
      <c r="K77" s="857">
        <v>20.599</v>
      </c>
      <c r="L77" s="856">
        <v>4.6889828641593407</v>
      </c>
      <c r="M77" s="827">
        <f t="shared" si="23"/>
        <v>6.1000757553100353</v>
      </c>
      <c r="N77" s="827">
        <f t="shared" si="24"/>
        <v>8.853558235085375E-2</v>
      </c>
      <c r="O77" s="855">
        <f t="shared" si="25"/>
        <v>1.648962</v>
      </c>
      <c r="P77" s="855">
        <f t="shared" si="26"/>
        <v>113.61299999999999</v>
      </c>
      <c r="Q77" s="854">
        <f t="shared" si="27"/>
        <v>10.058793117627546</v>
      </c>
      <c r="S77" s="1916">
        <f>+TableA4!C77</f>
        <v>1.0993080000000002</v>
      </c>
      <c r="T77" s="1916">
        <f>+TableA4!F77</f>
        <v>4.7743120000000001</v>
      </c>
      <c r="U77" s="837">
        <f>+S77/K77</f>
        <v>5.3367056653235601E-2</v>
      </c>
      <c r="V77" s="837">
        <f>+T77/P77</f>
        <v>4.2022585443567205E-2</v>
      </c>
    </row>
    <row r="78" spans="1:22" ht="17" x14ac:dyDescent="0.2">
      <c r="A78" s="145" t="e">
        <v>#REF!</v>
      </c>
      <c r="B78" s="859" t="s">
        <v>97</v>
      </c>
      <c r="C78" s="827" t="str">
        <f t="shared" si="19"/>
        <v/>
      </c>
      <c r="D78" s="827" t="str">
        <f t="shared" si="20"/>
        <v/>
      </c>
      <c r="E78" s="855">
        <v>8.3486143999999998E-2</v>
      </c>
      <c r="F78" s="855" t="s">
        <v>262</v>
      </c>
      <c r="G78" s="858" t="s">
        <v>262</v>
      </c>
      <c r="H78" s="827" t="str">
        <f t="shared" si="21"/>
        <v/>
      </c>
      <c r="I78" s="827" t="str">
        <f t="shared" si="22"/>
        <v/>
      </c>
      <c r="J78" s="857">
        <v>3.3394457600000003E-2</v>
      </c>
      <c r="K78" s="857" t="s">
        <v>262</v>
      </c>
      <c r="L78" s="856" t="s">
        <v>262</v>
      </c>
      <c r="M78" s="827" t="str">
        <f t="shared" si="23"/>
        <v/>
      </c>
      <c r="N78" s="827" t="str">
        <f t="shared" si="24"/>
        <v/>
      </c>
      <c r="O78" s="855">
        <f t="shared" si="25"/>
        <v>5.0091686399999995E-2</v>
      </c>
      <c r="P78" s="855" t="str">
        <f t="shared" si="26"/>
        <v/>
      </c>
      <c r="Q78" s="854" t="str">
        <f t="shared" si="27"/>
        <v/>
      </c>
      <c r="S78" s="1916">
        <f>+TableA4!C78</f>
        <v>-0.42258460190344499</v>
      </c>
      <c r="T78" s="1916">
        <f>+TableA4!F78</f>
        <v>0.55153060190344494</v>
      </c>
    </row>
    <row r="79" spans="1:22" ht="17" x14ac:dyDescent="0.2">
      <c r="A79" s="145" t="s">
        <v>871</v>
      </c>
      <c r="B79" s="859" t="str">
        <f>+TableA1!A79</f>
        <v>Monaco</v>
      </c>
      <c r="C79" s="827" t="str">
        <f t="shared" si="19"/>
        <v/>
      </c>
      <c r="D79" s="827" t="str">
        <f t="shared" si="20"/>
        <v/>
      </c>
      <c r="E79" s="855">
        <v>1.0394000000000001</v>
      </c>
      <c r="F79" s="855" t="s">
        <v>262</v>
      </c>
      <c r="G79" s="858" t="s">
        <v>262</v>
      </c>
      <c r="H79" s="827" t="str">
        <f t="shared" si="21"/>
        <v/>
      </c>
      <c r="I79" s="827" t="str">
        <f t="shared" si="22"/>
        <v/>
      </c>
      <c r="J79" s="857">
        <v>0.41576000000000007</v>
      </c>
      <c r="K79" s="857" t="s">
        <v>262</v>
      </c>
      <c r="L79" s="856" t="s">
        <v>262</v>
      </c>
      <c r="M79" s="827" t="str">
        <f t="shared" si="23"/>
        <v/>
      </c>
      <c r="N79" s="827" t="str">
        <f t="shared" si="24"/>
        <v/>
      </c>
      <c r="O79" s="855">
        <f t="shared" si="25"/>
        <v>0.62363999999999997</v>
      </c>
      <c r="P79" s="855" t="str">
        <f t="shared" si="26"/>
        <v/>
      </c>
      <c r="Q79" s="854" t="str">
        <f t="shared" si="27"/>
        <v/>
      </c>
      <c r="S79" s="1916">
        <f>+TableA4!C79</f>
        <v>0.41576000000000007</v>
      </c>
      <c r="T79" s="1916">
        <f>+TableA4!F79</f>
        <v>3.4433099999999999</v>
      </c>
    </row>
    <row r="80" spans="1:22" ht="17" x14ac:dyDescent="0.2">
      <c r="A80" s="145" t="s">
        <v>872</v>
      </c>
      <c r="B80" s="859" t="s">
        <v>99</v>
      </c>
      <c r="C80" s="827" t="str">
        <f t="shared" si="19"/>
        <v/>
      </c>
      <c r="D80" s="827" t="str">
        <f t="shared" si="20"/>
        <v/>
      </c>
      <c r="E80" s="855">
        <v>0.14390500000000001</v>
      </c>
      <c r="F80" s="855" t="s">
        <v>262</v>
      </c>
      <c r="G80" s="858">
        <v>0</v>
      </c>
      <c r="H80" s="827" t="str">
        <f t="shared" si="21"/>
        <v/>
      </c>
      <c r="I80" s="827" t="str">
        <f t="shared" si="22"/>
        <v/>
      </c>
      <c r="J80" s="857">
        <v>5.7562000000000002E-2</v>
      </c>
      <c r="K80" s="857" t="s">
        <v>262</v>
      </c>
      <c r="L80" s="856" t="s">
        <v>262</v>
      </c>
      <c r="M80" s="827" t="str">
        <f t="shared" si="23"/>
        <v/>
      </c>
      <c r="N80" s="827" t="str">
        <f t="shared" si="24"/>
        <v/>
      </c>
      <c r="O80" s="855">
        <f t="shared" si="25"/>
        <v>8.6343000000000003E-2</v>
      </c>
      <c r="P80" s="855" t="str">
        <f t="shared" si="26"/>
        <v/>
      </c>
      <c r="Q80" s="854" t="str">
        <f t="shared" si="27"/>
        <v/>
      </c>
      <c r="S80" s="1916">
        <f>+TableA4!C80</f>
        <v>6.2111048138080972E-2</v>
      </c>
      <c r="T80" s="1916">
        <f>+TableA4!F80</f>
        <v>0.47217595186191896</v>
      </c>
    </row>
    <row r="81" spans="1:22" ht="17" x14ac:dyDescent="0.2">
      <c r="A81" s="145" t="s">
        <v>873</v>
      </c>
      <c r="B81" s="859" t="s">
        <v>100</v>
      </c>
      <c r="C81" s="827">
        <f t="shared" si="19"/>
        <v>39.175420846309876</v>
      </c>
      <c r="D81" s="827">
        <f t="shared" si="20"/>
        <v>4.0537821446121156E-2</v>
      </c>
      <c r="E81" s="855">
        <v>0.36308000000000001</v>
      </c>
      <c r="F81" s="855">
        <v>350.87755812884683</v>
      </c>
      <c r="G81" s="858">
        <v>14.22381180087819</v>
      </c>
      <c r="H81" s="827" t="str">
        <f t="shared" si="21"/>
        <v/>
      </c>
      <c r="I81" s="827" t="str">
        <f t="shared" si="22"/>
        <v/>
      </c>
      <c r="J81" s="857">
        <v>0.18809294843367241</v>
      </c>
      <c r="K81" s="857" t="s">
        <v>262</v>
      </c>
      <c r="L81" s="856" t="s">
        <v>262</v>
      </c>
      <c r="M81" s="827" t="str">
        <f t="shared" si="23"/>
        <v/>
      </c>
      <c r="N81" s="827" t="str">
        <f t="shared" si="24"/>
        <v/>
      </c>
      <c r="O81" s="855">
        <f t="shared" si="25"/>
        <v>0.1749870515663276</v>
      </c>
      <c r="P81" s="855" t="str">
        <f t="shared" si="26"/>
        <v/>
      </c>
      <c r="Q81" s="854" t="str">
        <f t="shared" si="27"/>
        <v/>
      </c>
      <c r="S81" s="1916">
        <f>+TableA4!C81</f>
        <v>0.57881763996199997</v>
      </c>
      <c r="T81" s="1916">
        <f>+TableA4!F81</f>
        <v>7.2820523600380005</v>
      </c>
    </row>
    <row r="82" spans="1:22" ht="17" x14ac:dyDescent="0.2">
      <c r="A82" s="145" t="s">
        <v>874</v>
      </c>
      <c r="B82" s="859" t="str">
        <f>+TableA1!A82</f>
        <v>Seychelles</v>
      </c>
      <c r="C82" s="827" t="str">
        <f t="shared" si="19"/>
        <v/>
      </c>
      <c r="D82" s="827" t="str">
        <f t="shared" si="20"/>
        <v/>
      </c>
      <c r="E82" s="855">
        <v>6.9840823999999996E-2</v>
      </c>
      <c r="F82" s="855" t="s">
        <v>262</v>
      </c>
      <c r="G82" s="858" t="s">
        <v>262</v>
      </c>
      <c r="H82" s="827" t="str">
        <f t="shared" si="21"/>
        <v/>
      </c>
      <c r="I82" s="827" t="str">
        <f t="shared" si="22"/>
        <v/>
      </c>
      <c r="J82" s="857">
        <v>4.0218179796021394E-2</v>
      </c>
      <c r="K82" s="857" t="s">
        <v>262</v>
      </c>
      <c r="L82" s="856" t="s">
        <v>262</v>
      </c>
      <c r="M82" s="827" t="str">
        <f t="shared" si="23"/>
        <v/>
      </c>
      <c r="N82" s="827" t="str">
        <f t="shared" si="24"/>
        <v/>
      </c>
      <c r="O82" s="855">
        <f t="shared" si="25"/>
        <v>2.9622644203978601E-2</v>
      </c>
      <c r="P82" s="855" t="str">
        <f t="shared" si="26"/>
        <v/>
      </c>
      <c r="Q82" s="854" t="str">
        <f t="shared" si="27"/>
        <v/>
      </c>
      <c r="S82" s="1916">
        <f>+TableA4!C82</f>
        <v>0.12415270981953189</v>
      </c>
      <c r="T82" s="1916">
        <f>+TableA4!F82</f>
        <v>0.84244629018046813</v>
      </c>
    </row>
    <row r="83" spans="1:22" x14ac:dyDescent="0.2">
      <c r="A83" s="145" t="s">
        <v>875</v>
      </c>
      <c r="B83" s="859" t="s">
        <v>102</v>
      </c>
      <c r="C83" s="827">
        <f t="shared" si="19"/>
        <v>2.6155068597736881</v>
      </c>
      <c r="D83" s="827">
        <f t="shared" si="20"/>
        <v>0.13975175828398759</v>
      </c>
      <c r="E83" s="855">
        <v>103.461294</v>
      </c>
      <c r="F83" s="855">
        <v>1936.3171347595662</v>
      </c>
      <c r="G83" s="858">
        <v>270.60372417806229</v>
      </c>
      <c r="H83" s="827">
        <f t="shared" si="21"/>
        <v>2.2711700000000001</v>
      </c>
      <c r="I83" s="827">
        <f t="shared" si="22"/>
        <v>0.33081796705761152</v>
      </c>
      <c r="J83" s="857">
        <v>41.384517600000002</v>
      </c>
      <c r="K83" s="857">
        <v>284.11780555202904</v>
      </c>
      <c r="L83" s="856">
        <v>93.991274837592016</v>
      </c>
      <c r="M83" s="827">
        <f t="shared" si="23"/>
        <v>2.8450647662894797</v>
      </c>
      <c r="N83" s="827">
        <f t="shared" si="24"/>
        <v>0.10689536438994977</v>
      </c>
      <c r="O83" s="855">
        <f t="shared" si="25"/>
        <v>62.076776399999993</v>
      </c>
      <c r="P83" s="855">
        <f t="shared" si="26"/>
        <v>1652.1993292075372</v>
      </c>
      <c r="Q83" s="854">
        <f t="shared" si="27"/>
        <v>176.61244934047028</v>
      </c>
      <c r="S83" s="1916">
        <f>+TableA4!C83</f>
        <v>148.14040087715458</v>
      </c>
      <c r="T83" s="1916">
        <f>+TableA4!F83</f>
        <v>45.300617437178374</v>
      </c>
      <c r="U83" s="837">
        <f>+S83/K83</f>
        <v>0.52140484680051624</v>
      </c>
      <c r="V83" s="837">
        <f>+T83/P83</f>
        <v>2.7418372974952372E-2</v>
      </c>
    </row>
    <row r="84" spans="1:22" ht="17" x14ac:dyDescent="0.2">
      <c r="A84" s="145" t="s">
        <v>876</v>
      </c>
      <c r="B84" s="859" t="str">
        <f>+TableA1!A84</f>
        <v>St. Kitts and Nevis</v>
      </c>
      <c r="C84" s="827" t="str">
        <f t="shared" si="19"/>
        <v/>
      </c>
      <c r="D84" s="827" t="str">
        <f t="shared" si="20"/>
        <v/>
      </c>
      <c r="E84" s="855">
        <v>7.3737880000000006E-2</v>
      </c>
      <c r="F84" s="855" t="s">
        <v>262</v>
      </c>
      <c r="G84" s="858" t="s">
        <v>262</v>
      </c>
      <c r="H84" s="827" t="str">
        <f t="shared" si="21"/>
        <v/>
      </c>
      <c r="I84" s="827" t="str">
        <f t="shared" si="22"/>
        <v/>
      </c>
      <c r="J84" s="857">
        <v>2.9495152000000004E-2</v>
      </c>
      <c r="K84" s="857" t="s">
        <v>262</v>
      </c>
      <c r="L84" s="856" t="s">
        <v>262</v>
      </c>
      <c r="M84" s="827" t="str">
        <f t="shared" si="23"/>
        <v/>
      </c>
      <c r="N84" s="827" t="str">
        <f t="shared" si="24"/>
        <v/>
      </c>
      <c r="O84" s="855">
        <f t="shared" si="25"/>
        <v>4.4242728000000002E-2</v>
      </c>
      <c r="P84" s="855" t="str">
        <f t="shared" si="26"/>
        <v/>
      </c>
      <c r="Q84" s="854" t="str">
        <f t="shared" si="27"/>
        <v/>
      </c>
      <c r="S84" s="1916">
        <f>+TableA4!C84</f>
        <v>2.9868655712276579E-2</v>
      </c>
      <c r="T84" s="1916">
        <f>+TableA4!F84</f>
        <v>0.56061134428772341</v>
      </c>
    </row>
    <row r="85" spans="1:22" ht="17" x14ac:dyDescent="0.2">
      <c r="A85" s="145" t="s">
        <v>877</v>
      </c>
      <c r="B85" s="859" t="str">
        <f>+TableA1!A85</f>
        <v>St. Lucia</v>
      </c>
      <c r="C85" s="827" t="str">
        <f t="shared" si="19"/>
        <v/>
      </c>
      <c r="D85" s="827" t="str">
        <f t="shared" si="20"/>
        <v/>
      </c>
      <c r="E85" s="855">
        <v>0.115233</v>
      </c>
      <c r="F85" s="855">
        <v>56.083805366697902</v>
      </c>
      <c r="G85" s="858" t="s">
        <v>262</v>
      </c>
      <c r="H85" s="827" t="str">
        <f t="shared" si="21"/>
        <v/>
      </c>
      <c r="I85" s="827" t="str">
        <f t="shared" si="22"/>
        <v/>
      </c>
      <c r="J85" s="857">
        <v>4.6093200000000001E-2</v>
      </c>
      <c r="K85" s="857" t="s">
        <v>262</v>
      </c>
      <c r="L85" s="856" t="s">
        <v>262</v>
      </c>
      <c r="M85" s="827" t="str">
        <f t="shared" si="23"/>
        <v/>
      </c>
      <c r="N85" s="827" t="str">
        <f t="shared" si="24"/>
        <v/>
      </c>
      <c r="O85" s="855">
        <f t="shared" si="25"/>
        <v>6.9139800000000001E-2</v>
      </c>
      <c r="P85" s="855" t="str">
        <f t="shared" si="26"/>
        <v/>
      </c>
      <c r="Q85" s="854" t="str">
        <f t="shared" si="27"/>
        <v/>
      </c>
      <c r="S85" s="1916">
        <f>+TableA4!C85</f>
        <v>0.13212946557604072</v>
      </c>
      <c r="T85" s="1916">
        <f>+TableA4!F85</f>
        <v>0.97661053442395929</v>
      </c>
    </row>
    <row r="86" spans="1:22" ht="17" x14ac:dyDescent="0.2">
      <c r="A86" s="145" t="s">
        <v>878</v>
      </c>
      <c r="B86" s="859" t="str">
        <f>+TableA1!A86</f>
        <v>St. Vincent and the Grenadines</v>
      </c>
      <c r="C86" s="827" t="str">
        <f t="shared" si="19"/>
        <v/>
      </c>
      <c r="D86" s="827" t="str">
        <f t="shared" si="20"/>
        <v/>
      </c>
      <c r="E86" s="855">
        <v>7.3914943999999996E-2</v>
      </c>
      <c r="F86" s="855">
        <v>33.117369386318295</v>
      </c>
      <c r="G86" s="858" t="s">
        <v>262</v>
      </c>
      <c r="H86" s="827" t="str">
        <f t="shared" si="21"/>
        <v/>
      </c>
      <c r="I86" s="827" t="str">
        <f t="shared" si="22"/>
        <v/>
      </c>
      <c r="J86" s="857">
        <v>2.9565977600000001E-2</v>
      </c>
      <c r="K86" s="857" t="s">
        <v>262</v>
      </c>
      <c r="L86" s="856" t="s">
        <v>262</v>
      </c>
      <c r="M86" s="827" t="str">
        <f t="shared" si="23"/>
        <v/>
      </c>
      <c r="N86" s="827" t="str">
        <f t="shared" si="24"/>
        <v/>
      </c>
      <c r="O86" s="855">
        <f t="shared" si="25"/>
        <v>4.4348966399999995E-2</v>
      </c>
      <c r="P86" s="855" t="str">
        <f t="shared" si="26"/>
        <v/>
      </c>
      <c r="Q86" s="854" t="str">
        <f t="shared" si="27"/>
        <v/>
      </c>
      <c r="S86" s="1916">
        <f>+TableA4!C86</f>
        <v>4.9949939900137338E-2</v>
      </c>
      <c r="T86" s="1916">
        <f>+TableA4!F86</f>
        <v>0.45778406009986267</v>
      </c>
    </row>
    <row r="87" spans="1:22" ht="17" x14ac:dyDescent="0.2">
      <c r="A87" s="145" t="s">
        <v>879</v>
      </c>
      <c r="B87" s="859" t="str">
        <f>+TableA1!A87</f>
        <v>Turks and Caicos</v>
      </c>
      <c r="C87" s="827" t="str">
        <f t="shared" si="19"/>
        <v/>
      </c>
      <c r="D87" s="827" t="str">
        <f t="shared" si="20"/>
        <v/>
      </c>
      <c r="E87" s="855">
        <v>0.114443</v>
      </c>
      <c r="F87" s="855" t="s">
        <v>262</v>
      </c>
      <c r="G87" s="858" t="s">
        <v>262</v>
      </c>
      <c r="H87" s="827" t="str">
        <f t="shared" si="21"/>
        <v/>
      </c>
      <c r="I87" s="827" t="str">
        <f t="shared" si="22"/>
        <v/>
      </c>
      <c r="J87" s="860">
        <v>4.5777200000000004E-2</v>
      </c>
      <c r="K87" s="857" t="s">
        <v>262</v>
      </c>
      <c r="L87" s="856" t="s">
        <v>262</v>
      </c>
      <c r="M87" s="827" t="str">
        <f t="shared" si="23"/>
        <v/>
      </c>
      <c r="N87" s="827" t="str">
        <f t="shared" si="24"/>
        <v/>
      </c>
      <c r="O87" s="855">
        <f t="shared" si="25"/>
        <v>6.8665799999999999E-2</v>
      </c>
      <c r="P87" s="855" t="str">
        <f t="shared" si="26"/>
        <v/>
      </c>
      <c r="Q87" s="854" t="str">
        <f t="shared" si="27"/>
        <v/>
      </c>
      <c r="S87" s="1916">
        <f>+TableA4!C87</f>
        <v>4.5777200000000004E-2</v>
      </c>
      <c r="T87" s="1916">
        <f>+TableA4!F87</f>
        <v>0.37912479999999998</v>
      </c>
    </row>
    <row r="88" spans="1:22" x14ac:dyDescent="0.2">
      <c r="A88" s="145" t="s">
        <v>880</v>
      </c>
      <c r="B88" s="859" t="str">
        <f>+TableA1!A88</f>
        <v>Panama</v>
      </c>
      <c r="C88" s="827">
        <f t="shared" si="19"/>
        <v>4.9029684997175886</v>
      </c>
      <c r="D88" s="827">
        <f t="shared" si="20"/>
        <v>4.6619983642402885E-2</v>
      </c>
      <c r="E88" s="855">
        <v>10.2681</v>
      </c>
      <c r="F88" s="855">
        <v>1079.8839235576218</v>
      </c>
      <c r="G88" s="858">
        <v>50.344170851950174</v>
      </c>
      <c r="H88" s="827">
        <f t="shared" si="21"/>
        <v>4.5942299999999996</v>
      </c>
      <c r="I88" s="827">
        <f t="shared" si="22"/>
        <v>0.29853202215285468</v>
      </c>
      <c r="J88" s="857">
        <v>1.9793235988718809</v>
      </c>
      <c r="K88" s="857">
        <v>30.460611200325818</v>
      </c>
      <c r="L88" s="856">
        <v>9.0934678576451606</v>
      </c>
      <c r="M88" s="827">
        <f t="shared" si="23"/>
        <v>4.9766939048676369</v>
      </c>
      <c r="N88" s="827">
        <f t="shared" si="24"/>
        <v>3.9307972777586277E-2</v>
      </c>
      <c r="O88" s="855">
        <f t="shared" si="25"/>
        <v>8.2887764011281195</v>
      </c>
      <c r="P88" s="855">
        <f t="shared" si="26"/>
        <v>1049.423312357296</v>
      </c>
      <c r="Q88" s="854">
        <f t="shared" si="27"/>
        <v>41.250702994305016</v>
      </c>
      <c r="S88" s="1916">
        <f>+TableA4!C88</f>
        <v>6.3425300869724222</v>
      </c>
      <c r="T88" s="1916">
        <f>+TableA4!F88</f>
        <v>28.706669913027575</v>
      </c>
      <c r="U88" s="837">
        <f>+S88/K88</f>
        <v>0.2082207098623346</v>
      </c>
      <c r="V88" s="837">
        <f>+T88/P88</f>
        <v>2.7354709558094749E-2</v>
      </c>
    </row>
    <row r="89" spans="1:22" x14ac:dyDescent="0.2">
      <c r="A89" s="145" t="s">
        <v>881</v>
      </c>
      <c r="B89" s="859" t="s">
        <v>108</v>
      </c>
      <c r="C89" s="827">
        <f t="shared" si="19"/>
        <v>4.3912528815495406</v>
      </c>
      <c r="D89" s="827">
        <f t="shared" si="20"/>
        <v>0.14792782283040815</v>
      </c>
      <c r="E89" s="855">
        <v>23.088800000000003</v>
      </c>
      <c r="F89" s="855">
        <v>685.39344114973017</v>
      </c>
      <c r="G89" s="858">
        <f>+L89+Q89</f>
        <v>101.38875953152105</v>
      </c>
      <c r="H89" s="827">
        <f t="shared" si="21"/>
        <v>6.2435226334310059</v>
      </c>
      <c r="I89" s="827">
        <f t="shared" si="22"/>
        <v>0.24695258440129056</v>
      </c>
      <c r="J89" s="857">
        <v>2.5626558818459046</v>
      </c>
      <c r="K89" s="857">
        <v>64.789765366457871</v>
      </c>
      <c r="L89" s="856">
        <v>16</v>
      </c>
      <c r="M89" s="827">
        <v>4.16</v>
      </c>
      <c r="N89" s="827">
        <f t="shared" si="24"/>
        <v>0.13758983851288142</v>
      </c>
      <c r="O89" s="855">
        <f t="shared" si="25"/>
        <v>20.526144118154097</v>
      </c>
      <c r="P89" s="855">
        <f>+IFERROR(IF(AND(F89&gt;0,K89&gt;0),F89-K89,""),"")</f>
        <v>620.60367578327225</v>
      </c>
      <c r="Q89" s="854">
        <f>+O89*M89</f>
        <v>85.388759531521046</v>
      </c>
      <c r="R89" s="853"/>
      <c r="S89" s="1916">
        <f>+TableA4!C89</f>
        <v>45.759696429901176</v>
      </c>
      <c r="T89" s="1916">
        <f>+TableA4!F89</f>
        <v>35.917653570098828</v>
      </c>
      <c r="U89" s="837">
        <f>+S89/K89</f>
        <v>0.70627970592391276</v>
      </c>
      <c r="V89" s="837">
        <f>+T89/P89</f>
        <v>5.7875347780959679E-2</v>
      </c>
    </row>
    <row r="90" spans="1:22" ht="40" customHeight="1" x14ac:dyDescent="0.2">
      <c r="A90" s="853" t="e">
        <v>#REF!</v>
      </c>
      <c r="B90" s="1685" t="s">
        <v>155</v>
      </c>
      <c r="C90" s="1686"/>
      <c r="D90" s="1686"/>
      <c r="E90" s="1687"/>
      <c r="F90" s="1687"/>
      <c r="G90" s="1688"/>
      <c r="H90" s="1686"/>
      <c r="I90" s="1686"/>
      <c r="J90" s="1687"/>
      <c r="K90" s="1687"/>
      <c r="L90" s="1689"/>
      <c r="M90" s="1686"/>
      <c r="N90" s="1686"/>
      <c r="O90" s="1690"/>
      <c r="P90" s="1690"/>
      <c r="Q90" s="1691"/>
      <c r="R90" s="853"/>
    </row>
    <row r="91" spans="1:22" ht="40" customHeight="1" thickBot="1" x14ac:dyDescent="0.25">
      <c r="A91" s="853" t="e">
        <v>#REF!</v>
      </c>
      <c r="B91" s="852" t="s">
        <v>110</v>
      </c>
      <c r="C91" s="822"/>
      <c r="D91" s="822"/>
      <c r="E91" s="850"/>
      <c r="F91" s="850"/>
      <c r="G91" s="851"/>
      <c r="H91" s="822"/>
      <c r="I91" s="822"/>
      <c r="J91" s="850"/>
      <c r="K91" s="850"/>
      <c r="L91" s="849"/>
      <c r="M91" s="822"/>
      <c r="N91" s="822"/>
      <c r="O91" s="848"/>
      <c r="P91" s="848"/>
      <c r="Q91" s="847"/>
    </row>
    <row r="92" spans="1:22" ht="18" customHeight="1" x14ac:dyDescent="0.2">
      <c r="A92" s="145" t="e">
        <v>#REF!</v>
      </c>
      <c r="B92" s="846"/>
      <c r="C92" s="845"/>
      <c r="D92" s="845"/>
      <c r="E92" s="845"/>
      <c r="F92" s="845"/>
      <c r="G92" s="845"/>
      <c r="H92" s="845"/>
      <c r="I92" s="845"/>
      <c r="J92" s="845"/>
      <c r="K92" s="845"/>
      <c r="L92" s="845"/>
      <c r="M92" s="844"/>
      <c r="N92" s="844"/>
      <c r="O92" s="843"/>
      <c r="P92" s="843"/>
      <c r="Q92" s="842"/>
    </row>
    <row r="93" spans="1:22" s="838" customFormat="1" ht="17" thickBot="1" x14ac:dyDescent="0.25">
      <c r="A93" s="145" t="e">
        <v>#REF!</v>
      </c>
      <c r="B93" s="841"/>
      <c r="C93" s="837"/>
      <c r="D93" s="837"/>
      <c r="E93" s="837"/>
      <c r="F93" s="837"/>
      <c r="G93" s="837"/>
      <c r="H93" s="837"/>
      <c r="I93" s="837"/>
      <c r="J93" s="837"/>
      <c r="K93" s="837"/>
      <c r="L93" s="837"/>
      <c r="M93" s="837"/>
      <c r="N93" s="837"/>
      <c r="O93" s="837"/>
      <c r="P93" s="837"/>
      <c r="Q93" s="840"/>
      <c r="R93" s="145"/>
    </row>
    <row r="94" spans="1:22" s="838" customFormat="1" ht="66" customHeight="1" thickBot="1" x14ac:dyDescent="0.25">
      <c r="A94" s="145"/>
      <c r="B94" s="2379" t="s">
        <v>882</v>
      </c>
      <c r="C94" s="2380"/>
      <c r="D94" s="2380"/>
      <c r="E94" s="2380"/>
      <c r="F94" s="2380"/>
      <c r="G94" s="2380"/>
      <c r="H94" s="2380"/>
      <c r="I94" s="2380"/>
      <c r="J94" s="2380"/>
      <c r="K94" s="2380"/>
      <c r="L94" s="2380"/>
      <c r="M94" s="2380"/>
      <c r="N94" s="2380"/>
      <c r="O94" s="2380"/>
      <c r="P94" s="2380"/>
      <c r="Q94" s="2381"/>
      <c r="R94" s="145"/>
    </row>
    <row r="95" spans="1:22" s="838" customFormat="1" x14ac:dyDescent="0.2">
      <c r="A95" s="145"/>
      <c r="B95" s="837"/>
      <c r="C95" s="837"/>
      <c r="D95" s="837"/>
      <c r="E95" s="837"/>
      <c r="F95" s="837"/>
      <c r="G95" s="837"/>
      <c r="H95" s="837"/>
      <c r="I95" s="837"/>
      <c r="J95" s="837"/>
      <c r="K95" s="837"/>
      <c r="L95" s="837"/>
      <c r="M95" s="837"/>
      <c r="N95" s="837"/>
      <c r="O95" s="837"/>
      <c r="P95" s="837"/>
      <c r="R95" s="145"/>
    </row>
    <row r="96" spans="1:22" s="838" customFormat="1" x14ac:dyDescent="0.2">
      <c r="A96" s="145"/>
      <c r="B96" s="837"/>
      <c r="C96" s="837"/>
      <c r="D96" s="837"/>
      <c r="E96" s="837"/>
      <c r="F96" s="837"/>
      <c r="G96" s="837"/>
      <c r="H96" s="837"/>
      <c r="I96" s="837"/>
      <c r="J96" s="837"/>
      <c r="K96" s="837"/>
      <c r="L96" s="837"/>
      <c r="M96" s="837"/>
      <c r="N96" s="837"/>
      <c r="O96" s="837"/>
      <c r="P96" s="837"/>
      <c r="R96" s="145"/>
    </row>
    <row r="97" spans="1:18" s="838" customFormat="1" x14ac:dyDescent="0.2">
      <c r="A97" s="145"/>
      <c r="B97" s="837"/>
      <c r="C97" s="837"/>
      <c r="D97" s="837"/>
      <c r="E97" s="837"/>
      <c r="F97" s="837"/>
      <c r="G97" s="837"/>
      <c r="H97" s="837"/>
      <c r="I97" s="837"/>
      <c r="J97" s="837"/>
      <c r="K97" s="837"/>
      <c r="L97" s="837"/>
      <c r="M97" s="837"/>
      <c r="N97" s="837"/>
      <c r="O97" s="837"/>
      <c r="P97" s="837"/>
      <c r="R97" s="145"/>
    </row>
    <row r="98" spans="1:18" s="838" customFormat="1" x14ac:dyDescent="0.2">
      <c r="A98" s="145"/>
      <c r="B98" s="837"/>
      <c r="C98" s="837"/>
      <c r="D98" s="837"/>
      <c r="E98" s="837"/>
      <c r="F98" s="837"/>
      <c r="G98" s="837"/>
      <c r="H98" s="837"/>
      <c r="I98" s="837"/>
      <c r="J98" s="837"/>
      <c r="K98" s="837"/>
      <c r="L98" s="837"/>
      <c r="M98" s="837"/>
      <c r="N98" s="837"/>
      <c r="O98" s="837"/>
      <c r="P98" s="837"/>
      <c r="R98" s="145"/>
    </row>
    <row r="99" spans="1:18" x14ac:dyDescent="0.2">
      <c r="B99" s="839"/>
    </row>
    <row r="100" spans="1:18" s="838" customFormat="1" x14ac:dyDescent="0.2">
      <c r="A100" s="145"/>
      <c r="B100" s="837"/>
      <c r="C100" s="837"/>
      <c r="D100" s="837"/>
      <c r="E100" s="837"/>
      <c r="F100" s="837"/>
      <c r="G100" s="837"/>
      <c r="H100" s="837"/>
      <c r="I100" s="837"/>
      <c r="J100" s="837"/>
      <c r="K100" s="837"/>
      <c r="L100" s="837"/>
      <c r="M100" s="837"/>
      <c r="N100" s="837"/>
      <c r="O100" s="837"/>
      <c r="P100" s="837"/>
      <c r="R100" s="145"/>
    </row>
  </sheetData>
  <mergeCells count="11">
    <mergeCell ref="N7:N8"/>
    <mergeCell ref="B94:Q94"/>
    <mergeCell ref="B3:Q3"/>
    <mergeCell ref="C7:C8"/>
    <mergeCell ref="H7:H8"/>
    <mergeCell ref="M7:M8"/>
    <mergeCell ref="C6:G6"/>
    <mergeCell ref="H6:L6"/>
    <mergeCell ref="M6:Q6"/>
    <mergeCell ref="D7:D8"/>
    <mergeCell ref="I7:I8"/>
  </mergeCells>
  <pageMargins left="0.75" right="0.75" top="1" bottom="1" header="0.5" footer="0.5"/>
  <pageSetup scale="30" orientation="portrait" horizontalDpi="4294967292" verticalDpi="429496729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N96"/>
  <sheetViews>
    <sheetView zoomScale="94" workbookViewId="0">
      <selection activeCell="A2" sqref="A2:H9"/>
    </sheetView>
  </sheetViews>
  <sheetFormatPr baseColWidth="10" defaultColWidth="10.83203125" defaultRowHeight="16" x14ac:dyDescent="0.2"/>
  <cols>
    <col min="1" max="1" width="18.83203125" style="817" bestFit="1" customWidth="1"/>
    <col min="2" max="7" width="16.33203125" style="817" customWidth="1"/>
    <col min="8" max="8" width="21.1640625" style="817" bestFit="1" customWidth="1"/>
    <col min="9" max="16384" width="10.83203125" style="817"/>
  </cols>
  <sheetData>
    <row r="1" spans="1:14" ht="17" thickBot="1" x14ac:dyDescent="0.25"/>
    <row r="2" spans="1:14" x14ac:dyDescent="0.2">
      <c r="A2" s="2391" t="s">
        <v>883</v>
      </c>
      <c r="B2" s="2392"/>
      <c r="C2" s="2392"/>
      <c r="D2" s="2392"/>
      <c r="E2" s="2392"/>
      <c r="F2" s="2392"/>
      <c r="G2" s="2392"/>
      <c r="H2" s="2393"/>
    </row>
    <row r="3" spans="1:14" x14ac:dyDescent="0.2">
      <c r="A3" s="2394"/>
      <c r="B3" s="2395"/>
      <c r="C3" s="2395"/>
      <c r="D3" s="2395"/>
      <c r="E3" s="2395"/>
      <c r="F3" s="2395"/>
      <c r="G3" s="2395"/>
      <c r="H3" s="2396"/>
    </row>
    <row r="4" spans="1:14" ht="20" x14ac:dyDescent="0.2">
      <c r="A4" s="1857"/>
      <c r="B4" s="888" t="s">
        <v>1</v>
      </c>
      <c r="C4" s="888" t="s">
        <v>2</v>
      </c>
      <c r="D4" s="888" t="s">
        <v>3</v>
      </c>
      <c r="E4" s="888" t="s">
        <v>4</v>
      </c>
      <c r="F4" s="888" t="s">
        <v>5</v>
      </c>
      <c r="G4" s="888" t="s">
        <v>6</v>
      </c>
      <c r="H4" s="836" t="s">
        <v>7</v>
      </c>
      <c r="K4" s="887"/>
      <c r="L4" s="887"/>
      <c r="M4" s="887"/>
    </row>
    <row r="5" spans="1:14" x14ac:dyDescent="0.2">
      <c r="A5" s="1692"/>
      <c r="B5" s="2390" t="s">
        <v>884</v>
      </c>
      <c r="C5" s="2390"/>
      <c r="D5" s="2390"/>
      <c r="E5" s="2389" t="s">
        <v>885</v>
      </c>
      <c r="F5" s="2389"/>
      <c r="G5" s="2389"/>
      <c r="H5" s="1693" t="s">
        <v>886</v>
      </c>
      <c r="K5" s="887"/>
      <c r="L5" s="887"/>
      <c r="M5" s="887"/>
    </row>
    <row r="6" spans="1:14" x14ac:dyDescent="0.2">
      <c r="A6" s="835"/>
      <c r="B6" s="834" t="s">
        <v>887</v>
      </c>
      <c r="C6" s="832" t="s">
        <v>888</v>
      </c>
      <c r="D6" s="831" t="s">
        <v>889</v>
      </c>
      <c r="E6" s="833" t="s">
        <v>887</v>
      </c>
      <c r="F6" s="832" t="s">
        <v>888</v>
      </c>
      <c r="G6" s="831" t="s">
        <v>889</v>
      </c>
      <c r="H6" s="830" t="s">
        <v>887</v>
      </c>
      <c r="K6" s="887"/>
      <c r="L6" s="887"/>
      <c r="M6" s="887"/>
    </row>
    <row r="7" spans="1:14" x14ac:dyDescent="0.2">
      <c r="A7" s="828" t="s">
        <v>890</v>
      </c>
      <c r="B7" s="889">
        <f>+D7/C7</f>
        <v>3.0527454726222341</v>
      </c>
      <c r="C7" s="890">
        <f>+'Table E1'!J9+'Table E1'!J45+'Table E1'!J60+'Table E1'!J62+'Table E1'!J67+'Table E1'!J72+'Table E1'!J83+'Table E1'!J77+'Table E1'!J88+'Table E1'!J89</f>
        <v>2770.3084214166402</v>
      </c>
      <c r="D7" s="829">
        <f>+'Table E1'!L9+'Table E1'!L45+'Table E1'!L60+'Table E1'!L62+'Table E1'!L67+'Table E1'!L72+'Table E1'!L83+'Table E1'!L77+'Table E1'!L88+'Table E1'!L89</f>
        <v>8457.046491246896</v>
      </c>
      <c r="E7" s="826">
        <f>+G7/F7</f>
        <v>2.8110776622283749</v>
      </c>
      <c r="F7" s="890">
        <f>+'Table E1'!O9+'Table E1'!O45+'Table E1'!O60+'Table E1'!O62+'Table E1'!O67+'Table E1'!O72+'Table E1'!O83+'Table E1'!O77+'Table E1'!O88+'Table E1'!O89</f>
        <v>17513.180188482173</v>
      </c>
      <c r="G7" s="829">
        <f>+'Table E1'!Q9+'Table E1'!Q45+'Table E1'!Q60+'Table E1'!Q62+'Table E1'!Q67+'Table E1'!Q72+'Table E1'!Q83+'Table E1'!Q77+'Table E1'!Q88+'Table E1'!Q89</f>
        <v>49230.909622422754</v>
      </c>
      <c r="H7" s="824">
        <f>+B7/E7</f>
        <v>1.0859698092447172</v>
      </c>
      <c r="K7" s="887"/>
      <c r="L7" s="887"/>
      <c r="M7" s="887"/>
    </row>
    <row r="8" spans="1:14" x14ac:dyDescent="0.2">
      <c r="A8" s="828" t="s">
        <v>116</v>
      </c>
      <c r="B8" s="889">
        <f>+D8/C8</f>
        <v>2.4524009228573944</v>
      </c>
      <c r="C8" s="891">
        <f>+'Table E1'!J12+'Table E1'!J24++'Table E1'!J30+'Table E1'!J41+'Table E1'!J32+'Table E1'!J60+'Table E1'!J62+'Table E1'!J72+'Table E1'!J77+'Table E1'!J83+'Table E1'!J88+'Table E1'!J89</f>
        <v>241.63390424752185</v>
      </c>
      <c r="D8" s="825">
        <f>+'Table E1'!L12+'Table E1'!L24++'Table E1'!L30+'Table E1'!L41+'Table E1'!L32+'Table E1'!L60+'Table E1'!L62+'Table E1'!L67+'Table E1'!L72+'Table E1'!L77+'Table E1'!L83+'Table E1'!L88+'Table E1'!L89</f>
        <v>592.58320977025789</v>
      </c>
      <c r="E8" s="826">
        <f>+G8/F8</f>
        <v>2.708681523099028</v>
      </c>
      <c r="F8" s="891">
        <f>+'Table E1'!O12+'Table E1'!O24++'Table E1'!O30+'Table E1'!O41+'Table E1'!O32+'Table E1'!O60+'Table E1'!O62+'Table E1'!O72+'Table E1'!O77+'Table E1'!O83+'Table E1'!O88+'Table E1'!O89</f>
        <v>871.07808662809578</v>
      </c>
      <c r="G8" s="825">
        <f>+'Table E1'!Q12+'Table E1'!Q24++'Table E1'!Q30+'Table E1'!Q41+'Table E1'!Q32+'Table E1'!Q60+'Table E1'!Q62+'Table E1'!Q67+'Table E1'!Q72+'Table E1'!Q77+'Table E1'!Q83+'Table E1'!Q88+'Table E1'!Q89</f>
        <v>2359.4731184259776</v>
      </c>
      <c r="H8" s="824">
        <f>+B8/E8</f>
        <v>0.90538548070117131</v>
      </c>
      <c r="K8" s="887"/>
      <c r="L8" s="887"/>
      <c r="M8" s="887"/>
    </row>
    <row r="9" spans="1:14" ht="17" thickBot="1" x14ac:dyDescent="0.25">
      <c r="A9" s="823" t="s">
        <v>891</v>
      </c>
      <c r="B9" s="822">
        <f>+D9/C9</f>
        <v>3.1101129180836606</v>
      </c>
      <c r="C9" s="820">
        <f>+C7-C8</f>
        <v>2528.6745171691182</v>
      </c>
      <c r="D9" s="819">
        <f>+D7-D8</f>
        <v>7864.4632814766383</v>
      </c>
      <c r="E9" s="821">
        <f>+G9/F9</f>
        <v>2.8164372635819173</v>
      </c>
      <c r="F9" s="820">
        <f>+F7-F8</f>
        <v>16642.102101854078</v>
      </c>
      <c r="G9" s="819">
        <f>+G7-G8</f>
        <v>46871.436503996774</v>
      </c>
      <c r="H9" s="818">
        <f>+B9/E9</f>
        <v>1.1042720384008304</v>
      </c>
      <c r="K9" s="887"/>
      <c r="L9" s="887"/>
      <c r="M9" s="887"/>
    </row>
    <row r="10" spans="1:14" x14ac:dyDescent="0.2">
      <c r="G10" s="887"/>
      <c r="H10" s="887"/>
      <c r="I10" s="887"/>
      <c r="J10" s="887"/>
      <c r="K10" s="887"/>
      <c r="L10" s="887"/>
      <c r="M10" s="887"/>
      <c r="N10" s="887"/>
    </row>
    <row r="11" spans="1:14" x14ac:dyDescent="0.2">
      <c r="G11" s="887"/>
      <c r="H11" s="887"/>
      <c r="I11" s="887"/>
      <c r="J11" s="887"/>
      <c r="K11" s="887"/>
      <c r="L11" s="887"/>
      <c r="M11" s="887"/>
      <c r="N11" s="887"/>
    </row>
    <row r="12" spans="1:14" x14ac:dyDescent="0.2">
      <c r="G12" s="887"/>
      <c r="H12" s="887"/>
      <c r="I12" s="887"/>
      <c r="J12" s="887"/>
      <c r="K12" s="887"/>
      <c r="L12" s="887"/>
      <c r="M12" s="887"/>
      <c r="N12" s="887"/>
    </row>
    <row r="13" spans="1:14" x14ac:dyDescent="0.2">
      <c r="G13" s="887"/>
      <c r="H13" s="887"/>
      <c r="I13" s="887"/>
      <c r="J13" s="887"/>
      <c r="K13" s="887"/>
      <c r="L13" s="887"/>
      <c r="M13" s="887"/>
      <c r="N13" s="887"/>
    </row>
    <row r="14" spans="1:14" x14ac:dyDescent="0.2">
      <c r="G14" s="887"/>
      <c r="H14" s="887"/>
      <c r="I14" s="887"/>
      <c r="J14" s="887"/>
      <c r="K14" s="887"/>
      <c r="L14" s="887"/>
      <c r="M14" s="887"/>
      <c r="N14" s="887"/>
    </row>
    <row r="15" spans="1:14" x14ac:dyDescent="0.2">
      <c r="G15" s="887"/>
      <c r="H15" s="887"/>
      <c r="I15" s="887"/>
      <c r="J15" s="887"/>
      <c r="K15" s="887"/>
      <c r="L15" s="887"/>
      <c r="M15" s="887"/>
      <c r="N15" s="887"/>
    </row>
    <row r="16" spans="1:14" x14ac:dyDescent="0.2">
      <c r="G16" s="887"/>
      <c r="H16" s="887"/>
      <c r="I16" s="887"/>
      <c r="J16" s="887"/>
      <c r="K16" s="887"/>
      <c r="L16" s="887"/>
      <c r="M16" s="887"/>
      <c r="N16" s="887"/>
    </row>
    <row r="17" spans="7:14" x14ac:dyDescent="0.2">
      <c r="G17" s="887"/>
      <c r="H17" s="887"/>
      <c r="I17" s="887"/>
      <c r="J17" s="887"/>
      <c r="K17" s="887"/>
      <c r="L17" s="887"/>
      <c r="M17" s="887"/>
      <c r="N17" s="887"/>
    </row>
    <row r="18" spans="7:14" x14ac:dyDescent="0.2">
      <c r="G18" s="887"/>
      <c r="H18" s="887"/>
      <c r="I18" s="887"/>
      <c r="J18" s="887"/>
      <c r="K18" s="887"/>
      <c r="L18" s="887"/>
      <c r="M18" s="887"/>
      <c r="N18" s="887"/>
    </row>
    <row r="19" spans="7:14" x14ac:dyDescent="0.2">
      <c r="G19" s="887"/>
      <c r="H19" s="887"/>
      <c r="I19" s="887"/>
      <c r="J19" s="887"/>
      <c r="K19" s="887"/>
      <c r="L19" s="887"/>
      <c r="M19" s="887"/>
      <c r="N19" s="887"/>
    </row>
    <row r="20" spans="7:14" x14ac:dyDescent="0.2">
      <c r="G20" s="887"/>
      <c r="H20" s="887"/>
      <c r="I20" s="887"/>
      <c r="J20" s="887"/>
      <c r="K20" s="887"/>
      <c r="L20" s="887"/>
      <c r="M20" s="887"/>
      <c r="N20" s="887"/>
    </row>
    <row r="21" spans="7:14" x14ac:dyDescent="0.2">
      <c r="G21" s="887"/>
      <c r="H21" s="887"/>
      <c r="I21" s="887"/>
      <c r="J21" s="887"/>
      <c r="K21" s="887"/>
      <c r="L21" s="887"/>
      <c r="M21" s="887"/>
      <c r="N21" s="887"/>
    </row>
    <row r="22" spans="7:14" x14ac:dyDescent="0.2">
      <c r="G22" s="887"/>
      <c r="H22" s="887"/>
      <c r="I22" s="887"/>
      <c r="J22" s="887"/>
      <c r="K22" s="887"/>
      <c r="L22" s="887"/>
      <c r="M22" s="887"/>
      <c r="N22" s="887"/>
    </row>
    <row r="23" spans="7:14" x14ac:dyDescent="0.2">
      <c r="G23" s="887"/>
      <c r="H23" s="887"/>
      <c r="I23" s="887"/>
      <c r="J23" s="887"/>
      <c r="K23" s="887"/>
      <c r="L23" s="887"/>
      <c r="M23" s="887"/>
      <c r="N23" s="887"/>
    </row>
    <row r="24" spans="7:14" x14ac:dyDescent="0.2">
      <c r="G24" s="887"/>
      <c r="H24" s="887"/>
      <c r="I24" s="887"/>
      <c r="J24" s="887"/>
      <c r="K24" s="887"/>
      <c r="L24" s="887"/>
      <c r="M24" s="887"/>
      <c r="N24" s="887"/>
    </row>
    <row r="25" spans="7:14" x14ac:dyDescent="0.2">
      <c r="G25" s="887"/>
      <c r="H25" s="887"/>
      <c r="I25" s="887"/>
      <c r="J25" s="887"/>
      <c r="K25" s="887"/>
      <c r="L25" s="887"/>
      <c r="M25" s="887"/>
      <c r="N25" s="887"/>
    </row>
    <row r="26" spans="7:14" x14ac:dyDescent="0.2">
      <c r="G26" s="887"/>
      <c r="H26" s="887"/>
      <c r="I26" s="887"/>
      <c r="J26" s="887"/>
      <c r="K26" s="887"/>
      <c r="L26" s="887"/>
      <c r="M26" s="887"/>
      <c r="N26" s="887"/>
    </row>
    <row r="27" spans="7:14" x14ac:dyDescent="0.2">
      <c r="G27" s="887"/>
      <c r="H27" s="887"/>
      <c r="I27" s="887"/>
      <c r="J27" s="887"/>
      <c r="K27" s="887"/>
      <c r="L27" s="887"/>
      <c r="M27" s="887"/>
      <c r="N27" s="887"/>
    </row>
    <row r="28" spans="7:14" x14ac:dyDescent="0.2">
      <c r="G28" s="887"/>
      <c r="H28" s="887"/>
      <c r="I28" s="887"/>
      <c r="J28" s="887"/>
      <c r="K28" s="887"/>
      <c r="L28" s="887"/>
      <c r="M28" s="887"/>
      <c r="N28" s="887"/>
    </row>
    <row r="29" spans="7:14" x14ac:dyDescent="0.2">
      <c r="G29" s="887"/>
      <c r="H29" s="887"/>
      <c r="I29" s="887"/>
      <c r="J29" s="887"/>
      <c r="K29" s="887"/>
      <c r="L29" s="887"/>
      <c r="M29" s="887"/>
      <c r="N29" s="887"/>
    </row>
    <row r="30" spans="7:14" x14ac:dyDescent="0.2">
      <c r="G30" s="887"/>
      <c r="H30" s="887"/>
      <c r="I30" s="887"/>
      <c r="J30" s="887"/>
      <c r="K30" s="887"/>
      <c r="L30" s="887"/>
      <c r="M30" s="887"/>
      <c r="N30" s="887"/>
    </row>
    <row r="31" spans="7:14" x14ac:dyDescent="0.2">
      <c r="G31" s="887"/>
      <c r="H31" s="887"/>
      <c r="I31" s="887"/>
      <c r="J31" s="887"/>
      <c r="K31" s="887"/>
      <c r="L31" s="887"/>
      <c r="M31" s="887"/>
      <c r="N31" s="887"/>
    </row>
    <row r="32" spans="7:14" x14ac:dyDescent="0.2">
      <c r="G32" s="887"/>
      <c r="H32" s="887"/>
      <c r="I32" s="887"/>
      <c r="J32" s="887"/>
      <c r="K32" s="887"/>
      <c r="L32" s="887"/>
      <c r="M32" s="887"/>
      <c r="N32" s="887"/>
    </row>
    <row r="33" spans="7:14" x14ac:dyDescent="0.2">
      <c r="G33" s="887"/>
      <c r="H33" s="887"/>
      <c r="I33" s="887"/>
      <c r="J33" s="887"/>
      <c r="K33" s="887"/>
      <c r="L33" s="887"/>
      <c r="M33" s="887"/>
      <c r="N33" s="887"/>
    </row>
    <row r="34" spans="7:14" x14ac:dyDescent="0.2">
      <c r="G34" s="887"/>
      <c r="H34" s="887"/>
      <c r="I34" s="887"/>
      <c r="J34" s="887"/>
      <c r="K34" s="887"/>
      <c r="L34" s="887"/>
      <c r="M34" s="887"/>
      <c r="N34" s="887"/>
    </row>
    <row r="35" spans="7:14" x14ac:dyDescent="0.2">
      <c r="G35" s="887"/>
      <c r="H35" s="887"/>
      <c r="I35" s="887"/>
      <c r="J35" s="887"/>
      <c r="K35" s="887"/>
      <c r="L35" s="887"/>
      <c r="M35" s="887"/>
      <c r="N35" s="887"/>
    </row>
    <row r="36" spans="7:14" x14ac:dyDescent="0.2">
      <c r="G36" s="887"/>
      <c r="H36" s="887"/>
      <c r="I36" s="887"/>
      <c r="J36" s="887"/>
      <c r="K36" s="887"/>
      <c r="L36" s="887"/>
      <c r="M36" s="887"/>
      <c r="N36" s="887"/>
    </row>
    <row r="37" spans="7:14" x14ac:dyDescent="0.2">
      <c r="G37" s="887"/>
      <c r="H37" s="887"/>
      <c r="I37" s="887"/>
      <c r="J37" s="887"/>
      <c r="K37" s="887"/>
      <c r="L37" s="887"/>
      <c r="M37" s="887"/>
      <c r="N37" s="887"/>
    </row>
    <row r="38" spans="7:14" x14ac:dyDescent="0.2">
      <c r="G38" s="887"/>
      <c r="H38" s="887"/>
      <c r="I38" s="887"/>
      <c r="J38" s="887"/>
      <c r="K38" s="887"/>
      <c r="L38" s="887"/>
      <c r="M38" s="887"/>
      <c r="N38" s="887"/>
    </row>
    <row r="39" spans="7:14" x14ac:dyDescent="0.2">
      <c r="G39" s="887"/>
      <c r="H39" s="887"/>
      <c r="I39" s="887"/>
      <c r="J39" s="887"/>
      <c r="K39" s="887"/>
      <c r="L39" s="887"/>
      <c r="M39" s="887"/>
      <c r="N39" s="887"/>
    </row>
    <row r="40" spans="7:14" x14ac:dyDescent="0.2">
      <c r="G40" s="887"/>
      <c r="H40" s="887"/>
      <c r="I40" s="887"/>
      <c r="J40" s="887"/>
      <c r="K40" s="887"/>
      <c r="L40" s="887"/>
      <c r="M40" s="887"/>
      <c r="N40" s="887"/>
    </row>
    <row r="41" spans="7:14" x14ac:dyDescent="0.2">
      <c r="G41" s="887"/>
      <c r="H41" s="887"/>
      <c r="I41" s="887"/>
      <c r="J41" s="887"/>
      <c r="K41" s="887"/>
      <c r="L41" s="887"/>
      <c r="M41" s="887"/>
      <c r="N41" s="887"/>
    </row>
    <row r="42" spans="7:14" x14ac:dyDescent="0.2">
      <c r="G42" s="887"/>
      <c r="H42" s="887"/>
      <c r="I42" s="887"/>
      <c r="J42" s="887"/>
      <c r="K42" s="887"/>
      <c r="L42" s="887"/>
      <c r="M42" s="887"/>
      <c r="N42" s="887"/>
    </row>
    <row r="43" spans="7:14" x14ac:dyDescent="0.2">
      <c r="G43" s="887"/>
      <c r="H43" s="887"/>
      <c r="I43" s="887"/>
      <c r="J43" s="887"/>
      <c r="K43" s="887"/>
      <c r="L43" s="887"/>
      <c r="M43" s="887"/>
      <c r="N43" s="887"/>
    </row>
    <row r="44" spans="7:14" x14ac:dyDescent="0.2">
      <c r="G44" s="887"/>
      <c r="H44" s="887"/>
      <c r="I44" s="887"/>
      <c r="J44" s="887"/>
      <c r="K44" s="887"/>
      <c r="L44" s="887"/>
      <c r="M44" s="887"/>
      <c r="N44" s="887"/>
    </row>
    <row r="45" spans="7:14" x14ac:dyDescent="0.2">
      <c r="G45" s="887"/>
      <c r="H45" s="887"/>
      <c r="I45" s="887"/>
      <c r="J45" s="887"/>
      <c r="K45" s="887"/>
      <c r="L45" s="887"/>
      <c r="M45" s="887"/>
      <c r="N45" s="887"/>
    </row>
    <row r="46" spans="7:14" x14ac:dyDescent="0.2">
      <c r="G46" s="887"/>
      <c r="H46" s="887"/>
      <c r="I46" s="887"/>
      <c r="J46" s="887"/>
      <c r="K46" s="887"/>
      <c r="L46" s="887"/>
      <c r="M46" s="887"/>
      <c r="N46" s="887"/>
    </row>
    <row r="47" spans="7:14" x14ac:dyDescent="0.2">
      <c r="G47" s="887"/>
      <c r="H47" s="887"/>
      <c r="I47" s="887"/>
      <c r="J47" s="887"/>
      <c r="K47" s="887"/>
      <c r="L47" s="887"/>
      <c r="M47" s="887"/>
      <c r="N47" s="887"/>
    </row>
    <row r="48" spans="7:14" x14ac:dyDescent="0.2">
      <c r="G48" s="887"/>
      <c r="H48" s="887"/>
      <c r="I48" s="887"/>
      <c r="J48" s="887"/>
      <c r="K48" s="887"/>
      <c r="L48" s="887"/>
      <c r="M48" s="887"/>
      <c r="N48" s="887"/>
    </row>
    <row r="49" spans="7:14" x14ac:dyDescent="0.2">
      <c r="G49" s="887"/>
      <c r="H49" s="887"/>
      <c r="I49" s="887"/>
      <c r="J49" s="887"/>
      <c r="K49" s="887"/>
      <c r="L49" s="887"/>
      <c r="M49" s="887"/>
      <c r="N49" s="887"/>
    </row>
    <row r="50" spans="7:14" x14ac:dyDescent="0.2">
      <c r="G50" s="887"/>
      <c r="H50" s="887"/>
      <c r="I50" s="887"/>
      <c r="J50" s="887"/>
      <c r="K50" s="887"/>
      <c r="L50" s="887"/>
      <c r="M50" s="887"/>
      <c r="N50" s="887"/>
    </row>
    <row r="51" spans="7:14" x14ac:dyDescent="0.2">
      <c r="G51" s="887"/>
      <c r="H51" s="887"/>
      <c r="I51" s="887"/>
      <c r="J51" s="887"/>
      <c r="K51" s="887"/>
      <c r="L51" s="887"/>
      <c r="M51" s="887"/>
      <c r="N51" s="887"/>
    </row>
    <row r="52" spans="7:14" x14ac:dyDescent="0.2">
      <c r="G52" s="887"/>
      <c r="H52" s="887"/>
      <c r="I52" s="887"/>
      <c r="J52" s="887"/>
      <c r="K52" s="887"/>
      <c r="L52" s="887"/>
      <c r="M52" s="887"/>
      <c r="N52" s="887"/>
    </row>
    <row r="53" spans="7:14" x14ac:dyDescent="0.2">
      <c r="G53" s="887"/>
      <c r="H53" s="887"/>
      <c r="I53" s="887"/>
      <c r="J53" s="887"/>
      <c r="K53" s="887"/>
      <c r="L53" s="887"/>
      <c r="M53" s="887"/>
      <c r="N53" s="887"/>
    </row>
    <row r="54" spans="7:14" x14ac:dyDescent="0.2">
      <c r="G54" s="887"/>
      <c r="H54" s="887"/>
      <c r="I54" s="887"/>
      <c r="J54" s="887"/>
      <c r="K54" s="887"/>
      <c r="L54" s="887"/>
      <c r="M54" s="887"/>
      <c r="N54" s="887"/>
    </row>
    <row r="55" spans="7:14" x14ac:dyDescent="0.2">
      <c r="G55" s="887"/>
      <c r="H55" s="887"/>
      <c r="I55" s="887"/>
      <c r="J55" s="887"/>
      <c r="K55" s="887"/>
      <c r="L55" s="887"/>
      <c r="M55" s="887"/>
      <c r="N55" s="887"/>
    </row>
    <row r="56" spans="7:14" x14ac:dyDescent="0.2">
      <c r="G56" s="887"/>
      <c r="H56" s="887"/>
      <c r="I56" s="887"/>
      <c r="J56" s="887"/>
      <c r="K56" s="887"/>
      <c r="L56" s="887"/>
      <c r="M56" s="887"/>
      <c r="N56" s="887"/>
    </row>
    <row r="57" spans="7:14" x14ac:dyDescent="0.2">
      <c r="G57" s="887"/>
      <c r="H57" s="887"/>
      <c r="I57" s="887"/>
      <c r="J57" s="887"/>
      <c r="K57" s="887"/>
      <c r="L57" s="887"/>
      <c r="M57" s="887"/>
      <c r="N57" s="887"/>
    </row>
    <row r="58" spans="7:14" x14ac:dyDescent="0.2">
      <c r="G58" s="887"/>
      <c r="H58" s="887"/>
      <c r="I58" s="887"/>
      <c r="J58" s="887"/>
      <c r="K58" s="887"/>
      <c r="L58" s="887"/>
      <c r="M58" s="887"/>
      <c r="N58" s="887"/>
    </row>
    <row r="59" spans="7:14" x14ac:dyDescent="0.2">
      <c r="G59" s="887"/>
      <c r="H59" s="887"/>
      <c r="I59" s="887"/>
      <c r="J59" s="887"/>
      <c r="K59" s="887"/>
      <c r="L59" s="887"/>
      <c r="M59" s="887"/>
      <c r="N59" s="887"/>
    </row>
    <row r="60" spans="7:14" x14ac:dyDescent="0.2">
      <c r="G60" s="887"/>
      <c r="H60" s="887"/>
      <c r="I60" s="887"/>
      <c r="J60" s="887"/>
      <c r="K60" s="887"/>
      <c r="L60" s="887"/>
      <c r="M60" s="887"/>
      <c r="N60" s="887"/>
    </row>
    <row r="61" spans="7:14" x14ac:dyDescent="0.2">
      <c r="G61" s="887"/>
      <c r="H61" s="887"/>
      <c r="I61" s="887"/>
      <c r="J61" s="887"/>
      <c r="K61" s="887"/>
      <c r="L61" s="887"/>
      <c r="M61" s="887"/>
      <c r="N61" s="887"/>
    </row>
    <row r="62" spans="7:14" x14ac:dyDescent="0.2">
      <c r="G62" s="887"/>
      <c r="H62" s="887"/>
      <c r="I62" s="887"/>
      <c r="J62" s="887"/>
      <c r="K62" s="887"/>
      <c r="L62" s="887"/>
      <c r="M62" s="887"/>
      <c r="N62" s="887"/>
    </row>
    <row r="63" spans="7:14" x14ac:dyDescent="0.2">
      <c r="G63" s="887"/>
      <c r="H63" s="887"/>
      <c r="I63" s="887"/>
      <c r="J63" s="887"/>
      <c r="K63" s="887"/>
      <c r="L63" s="887"/>
      <c r="M63" s="887"/>
      <c r="N63" s="887"/>
    </row>
    <row r="64" spans="7:14" x14ac:dyDescent="0.2">
      <c r="G64" s="887"/>
      <c r="H64" s="887"/>
      <c r="I64" s="887"/>
      <c r="J64" s="887"/>
      <c r="K64" s="887"/>
      <c r="L64" s="887"/>
      <c r="M64" s="887"/>
      <c r="N64" s="887"/>
    </row>
    <row r="65" spans="7:14" x14ac:dyDescent="0.2">
      <c r="G65" s="887"/>
      <c r="H65" s="887"/>
      <c r="I65" s="887"/>
      <c r="J65" s="887"/>
      <c r="K65" s="887"/>
      <c r="L65" s="887"/>
      <c r="M65" s="887"/>
      <c r="N65" s="887"/>
    </row>
    <row r="66" spans="7:14" x14ac:dyDescent="0.2">
      <c r="G66" s="887"/>
      <c r="H66" s="887"/>
      <c r="I66" s="887"/>
      <c r="J66" s="887"/>
      <c r="K66" s="887"/>
      <c r="L66" s="887"/>
      <c r="M66" s="887"/>
      <c r="N66" s="887"/>
    </row>
    <row r="67" spans="7:14" x14ac:dyDescent="0.2">
      <c r="G67" s="887"/>
      <c r="H67" s="887"/>
      <c r="I67" s="887"/>
      <c r="J67" s="887"/>
      <c r="K67" s="887"/>
      <c r="L67" s="887"/>
      <c r="M67" s="887"/>
      <c r="N67" s="887"/>
    </row>
    <row r="68" spans="7:14" x14ac:dyDescent="0.2">
      <c r="G68" s="887"/>
      <c r="H68" s="887"/>
      <c r="I68" s="887"/>
      <c r="J68" s="887"/>
      <c r="K68" s="887"/>
      <c r="L68" s="887"/>
      <c r="M68" s="887"/>
      <c r="N68" s="887"/>
    </row>
    <row r="69" spans="7:14" x14ac:dyDescent="0.2">
      <c r="G69" s="887"/>
      <c r="H69" s="887"/>
      <c r="I69" s="887"/>
      <c r="J69" s="887"/>
      <c r="K69" s="887"/>
      <c r="L69" s="887"/>
      <c r="M69" s="887"/>
      <c r="N69" s="887"/>
    </row>
    <row r="70" spans="7:14" x14ac:dyDescent="0.2">
      <c r="G70" s="887"/>
      <c r="H70" s="887"/>
      <c r="I70" s="887"/>
      <c r="J70" s="887"/>
      <c r="K70" s="887"/>
      <c r="L70" s="887"/>
      <c r="M70" s="887"/>
      <c r="N70" s="887"/>
    </row>
    <row r="71" spans="7:14" x14ac:dyDescent="0.2">
      <c r="G71" s="887"/>
      <c r="H71" s="887"/>
      <c r="I71" s="887"/>
      <c r="J71" s="887"/>
      <c r="K71" s="887"/>
      <c r="L71" s="887"/>
      <c r="M71" s="887"/>
      <c r="N71" s="887"/>
    </row>
    <row r="72" spans="7:14" x14ac:dyDescent="0.2">
      <c r="G72" s="887"/>
      <c r="H72" s="887"/>
      <c r="I72" s="887"/>
      <c r="J72" s="887"/>
      <c r="K72" s="887"/>
      <c r="L72" s="887"/>
      <c r="M72" s="887"/>
      <c r="N72" s="887"/>
    </row>
    <row r="73" spans="7:14" x14ac:dyDescent="0.2">
      <c r="G73" s="887"/>
      <c r="H73" s="887"/>
      <c r="I73" s="887"/>
      <c r="J73" s="887"/>
      <c r="K73" s="887"/>
      <c r="L73" s="887"/>
      <c r="M73" s="887"/>
      <c r="N73" s="887"/>
    </row>
    <row r="74" spans="7:14" x14ac:dyDescent="0.2">
      <c r="G74" s="887"/>
      <c r="H74" s="887"/>
      <c r="I74" s="887"/>
      <c r="J74" s="887"/>
      <c r="K74" s="887"/>
      <c r="L74" s="887"/>
      <c r="M74" s="887"/>
      <c r="N74" s="887"/>
    </row>
    <row r="75" spans="7:14" x14ac:dyDescent="0.2">
      <c r="G75" s="887"/>
      <c r="H75" s="887"/>
      <c r="I75" s="887"/>
      <c r="J75" s="887"/>
      <c r="K75" s="887"/>
      <c r="L75" s="887"/>
      <c r="M75" s="887"/>
      <c r="N75" s="887"/>
    </row>
    <row r="76" spans="7:14" x14ac:dyDescent="0.2">
      <c r="G76" s="887"/>
      <c r="H76" s="887"/>
      <c r="I76" s="887"/>
      <c r="J76" s="887"/>
      <c r="K76" s="887"/>
      <c r="L76" s="887"/>
      <c r="M76" s="887"/>
      <c r="N76" s="887"/>
    </row>
    <row r="77" spans="7:14" x14ac:dyDescent="0.2">
      <c r="G77" s="887"/>
      <c r="H77" s="887"/>
      <c r="I77" s="887"/>
      <c r="J77" s="887"/>
      <c r="K77" s="887"/>
      <c r="L77" s="887"/>
      <c r="M77" s="887"/>
      <c r="N77" s="887"/>
    </row>
    <row r="78" spans="7:14" x14ac:dyDescent="0.2">
      <c r="G78" s="887"/>
      <c r="H78" s="887"/>
      <c r="I78" s="887"/>
      <c r="J78" s="887"/>
      <c r="K78" s="887"/>
      <c r="L78" s="887"/>
      <c r="M78" s="887"/>
      <c r="N78" s="887"/>
    </row>
    <row r="79" spans="7:14" x14ac:dyDescent="0.2">
      <c r="G79" s="887"/>
      <c r="H79" s="887"/>
      <c r="I79" s="887"/>
      <c r="J79" s="887"/>
      <c r="K79" s="887"/>
      <c r="L79" s="887"/>
      <c r="M79" s="887"/>
      <c r="N79" s="887"/>
    </row>
    <row r="80" spans="7:14" x14ac:dyDescent="0.2">
      <c r="G80" s="887"/>
      <c r="H80" s="887"/>
      <c r="I80" s="887"/>
      <c r="J80" s="887"/>
      <c r="K80" s="887"/>
      <c r="L80" s="887"/>
      <c r="M80" s="887"/>
      <c r="N80" s="887"/>
    </row>
    <row r="81" spans="7:14" x14ac:dyDescent="0.2">
      <c r="G81" s="887"/>
      <c r="H81" s="887"/>
      <c r="I81" s="887"/>
      <c r="J81" s="887"/>
      <c r="K81" s="887"/>
      <c r="L81" s="887"/>
      <c r="M81" s="887"/>
      <c r="N81" s="887"/>
    </row>
    <row r="82" spans="7:14" x14ac:dyDescent="0.2">
      <c r="G82" s="887"/>
      <c r="H82" s="887"/>
      <c r="I82" s="887"/>
      <c r="J82" s="887"/>
      <c r="K82" s="887"/>
      <c r="L82" s="887"/>
      <c r="M82" s="887"/>
      <c r="N82" s="887"/>
    </row>
    <row r="83" spans="7:14" x14ac:dyDescent="0.2">
      <c r="G83" s="887"/>
      <c r="H83" s="887"/>
      <c r="I83" s="887"/>
      <c r="J83" s="887"/>
      <c r="K83" s="887"/>
      <c r="L83" s="887"/>
      <c r="M83" s="887"/>
      <c r="N83" s="887"/>
    </row>
    <row r="84" spans="7:14" x14ac:dyDescent="0.2">
      <c r="G84" s="887"/>
      <c r="H84" s="887"/>
      <c r="I84" s="887"/>
      <c r="J84" s="887"/>
      <c r="K84" s="887"/>
      <c r="L84" s="887"/>
      <c r="M84" s="887"/>
      <c r="N84" s="887"/>
    </row>
    <row r="85" spans="7:14" x14ac:dyDescent="0.2">
      <c r="G85" s="887"/>
      <c r="H85" s="887"/>
      <c r="I85" s="887"/>
      <c r="J85" s="887"/>
      <c r="K85" s="887"/>
      <c r="L85" s="887"/>
      <c r="M85" s="887"/>
      <c r="N85" s="887"/>
    </row>
    <row r="86" spans="7:14" x14ac:dyDescent="0.2">
      <c r="G86" s="887"/>
      <c r="H86" s="887"/>
      <c r="I86" s="887"/>
      <c r="J86" s="887"/>
      <c r="K86" s="887"/>
      <c r="L86" s="887"/>
      <c r="M86" s="887"/>
      <c r="N86" s="887"/>
    </row>
    <row r="87" spans="7:14" x14ac:dyDescent="0.2">
      <c r="G87" s="887"/>
      <c r="H87" s="887"/>
      <c r="I87" s="887"/>
      <c r="J87" s="887"/>
      <c r="K87" s="887"/>
      <c r="L87" s="887"/>
      <c r="M87" s="887"/>
      <c r="N87" s="887"/>
    </row>
    <row r="88" spans="7:14" x14ac:dyDescent="0.2">
      <c r="G88" s="887"/>
      <c r="H88" s="887"/>
      <c r="I88" s="887"/>
      <c r="J88" s="887"/>
      <c r="K88" s="887"/>
      <c r="L88" s="887"/>
      <c r="M88" s="887"/>
      <c r="N88" s="887"/>
    </row>
    <row r="89" spans="7:14" x14ac:dyDescent="0.2">
      <c r="G89" s="887"/>
      <c r="H89" s="887"/>
      <c r="I89" s="887"/>
      <c r="J89" s="887"/>
      <c r="K89" s="887"/>
      <c r="L89" s="887"/>
      <c r="M89" s="887"/>
      <c r="N89" s="887"/>
    </row>
    <row r="90" spans="7:14" x14ac:dyDescent="0.2">
      <c r="G90" s="887"/>
      <c r="H90" s="887"/>
      <c r="I90" s="887"/>
      <c r="J90" s="887"/>
      <c r="K90" s="887"/>
      <c r="L90" s="887"/>
      <c r="M90" s="887"/>
      <c r="N90" s="887"/>
    </row>
    <row r="91" spans="7:14" x14ac:dyDescent="0.2">
      <c r="G91" s="887"/>
      <c r="H91" s="887"/>
      <c r="I91" s="887"/>
      <c r="J91" s="887"/>
      <c r="K91" s="887"/>
      <c r="L91" s="887"/>
      <c r="M91" s="887"/>
      <c r="N91" s="887"/>
    </row>
    <row r="92" spans="7:14" x14ac:dyDescent="0.2">
      <c r="G92" s="887"/>
      <c r="H92" s="887"/>
      <c r="I92" s="887"/>
      <c r="J92" s="887"/>
      <c r="K92" s="887"/>
      <c r="L92" s="887"/>
      <c r="M92" s="887"/>
      <c r="N92" s="887"/>
    </row>
    <row r="93" spans="7:14" x14ac:dyDescent="0.2">
      <c r="G93" s="887"/>
      <c r="H93" s="887"/>
      <c r="I93" s="887"/>
      <c r="J93" s="887"/>
      <c r="K93" s="887"/>
      <c r="L93" s="887"/>
      <c r="M93" s="887"/>
      <c r="N93" s="887"/>
    </row>
    <row r="94" spans="7:14" x14ac:dyDescent="0.2">
      <c r="G94" s="887"/>
      <c r="H94" s="887"/>
      <c r="I94" s="887"/>
      <c r="J94" s="887"/>
      <c r="K94" s="887"/>
      <c r="L94" s="887"/>
      <c r="M94" s="887"/>
      <c r="N94" s="887"/>
    </row>
    <row r="95" spans="7:14" x14ac:dyDescent="0.2">
      <c r="G95" s="887"/>
      <c r="H95" s="887"/>
      <c r="I95" s="887"/>
      <c r="J95" s="887"/>
      <c r="K95" s="887"/>
      <c r="L95" s="887"/>
      <c r="M95" s="887"/>
      <c r="N95" s="887"/>
    </row>
    <row r="96" spans="7:14" x14ac:dyDescent="0.2">
      <c r="G96" s="887"/>
      <c r="H96" s="887"/>
      <c r="I96" s="887"/>
      <c r="J96" s="887"/>
      <c r="K96" s="887"/>
      <c r="L96" s="887"/>
      <c r="M96" s="887"/>
      <c r="N96" s="887"/>
    </row>
  </sheetData>
  <mergeCells count="3">
    <mergeCell ref="E5:G5"/>
    <mergeCell ref="B5:D5"/>
    <mergeCell ref="A2:H3"/>
  </mergeCells>
  <pageMargins left="0.7" right="0.7" top="0.75" bottom="0.75" header="0.3" footer="0.3"/>
  <pageSetup scale="61"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04"/>
  <sheetViews>
    <sheetView zoomScale="85" zoomScaleNormal="85" zoomScalePageLayoutView="85" workbookViewId="0">
      <pane xSplit="1" ySplit="8" topLeftCell="B9" activePane="bottomRight" state="frozen"/>
      <selection pane="topRight" activeCell="B1" sqref="B1"/>
      <selection pane="bottomLeft" activeCell="A9" sqref="A9"/>
      <selection pane="bottomRight" activeCell="A3" sqref="A3:K3"/>
    </sheetView>
  </sheetViews>
  <sheetFormatPr baseColWidth="10" defaultColWidth="10.83203125" defaultRowHeight="16" x14ac:dyDescent="0.2"/>
  <cols>
    <col min="1" max="1" width="19" style="1" customWidth="1"/>
    <col min="2" max="11" width="11.33203125" style="1" customWidth="1"/>
    <col min="12" max="16384" width="10.83203125" style="1"/>
  </cols>
  <sheetData>
    <row r="1" spans="1:15" x14ac:dyDescent="0.2">
      <c r="A1" s="954"/>
      <c r="B1" s="954"/>
      <c r="C1" s="954"/>
      <c r="D1" s="954"/>
      <c r="E1" s="954"/>
      <c r="F1" s="954"/>
      <c r="G1" s="954"/>
      <c r="H1" s="954"/>
      <c r="I1" s="954"/>
      <c r="J1" s="954"/>
      <c r="K1" s="954"/>
      <c r="L1" s="954"/>
      <c r="M1" s="954"/>
      <c r="N1" s="954"/>
      <c r="O1" s="954"/>
    </row>
    <row r="2" spans="1:15" ht="17" thickBot="1" x14ac:dyDescent="0.25">
      <c r="A2" s="954"/>
      <c r="B2" s="954"/>
      <c r="C2" s="954"/>
      <c r="D2" s="954"/>
      <c r="E2" s="954"/>
      <c r="F2" s="954"/>
      <c r="G2" s="954"/>
      <c r="H2" s="954"/>
      <c r="I2" s="954"/>
      <c r="J2" s="954"/>
      <c r="K2" s="954"/>
      <c r="L2" s="954"/>
      <c r="M2" s="954"/>
      <c r="N2" s="954"/>
      <c r="O2" s="954"/>
    </row>
    <row r="3" spans="1:15" ht="32.25" customHeight="1" thickTop="1" x14ac:dyDescent="0.2">
      <c r="A3" s="1951" t="s">
        <v>142</v>
      </c>
      <c r="B3" s="1952"/>
      <c r="C3" s="1952"/>
      <c r="D3" s="1952"/>
      <c r="E3" s="1952"/>
      <c r="F3" s="1952"/>
      <c r="G3" s="1952"/>
      <c r="H3" s="1952"/>
      <c r="I3" s="1952"/>
      <c r="J3" s="1952"/>
      <c r="K3" s="1953"/>
      <c r="L3" s="954"/>
      <c r="M3" s="954"/>
      <c r="N3" s="954"/>
      <c r="O3" s="954"/>
    </row>
    <row r="4" spans="1:15" ht="12" customHeight="1" x14ac:dyDescent="0.2">
      <c r="A4" s="4"/>
      <c r="B4" s="620"/>
      <c r="C4" s="620"/>
      <c r="D4" s="620"/>
      <c r="E4" s="620"/>
      <c r="F4" s="620"/>
      <c r="G4" s="620"/>
      <c r="H4" s="620"/>
      <c r="I4" s="620"/>
      <c r="J4" s="620"/>
      <c r="K4" s="5"/>
      <c r="L4" s="954"/>
      <c r="M4" s="954"/>
      <c r="N4" s="954"/>
      <c r="O4" s="954"/>
    </row>
    <row r="5" spans="1:15" ht="17" thickBot="1" x14ac:dyDescent="0.25">
      <c r="A5" s="1088"/>
      <c r="B5" s="134" t="s">
        <v>1</v>
      </c>
      <c r="C5" s="134" t="s">
        <v>2</v>
      </c>
      <c r="D5" s="134" t="s">
        <v>3</v>
      </c>
      <c r="E5" s="134" t="s">
        <v>4</v>
      </c>
      <c r="F5" s="134" t="s">
        <v>5</v>
      </c>
      <c r="G5" s="134" t="s">
        <v>6</v>
      </c>
      <c r="H5" s="134" t="s">
        <v>7</v>
      </c>
      <c r="I5" s="134" t="s">
        <v>8</v>
      </c>
      <c r="J5" s="134" t="s">
        <v>9</v>
      </c>
      <c r="K5" s="135" t="s">
        <v>10</v>
      </c>
      <c r="L5" s="954"/>
      <c r="M5" s="954"/>
      <c r="N5" s="954"/>
      <c r="O5" s="954"/>
    </row>
    <row r="6" spans="1:15" ht="21" customHeight="1" x14ac:dyDescent="0.2">
      <c r="A6" s="1088"/>
      <c r="B6" s="1996" t="s">
        <v>136</v>
      </c>
      <c r="C6" s="1997"/>
      <c r="D6" s="1997"/>
      <c r="E6" s="1997"/>
      <c r="F6" s="1997"/>
      <c r="G6" s="1997"/>
      <c r="H6" s="1997"/>
      <c r="I6" s="1998"/>
      <c r="J6" s="2019" t="s">
        <v>143</v>
      </c>
      <c r="K6" s="2014" t="s">
        <v>144</v>
      </c>
      <c r="L6" s="954"/>
      <c r="M6" s="954"/>
      <c r="N6" s="954"/>
      <c r="O6" s="954"/>
    </row>
    <row r="7" spans="1:15" ht="85" customHeight="1" x14ac:dyDescent="0.2">
      <c r="A7" s="1088"/>
      <c r="B7" s="2016" t="s">
        <v>128</v>
      </c>
      <c r="C7" s="2006" t="s">
        <v>145</v>
      </c>
      <c r="D7" s="1806" t="s">
        <v>146</v>
      </c>
      <c r="E7" s="1806" t="s">
        <v>147</v>
      </c>
      <c r="F7" s="2017" t="s">
        <v>148</v>
      </c>
      <c r="G7" s="2013" t="s">
        <v>149</v>
      </c>
      <c r="H7" s="1806" t="s">
        <v>150</v>
      </c>
      <c r="I7" s="1804" t="s">
        <v>151</v>
      </c>
      <c r="J7" s="2016"/>
      <c r="K7" s="2015"/>
      <c r="L7" s="1098"/>
      <c r="M7" s="954"/>
      <c r="N7" s="172" t="s">
        <v>26</v>
      </c>
      <c r="O7" s="954"/>
    </row>
    <row r="8" spans="1:15" ht="33" customHeight="1" x14ac:dyDescent="0.2">
      <c r="A8" s="1088"/>
      <c r="B8" s="2016"/>
      <c r="C8" s="2006"/>
      <c r="D8" s="1806"/>
      <c r="E8" s="1806"/>
      <c r="F8" s="2018"/>
      <c r="G8" s="2013"/>
      <c r="H8" s="1806"/>
      <c r="I8" s="1804"/>
      <c r="J8" s="2016"/>
      <c r="K8" s="2015"/>
      <c r="L8" s="1098"/>
      <c r="M8" s="954"/>
      <c r="N8" s="172"/>
      <c r="O8" s="954"/>
    </row>
    <row r="9" spans="1:15" ht="40" customHeight="1" x14ac:dyDescent="0.2">
      <c r="A9" s="137" t="s">
        <v>28</v>
      </c>
      <c r="B9" s="214">
        <f>SUM(B10:B44)</f>
        <v>6329.8496989524356</v>
      </c>
      <c r="C9" s="219">
        <f t="shared" ref="C9:I9" si="0">SUM(C10:C44)</f>
        <v>3086.0234288681959</v>
      </c>
      <c r="D9" s="227"/>
      <c r="E9" s="227"/>
      <c r="F9" s="230">
        <f t="shared" si="0"/>
        <v>1983.292784565713</v>
      </c>
      <c r="G9" s="227">
        <f t="shared" si="0"/>
        <v>1260.5334855185267</v>
      </c>
      <c r="H9" s="227">
        <f t="shared" si="0"/>
        <v>1193.1837521092455</v>
      </c>
      <c r="I9" s="243">
        <f t="shared" si="0"/>
        <v>67.349733409280944</v>
      </c>
      <c r="J9" s="229">
        <f>H9/B9</f>
        <v>0.18850111911926007</v>
      </c>
      <c r="K9" s="231">
        <f t="shared" ref="K9:K44" si="1">F9/(B9-G9)</f>
        <v>0.39123477428965675</v>
      </c>
      <c r="L9" s="1098"/>
      <c r="M9" s="954"/>
      <c r="N9" s="228">
        <f>B9-C9-F9-G9</f>
        <v>0</v>
      </c>
      <c r="O9" s="1003"/>
    </row>
    <row r="10" spans="1:15" ht="14.25" customHeight="1" x14ac:dyDescent="0.2">
      <c r="A10" s="1088" t="s">
        <v>29</v>
      </c>
      <c r="B10" s="150">
        <f>+TableA2!F10</f>
        <v>178.84741076861815</v>
      </c>
      <c r="C10" s="1134">
        <f>D10-E10</f>
        <v>37.420459923821838</v>
      </c>
      <c r="D10" s="1135">
        <v>76.124078762517939</v>
      </c>
      <c r="E10" s="1135">
        <v>38.703618838696102</v>
      </c>
      <c r="F10" s="1136">
        <f>B10-C10-G10</f>
        <v>89.054834759482759</v>
      </c>
      <c r="G10" s="1135">
        <v>52.372116085313536</v>
      </c>
      <c r="H10" s="1135">
        <v>53.085816886912227</v>
      </c>
      <c r="I10" s="1137">
        <f t="shared" ref="I10:I44" si="2">G10-H10</f>
        <v>-0.71370080159869076</v>
      </c>
      <c r="J10" s="138">
        <f t="shared" ref="J10:J44" si="3">H10/B10</f>
        <v>0.29682183632835152</v>
      </c>
      <c r="K10" s="1138">
        <f t="shared" si="1"/>
        <v>0.70412830412830385</v>
      </c>
      <c r="L10" s="1098"/>
      <c r="M10" s="954"/>
      <c r="N10" s="228">
        <f>B10-C10-F10-G10</f>
        <v>0</v>
      </c>
      <c r="O10" s="1003"/>
    </row>
    <row r="11" spans="1:15" ht="14.25" customHeight="1" x14ac:dyDescent="0.2">
      <c r="A11" s="1088" t="s">
        <v>30</v>
      </c>
      <c r="B11" s="150">
        <f>+TableA2!F11</f>
        <v>47.957043627358011</v>
      </c>
      <c r="C11" s="1134">
        <f>D11-E11</f>
        <v>25.185796404183851</v>
      </c>
      <c r="D11" s="1135">
        <v>44.896463075286782</v>
      </c>
      <c r="E11" s="1135">
        <v>19.710666671102931</v>
      </c>
      <c r="F11" s="1136">
        <f t="shared" ref="F11:F47" si="4">B11-C11-G11</f>
        <v>14.135720932192758</v>
      </c>
      <c r="G11" s="1135">
        <v>8.635526290981403</v>
      </c>
      <c r="H11" s="1135">
        <v>8.4946481984874556</v>
      </c>
      <c r="I11" s="1137">
        <f t="shared" si="2"/>
        <v>0.14087809249394745</v>
      </c>
      <c r="J11" s="138">
        <f>H11/B11</f>
        <v>0.1771303557511523</v>
      </c>
      <c r="K11" s="1138">
        <f t="shared" si="1"/>
        <v>0.35949072898862183</v>
      </c>
      <c r="L11" s="1098"/>
      <c r="M11" s="954"/>
      <c r="N11" s="228">
        <f t="shared" ref="N11:N74" si="5">B11-C11-F11-G11</f>
        <v>0</v>
      </c>
      <c r="O11" s="1003"/>
    </row>
    <row r="12" spans="1:15" x14ac:dyDescent="0.2">
      <c r="A12" s="1088" t="s">
        <v>31</v>
      </c>
      <c r="B12" s="150">
        <f>+TableA2!F12</f>
        <v>76.673664877742027</v>
      </c>
      <c r="C12" s="1134">
        <f t="shared" ref="C12:C20" si="6">D12-E12</f>
        <v>45.775176646603654</v>
      </c>
      <c r="D12" s="1135">
        <v>78.250092329805398</v>
      </c>
      <c r="E12" s="1135">
        <v>32.474915683201743</v>
      </c>
      <c r="F12" s="1136">
        <f t="shared" si="4"/>
        <v>15.506749225594151</v>
      </c>
      <c r="G12" s="1135">
        <v>15.391739005544222</v>
      </c>
      <c r="H12" s="1135">
        <v>15.039277598293811</v>
      </c>
      <c r="I12" s="1137">
        <f t="shared" si="2"/>
        <v>0.35246140725041109</v>
      </c>
      <c r="J12" s="138">
        <f t="shared" si="3"/>
        <v>0.19614658595326434</v>
      </c>
      <c r="K12" s="1138">
        <f t="shared" si="1"/>
        <v>0.25303952192907836</v>
      </c>
      <c r="L12" s="954"/>
      <c r="M12" s="954"/>
      <c r="N12" s="228">
        <f t="shared" si="5"/>
        <v>0</v>
      </c>
      <c r="O12" s="1003"/>
    </row>
    <row r="13" spans="1:15" x14ac:dyDescent="0.2">
      <c r="A13" s="1088" t="s">
        <v>32</v>
      </c>
      <c r="B13" s="150">
        <f>+TableA2!F13</f>
        <v>142.9569900038934</v>
      </c>
      <c r="C13" s="1134">
        <f>D13-E13</f>
        <v>79.470845861693135</v>
      </c>
      <c r="D13" s="1135">
        <v>191.43099277772302</v>
      </c>
      <c r="E13" s="1135">
        <v>111.96014691602988</v>
      </c>
      <c r="F13" s="1136">
        <f t="shared" si="4"/>
        <v>9.7443667334325212</v>
      </c>
      <c r="G13" s="1135">
        <v>53.741777408767739</v>
      </c>
      <c r="H13" s="1135">
        <v>49.479398763816377</v>
      </c>
      <c r="I13" s="1137">
        <f t="shared" si="2"/>
        <v>4.2623786449513617</v>
      </c>
      <c r="J13" s="138">
        <f t="shared" si="3"/>
        <v>0.34611388196176218</v>
      </c>
      <c r="K13" s="1138">
        <f t="shared" si="1"/>
        <v>0.10922315208342522</v>
      </c>
      <c r="L13" s="954"/>
      <c r="M13" s="954"/>
      <c r="N13" s="228">
        <f t="shared" si="5"/>
        <v>0</v>
      </c>
      <c r="O13" s="1003"/>
    </row>
    <row r="14" spans="1:15" x14ac:dyDescent="0.2">
      <c r="A14" s="1088" t="s">
        <v>33</v>
      </c>
      <c r="B14" s="150">
        <f>+TableA2!F14</f>
        <v>67.542484958596845</v>
      </c>
      <c r="C14" s="1134">
        <f t="shared" si="6"/>
        <v>22.689559824796547</v>
      </c>
      <c r="D14" s="1135">
        <v>50.822839020083165</v>
      </c>
      <c r="E14" s="1135">
        <v>28.133279195286619</v>
      </c>
      <c r="F14" s="1136">
        <f t="shared" si="4"/>
        <v>34.564080576969431</v>
      </c>
      <c r="G14" s="1135">
        <v>10.288844556830869</v>
      </c>
      <c r="H14" s="1135">
        <v>10.455405560058267</v>
      </c>
      <c r="I14" s="1137">
        <f t="shared" si="2"/>
        <v>-0.16656100322739853</v>
      </c>
      <c r="J14" s="138">
        <f t="shared" si="3"/>
        <v>0.15479746660886656</v>
      </c>
      <c r="K14" s="1138">
        <f t="shared" si="1"/>
        <v>0.60370101070295101</v>
      </c>
      <c r="L14" s="954"/>
      <c r="M14" s="954"/>
      <c r="N14" s="228">
        <f t="shared" si="5"/>
        <v>0</v>
      </c>
      <c r="O14" s="1003"/>
    </row>
    <row r="15" spans="1:15" x14ac:dyDescent="0.2">
      <c r="A15" s="1088" t="s">
        <v>34</v>
      </c>
      <c r="B15" s="150">
        <f>+TableA2!F15</f>
        <v>33.577437877940952</v>
      </c>
      <c r="C15" s="1134">
        <f t="shared" si="6"/>
        <v>16.264241069160022</v>
      </c>
      <c r="D15" s="1135">
        <v>20.940820163626203</v>
      </c>
      <c r="E15" s="1135">
        <v>4.6765790944661818</v>
      </c>
      <c r="F15" s="1136">
        <f t="shared" si="4"/>
        <v>11.21947253417348</v>
      </c>
      <c r="G15" s="1135">
        <v>6.0937242746074496</v>
      </c>
      <c r="H15" s="1135">
        <v>6.7113169165099862</v>
      </c>
      <c r="I15" s="1137">
        <f t="shared" si="2"/>
        <v>-0.6175926419025366</v>
      </c>
      <c r="J15" s="138">
        <f t="shared" si="3"/>
        <v>0.19987578983562221</v>
      </c>
      <c r="K15" s="1138">
        <f t="shared" si="1"/>
        <v>0.40822258214816609</v>
      </c>
      <c r="L15" s="954"/>
      <c r="M15" s="954"/>
      <c r="N15" s="228">
        <f t="shared" si="5"/>
        <v>0</v>
      </c>
      <c r="O15" s="1003"/>
    </row>
    <row r="16" spans="1:15" x14ac:dyDescent="0.2">
      <c r="A16" s="1088" t="s">
        <v>35</v>
      </c>
      <c r="B16" s="150">
        <f>+TableA2!F16</f>
        <v>51.69259919912686</v>
      </c>
      <c r="C16" s="1134">
        <f t="shared" si="6"/>
        <v>11.986640124484481</v>
      </c>
      <c r="D16" s="1135">
        <v>48.429325791810143</v>
      </c>
      <c r="E16" s="1135">
        <v>36.442685667325662</v>
      </c>
      <c r="F16" s="1136">
        <f t="shared" si="4"/>
        <v>31.328167883414558</v>
      </c>
      <c r="G16" s="1135">
        <v>8.3777911912278213</v>
      </c>
      <c r="H16" s="1135">
        <v>7.7284100389615968</v>
      </c>
      <c r="I16" s="1137">
        <f t="shared" si="2"/>
        <v>0.6493811522662245</v>
      </c>
      <c r="J16" s="138">
        <f t="shared" si="3"/>
        <v>0.14950708919067349</v>
      </c>
      <c r="K16" s="1138">
        <f t="shared" si="1"/>
        <v>0.72326692242757817</v>
      </c>
      <c r="L16" s="954"/>
      <c r="M16" s="954"/>
      <c r="N16" s="228">
        <f t="shared" si="5"/>
        <v>0</v>
      </c>
      <c r="O16" s="1003"/>
    </row>
    <row r="17" spans="1:17" x14ac:dyDescent="0.2">
      <c r="A17" s="1088" t="s">
        <v>36</v>
      </c>
      <c r="B17" s="150">
        <f>+TableA2!F17</f>
        <v>4.0797019715879275</v>
      </c>
      <c r="C17" s="1134">
        <f t="shared" si="6"/>
        <v>1.5808637189891079</v>
      </c>
      <c r="D17" s="1135">
        <v>2.0400173458036797</v>
      </c>
      <c r="E17" s="1135">
        <v>0.45915362681457178</v>
      </c>
      <c r="F17" s="1136">
        <f t="shared" si="4"/>
        <v>2.0312557186253324</v>
      </c>
      <c r="G17" s="1120">
        <v>0.4675825339734867</v>
      </c>
      <c r="H17" s="1120">
        <v>0.47056592348104992</v>
      </c>
      <c r="I17" s="1137">
        <f t="shared" si="2"/>
        <v>-2.9833895075632166E-3</v>
      </c>
      <c r="J17" s="138">
        <f t="shared" si="3"/>
        <v>0.11534321054777766</v>
      </c>
      <c r="K17" s="1138">
        <f t="shared" si="1"/>
        <v>0.56234456077865436</v>
      </c>
      <c r="L17" s="954"/>
      <c r="M17" s="954"/>
      <c r="N17" s="228">
        <f t="shared" si="5"/>
        <v>0</v>
      </c>
      <c r="O17" s="1003"/>
      <c r="P17" s="954"/>
      <c r="Q17" s="954"/>
    </row>
    <row r="18" spans="1:17" x14ac:dyDescent="0.2">
      <c r="A18" s="1088" t="s">
        <v>37</v>
      </c>
      <c r="B18" s="150">
        <f>+TableA2!F18</f>
        <v>25.094852932206081</v>
      </c>
      <c r="C18" s="1134">
        <f t="shared" si="6"/>
        <v>9.0499845285190972</v>
      </c>
      <c r="D18" s="1135">
        <v>28.723719277465207</v>
      </c>
      <c r="E18" s="1135">
        <v>19.67373474894611</v>
      </c>
      <c r="F18" s="1136">
        <f t="shared" si="4"/>
        <v>10.226704330572868</v>
      </c>
      <c r="G18" s="1135">
        <v>5.8181640731141151</v>
      </c>
      <c r="H18" s="1135">
        <v>5.0429264278402366</v>
      </c>
      <c r="I18" s="1137">
        <f t="shared" si="2"/>
        <v>0.77523764527387851</v>
      </c>
      <c r="J18" s="138">
        <f t="shared" si="3"/>
        <v>0.20095461174702786</v>
      </c>
      <c r="K18" s="1138">
        <f t="shared" si="1"/>
        <v>0.53052183418675569</v>
      </c>
      <c r="L18" s="954"/>
      <c r="M18" s="954"/>
      <c r="N18" s="228">
        <f t="shared" si="5"/>
        <v>0</v>
      </c>
      <c r="O18" s="1003"/>
      <c r="P18" s="954"/>
      <c r="Q18" s="954"/>
    </row>
    <row r="19" spans="1:17" x14ac:dyDescent="0.2">
      <c r="A19" s="1088" t="s">
        <v>38</v>
      </c>
      <c r="B19" s="150">
        <f>+TableA2!F19</f>
        <v>187.65852722592464</v>
      </c>
      <c r="C19" s="1134">
        <f t="shared" si="6"/>
        <v>89.293180681388407</v>
      </c>
      <c r="D19" s="1135">
        <v>340.14300306435138</v>
      </c>
      <c r="E19" s="1135">
        <v>250.84982238296297</v>
      </c>
      <c r="F19" s="1136">
        <f t="shared" si="4"/>
        <v>38.033225421140365</v>
      </c>
      <c r="G19" s="1135">
        <v>60.332121123395872</v>
      </c>
      <c r="H19" s="1135">
        <v>50.926955756000886</v>
      </c>
      <c r="I19" s="1137">
        <f t="shared" si="2"/>
        <v>9.4051653673949858</v>
      </c>
      <c r="J19" s="138">
        <f t="shared" si="3"/>
        <v>0.27138098390108983</v>
      </c>
      <c r="K19" s="1138">
        <f t="shared" si="1"/>
        <v>0.29870650233003793</v>
      </c>
      <c r="L19" s="954"/>
      <c r="M19" s="954"/>
      <c r="N19" s="228">
        <f t="shared" si="5"/>
        <v>0</v>
      </c>
      <c r="O19" s="1003"/>
      <c r="P19" s="954"/>
      <c r="Q19" s="954"/>
    </row>
    <row r="20" spans="1:17" x14ac:dyDescent="0.2">
      <c r="A20" s="1088" t="s">
        <v>39</v>
      </c>
      <c r="B20" s="150">
        <f>+TableA2!F20</f>
        <v>553.04943443142031</v>
      </c>
      <c r="C20" s="1134">
        <f t="shared" si="6"/>
        <v>353.87657639972542</v>
      </c>
      <c r="D20" s="1135">
        <v>502.57580748376051</v>
      </c>
      <c r="E20" s="1135">
        <v>148.69923108403509</v>
      </c>
      <c r="F20" s="1136">
        <f>B20-C20-G20</f>
        <v>119.66497312176774</v>
      </c>
      <c r="G20" s="1135">
        <v>79.507884909927142</v>
      </c>
      <c r="H20" s="1135">
        <v>58.451143946880144</v>
      </c>
      <c r="I20" s="1137">
        <f>G20-H20</f>
        <v>21.056740963046998</v>
      </c>
      <c r="J20" s="138">
        <f>H20/B20</f>
        <v>0.10568882329112707</v>
      </c>
      <c r="K20" s="1138">
        <f t="shared" si="1"/>
        <v>0.25270216149498909</v>
      </c>
      <c r="L20" s="954"/>
      <c r="M20" s="954"/>
      <c r="N20" s="228">
        <f t="shared" si="5"/>
        <v>0</v>
      </c>
      <c r="O20" s="1139"/>
      <c r="P20" s="954"/>
      <c r="Q20" s="954"/>
    </row>
    <row r="21" spans="1:17" x14ac:dyDescent="0.2">
      <c r="A21" s="1088" t="s">
        <v>40</v>
      </c>
      <c r="B21" s="150">
        <f>+TableA2!F21</f>
        <v>22.607784095761257</v>
      </c>
      <c r="C21" s="1134">
        <f>D21-E21</f>
        <v>4.3339220259543785</v>
      </c>
      <c r="D21" s="1135">
        <v>5.6233335440560115</v>
      </c>
      <c r="E21" s="1135">
        <v>1.289411518101633</v>
      </c>
      <c r="F21" s="1136">
        <f t="shared" si="4"/>
        <v>11.450849822382963</v>
      </c>
      <c r="G21" s="1135">
        <v>6.8230122474239154</v>
      </c>
      <c r="H21" s="1135">
        <v>4.2144535794574223</v>
      </c>
      <c r="I21" s="1137">
        <f t="shared" si="2"/>
        <v>2.6085586679664932</v>
      </c>
      <c r="J21" s="138">
        <f t="shared" si="3"/>
        <v>0.18641603978549989</v>
      </c>
      <c r="K21" s="1138">
        <f t="shared" si="1"/>
        <v>0.72543651136706899</v>
      </c>
      <c r="L21" s="954"/>
      <c r="M21" s="954"/>
      <c r="N21" s="228">
        <f t="shared" si="5"/>
        <v>0</v>
      </c>
      <c r="O21" s="1003"/>
      <c r="P21" s="954"/>
      <c r="Q21" s="954"/>
    </row>
    <row r="22" spans="1:17" x14ac:dyDescent="0.2">
      <c r="A22" s="1088" t="s">
        <v>41</v>
      </c>
      <c r="B22" s="150">
        <f>+TableA2!F22</f>
        <v>20.668289583202817</v>
      </c>
      <c r="C22" s="1134">
        <f>D22-E22</f>
        <v>7.9993556066694707</v>
      </c>
      <c r="D22" s="1135">
        <v>11.575087037849158</v>
      </c>
      <c r="E22" s="1135">
        <v>3.5757314311796877</v>
      </c>
      <c r="F22" s="1136">
        <f t="shared" si="4"/>
        <v>10.276731135832748</v>
      </c>
      <c r="G22" s="1135">
        <v>2.3922028407005986</v>
      </c>
      <c r="H22" s="1135">
        <v>2.1963860274046167</v>
      </c>
      <c r="I22" s="1137">
        <f t="shared" si="2"/>
        <v>0.19581681329598188</v>
      </c>
      <c r="J22" s="138">
        <f t="shared" si="3"/>
        <v>0.10626839819341541</v>
      </c>
      <c r="K22" s="1138">
        <f t="shared" si="1"/>
        <v>0.56230479098862807</v>
      </c>
      <c r="L22" s="954"/>
      <c r="M22" s="954"/>
      <c r="N22" s="228">
        <f t="shared" si="5"/>
        <v>0</v>
      </c>
      <c r="O22" s="1003"/>
      <c r="P22" s="954"/>
      <c r="Q22" s="954"/>
    </row>
    <row r="23" spans="1:17" x14ac:dyDescent="0.2">
      <c r="A23" s="1088" t="s">
        <v>42</v>
      </c>
      <c r="B23" s="150">
        <f>+TableA2!F23</f>
        <v>2.1489969781260903</v>
      </c>
      <c r="C23" s="1134">
        <f>+B23-F23-G23</f>
        <v>1.0773591067773185</v>
      </c>
      <c r="D23" s="1135"/>
      <c r="E23" s="1135"/>
      <c r="F23" s="1136">
        <f>+B23*$F$100</f>
        <v>0.67333197524047927</v>
      </c>
      <c r="G23" s="1120">
        <v>0.3983058961082927</v>
      </c>
      <c r="H23" s="1120">
        <v>0.3983029700639128</v>
      </c>
      <c r="I23" s="1137">
        <f t="shared" si="2"/>
        <v>2.9260443799028479E-6</v>
      </c>
      <c r="J23" s="138">
        <f t="shared" si="3"/>
        <v>0.18534366223782692</v>
      </c>
      <c r="K23" s="1138">
        <f t="shared" si="1"/>
        <v>0.38460924497565591</v>
      </c>
      <c r="L23" s="954"/>
      <c r="M23" s="954"/>
      <c r="N23" s="228">
        <f t="shared" si="5"/>
        <v>0</v>
      </c>
      <c r="O23" s="1003"/>
      <c r="P23" s="954"/>
      <c r="Q23" s="954"/>
    </row>
    <row r="24" spans="1:17" x14ac:dyDescent="0.2">
      <c r="A24" s="1088" t="s">
        <v>43</v>
      </c>
      <c r="B24" s="150">
        <f>+TableA2!F24</f>
        <v>125.53464036847635</v>
      </c>
      <c r="C24" s="1134">
        <f t="shared" ref="C24:C30" si="7">D24-E24</f>
        <v>52.107020503316669</v>
      </c>
      <c r="D24" s="1135">
        <v>65.133674704073272</v>
      </c>
      <c r="E24" s="1135">
        <v>13.026654200756605</v>
      </c>
      <c r="F24" s="1136">
        <f t="shared" si="4"/>
        <v>65.374953946003984</v>
      </c>
      <c r="G24" s="1135">
        <v>8.0526659191556895</v>
      </c>
      <c r="H24" s="1135">
        <v>7.6225346832893583</v>
      </c>
      <c r="I24" s="1137">
        <f t="shared" si="2"/>
        <v>0.43013123586633117</v>
      </c>
      <c r="J24" s="138">
        <f t="shared" si="3"/>
        <v>6.0720568130957837E-2</v>
      </c>
      <c r="K24" s="1138">
        <f t="shared" si="1"/>
        <v>0.55646795393454518</v>
      </c>
      <c r="L24" s="954"/>
      <c r="M24" s="954"/>
      <c r="N24" s="228">
        <f t="shared" si="5"/>
        <v>0</v>
      </c>
      <c r="O24" s="1003"/>
      <c r="P24" s="954"/>
      <c r="Q24" s="954"/>
    </row>
    <row r="25" spans="1:17" x14ac:dyDescent="0.2">
      <c r="A25" s="1088" t="s">
        <v>44</v>
      </c>
      <c r="B25" s="150">
        <f>+TableA2!F25</f>
        <v>53.821062621875072</v>
      </c>
      <c r="C25" s="1134">
        <f>+B25-F25-G25</f>
        <v>28.036238783901741</v>
      </c>
      <c r="D25" s="1135"/>
      <c r="E25" s="1135"/>
      <c r="F25" s="1136">
        <f>+B25*$F$100</f>
        <v>16.863421760755195</v>
      </c>
      <c r="G25" s="1135">
        <f>+H25</f>
        <v>8.9214020772181364</v>
      </c>
      <c r="H25" s="1135">
        <v>8.9214020772181364</v>
      </c>
      <c r="I25" s="1137">
        <f t="shared" si="2"/>
        <v>0</v>
      </c>
      <c r="J25" s="138">
        <f t="shared" si="3"/>
        <v>0.16576042245572675</v>
      </c>
      <c r="K25" s="1138">
        <f t="shared" si="1"/>
        <v>0.37558016154672114</v>
      </c>
      <c r="L25" s="954"/>
      <c r="M25" s="954"/>
      <c r="N25" s="228">
        <f t="shared" si="5"/>
        <v>0</v>
      </c>
      <c r="O25" s="1003"/>
      <c r="P25" s="954"/>
      <c r="Q25" s="954"/>
    </row>
    <row r="26" spans="1:17" x14ac:dyDescent="0.2">
      <c r="A26" s="1088" t="s">
        <v>45</v>
      </c>
      <c r="B26" s="150">
        <f>+TableA2!F26</f>
        <v>211.89440797463348</v>
      </c>
      <c r="C26" s="1134">
        <f t="shared" si="7"/>
        <v>149.3267410406817</v>
      </c>
      <c r="D26" s="1135">
        <v>197.62692991474606</v>
      </c>
      <c r="E26" s="1135">
        <v>48.300188874064361</v>
      </c>
      <c r="F26" s="1136">
        <f t="shared" si="4"/>
        <v>24.991709726182542</v>
      </c>
      <c r="G26" s="1135">
        <v>37.575957207769243</v>
      </c>
      <c r="H26" s="1135">
        <v>37.286823510883821</v>
      </c>
      <c r="I26" s="1137">
        <f t="shared" si="2"/>
        <v>0.2891336968854219</v>
      </c>
      <c r="J26" s="138">
        <f t="shared" si="3"/>
        <v>0.17596888878420774</v>
      </c>
      <c r="K26" s="1138">
        <f t="shared" si="1"/>
        <v>0.14336812664545062</v>
      </c>
      <c r="L26" s="954"/>
      <c r="M26" s="954"/>
      <c r="N26" s="228">
        <f t="shared" si="5"/>
        <v>0</v>
      </c>
      <c r="O26" s="1003"/>
      <c r="P26" s="954"/>
      <c r="Q26" s="954"/>
    </row>
    <row r="27" spans="1:17" x14ac:dyDescent="0.2">
      <c r="A27" s="1088" t="s">
        <v>46</v>
      </c>
      <c r="B27" s="150">
        <f>+TableA2!F27</f>
        <v>634.13536380108962</v>
      </c>
      <c r="C27" s="1134">
        <f t="shared" si="7"/>
        <v>108.93556666941774</v>
      </c>
      <c r="D27" s="1135">
        <v>326.29366355366722</v>
      </c>
      <c r="E27" s="1135">
        <v>217.35809688424948</v>
      </c>
      <c r="F27" s="1136">
        <f t="shared" si="4"/>
        <v>329.10255879616705</v>
      </c>
      <c r="G27" s="1135">
        <v>196.09723833550484</v>
      </c>
      <c r="H27" s="1135">
        <v>166.10688689066282</v>
      </c>
      <c r="I27" s="1137">
        <f t="shared" si="2"/>
        <v>29.99035144484202</v>
      </c>
      <c r="J27" s="138">
        <f t="shared" si="3"/>
        <v>0.26194231763861364</v>
      </c>
      <c r="K27" s="1138">
        <f t="shared" si="1"/>
        <v>0.75131030762760287</v>
      </c>
      <c r="L27" s="954"/>
      <c r="M27" s="954"/>
      <c r="N27" s="228">
        <f t="shared" si="5"/>
        <v>0</v>
      </c>
      <c r="O27" s="1003"/>
      <c r="P27" s="954"/>
      <c r="Q27" s="954"/>
    </row>
    <row r="28" spans="1:17" x14ac:dyDescent="0.2">
      <c r="A28" s="1088" t="s">
        <v>47</v>
      </c>
      <c r="B28" s="150">
        <f>+TableA2!F28</f>
        <v>248.21706968304588</v>
      </c>
      <c r="C28" s="1134">
        <f t="shared" si="7"/>
        <v>93.885864700539059</v>
      </c>
      <c r="D28" s="1135">
        <v>115.61104443899281</v>
      </c>
      <c r="E28" s="1135">
        <v>21.725179738453754</v>
      </c>
      <c r="F28" s="1136">
        <f t="shared" si="4"/>
        <v>110.5271370255689</v>
      </c>
      <c r="G28" s="1135">
        <v>43.804067956937914</v>
      </c>
      <c r="H28" s="1135">
        <v>45.573671217315002</v>
      </c>
      <c r="I28" s="1137">
        <f t="shared" si="2"/>
        <v>-1.7696032603770888</v>
      </c>
      <c r="J28" s="138">
        <f t="shared" si="3"/>
        <v>0.18360409812068557</v>
      </c>
      <c r="K28" s="1138">
        <f t="shared" si="1"/>
        <v>0.54070502410440469</v>
      </c>
      <c r="L28" s="954"/>
      <c r="M28" s="954"/>
      <c r="N28" s="228">
        <f t="shared" si="5"/>
        <v>0</v>
      </c>
      <c r="O28" s="1003"/>
      <c r="P28" s="954"/>
      <c r="Q28" s="954"/>
    </row>
    <row r="29" spans="1:17" x14ac:dyDescent="0.2">
      <c r="A29" s="1088" t="s">
        <v>48</v>
      </c>
      <c r="B29" s="150">
        <f>+TableA2!F29</f>
        <v>4.1858751479217755</v>
      </c>
      <c r="C29" s="1134">
        <f t="shared" si="7"/>
        <v>1.7372609822560412</v>
      </c>
      <c r="D29" s="1135">
        <v>2.1531754244121113</v>
      </c>
      <c r="E29" s="1135">
        <v>0.41591444215607015</v>
      </c>
      <c r="F29" s="1136">
        <f t="shared" si="4"/>
        <v>2.0290786206315254</v>
      </c>
      <c r="G29" s="1135">
        <v>0.4195355450342092</v>
      </c>
      <c r="H29" s="1135">
        <v>0.43100773130418485</v>
      </c>
      <c r="I29" s="1137">
        <f t="shared" si="2"/>
        <v>-1.1472186269975648E-2</v>
      </c>
      <c r="J29" s="138">
        <f t="shared" si="3"/>
        <v>0.10296717318914152</v>
      </c>
      <c r="K29" s="1138">
        <f t="shared" si="1"/>
        <v>0.53874021850708242</v>
      </c>
      <c r="L29" s="954"/>
      <c r="M29" s="954"/>
      <c r="N29" s="228">
        <f t="shared" si="5"/>
        <v>0</v>
      </c>
      <c r="O29" s="1003"/>
      <c r="P29" s="954"/>
      <c r="Q29" s="954"/>
    </row>
    <row r="30" spans="1:17" x14ac:dyDescent="0.2">
      <c r="A30" s="1088" t="s">
        <v>49</v>
      </c>
      <c r="B30" s="150">
        <f>+TableA2!F30</f>
        <v>59.277065941780656</v>
      </c>
      <c r="C30" s="1134">
        <f t="shared" si="7"/>
        <v>65.503033852043842</v>
      </c>
      <c r="D30" s="1135">
        <v>201.07457475608851</v>
      </c>
      <c r="E30" s="1135">
        <v>135.57154090404467</v>
      </c>
      <c r="F30" s="1136">
        <f t="shared" si="4"/>
        <v>-8.8217385951895277</v>
      </c>
      <c r="G30" s="1135">
        <v>2.5957706849263413</v>
      </c>
      <c r="H30" s="1135">
        <v>2.5454024193181679</v>
      </c>
      <c r="I30" s="1137">
        <f t="shared" si="2"/>
        <v>5.0368265608173424E-2</v>
      </c>
      <c r="J30" s="138">
        <f>H30/B30</f>
        <v>4.2940762652087926E-2</v>
      </c>
      <c r="K30" s="1138">
        <f t="shared" si="1"/>
        <v>-0.15563756183081823</v>
      </c>
      <c r="L30" s="954"/>
      <c r="M30" s="954"/>
      <c r="N30" s="228">
        <f t="shared" si="5"/>
        <v>0</v>
      </c>
      <c r="O30" s="1003"/>
      <c r="P30" s="954"/>
      <c r="Q30" s="954"/>
    </row>
    <row r="31" spans="1:17" x14ac:dyDescent="0.2">
      <c r="A31" s="1088" t="s">
        <v>50</v>
      </c>
      <c r="B31" s="150">
        <f>+TableA2!F31</f>
        <v>325.04468785135941</v>
      </c>
      <c r="C31" s="1134">
        <f>D31-E31</f>
        <v>209.43892477328907</v>
      </c>
      <c r="D31" s="1135">
        <v>212.92763429591386</v>
      </c>
      <c r="E31" s="1135">
        <v>3.4887095226247764</v>
      </c>
      <c r="F31" s="1136">
        <f t="shared" si="4"/>
        <v>81.25222776723794</v>
      </c>
      <c r="G31" s="1135">
        <v>34.353535310832406</v>
      </c>
      <c r="H31" s="1135">
        <v>37.382194532689283</v>
      </c>
      <c r="I31" s="1137">
        <f t="shared" si="2"/>
        <v>-3.0286592218568771</v>
      </c>
      <c r="J31" s="138">
        <f t="shared" si="3"/>
        <v>0.11500632352983997</v>
      </c>
      <c r="K31" s="1138">
        <f t="shared" si="1"/>
        <v>0.27951393448725648</v>
      </c>
      <c r="L31" s="954"/>
      <c r="M31" s="954"/>
      <c r="N31" s="228">
        <f t="shared" si="5"/>
        <v>0</v>
      </c>
      <c r="O31" s="1003"/>
      <c r="P31" s="954"/>
      <c r="Q31" s="954"/>
    </row>
    <row r="32" spans="1:17" x14ac:dyDescent="0.2">
      <c r="A32" s="1088" t="s">
        <v>51</v>
      </c>
      <c r="B32" s="150">
        <f>+TableA2!F32</f>
        <v>159.74775386260217</v>
      </c>
      <c r="C32" s="1134">
        <f>D32-E32</f>
        <v>11.366824930489258</v>
      </c>
      <c r="D32" s="1135">
        <v>234.81271744639605</v>
      </c>
      <c r="E32" s="1135">
        <v>223.44589251590679</v>
      </c>
      <c r="F32" s="1136">
        <f t="shared" si="4"/>
        <v>129.46801396093201</v>
      </c>
      <c r="G32" s="1135">
        <v>18.9129149711809</v>
      </c>
      <c r="H32" s="1135">
        <v>20.455626794608605</v>
      </c>
      <c r="I32" s="1137">
        <f t="shared" si="2"/>
        <v>-1.5427118234277053</v>
      </c>
      <c r="J32" s="138">
        <f t="shared" si="3"/>
        <v>0.12804954248184505</v>
      </c>
      <c r="K32" s="1138">
        <f t="shared" si="1"/>
        <v>0.91928967988345067</v>
      </c>
      <c r="L32" s="954"/>
      <c r="M32" s="954"/>
      <c r="N32" s="228">
        <f t="shared" si="5"/>
        <v>0</v>
      </c>
      <c r="O32" s="1003"/>
      <c r="P32" s="954"/>
      <c r="Q32" s="954"/>
    </row>
    <row r="33" spans="1:15" x14ac:dyDescent="0.2">
      <c r="A33" s="1088" t="s">
        <v>52</v>
      </c>
      <c r="B33" s="150">
        <f>+TableA2!F33</f>
        <v>43.62366684525152</v>
      </c>
      <c r="C33" s="1134">
        <f>+B33-F33-G33</f>
        <v>22.000521311661942</v>
      </c>
      <c r="D33" s="1135"/>
      <c r="E33" s="1135"/>
      <c r="F33" s="1136">
        <f>+B33*$F$100</f>
        <v>13.668334605923475</v>
      </c>
      <c r="G33" s="1135">
        <f>+H33</f>
        <v>7.9548109276661032</v>
      </c>
      <c r="H33" s="1135">
        <v>7.9548109276661032</v>
      </c>
      <c r="I33" s="1137">
        <f t="shared" si="2"/>
        <v>0</v>
      </c>
      <c r="J33" s="138">
        <f t="shared" si="3"/>
        <v>0.18235080869942946</v>
      </c>
      <c r="K33" s="1138">
        <f t="shared" si="1"/>
        <v>0.38320081354739299</v>
      </c>
      <c r="L33" s="954"/>
      <c r="M33" s="954"/>
      <c r="N33" s="228">
        <f t="shared" si="5"/>
        <v>0</v>
      </c>
      <c r="O33" s="1003"/>
    </row>
    <row r="34" spans="1:15" x14ac:dyDescent="0.2">
      <c r="A34" s="1088" t="s">
        <v>53</v>
      </c>
      <c r="B34" s="150">
        <f>+TableA2!F34</f>
        <v>76.129871814410606</v>
      </c>
      <c r="C34" s="1134">
        <f>D34-E34</f>
        <v>35.308296566774978</v>
      </c>
      <c r="D34" s="1135">
        <v>71.85900291995442</v>
      </c>
      <c r="E34" s="1135">
        <v>36.550706353179443</v>
      </c>
      <c r="F34" s="1136">
        <f t="shared" si="4"/>
        <v>23.797250230556987</v>
      </c>
      <c r="G34" s="1135">
        <v>17.024325017078642</v>
      </c>
      <c r="H34" s="1135">
        <v>16.980179105913855</v>
      </c>
      <c r="I34" s="1137">
        <f t="shared" si="2"/>
        <v>4.4145911164786611E-2</v>
      </c>
      <c r="J34" s="138">
        <f t="shared" si="3"/>
        <v>0.22304226581791881</v>
      </c>
      <c r="K34" s="1138">
        <f t="shared" si="1"/>
        <v>0.40262296044998602</v>
      </c>
      <c r="L34" s="954"/>
      <c r="M34" s="954"/>
      <c r="N34" s="228">
        <f t="shared" si="5"/>
        <v>0</v>
      </c>
      <c r="O34" s="1003"/>
    </row>
    <row r="35" spans="1:15" x14ac:dyDescent="0.2">
      <c r="A35" s="1088" t="s">
        <v>54</v>
      </c>
      <c r="B35" s="150">
        <f>+TableA2!F35</f>
        <v>87.784586815227485</v>
      </c>
      <c r="C35" s="1134">
        <f t="shared" ref="C35:C43" si="8">D35-E35</f>
        <v>20.470088871203078</v>
      </c>
      <c r="D35" s="1135">
        <v>25.818012999071495</v>
      </c>
      <c r="E35" s="1135">
        <v>5.347924127868418</v>
      </c>
      <c r="F35" s="1136">
        <f t="shared" si="4"/>
        <v>57.266480965645314</v>
      </c>
      <c r="G35" s="1135">
        <v>10.048016978379096</v>
      </c>
      <c r="H35" s="1135">
        <v>8.7820665870805144</v>
      </c>
      <c r="I35" s="1137">
        <f t="shared" si="2"/>
        <v>1.2659503912985812</v>
      </c>
      <c r="J35" s="138">
        <f t="shared" si="3"/>
        <v>0.10004109953339942</v>
      </c>
      <c r="K35" s="1138">
        <f t="shared" si="1"/>
        <v>0.73667362845871387</v>
      </c>
      <c r="L35" s="954"/>
      <c r="M35" s="954"/>
      <c r="N35" s="228">
        <f t="shared" si="5"/>
        <v>0</v>
      </c>
      <c r="O35" s="1003"/>
    </row>
    <row r="36" spans="1:15" x14ac:dyDescent="0.2">
      <c r="A36" s="1088" t="s">
        <v>55</v>
      </c>
      <c r="B36" s="150">
        <f>+TableA2!F36</f>
        <v>26.618072907828797</v>
      </c>
      <c r="C36" s="1134">
        <f t="shared" si="8"/>
        <v>10.791601924896218</v>
      </c>
      <c r="D36" s="1135">
        <v>19.309094679917795</v>
      </c>
      <c r="E36" s="1135">
        <v>8.5174927550215767</v>
      </c>
      <c r="F36" s="1136">
        <f t="shared" si="4"/>
        <v>9.4975328810559265</v>
      </c>
      <c r="G36" s="1135">
        <v>6.328938101876652</v>
      </c>
      <c r="H36" s="1135">
        <v>6.2258326041219583</v>
      </c>
      <c r="I36" s="1137">
        <f t="shared" si="2"/>
        <v>0.10310549775469369</v>
      </c>
      <c r="J36" s="138">
        <f t="shared" si="3"/>
        <v>0.23389494144374526</v>
      </c>
      <c r="K36" s="1138">
        <f t="shared" si="1"/>
        <v>0.4681093093368216</v>
      </c>
      <c r="L36" s="954"/>
      <c r="M36" s="954"/>
      <c r="N36" s="228">
        <f t="shared" si="5"/>
        <v>0</v>
      </c>
      <c r="O36" s="1003"/>
    </row>
    <row r="37" spans="1:15" x14ac:dyDescent="0.2">
      <c r="A37" s="1088" t="s">
        <v>56</v>
      </c>
      <c r="B37" s="150">
        <f>+TableA2!F37</f>
        <v>11.604550057172386</v>
      </c>
      <c r="C37" s="1134">
        <f t="shared" si="8"/>
        <v>3.4478710909556725</v>
      </c>
      <c r="D37" s="1135">
        <v>5.3554980319610852</v>
      </c>
      <c r="E37" s="1135">
        <v>1.907626941005413</v>
      </c>
      <c r="F37" s="1136">
        <f t="shared" si="4"/>
        <v>4.8172723834620355</v>
      </c>
      <c r="G37" s="1135">
        <v>3.3394065827546777</v>
      </c>
      <c r="H37" s="1135">
        <v>2.9169999999999998</v>
      </c>
      <c r="I37" s="1137">
        <f t="shared" si="2"/>
        <v>0.42240658275467791</v>
      </c>
      <c r="J37" s="138">
        <f t="shared" si="3"/>
        <v>0.25136691949526291</v>
      </c>
      <c r="K37" s="1138">
        <f t="shared" si="1"/>
        <v>0.5828419552996833</v>
      </c>
      <c r="L37" s="954"/>
      <c r="M37" s="954"/>
      <c r="N37" s="228">
        <f t="shared" si="5"/>
        <v>0</v>
      </c>
      <c r="O37" s="1003"/>
    </row>
    <row r="38" spans="1:15" x14ac:dyDescent="0.2">
      <c r="A38" s="1088" t="s">
        <v>57</v>
      </c>
      <c r="B38" s="150">
        <f>+TableA2!F38</f>
        <v>3.417758487410429</v>
      </c>
      <c r="C38" s="1134">
        <f t="shared" si="8"/>
        <v>1.2037513073124095</v>
      </c>
      <c r="D38" s="1135">
        <v>1.3932874845146557</v>
      </c>
      <c r="E38" s="1135">
        <v>0.18953617720224611</v>
      </c>
      <c r="F38" s="1136">
        <f t="shared" si="4"/>
        <v>1.5654103158732959</v>
      </c>
      <c r="G38" s="1135">
        <v>0.64859686422472362</v>
      </c>
      <c r="H38" s="1135">
        <v>0.62991330425360359</v>
      </c>
      <c r="I38" s="1137">
        <f t="shared" si="2"/>
        <v>1.8683559971120034E-2</v>
      </c>
      <c r="J38" s="138">
        <f t="shared" si="3"/>
        <v>0.18430597322014902</v>
      </c>
      <c r="K38" s="1138">
        <f t="shared" si="1"/>
        <v>0.56530117374384703</v>
      </c>
      <c r="L38" s="954"/>
      <c r="M38" s="954"/>
      <c r="N38" s="228">
        <f t="shared" si="5"/>
        <v>0</v>
      </c>
      <c r="O38" s="1003"/>
    </row>
    <row r="39" spans="1:15" x14ac:dyDescent="0.2">
      <c r="A39" s="1088" t="s">
        <v>58</v>
      </c>
      <c r="B39" s="150">
        <f>+TableA2!F39</f>
        <v>158.95366208289389</v>
      </c>
      <c r="C39" s="1134">
        <f t="shared" si="8"/>
        <v>43.046207047231817</v>
      </c>
      <c r="D39" s="1135">
        <v>93.618540933989451</v>
      </c>
      <c r="E39" s="1135">
        <v>50.572333886757633</v>
      </c>
      <c r="F39" s="1136">
        <f t="shared" si="4"/>
        <v>87.835866996281325</v>
      </c>
      <c r="G39" s="1135">
        <v>28.071588039380742</v>
      </c>
      <c r="H39" s="1135">
        <v>28.380403234482216</v>
      </c>
      <c r="I39" s="1137">
        <f t="shared" si="2"/>
        <v>-0.30881519510147371</v>
      </c>
      <c r="J39" s="138">
        <f t="shared" si="3"/>
        <v>0.17854513612704259</v>
      </c>
      <c r="K39" s="1138">
        <f t="shared" si="1"/>
        <v>0.67110693070984917</v>
      </c>
      <c r="L39" s="954"/>
      <c r="M39" s="954"/>
      <c r="N39" s="228">
        <f t="shared" si="5"/>
        <v>0</v>
      </c>
      <c r="O39" s="1003"/>
    </row>
    <row r="40" spans="1:15" x14ac:dyDescent="0.2">
      <c r="A40" s="1088" t="s">
        <v>59</v>
      </c>
      <c r="B40" s="150">
        <f>+TableA2!F40</f>
        <v>63.367762356160583</v>
      </c>
      <c r="C40" s="1134">
        <f t="shared" si="8"/>
        <v>29.230900736599537</v>
      </c>
      <c r="D40" s="1135">
        <v>135.3610577840175</v>
      </c>
      <c r="E40" s="1135">
        <v>106.13015704741797</v>
      </c>
      <c r="F40" s="1136">
        <f t="shared" si="4"/>
        <v>19.663085528227491</v>
      </c>
      <c r="G40" s="1135">
        <v>14.473776091333553</v>
      </c>
      <c r="H40" s="1135">
        <v>14.727097286125488</v>
      </c>
      <c r="I40" s="1137">
        <f t="shared" si="2"/>
        <v>-0.25332119479193516</v>
      </c>
      <c r="J40" s="138">
        <f t="shared" si="3"/>
        <v>0.23240677496786705</v>
      </c>
      <c r="K40" s="1138">
        <f t="shared" si="1"/>
        <v>0.4021575459551468</v>
      </c>
      <c r="L40" s="954"/>
      <c r="M40" s="954"/>
      <c r="N40" s="228">
        <f t="shared" si="5"/>
        <v>0</v>
      </c>
      <c r="O40" s="1003"/>
    </row>
    <row r="41" spans="1:15" x14ac:dyDescent="0.2">
      <c r="A41" s="1088" t="s">
        <v>60</v>
      </c>
      <c r="B41" s="150">
        <f>+TableA2!F41</f>
        <v>94.889238877326122</v>
      </c>
      <c r="C41" s="1134">
        <f t="shared" si="8"/>
        <v>74.71346130066992</v>
      </c>
      <c r="D41" s="1135">
        <v>202.68024368727148</v>
      </c>
      <c r="E41" s="1135">
        <v>127.96678238660157</v>
      </c>
      <c r="F41" s="1136">
        <f t="shared" si="4"/>
        <v>-2.8898017521127599</v>
      </c>
      <c r="G41" s="1135">
        <v>23.065579328768962</v>
      </c>
      <c r="H41" s="1135">
        <v>20.105337698894719</v>
      </c>
      <c r="I41" s="1137">
        <f t="shared" si="2"/>
        <v>2.9602416298742433</v>
      </c>
      <c r="J41" s="138">
        <f t="shared" si="3"/>
        <v>0.21188216848158226</v>
      </c>
      <c r="K41" s="1138">
        <f t="shared" si="1"/>
        <v>-4.0234677128350417E-2</v>
      </c>
      <c r="L41" s="954"/>
      <c r="M41" s="954"/>
      <c r="N41" s="228">
        <f t="shared" si="5"/>
        <v>0</v>
      </c>
      <c r="O41" s="1003"/>
    </row>
    <row r="42" spans="1:15" x14ac:dyDescent="0.2">
      <c r="A42" s="1088" t="s">
        <v>61</v>
      </c>
      <c r="B42" s="150">
        <f>+TableA2!F42</f>
        <v>212.59949330572061</v>
      </c>
      <c r="C42" s="1134">
        <f t="shared" si="8"/>
        <v>152.81711200220295</v>
      </c>
      <c r="D42" s="1135">
        <v>183.4046982932777</v>
      </c>
      <c r="E42" s="1135">
        <v>30.587586291074768</v>
      </c>
      <c r="F42" s="1136">
        <f t="shared" si="4"/>
        <v>44.952206109244415</v>
      </c>
      <c r="G42" s="1135">
        <v>14.830175194273254</v>
      </c>
      <c r="H42" s="1135">
        <v>12.275014163556076</v>
      </c>
      <c r="I42" s="1137">
        <f t="shared" si="2"/>
        <v>2.5551610307171781</v>
      </c>
      <c r="J42" s="138">
        <f>H42/B42</f>
        <v>5.7737739505824968E-2</v>
      </c>
      <c r="K42" s="1138">
        <f t="shared" si="1"/>
        <v>0.22729615765734126</v>
      </c>
      <c r="L42" s="954"/>
      <c r="M42" s="954"/>
      <c r="N42" s="228">
        <f t="shared" si="5"/>
        <v>0</v>
      </c>
      <c r="O42" s="1003"/>
    </row>
    <row r="43" spans="1:15" x14ac:dyDescent="0.2">
      <c r="A43" s="1088" t="s">
        <v>62</v>
      </c>
      <c r="B43" s="150">
        <f>+TableA2!F43</f>
        <v>425.05098961874262</v>
      </c>
      <c r="C43" s="1134">
        <f t="shared" si="8"/>
        <v>249.11197854998508</v>
      </c>
      <c r="D43" s="1135">
        <v>479.47199963333304</v>
      </c>
      <c r="E43" s="1135">
        <v>230.36002108334796</v>
      </c>
      <c r="F43" s="1136">
        <f t="shared" si="4"/>
        <v>99.536319122443686</v>
      </c>
      <c r="G43" s="1135">
        <v>76.402691946313851</v>
      </c>
      <c r="H43" s="1135">
        <v>70.19379874569357</v>
      </c>
      <c r="I43" s="1137">
        <f t="shared" si="2"/>
        <v>6.208893200620281</v>
      </c>
      <c r="J43" s="138">
        <f t="shared" si="3"/>
        <v>0.16514206638750611</v>
      </c>
      <c r="K43" s="1138">
        <f t="shared" si="1"/>
        <v>0.28549205542360817</v>
      </c>
      <c r="L43" s="954"/>
      <c r="M43" s="954"/>
      <c r="N43" s="228">
        <f t="shared" si="5"/>
        <v>0</v>
      </c>
      <c r="O43" s="1003"/>
    </row>
    <row r="44" spans="1:15" x14ac:dyDescent="0.2">
      <c r="A44" s="1088" t="s">
        <v>63</v>
      </c>
      <c r="B44" s="151">
        <f>+TableA2!F44</f>
        <v>1889.3969000000002</v>
      </c>
      <c r="C44" s="1134">
        <f>D44-E44</f>
        <v>1017.5402000000001</v>
      </c>
      <c r="D44" s="1135">
        <v>1614.7186000000002</v>
      </c>
      <c r="E44" s="1135">
        <v>597.17840000000001</v>
      </c>
      <c r="F44" s="1136">
        <f t="shared" si="4"/>
        <v>474.88500000000005</v>
      </c>
      <c r="G44" s="1135">
        <v>396.9717</v>
      </c>
      <c r="H44" s="1135">
        <v>404.99173999999999</v>
      </c>
      <c r="I44" s="1137">
        <f t="shared" si="2"/>
        <v>-8.0200399999999945</v>
      </c>
      <c r="J44" s="138">
        <f t="shared" si="3"/>
        <v>0.21434974303175788</v>
      </c>
      <c r="K44" s="1138">
        <f t="shared" si="1"/>
        <v>0.3181968516747104</v>
      </c>
      <c r="L44" s="954"/>
      <c r="M44" s="954"/>
      <c r="N44" s="228">
        <f t="shared" si="5"/>
        <v>0</v>
      </c>
      <c r="O44" s="1003"/>
    </row>
    <row r="45" spans="1:15" ht="40" customHeight="1" x14ac:dyDescent="0.2">
      <c r="A45" s="140" t="s">
        <v>64</v>
      </c>
      <c r="B45" s="232">
        <f>SUM(B46:B52)</f>
        <v>3157.101545061153</v>
      </c>
      <c r="C45" s="1140">
        <f>SUM(C46:C52)</f>
        <v>700.72661775039535</v>
      </c>
      <c r="D45" s="233"/>
      <c r="E45" s="223"/>
      <c r="F45" s="1141">
        <f>SUM(F46:F52)</f>
        <v>1864.1772365029271</v>
      </c>
      <c r="G45" s="223">
        <f>SUM(G46:G52)</f>
        <v>592.19769080783021</v>
      </c>
      <c r="H45" s="1119"/>
      <c r="I45" s="1122"/>
      <c r="J45" s="215">
        <f>G45/B45</f>
        <v>0.18757638370366683</v>
      </c>
      <c r="K45" s="216">
        <f>F45/(B45-G45)</f>
        <v>0.72680199431709835</v>
      </c>
      <c r="L45" s="954"/>
      <c r="M45" s="954"/>
      <c r="N45" s="228">
        <f t="shared" si="5"/>
        <v>0</v>
      </c>
      <c r="O45" s="1003"/>
    </row>
    <row r="46" spans="1:15" x14ac:dyDescent="0.2">
      <c r="A46" s="1088" t="s">
        <v>65</v>
      </c>
      <c r="B46" s="151">
        <f>+TableA2!F46</f>
        <v>274.33569999999997</v>
      </c>
      <c r="C46" s="1134">
        <f>D46-E46</f>
        <v>121.60224641288116</v>
      </c>
      <c r="D46" s="1135">
        <v>152.64792732221909</v>
      </c>
      <c r="E46" s="1135">
        <v>31.045680909337932</v>
      </c>
      <c r="F46" s="1136">
        <f t="shared" si="4"/>
        <v>99.204758948047299</v>
      </c>
      <c r="G46" s="1135">
        <v>53.528694639071517</v>
      </c>
      <c r="H46" s="1142"/>
      <c r="I46" s="1122"/>
      <c r="J46" s="138">
        <f>G46/B46</f>
        <v>0.19512114040962047</v>
      </c>
      <c r="K46" s="1138">
        <f>F46/(B46-G46)</f>
        <v>0.44928266105456394</v>
      </c>
      <c r="L46" s="954"/>
      <c r="M46" s="954"/>
      <c r="N46" s="228">
        <f t="shared" si="5"/>
        <v>0</v>
      </c>
      <c r="O46" s="1003"/>
    </row>
    <row r="47" spans="1:15" x14ac:dyDescent="0.2">
      <c r="A47" s="1088" t="s">
        <v>66</v>
      </c>
      <c r="B47" s="151">
        <f>+TableA2!F47</f>
        <v>2068.7040725409047</v>
      </c>
      <c r="C47" s="1134">
        <v>339.50110140998845</v>
      </c>
      <c r="D47" s="1135">
        <v>398.57749145860936</v>
      </c>
      <c r="E47" s="1135">
        <v>59.07639004862088</v>
      </c>
      <c r="F47" s="1136">
        <f t="shared" si="4"/>
        <v>1307.2583215702728</v>
      </c>
      <c r="G47" s="1135">
        <v>421.94464956064348</v>
      </c>
      <c r="H47" s="1142"/>
      <c r="I47" s="1122"/>
      <c r="J47" s="138">
        <f t="shared" ref="J47:J53" si="9">G47/B47</f>
        <v>0.20396568806595239</v>
      </c>
      <c r="K47" s="1138">
        <f t="shared" ref="K47:K52" si="10">F47/(B47-G47)</f>
        <v>0.79383685517610802</v>
      </c>
      <c r="L47" s="954"/>
      <c r="M47" s="954"/>
      <c r="N47" s="228">
        <f t="shared" si="5"/>
        <v>0</v>
      </c>
      <c r="O47" s="1003"/>
    </row>
    <row r="48" spans="1:15" x14ac:dyDescent="0.2">
      <c r="A48" s="1088" t="s">
        <v>67</v>
      </c>
      <c r="B48" s="151">
        <f>+TableA2!F48</f>
        <v>58.600733808963028</v>
      </c>
      <c r="C48" s="1134">
        <f>D48-E48</f>
        <v>20.965170296054801</v>
      </c>
      <c r="D48" s="1135">
        <v>26.121849420957709</v>
      </c>
      <c r="E48" s="1135">
        <v>5.156679124902908</v>
      </c>
      <c r="F48" s="1136">
        <f>B48-C48-G48</f>
        <v>20.606377453076089</v>
      </c>
      <c r="G48" s="1135">
        <v>17.029186059832139</v>
      </c>
      <c r="H48" s="1142"/>
      <c r="I48" s="1122"/>
      <c r="J48" s="138">
        <f t="shared" si="9"/>
        <v>0.29059680575582675</v>
      </c>
      <c r="K48" s="1138">
        <f t="shared" si="10"/>
        <v>0.4956846345348519</v>
      </c>
      <c r="L48" s="954"/>
      <c r="M48" s="954"/>
      <c r="N48" s="228">
        <f t="shared" si="5"/>
        <v>0</v>
      </c>
      <c r="O48" s="1003"/>
    </row>
    <row r="49" spans="1:15" x14ac:dyDescent="0.2">
      <c r="A49" s="1088" t="s">
        <v>68</v>
      </c>
      <c r="B49" s="151">
        <f>+TableA2!F49</f>
        <v>13.202740172271037</v>
      </c>
      <c r="C49" s="1134">
        <f>D49-E49</f>
        <v>5.5171584177565274</v>
      </c>
      <c r="D49" s="1135">
        <v>6.0702131107272352</v>
      </c>
      <c r="E49" s="1135">
        <v>0.55305469297070775</v>
      </c>
      <c r="F49" s="1136">
        <f>B49-C49-G49</f>
        <v>6.1461613438136897</v>
      </c>
      <c r="G49" s="1135">
        <v>1.5394204107008198</v>
      </c>
      <c r="H49" s="1142"/>
      <c r="I49" s="1122"/>
      <c r="J49" s="138">
        <f t="shared" si="9"/>
        <v>0.1165985538315733</v>
      </c>
      <c r="K49" s="1138">
        <f t="shared" si="10"/>
        <v>0.52696500391465217</v>
      </c>
      <c r="L49" s="954"/>
      <c r="M49" s="954"/>
      <c r="N49" s="228">
        <f t="shared" si="5"/>
        <v>0</v>
      </c>
      <c r="O49" s="1003"/>
    </row>
    <row r="50" spans="1:15" x14ac:dyDescent="0.2">
      <c r="A50" s="1088" t="s">
        <v>69</v>
      </c>
      <c r="B50" s="151">
        <f>+TableA2!F50</f>
        <v>376.12710693199818</v>
      </c>
      <c r="C50" s="1134">
        <f>+B50-F50-G50</f>
        <v>116.65694414897868</v>
      </c>
      <c r="D50" s="1135"/>
      <c r="E50" s="1135"/>
      <c r="F50" s="1136">
        <f>+B50*$F$101</f>
        <v>222.09218828301951</v>
      </c>
      <c r="G50" s="1135">
        <v>37.377974500000001</v>
      </c>
      <c r="H50" s="1142"/>
      <c r="I50" s="1122"/>
      <c r="J50" s="138">
        <f t="shared" si="9"/>
        <v>9.9375912586799398E-2</v>
      </c>
      <c r="K50" s="1138">
        <f t="shared" si="10"/>
        <v>0.65562437514907335</v>
      </c>
      <c r="L50" s="954"/>
      <c r="M50" s="954"/>
      <c r="N50" s="228">
        <f t="shared" si="5"/>
        <v>0</v>
      </c>
      <c r="O50" s="1003"/>
    </row>
    <row r="51" spans="1:15" x14ac:dyDescent="0.2">
      <c r="A51" s="1088" t="s">
        <v>70</v>
      </c>
      <c r="B51" s="151">
        <f>+TableA2!F51</f>
        <v>289.6640115913587</v>
      </c>
      <c r="C51" s="1134">
        <f>+B51-F51-G51</f>
        <v>76.634846773783977</v>
      </c>
      <c r="D51" s="1135"/>
      <c r="E51" s="1135"/>
      <c r="F51" s="1136">
        <f>+B51*$F$101</f>
        <v>171.03822887403243</v>
      </c>
      <c r="G51" s="1135">
        <v>41.990935943542297</v>
      </c>
      <c r="H51" s="1142"/>
      <c r="I51" s="1122"/>
      <c r="J51" s="138">
        <f t="shared" si="9"/>
        <v>0.14496428366386327</v>
      </c>
      <c r="K51" s="1138">
        <f t="shared" si="10"/>
        <v>0.69058063104624101</v>
      </c>
      <c r="L51" s="954"/>
      <c r="M51" s="954"/>
      <c r="N51" s="228">
        <f t="shared" si="5"/>
        <v>0</v>
      </c>
      <c r="O51" s="1003"/>
    </row>
    <row r="52" spans="1:15" x14ac:dyDescent="0.2">
      <c r="A52" s="1088" t="s">
        <v>71</v>
      </c>
      <c r="B52" s="151">
        <f>+TableA2!F52</f>
        <v>76.467180015656993</v>
      </c>
      <c r="C52" s="1134">
        <v>19.849150290951819</v>
      </c>
      <c r="D52" s="1135">
        <v>28.808892495993607</v>
      </c>
      <c r="E52" s="1135">
        <v>8.9597422050417901</v>
      </c>
      <c r="F52" s="1136">
        <f>B52-C52-G52</f>
        <v>37.8312000306653</v>
      </c>
      <c r="G52" s="1135">
        <v>18.786829694039877</v>
      </c>
      <c r="H52" s="1142"/>
      <c r="I52" s="1122"/>
      <c r="J52" s="138">
        <f t="shared" si="9"/>
        <v>0.24568487670387729</v>
      </c>
      <c r="K52" s="1138">
        <f t="shared" si="10"/>
        <v>0.65587673826050152</v>
      </c>
      <c r="L52" s="954"/>
      <c r="M52" s="954"/>
      <c r="N52" s="228">
        <f t="shared" si="5"/>
        <v>0</v>
      </c>
      <c r="O52" s="1003"/>
    </row>
    <row r="53" spans="1:15" ht="40" customHeight="1" x14ac:dyDescent="0.2">
      <c r="A53" s="140" t="s">
        <v>72</v>
      </c>
      <c r="B53" s="232">
        <f>SUM(B54:B89)</f>
        <v>298.79844880635773</v>
      </c>
      <c r="C53" s="1143">
        <f>B53-F53-G53</f>
        <v>79.428662552132494</v>
      </c>
      <c r="D53" s="240"/>
      <c r="E53" s="240"/>
      <c r="F53" s="1141">
        <f>K53*(B53-G53)</f>
        <v>185.33354595497576</v>
      </c>
      <c r="G53" s="223">
        <f>SUM(G54:G89)</f>
        <v>34.036240299249471</v>
      </c>
      <c r="H53" s="240"/>
      <c r="I53" s="1144"/>
      <c r="J53" s="215">
        <f t="shared" si="9"/>
        <v>0.11391036478006394</v>
      </c>
      <c r="K53" s="216">
        <v>0.7</v>
      </c>
      <c r="L53" s="954"/>
      <c r="M53" s="954"/>
      <c r="N53" s="228">
        <f t="shared" si="5"/>
        <v>0</v>
      </c>
      <c r="O53" s="1003"/>
    </row>
    <row r="54" spans="1:15" x14ac:dyDescent="0.2">
      <c r="A54" s="1088" t="s">
        <v>73</v>
      </c>
      <c r="B54" s="144">
        <f>TableA2!F54</f>
        <v>1.2179448838266</v>
      </c>
      <c r="C54" s="1145">
        <f t="shared" ref="C54:C89" si="11">B54-F54-G54</f>
        <v>0.34711429189058107</v>
      </c>
      <c r="D54" s="1119"/>
      <c r="E54" s="1119"/>
      <c r="F54" s="1146">
        <f t="shared" ref="F54:F89" si="12">K54*(B54-G54)</f>
        <v>0.80993334774468895</v>
      </c>
      <c r="G54" s="1119">
        <f>J54*B54</f>
        <v>6.0897244191330004E-2</v>
      </c>
      <c r="H54" s="1119"/>
      <c r="I54" s="1122"/>
      <c r="J54" s="1147">
        <v>0.05</v>
      </c>
      <c r="K54" s="1138">
        <v>0.7</v>
      </c>
      <c r="L54" s="954"/>
      <c r="M54" s="954"/>
      <c r="N54" s="228">
        <f t="shared" si="5"/>
        <v>0</v>
      </c>
      <c r="O54" s="954"/>
    </row>
    <row r="55" spans="1:15" x14ac:dyDescent="0.2">
      <c r="A55" s="1088" t="s">
        <v>74</v>
      </c>
      <c r="B55" s="144">
        <f>TableA2!F55</f>
        <v>0.11526214699326522</v>
      </c>
      <c r="C55" s="1145">
        <f t="shared" si="11"/>
        <v>3.4578644097979575E-2</v>
      </c>
      <c r="D55" s="1119"/>
      <c r="E55" s="1119"/>
      <c r="F55" s="1146">
        <f t="shared" si="12"/>
        <v>8.0683502895285641E-2</v>
      </c>
      <c r="G55" s="1119">
        <f t="shared" ref="G55:G88" si="13">J55*B55</f>
        <v>0</v>
      </c>
      <c r="H55" s="1119"/>
      <c r="I55" s="1122"/>
      <c r="J55" s="1147">
        <v>0</v>
      </c>
      <c r="K55" s="1138">
        <v>0.7</v>
      </c>
      <c r="L55" s="954"/>
      <c r="M55" s="954"/>
      <c r="N55" s="228">
        <f t="shared" si="5"/>
        <v>0</v>
      </c>
      <c r="O55" s="954"/>
    </row>
    <row r="56" spans="1:15" x14ac:dyDescent="0.2">
      <c r="A56" s="1088" t="s">
        <v>76</v>
      </c>
      <c r="B56" s="144">
        <f>TableA2!F56</f>
        <v>0.74419221854700335</v>
      </c>
      <c r="C56" s="1145">
        <f t="shared" si="11"/>
        <v>0.21209478228589598</v>
      </c>
      <c r="D56" s="1119"/>
      <c r="E56" s="1119"/>
      <c r="F56" s="1146">
        <f t="shared" si="12"/>
        <v>0.49488782533375719</v>
      </c>
      <c r="G56" s="1119">
        <f t="shared" si="13"/>
        <v>3.7209610927350166E-2</v>
      </c>
      <c r="H56" s="1119"/>
      <c r="I56" s="1122"/>
      <c r="J56" s="1147">
        <v>0.05</v>
      </c>
      <c r="K56" s="1138">
        <v>0.7</v>
      </c>
      <c r="L56" s="954"/>
      <c r="M56" s="954"/>
      <c r="N56" s="228">
        <f t="shared" si="5"/>
        <v>0</v>
      </c>
      <c r="O56" s="954"/>
    </row>
    <row r="57" spans="1:15" x14ac:dyDescent="0.2">
      <c r="A57" s="1088" t="str">
        <f>+TableA1!A56</f>
        <v>Antigua and Barbuda</v>
      </c>
      <c r="B57" s="144">
        <f>TableA2!F57</f>
        <v>1.0830039076807072</v>
      </c>
      <c r="C57" s="1145">
        <f t="shared" si="11"/>
        <v>0.30865611368900153</v>
      </c>
      <c r="D57" s="1119"/>
      <c r="E57" s="1119"/>
      <c r="F57" s="1146">
        <f t="shared" si="12"/>
        <v>0.7201975986076703</v>
      </c>
      <c r="G57" s="1119">
        <f t="shared" si="13"/>
        <v>5.4150195384035364E-2</v>
      </c>
      <c r="H57" s="1119"/>
      <c r="I57" s="1122"/>
      <c r="J57" s="1147">
        <v>0.05</v>
      </c>
      <c r="K57" s="1138">
        <v>0.7</v>
      </c>
      <c r="L57" s="954"/>
      <c r="M57" s="954"/>
      <c r="N57" s="228">
        <f t="shared" si="5"/>
        <v>0</v>
      </c>
      <c r="O57" s="954"/>
    </row>
    <row r="58" spans="1:15" x14ac:dyDescent="0.2">
      <c r="A58" s="1088" t="s">
        <v>152</v>
      </c>
      <c r="B58" s="144">
        <f>TableA2!F58</f>
        <v>6.4122604015352946</v>
      </c>
      <c r="C58" s="1145">
        <f t="shared" si="11"/>
        <v>1.9236781204605888</v>
      </c>
      <c r="D58" s="1119"/>
      <c r="E58" s="1119"/>
      <c r="F58" s="1146">
        <f t="shared" si="12"/>
        <v>4.4885822810747058</v>
      </c>
      <c r="G58" s="1119">
        <f t="shared" si="13"/>
        <v>0</v>
      </c>
      <c r="H58" s="1119"/>
      <c r="I58" s="1122"/>
      <c r="J58" s="1147">
        <v>0</v>
      </c>
      <c r="K58" s="1138">
        <v>0.7</v>
      </c>
      <c r="L58" s="954"/>
      <c r="M58" s="954"/>
      <c r="N58" s="228">
        <f t="shared" si="5"/>
        <v>0</v>
      </c>
      <c r="O58" s="954"/>
    </row>
    <row r="59" spans="1:15" x14ac:dyDescent="0.2">
      <c r="A59" s="1088" t="s">
        <v>78</v>
      </c>
      <c r="B59" s="144">
        <f>TableA2!F59</f>
        <v>12.031979600790283</v>
      </c>
      <c r="C59" s="1145">
        <f t="shared" si="11"/>
        <v>3.6095938802370853</v>
      </c>
      <c r="D59" s="1119"/>
      <c r="E59" s="1119"/>
      <c r="F59" s="1146">
        <f t="shared" si="12"/>
        <v>8.4223857205531978</v>
      </c>
      <c r="G59" s="1119">
        <f t="shared" si="13"/>
        <v>0</v>
      </c>
      <c r="H59" s="1119"/>
      <c r="I59" s="1122"/>
      <c r="J59" s="1147">
        <v>0</v>
      </c>
      <c r="K59" s="1138">
        <v>0.7</v>
      </c>
      <c r="L59" s="954"/>
      <c r="M59" s="954"/>
      <c r="N59" s="228">
        <f t="shared" si="5"/>
        <v>0</v>
      </c>
      <c r="O59" s="954"/>
    </row>
    <row r="60" spans="1:15" x14ac:dyDescent="0.2">
      <c r="A60" s="1088" t="str">
        <f>+TableA1!A60</f>
        <v>Barbados</v>
      </c>
      <c r="B60" s="144">
        <f>TableA2!F60</f>
        <v>2.4710292318886387</v>
      </c>
      <c r="C60" s="1145">
        <f t="shared" si="11"/>
        <v>0.70424333108826209</v>
      </c>
      <c r="D60" s="1119"/>
      <c r="E60" s="1119"/>
      <c r="F60" s="1146">
        <f t="shared" si="12"/>
        <v>1.6432344392059446</v>
      </c>
      <c r="G60" s="1119">
        <f t="shared" si="13"/>
        <v>0.12355146159443194</v>
      </c>
      <c r="H60" s="1119"/>
      <c r="I60" s="1122"/>
      <c r="J60" s="1147">
        <v>0.05</v>
      </c>
      <c r="K60" s="1138">
        <v>0.7</v>
      </c>
      <c r="L60" s="954"/>
      <c r="M60" s="954"/>
      <c r="N60" s="228">
        <f t="shared" si="5"/>
        <v>0</v>
      </c>
      <c r="O60" s="954"/>
    </row>
    <row r="61" spans="1:15" x14ac:dyDescent="0.2">
      <c r="A61" s="1088" t="s">
        <v>80</v>
      </c>
      <c r="B61" s="144">
        <f>TableA2!F61</f>
        <v>0.93652438608518407</v>
      </c>
      <c r="C61" s="1145">
        <f t="shared" si="11"/>
        <v>0.28095731582555528</v>
      </c>
      <c r="D61" s="1119"/>
      <c r="E61" s="1119"/>
      <c r="F61" s="1146">
        <f t="shared" si="12"/>
        <v>0.65556707025962879</v>
      </c>
      <c r="G61" s="1119">
        <f t="shared" si="13"/>
        <v>0</v>
      </c>
      <c r="H61" s="1119"/>
      <c r="I61" s="1122"/>
      <c r="J61" s="1147">
        <v>0</v>
      </c>
      <c r="K61" s="1138">
        <v>0.7</v>
      </c>
      <c r="L61" s="954"/>
      <c r="M61" s="954"/>
      <c r="N61" s="228">
        <f t="shared" si="5"/>
        <v>0</v>
      </c>
      <c r="O61" s="954"/>
    </row>
    <row r="62" spans="1:15" x14ac:dyDescent="0.2">
      <c r="A62" s="1088" t="s">
        <v>81</v>
      </c>
      <c r="B62" s="144">
        <f>TableA2!F62</f>
        <v>1.7711671665296007</v>
      </c>
      <c r="C62" s="1145">
        <f t="shared" si="11"/>
        <v>0.53135014995888019</v>
      </c>
      <c r="D62" s="1119"/>
      <c r="E62" s="1119"/>
      <c r="F62" s="1146">
        <f t="shared" si="12"/>
        <v>1.2398170165707205</v>
      </c>
      <c r="G62" s="1119">
        <f t="shared" si="13"/>
        <v>0</v>
      </c>
      <c r="H62" s="1119"/>
      <c r="I62" s="1122"/>
      <c r="J62" s="1147">
        <v>0</v>
      </c>
      <c r="K62" s="1138">
        <v>0.7</v>
      </c>
      <c r="L62" s="954"/>
      <c r="M62" s="954"/>
      <c r="N62" s="228">
        <f t="shared" si="5"/>
        <v>0</v>
      </c>
      <c r="O62" s="954"/>
    </row>
    <row r="63" spans="1:15" x14ac:dyDescent="0.2">
      <c r="A63" s="1088" t="s">
        <v>82</v>
      </c>
      <c r="B63" s="144">
        <f>TableA2!F63</f>
        <v>0.17335876526209473</v>
      </c>
      <c r="C63" s="1145">
        <f t="shared" si="11"/>
        <v>4.9407248099697008E-2</v>
      </c>
      <c r="D63" s="1119"/>
      <c r="E63" s="1119"/>
      <c r="F63" s="1146">
        <f t="shared" si="12"/>
        <v>0.11528357889929298</v>
      </c>
      <c r="G63" s="1119">
        <f t="shared" si="13"/>
        <v>8.6679382631047377E-3</v>
      </c>
      <c r="H63" s="1119"/>
      <c r="I63" s="1122"/>
      <c r="J63" s="1147">
        <v>0.05</v>
      </c>
      <c r="K63" s="1138">
        <v>0.7</v>
      </c>
      <c r="L63" s="954"/>
      <c r="M63" s="954"/>
      <c r="N63" s="228">
        <f t="shared" si="5"/>
        <v>0</v>
      </c>
      <c r="O63" s="954"/>
    </row>
    <row r="64" spans="1:15" x14ac:dyDescent="0.2">
      <c r="A64" s="1088" t="s">
        <v>153</v>
      </c>
      <c r="B64" s="144">
        <f>TableA2!F64</f>
        <v>0.38988210454728756</v>
      </c>
      <c r="C64" s="1145">
        <f t="shared" si="11"/>
        <v>0.11696463136418628</v>
      </c>
      <c r="D64" s="1119"/>
      <c r="E64" s="1119"/>
      <c r="F64" s="1146">
        <f t="shared" si="12"/>
        <v>0.27291747318310128</v>
      </c>
      <c r="G64" s="1119">
        <f t="shared" si="13"/>
        <v>0</v>
      </c>
      <c r="H64" s="1119"/>
      <c r="I64" s="1122"/>
      <c r="J64" s="1147">
        <v>0</v>
      </c>
      <c r="K64" s="1138">
        <v>0.7</v>
      </c>
      <c r="L64" s="954"/>
      <c r="M64" s="954"/>
      <c r="N64" s="228">
        <f t="shared" si="5"/>
        <v>0</v>
      </c>
      <c r="O64" s="954"/>
    </row>
    <row r="65" spans="1:14" x14ac:dyDescent="0.2">
      <c r="A65" s="1088" t="s">
        <v>84</v>
      </c>
      <c r="B65" s="144">
        <f>TableA2!F65</f>
        <v>1.06456062592</v>
      </c>
      <c r="C65" s="1145">
        <f t="shared" si="11"/>
        <v>0.31936818777600007</v>
      </c>
      <c r="D65" s="1119"/>
      <c r="E65" s="1119"/>
      <c r="F65" s="1146">
        <f t="shared" si="12"/>
        <v>0.74519243814399994</v>
      </c>
      <c r="G65" s="1119">
        <f t="shared" si="13"/>
        <v>0</v>
      </c>
      <c r="H65" s="1119"/>
      <c r="I65" s="1122"/>
      <c r="J65" s="1147">
        <v>0</v>
      </c>
      <c r="K65" s="1138">
        <v>0.7</v>
      </c>
      <c r="L65" s="954"/>
      <c r="M65" s="954"/>
      <c r="N65" s="228">
        <f t="shared" si="5"/>
        <v>0</v>
      </c>
    </row>
    <row r="66" spans="1:14" x14ac:dyDescent="0.2">
      <c r="A66" s="1088" t="s">
        <v>85</v>
      </c>
      <c r="B66" s="144">
        <f>TableA2!F66</f>
        <v>0.45606590283580151</v>
      </c>
      <c r="C66" s="1145">
        <f t="shared" si="11"/>
        <v>0.12997878230820342</v>
      </c>
      <c r="D66" s="1119"/>
      <c r="E66" s="1119"/>
      <c r="F66" s="1146">
        <f t="shared" si="12"/>
        <v>0.303283825385808</v>
      </c>
      <c r="G66" s="1119">
        <f t="shared" si="13"/>
        <v>2.2803295141790077E-2</v>
      </c>
      <c r="H66" s="1119"/>
      <c r="I66" s="1122"/>
      <c r="J66" s="1147">
        <v>0.05</v>
      </c>
      <c r="K66" s="1138">
        <v>0.7</v>
      </c>
      <c r="L66" s="954"/>
      <c r="M66" s="954"/>
      <c r="N66" s="228">
        <f t="shared" si="5"/>
        <v>0</v>
      </c>
    </row>
    <row r="67" spans="1:14" x14ac:dyDescent="0.2">
      <c r="A67" s="1088" t="str">
        <f>+TableA1!A67</f>
        <v>Cyprus</v>
      </c>
      <c r="B67" s="144">
        <f>TableA2!F67</f>
        <v>3.12425</v>
      </c>
      <c r="C67" s="1145">
        <f t="shared" si="11"/>
        <v>0.58938294768310429</v>
      </c>
      <c r="D67" s="1119"/>
      <c r="E67" s="1119"/>
      <c r="F67" s="1146">
        <f t="shared" si="12"/>
        <v>1.375226877927243</v>
      </c>
      <c r="G67" s="1135">
        <v>1.1596401743896527</v>
      </c>
      <c r="H67" s="1119"/>
      <c r="I67" s="1122"/>
      <c r="J67" s="1117">
        <f t="shared" ref="J67" si="14">G67/B67</f>
        <v>0.37117393754970079</v>
      </c>
      <c r="K67" s="1138">
        <v>0.7</v>
      </c>
      <c r="L67" s="954"/>
      <c r="M67" s="954"/>
      <c r="N67" s="228">
        <f t="shared" si="5"/>
        <v>0</v>
      </c>
    </row>
    <row r="68" spans="1:14" x14ac:dyDescent="0.2">
      <c r="A68" s="1088" t="s">
        <v>87</v>
      </c>
      <c r="B68" s="144">
        <f>TableA2!F68</f>
        <v>3.0206026933210057</v>
      </c>
      <c r="C68" s="1145">
        <f t="shared" si="11"/>
        <v>0.86087176759648676</v>
      </c>
      <c r="D68" s="1119"/>
      <c r="E68" s="1119"/>
      <c r="F68" s="1146">
        <f t="shared" si="12"/>
        <v>2.0087007910584687</v>
      </c>
      <c r="G68" s="1119">
        <f t="shared" si="13"/>
        <v>0.15103013466605031</v>
      </c>
      <c r="H68" s="1119"/>
      <c r="I68" s="1122"/>
      <c r="J68" s="1147">
        <v>0.05</v>
      </c>
      <c r="K68" s="1138">
        <v>0.7</v>
      </c>
      <c r="L68" s="954"/>
      <c r="M68" s="954"/>
      <c r="N68" s="228">
        <f t="shared" si="5"/>
        <v>0</v>
      </c>
    </row>
    <row r="69" spans="1:14" x14ac:dyDescent="0.2">
      <c r="A69" s="1088" t="str">
        <f>+TableA1!A69</f>
        <v>Grenada</v>
      </c>
      <c r="B69" s="144">
        <f>TableA2!F69</f>
        <v>0.38326716933285948</v>
      </c>
      <c r="C69" s="1145">
        <f t="shared" si="11"/>
        <v>0.10923114325986498</v>
      </c>
      <c r="D69" s="1119"/>
      <c r="E69" s="1119"/>
      <c r="F69" s="1146">
        <f t="shared" si="12"/>
        <v>0.25487266760635152</v>
      </c>
      <c r="G69" s="1119">
        <f t="shared" si="13"/>
        <v>1.9163358466642976E-2</v>
      </c>
      <c r="H69" s="1119"/>
      <c r="I69" s="1122"/>
      <c r="J69" s="1147">
        <v>0.05</v>
      </c>
      <c r="K69" s="1138">
        <v>0.7</v>
      </c>
      <c r="L69" s="954"/>
      <c r="M69" s="954"/>
      <c r="N69" s="228">
        <f t="shared" si="5"/>
        <v>0</v>
      </c>
    </row>
    <row r="70" spans="1:14" x14ac:dyDescent="0.2">
      <c r="A70" s="1088" t="s">
        <v>89</v>
      </c>
      <c r="B70" s="144">
        <f>TableA2!F70</f>
        <v>2.0311467085553057</v>
      </c>
      <c r="C70" s="1145">
        <f t="shared" si="11"/>
        <v>0.60934401256659187</v>
      </c>
      <c r="D70" s="1119"/>
      <c r="E70" s="1119"/>
      <c r="F70" s="1146">
        <f t="shared" si="12"/>
        <v>1.4218026959887138</v>
      </c>
      <c r="G70" s="1119">
        <f t="shared" si="13"/>
        <v>0</v>
      </c>
      <c r="H70" s="1119"/>
      <c r="I70" s="1122"/>
      <c r="J70" s="1147">
        <v>0</v>
      </c>
      <c r="K70" s="1138">
        <v>0.7</v>
      </c>
      <c r="L70" s="954"/>
      <c r="M70" s="954"/>
      <c r="N70" s="228">
        <f t="shared" si="5"/>
        <v>0</v>
      </c>
    </row>
    <row r="71" spans="1:14" x14ac:dyDescent="0.2">
      <c r="A71" s="1088" t="s">
        <v>154</v>
      </c>
      <c r="B71" s="144">
        <f>TableA2!F71</f>
        <v>1.0873325907085956</v>
      </c>
      <c r="C71" s="1145">
        <f t="shared" si="11"/>
        <v>0.30988978835194969</v>
      </c>
      <c r="D71" s="1119"/>
      <c r="E71" s="1119"/>
      <c r="F71" s="1146">
        <f t="shared" si="12"/>
        <v>0.72307617282121606</v>
      </c>
      <c r="G71" s="1119">
        <f t="shared" si="13"/>
        <v>5.4366629535429783E-2</v>
      </c>
      <c r="H71" s="1119"/>
      <c r="I71" s="1122"/>
      <c r="J71" s="1147">
        <v>0.05</v>
      </c>
      <c r="K71" s="1138">
        <v>0.7</v>
      </c>
      <c r="L71" s="954"/>
      <c r="M71" s="954"/>
      <c r="N71" s="228">
        <f t="shared" si="5"/>
        <v>0</v>
      </c>
    </row>
    <row r="72" spans="1:14" x14ac:dyDescent="0.2">
      <c r="A72" s="1088" t="s">
        <v>91</v>
      </c>
      <c r="B72" s="144">
        <f>TableA2!F72</f>
        <v>73.929728212200004</v>
      </c>
      <c r="C72" s="1145">
        <f t="shared" si="11"/>
        <v>17.133991646493044</v>
      </c>
      <c r="D72" s="1119"/>
      <c r="E72" s="1119"/>
      <c r="F72" s="1146">
        <f t="shared" si="12"/>
        <v>39.979313841817103</v>
      </c>
      <c r="G72" s="1119">
        <f>135.574/8.062</f>
        <v>16.816422723889858</v>
      </c>
      <c r="H72" s="1119"/>
      <c r="I72" s="1122"/>
      <c r="J72" s="1117">
        <f t="shared" ref="J72" si="15">G72/B72</f>
        <v>0.22746496072083197</v>
      </c>
      <c r="K72" s="1138">
        <v>0.7</v>
      </c>
      <c r="L72" s="954"/>
      <c r="M72" s="954"/>
      <c r="N72" s="228">
        <f t="shared" si="5"/>
        <v>0</v>
      </c>
    </row>
    <row r="73" spans="1:14" x14ac:dyDescent="0.2">
      <c r="A73" s="1088" t="s">
        <v>92</v>
      </c>
      <c r="B73" s="144">
        <f>TableA2!F73</f>
        <v>2.9424971928045003</v>
      </c>
      <c r="C73" s="1145">
        <f t="shared" si="11"/>
        <v>0.88274915784135022</v>
      </c>
      <c r="D73" s="1119"/>
      <c r="E73" s="1119"/>
      <c r="F73" s="1146">
        <f t="shared" si="12"/>
        <v>2.0597480349631501</v>
      </c>
      <c r="G73" s="1119">
        <f t="shared" si="13"/>
        <v>0</v>
      </c>
      <c r="H73" s="1119"/>
      <c r="I73" s="1122"/>
      <c r="J73" s="1147">
        <v>0</v>
      </c>
      <c r="K73" s="1138">
        <v>0.7</v>
      </c>
      <c r="L73" s="954"/>
      <c r="M73" s="954"/>
      <c r="N73" s="228">
        <f t="shared" si="5"/>
        <v>0</v>
      </c>
    </row>
    <row r="74" spans="1:14" x14ac:dyDescent="0.2">
      <c r="A74" s="1088" t="s">
        <v>93</v>
      </c>
      <c r="B74" s="144">
        <f>TableA2!F74</f>
        <v>15.163250551852792</v>
      </c>
      <c r="C74" s="1145">
        <f t="shared" si="11"/>
        <v>4.3215264072780473</v>
      </c>
      <c r="D74" s="1119"/>
      <c r="E74" s="1119"/>
      <c r="F74" s="1146">
        <f t="shared" si="12"/>
        <v>10.083561616982106</v>
      </c>
      <c r="G74" s="1119">
        <f t="shared" si="13"/>
        <v>0.75816252759263969</v>
      </c>
      <c r="H74" s="1119"/>
      <c r="I74" s="1122"/>
      <c r="J74" s="1147">
        <v>0.05</v>
      </c>
      <c r="K74" s="1138">
        <v>0.7</v>
      </c>
      <c r="L74" s="954"/>
      <c r="M74" s="954"/>
      <c r="N74" s="228">
        <f t="shared" si="5"/>
        <v>-1.2212453270876722E-15</v>
      </c>
    </row>
    <row r="75" spans="1:14" x14ac:dyDescent="0.2">
      <c r="A75" s="1088" t="s">
        <v>94</v>
      </c>
      <c r="B75" s="144">
        <f>TableA2!F75</f>
        <v>1.3847476300640333</v>
      </c>
      <c r="C75" s="1145">
        <f t="shared" si="11"/>
        <v>0.39465307456824961</v>
      </c>
      <c r="D75" s="1119"/>
      <c r="E75" s="1119"/>
      <c r="F75" s="1146">
        <f t="shared" si="12"/>
        <v>0.92085717399258205</v>
      </c>
      <c r="G75" s="1119">
        <f t="shared" si="13"/>
        <v>6.9237381503201675E-2</v>
      </c>
      <c r="H75" s="1119"/>
      <c r="I75" s="1122"/>
      <c r="J75" s="1147">
        <v>0.05</v>
      </c>
      <c r="K75" s="1138">
        <v>0.7</v>
      </c>
      <c r="L75" s="954"/>
      <c r="M75" s="954"/>
      <c r="N75" s="228">
        <f t="shared" ref="N75:N89" si="16">B75-C75-F75-G75</f>
        <v>0</v>
      </c>
    </row>
    <row r="76" spans="1:14" x14ac:dyDescent="0.2">
      <c r="A76" s="1088" t="s">
        <v>95</v>
      </c>
      <c r="B76" s="144">
        <f>TableA2!F76</f>
        <v>12.938277299966822</v>
      </c>
      <c r="C76" s="1145">
        <f t="shared" si="11"/>
        <v>3.6874090304905458</v>
      </c>
      <c r="D76" s="1119"/>
      <c r="E76" s="1119"/>
      <c r="F76" s="1146">
        <f t="shared" si="12"/>
        <v>8.6039544044779355</v>
      </c>
      <c r="G76" s="1119">
        <f t="shared" si="13"/>
        <v>0.64691386499834114</v>
      </c>
      <c r="H76" s="1119"/>
      <c r="I76" s="1122"/>
      <c r="J76" s="1147">
        <v>0.05</v>
      </c>
      <c r="K76" s="1138">
        <v>0.7</v>
      </c>
      <c r="L76" s="954"/>
      <c r="M76" s="954"/>
      <c r="N76" s="228">
        <f t="shared" si="16"/>
        <v>0</v>
      </c>
    </row>
    <row r="77" spans="1:14" x14ac:dyDescent="0.2">
      <c r="A77" s="1088" t="s">
        <v>96</v>
      </c>
      <c r="B77" s="144">
        <f>TableA2!F77</f>
        <v>2.3329148139999996</v>
      </c>
      <c r="C77" s="1145">
        <f t="shared" si="11"/>
        <v>0.50480069680769302</v>
      </c>
      <c r="D77" s="1119"/>
      <c r="E77" s="1119"/>
      <c r="F77" s="1146">
        <f t="shared" si="12"/>
        <v>1.1778682925512838</v>
      </c>
      <c r="G77" s="1135">
        <v>0.65024582464102276</v>
      </c>
      <c r="H77" s="1119"/>
      <c r="I77" s="1122"/>
      <c r="J77" s="1117">
        <f t="shared" ref="J77" si="17">G77/B77</f>
        <v>0.27872677593663003</v>
      </c>
      <c r="K77" s="1138">
        <v>0.7</v>
      </c>
      <c r="L77" s="954"/>
      <c r="M77" s="954"/>
      <c r="N77" s="228">
        <f t="shared" si="16"/>
        <v>0</v>
      </c>
    </row>
    <row r="78" spans="1:14" x14ac:dyDescent="0.2">
      <c r="A78" s="1088" t="s">
        <v>97</v>
      </c>
      <c r="B78" s="144">
        <f>TableA2!F78</f>
        <v>3.4329997064598869E-2</v>
      </c>
      <c r="C78" s="1145">
        <f t="shared" si="11"/>
        <v>1.0298999119379662E-2</v>
      </c>
      <c r="D78" s="1119"/>
      <c r="E78" s="1119"/>
      <c r="F78" s="1146">
        <f t="shared" si="12"/>
        <v>2.4030997945219207E-2</v>
      </c>
      <c r="G78" s="1119">
        <f t="shared" si="13"/>
        <v>0</v>
      </c>
      <c r="H78" s="1119"/>
      <c r="I78" s="1122"/>
      <c r="J78" s="1147">
        <v>0</v>
      </c>
      <c r="K78" s="1138">
        <v>0.7</v>
      </c>
      <c r="L78" s="954"/>
      <c r="M78" s="954"/>
      <c r="N78" s="228">
        <f t="shared" si="16"/>
        <v>0</v>
      </c>
    </row>
    <row r="79" spans="1:14" x14ac:dyDescent="0.2">
      <c r="A79" s="1088" t="str">
        <f>+TableA1!A79</f>
        <v>Monaco</v>
      </c>
      <c r="B79" s="144">
        <f>TableA2!F79</f>
        <v>2.4865786089930788</v>
      </c>
      <c r="C79" s="1145">
        <f t="shared" si="11"/>
        <v>0.70867490356302754</v>
      </c>
      <c r="D79" s="1119"/>
      <c r="E79" s="1119"/>
      <c r="F79" s="1146">
        <f t="shared" si="12"/>
        <v>1.6535747749803973</v>
      </c>
      <c r="G79" s="1119">
        <f t="shared" si="13"/>
        <v>0.12432893044965394</v>
      </c>
      <c r="H79" s="1119"/>
      <c r="I79" s="1122"/>
      <c r="J79" s="1147">
        <v>0.05</v>
      </c>
      <c r="K79" s="1138">
        <v>0.7</v>
      </c>
      <c r="L79" s="954"/>
      <c r="M79" s="954"/>
      <c r="N79" s="228">
        <f t="shared" si="16"/>
        <v>0</v>
      </c>
    </row>
    <row r="80" spans="1:14" x14ac:dyDescent="0.2">
      <c r="A80" s="1088" t="s">
        <v>99</v>
      </c>
      <c r="B80" s="144">
        <f>TableA2!F80</f>
        <v>0.34426567154188054</v>
      </c>
      <c r="C80" s="1145">
        <f t="shared" si="11"/>
        <v>9.8115716389435947E-2</v>
      </c>
      <c r="D80" s="1119"/>
      <c r="E80" s="1119"/>
      <c r="F80" s="1146">
        <f t="shared" si="12"/>
        <v>0.22893667157535055</v>
      </c>
      <c r="G80" s="1119">
        <f t="shared" si="13"/>
        <v>1.7213283577094028E-2</v>
      </c>
      <c r="H80" s="1119"/>
      <c r="I80" s="1122"/>
      <c r="J80" s="1147">
        <v>0.05</v>
      </c>
      <c r="K80" s="1138">
        <v>0.7</v>
      </c>
      <c r="L80" s="954"/>
      <c r="M80" s="954"/>
      <c r="N80" s="228">
        <f t="shared" si="16"/>
        <v>0</v>
      </c>
    </row>
    <row r="81" spans="1:15" x14ac:dyDescent="0.2">
      <c r="A81" s="1088" t="s">
        <v>100</v>
      </c>
      <c r="B81" s="144">
        <f>TableA2!F81</f>
        <v>6.819284308547247</v>
      </c>
      <c r="C81" s="1145">
        <f t="shared" si="11"/>
        <v>1.9434960279359654</v>
      </c>
      <c r="D81" s="1119"/>
      <c r="E81" s="1119"/>
      <c r="F81" s="1146">
        <f t="shared" si="12"/>
        <v>4.5348240651839191</v>
      </c>
      <c r="G81" s="1119">
        <f t="shared" si="13"/>
        <v>0.34096421542736238</v>
      </c>
      <c r="H81" s="1119"/>
      <c r="I81" s="1122"/>
      <c r="J81" s="1147">
        <v>0.05</v>
      </c>
      <c r="K81" s="1138">
        <v>0.7</v>
      </c>
      <c r="L81" s="954"/>
      <c r="M81" s="954"/>
      <c r="N81" s="228">
        <f t="shared" si="16"/>
        <v>0</v>
      </c>
      <c r="O81" s="954"/>
    </row>
    <row r="82" spans="1:15" x14ac:dyDescent="0.2">
      <c r="A82" s="1088" t="str">
        <f>+TableA1!A82</f>
        <v>Seychelles</v>
      </c>
      <c r="B82" s="144">
        <f>TableA2!F82</f>
        <v>0.81332765904671878</v>
      </c>
      <c r="C82" s="1145">
        <f t="shared" si="11"/>
        <v>0.23179838282831489</v>
      </c>
      <c r="D82" s="1119"/>
      <c r="E82" s="1119"/>
      <c r="F82" s="1146">
        <f t="shared" si="12"/>
        <v>0.54086289326606796</v>
      </c>
      <c r="G82" s="1119">
        <f t="shared" si="13"/>
        <v>4.066638295233594E-2</v>
      </c>
      <c r="H82" s="1119"/>
      <c r="I82" s="1122"/>
      <c r="J82" s="1147">
        <v>0.05</v>
      </c>
      <c r="K82" s="1138">
        <v>0.7</v>
      </c>
      <c r="L82" s="954"/>
      <c r="M82" s="954"/>
      <c r="N82" s="228">
        <f t="shared" si="16"/>
        <v>0</v>
      </c>
      <c r="O82" s="954"/>
    </row>
    <row r="83" spans="1:15" x14ac:dyDescent="0.2">
      <c r="A83" s="1088" t="s">
        <v>102</v>
      </c>
      <c r="B83" s="144">
        <f>TableA2!F83</f>
        <v>64.547352786104156</v>
      </c>
      <c r="C83" s="1145">
        <f t="shared" si="11"/>
        <v>16.374065975691387</v>
      </c>
      <c r="D83" s="1119"/>
      <c r="E83" s="1119"/>
      <c r="F83" s="1146">
        <f t="shared" si="12"/>
        <v>38.206153943279901</v>
      </c>
      <c r="G83" s="1119">
        <f>14.253/1.43</f>
        <v>9.9671328671328681</v>
      </c>
      <c r="H83" s="1119"/>
      <c r="I83" s="1122"/>
      <c r="J83" s="1117">
        <f t="shared" ref="J83" si="18">G83/B83</f>
        <v>0.15441582709304549</v>
      </c>
      <c r="K83" s="1138">
        <v>0.7</v>
      </c>
      <c r="L83" s="954"/>
      <c r="M83" s="954"/>
      <c r="N83" s="228">
        <f t="shared" si="16"/>
        <v>0</v>
      </c>
      <c r="O83" s="954"/>
    </row>
    <row r="84" spans="1:15" x14ac:dyDescent="0.2">
      <c r="A84" s="1088" t="str">
        <f>+TableA1!A84</f>
        <v>St. Kitts and Nevis</v>
      </c>
      <c r="B84" s="144">
        <f>TableA2!F84</f>
        <v>0.46577557662910313</v>
      </c>
      <c r="C84" s="1145">
        <f t="shared" si="11"/>
        <v>0.13274603933929438</v>
      </c>
      <c r="D84" s="1119"/>
      <c r="E84" s="1119"/>
      <c r="F84" s="1146">
        <f t="shared" si="12"/>
        <v>0.30974075845835358</v>
      </c>
      <c r="G84" s="1119">
        <f t="shared" si="13"/>
        <v>2.3288778831455158E-2</v>
      </c>
      <c r="H84" s="1119"/>
      <c r="I84" s="1122"/>
      <c r="J84" s="1147">
        <v>0.05</v>
      </c>
      <c r="K84" s="1138">
        <v>0.7</v>
      </c>
      <c r="L84" s="954"/>
      <c r="M84" s="954"/>
      <c r="N84" s="228">
        <f t="shared" si="16"/>
        <v>3.4694469519536142E-17</v>
      </c>
      <c r="O84" s="954"/>
    </row>
    <row r="85" spans="1:15" x14ac:dyDescent="0.2">
      <c r="A85" s="1088" t="str">
        <f>+TableA1!A85</f>
        <v>St. Lucia</v>
      </c>
      <c r="B85" s="144">
        <f>TableA2!F85</f>
        <v>0.89780776493170278</v>
      </c>
      <c r="C85" s="1145">
        <f t="shared" si="11"/>
        <v>0.25587521300553534</v>
      </c>
      <c r="D85" s="1119"/>
      <c r="E85" s="1119"/>
      <c r="F85" s="1146">
        <f t="shared" si="12"/>
        <v>0.59704216367958229</v>
      </c>
      <c r="G85" s="1119">
        <f t="shared" si="13"/>
        <v>4.4890388246585144E-2</v>
      </c>
      <c r="H85" s="1119"/>
      <c r="I85" s="1122"/>
      <c r="J85" s="1147">
        <v>0.05</v>
      </c>
      <c r="K85" s="1138">
        <v>0.7</v>
      </c>
      <c r="L85" s="954"/>
      <c r="M85" s="954"/>
      <c r="N85" s="228">
        <f t="shared" si="16"/>
        <v>-5.5511151231257827E-17</v>
      </c>
      <c r="O85" s="954"/>
    </row>
    <row r="86" spans="1:15" x14ac:dyDescent="0.2">
      <c r="A86" s="1088" t="str">
        <f>+TableA1!A86</f>
        <v>St. Vincent and the Grenadines</v>
      </c>
      <c r="B86" s="144">
        <f>TableA2!F86</f>
        <v>0.3899945493812374</v>
      </c>
      <c r="C86" s="1145">
        <f t="shared" si="11"/>
        <v>0.11114844657365269</v>
      </c>
      <c r="D86" s="1119"/>
      <c r="E86" s="1119"/>
      <c r="F86" s="1146">
        <f t="shared" si="12"/>
        <v>0.25934637533852284</v>
      </c>
      <c r="G86" s="1119">
        <f t="shared" si="13"/>
        <v>1.9499727469061871E-2</v>
      </c>
      <c r="H86" s="1119"/>
      <c r="I86" s="1122"/>
      <c r="J86" s="1147">
        <v>0.05</v>
      </c>
      <c r="K86" s="1138">
        <v>0.7</v>
      </c>
      <c r="L86" s="954"/>
      <c r="M86" s="954"/>
      <c r="N86" s="228">
        <f t="shared" si="16"/>
        <v>0</v>
      </c>
      <c r="O86" s="954"/>
    </row>
    <row r="87" spans="1:15" x14ac:dyDescent="0.2">
      <c r="A87" s="1088" t="str">
        <f>+TableA1!A87</f>
        <v>Turks and Caicos</v>
      </c>
      <c r="B87" s="144">
        <f>TableA2!F87</f>
        <v>0.27378414777319332</v>
      </c>
      <c r="C87" s="1145">
        <f t="shared" si="11"/>
        <v>8.2135244331958013E-2</v>
      </c>
      <c r="D87" s="1119"/>
      <c r="E87" s="1119"/>
      <c r="F87" s="1146">
        <f t="shared" si="12"/>
        <v>0.19164890344123531</v>
      </c>
      <c r="G87" s="1119">
        <f t="shared" si="13"/>
        <v>0</v>
      </c>
      <c r="H87" s="1119"/>
      <c r="I87" s="1122"/>
      <c r="J87" s="1147">
        <v>0</v>
      </c>
      <c r="K87" s="1138">
        <v>0.7</v>
      </c>
      <c r="L87" s="954"/>
      <c r="M87" s="954"/>
      <c r="N87" s="228">
        <f t="shared" si="16"/>
        <v>0</v>
      </c>
      <c r="O87" s="954"/>
    </row>
    <row r="88" spans="1:15" x14ac:dyDescent="0.2">
      <c r="A88" s="1088" t="str">
        <f>+TableA1!A88</f>
        <v>Panama</v>
      </c>
      <c r="B88" s="144">
        <f>TableA2!F88</f>
        <v>21.755867199563681</v>
      </c>
      <c r="C88" s="1145">
        <f t="shared" si="11"/>
        <v>6.2004221518756513</v>
      </c>
      <c r="D88" s="1119"/>
      <c r="E88" s="1119"/>
      <c r="F88" s="1146">
        <f t="shared" si="12"/>
        <v>14.467651687709846</v>
      </c>
      <c r="G88" s="1119">
        <f t="shared" si="13"/>
        <v>1.0877933599781842</v>
      </c>
      <c r="H88" s="1119"/>
      <c r="I88" s="1122"/>
      <c r="J88" s="1147">
        <v>0.05</v>
      </c>
      <c r="K88" s="1138">
        <v>0.7</v>
      </c>
      <c r="L88" s="954"/>
      <c r="M88" s="954"/>
      <c r="N88" s="228">
        <f t="shared" si="16"/>
        <v>0</v>
      </c>
      <c r="O88" s="954"/>
    </row>
    <row r="89" spans="1:15" x14ac:dyDescent="0.2">
      <c r="A89" s="1088" t="s">
        <v>108</v>
      </c>
      <c r="B89" s="144">
        <f>TableA2!F89</f>
        <v>52.764834331533464</v>
      </c>
      <c r="C89" s="1145">
        <f t="shared" si="11"/>
        <v>15.308050299460042</v>
      </c>
      <c r="D89" s="1119"/>
      <c r="E89" s="1119"/>
      <c r="F89" s="1146">
        <f t="shared" si="12"/>
        <v>35.718784032073422</v>
      </c>
      <c r="G89" s="1119">
        <v>1.738</v>
      </c>
      <c r="H89" s="1119"/>
      <c r="I89" s="1122"/>
      <c r="J89" s="1117">
        <f t="shared" ref="J89" si="19">G89/B89</f>
        <v>3.2938604318924807E-2</v>
      </c>
      <c r="K89" s="1138">
        <v>0.7</v>
      </c>
      <c r="L89" s="954"/>
      <c r="M89" s="954"/>
      <c r="N89" s="228">
        <f t="shared" si="16"/>
        <v>0</v>
      </c>
      <c r="O89" s="954"/>
    </row>
    <row r="90" spans="1:15" ht="40" customHeight="1" x14ac:dyDescent="0.2">
      <c r="A90" s="140" t="s">
        <v>155</v>
      </c>
      <c r="B90" s="232">
        <f>TableA2!F90</f>
        <v>1423.1461018568671</v>
      </c>
      <c r="C90" s="1140">
        <f>B90-F90-G90</f>
        <v>315.87085188275307</v>
      </c>
      <c r="D90" s="223"/>
      <c r="E90" s="223"/>
      <c r="F90" s="1141">
        <f>(B90-G90)*K90</f>
        <v>840.32665070583255</v>
      </c>
      <c r="G90" s="223">
        <f>J90*B90</f>
        <v>266.94859926828144</v>
      </c>
      <c r="H90" s="223"/>
      <c r="I90" s="1123"/>
      <c r="J90" s="215">
        <f>J45</f>
        <v>0.18757638370366683</v>
      </c>
      <c r="K90" s="216">
        <f>K45</f>
        <v>0.72680199431709835</v>
      </c>
      <c r="L90" s="954"/>
      <c r="M90" s="954"/>
      <c r="N90" s="228">
        <f>B90-C90-F90-G90</f>
        <v>0</v>
      </c>
      <c r="O90" s="1003"/>
    </row>
    <row r="91" spans="1:15" ht="40" customHeight="1" thickBot="1" x14ac:dyDescent="0.25">
      <c r="A91" s="234" t="s">
        <v>110</v>
      </c>
      <c r="B91" s="235">
        <f>TableA2!F91</f>
        <v>11208.895794676813</v>
      </c>
      <c r="C91" s="236">
        <f>C90+C53+C45+C9</f>
        <v>4182.0495610534763</v>
      </c>
      <c r="D91" s="237"/>
      <c r="E91" s="237"/>
      <c r="F91" s="236">
        <f>F90+F53+F45+F9</f>
        <v>4873.1302177294483</v>
      </c>
      <c r="G91" s="236">
        <f>G90+G53+G45+G9</f>
        <v>2153.7160158938877</v>
      </c>
      <c r="H91" s="237"/>
      <c r="I91" s="238"/>
      <c r="J91" s="241">
        <f>G91/B91</f>
        <v>0.19214345956509857</v>
      </c>
      <c r="K91" s="239">
        <f>F91/(B91-G91)</f>
        <v>0.53815941116349963</v>
      </c>
      <c r="L91" s="954"/>
      <c r="M91" s="954"/>
      <c r="N91" s="228">
        <f>B91-C91-F91-G91</f>
        <v>0</v>
      </c>
      <c r="O91" s="1003"/>
    </row>
    <row r="92" spans="1:15" ht="28" customHeight="1" thickTop="1" x14ac:dyDescent="0.2">
      <c r="A92" s="1805"/>
      <c r="B92" s="223"/>
      <c r="C92" s="223"/>
      <c r="D92" s="223"/>
      <c r="E92" s="223"/>
      <c r="F92" s="223"/>
      <c r="G92" s="223"/>
      <c r="H92" s="223"/>
      <c r="I92" s="223"/>
      <c r="J92" s="242"/>
      <c r="K92" s="215"/>
      <c r="L92" s="954"/>
      <c r="M92" s="954"/>
      <c r="N92" s="228"/>
      <c r="O92" s="1003"/>
    </row>
    <row r="93" spans="1:15" s="2" customFormat="1" ht="17" thickBot="1" x14ac:dyDescent="0.25">
      <c r="B93" s="954"/>
      <c r="C93" s="954"/>
      <c r="D93" s="954"/>
      <c r="E93" s="954"/>
      <c r="F93" s="954"/>
      <c r="G93" s="954"/>
      <c r="H93" s="954"/>
      <c r="I93" s="954"/>
      <c r="J93" s="954"/>
      <c r="K93" s="954"/>
      <c r="L93" s="954"/>
      <c r="N93" s="1075"/>
    </row>
    <row r="94" spans="1:15" s="2" customFormat="1" ht="80.25" customHeight="1" thickBot="1" x14ac:dyDescent="0.25">
      <c r="A94" s="1948" t="s">
        <v>156</v>
      </c>
      <c r="B94" s="1979"/>
      <c r="C94" s="1979"/>
      <c r="D94" s="1979"/>
      <c r="E94" s="1979"/>
      <c r="F94" s="1979"/>
      <c r="G94" s="1979"/>
      <c r="H94" s="1979"/>
      <c r="I94" s="1979"/>
      <c r="J94" s="1979"/>
      <c r="K94" s="1980"/>
      <c r="L94" s="954"/>
    </row>
    <row r="95" spans="1:15" s="2" customFormat="1" x14ac:dyDescent="0.2">
      <c r="A95" s="954"/>
      <c r="B95" s="954"/>
      <c r="C95" s="954"/>
      <c r="D95" s="954"/>
      <c r="E95" s="954"/>
      <c r="F95" s="954"/>
      <c r="G95" s="954"/>
      <c r="H95" s="954"/>
      <c r="I95" s="954"/>
      <c r="J95" s="954"/>
      <c r="K95" s="954"/>
      <c r="L95" s="954"/>
    </row>
    <row r="96" spans="1:15" s="2" customFormat="1" x14ac:dyDescent="0.2">
      <c r="C96" s="954"/>
      <c r="D96" s="954"/>
      <c r="E96" s="954"/>
      <c r="F96" s="954"/>
      <c r="G96" s="954"/>
      <c r="H96" s="954"/>
      <c r="I96" s="954"/>
      <c r="J96" s="954"/>
      <c r="K96" s="954"/>
      <c r="L96" s="954"/>
    </row>
    <row r="97" spans="1:12" s="2" customFormat="1" x14ac:dyDescent="0.2">
      <c r="A97" s="954"/>
      <c r="B97" s="954"/>
      <c r="C97" s="954"/>
      <c r="D97" s="954"/>
      <c r="E97" s="954"/>
      <c r="F97" s="954"/>
      <c r="G97" s="954"/>
      <c r="H97" s="954"/>
      <c r="I97" s="954"/>
      <c r="J97" s="954"/>
      <c r="K97" s="954"/>
      <c r="L97" s="954"/>
    </row>
    <row r="98" spans="1:12" s="2" customFormat="1" x14ac:dyDescent="0.2">
      <c r="A98" s="954"/>
      <c r="B98" t="s">
        <v>112</v>
      </c>
      <c r="C98"/>
      <c r="D98"/>
      <c r="E98"/>
      <c r="F98"/>
      <c r="G98"/>
      <c r="H98" s="954"/>
      <c r="I98" s="954"/>
      <c r="J98" s="954"/>
      <c r="K98" s="954"/>
      <c r="L98" s="954"/>
    </row>
    <row r="99" spans="1:12" x14ac:dyDescent="0.2">
      <c r="A99" s="954"/>
      <c r="B99"/>
      <c r="C99" s="1000" t="s">
        <v>157</v>
      </c>
      <c r="D99" t="s">
        <v>146</v>
      </c>
      <c r="E99" t="s">
        <v>147</v>
      </c>
      <c r="F99" s="954" t="s">
        <v>148</v>
      </c>
      <c r="G99" s="954" t="s">
        <v>149</v>
      </c>
      <c r="H99"/>
      <c r="I99"/>
      <c r="J99" s="954"/>
      <c r="K99" s="954"/>
      <c r="L99" s="954"/>
    </row>
    <row r="100" spans="1:12" s="2" customFormat="1" x14ac:dyDescent="0.2">
      <c r="A100" s="954"/>
      <c r="B100" t="s">
        <v>115</v>
      </c>
      <c r="D100"/>
      <c r="E100"/>
      <c r="F100" s="106">
        <f>+SUM(F10:F22,F24,F26:F32,F34:F44)/SUM(B10:B22,B24,B26:B32,B34:B44)</f>
        <v>0.3133238353027466</v>
      </c>
      <c r="G100"/>
      <c r="H100" s="954"/>
      <c r="I100" s="954"/>
      <c r="J100" s="954"/>
      <c r="K100" s="954"/>
      <c r="L100" s="954"/>
    </row>
    <row r="101" spans="1:12" x14ac:dyDescent="0.2">
      <c r="A101" s="954"/>
      <c r="B101" t="s">
        <v>117</v>
      </c>
      <c r="C101">
        <f>+SUM(C46:C49,C52)/SUM($B$46:$B$49,$B$52)</f>
        <v>0.20368189424423558</v>
      </c>
      <c r="D101">
        <f>+SUM(D46:D49,D52)/SUM($B$46:$B$49,$B$52)</f>
        <v>0.24574471622925181</v>
      </c>
      <c r="E101">
        <f>+SUM(E46:E49,E52)/SUM($B$46:$B$49,$B$52)</f>
        <v>4.2062821985016249E-2</v>
      </c>
      <c r="F101" s="106">
        <f>+SUM(F46:F49,F52)/SUM(B46:B49,B52)</f>
        <v>0.59047110455448404</v>
      </c>
      <c r="G101" s="106">
        <f>+SUM(G46:G49,G52)/SUM(B46:B49,B52)</f>
        <v>0.2058470012012803</v>
      </c>
      <c r="H101" s="954"/>
      <c r="I101" s="954"/>
      <c r="J101" s="954"/>
      <c r="K101" s="954"/>
      <c r="L101" s="954"/>
    </row>
    <row r="102" spans="1:12" x14ac:dyDescent="0.2">
      <c r="A102" s="954"/>
      <c r="B102"/>
      <c r="C102"/>
      <c r="D102"/>
      <c r="E102" s="954"/>
      <c r="F102"/>
      <c r="G102"/>
      <c r="H102" s="954"/>
      <c r="I102" s="954"/>
      <c r="J102" s="954"/>
      <c r="K102" s="954"/>
      <c r="L102" s="954"/>
    </row>
    <row r="103" spans="1:12" x14ac:dyDescent="0.2">
      <c r="A103" s="954"/>
      <c r="B103" s="109"/>
      <c r="C103"/>
      <c r="D103"/>
      <c r="E103" s="954"/>
      <c r="F103" s="954"/>
      <c r="G103" s="954"/>
      <c r="H103" s="954"/>
      <c r="I103" s="954"/>
      <c r="J103" s="954"/>
      <c r="K103" s="954"/>
      <c r="L103" s="954"/>
    </row>
    <row r="104" spans="1:12" x14ac:dyDescent="0.2">
      <c r="A104" s="954"/>
      <c r="B104" s="954"/>
      <c r="C104" s="954"/>
      <c r="D104"/>
      <c r="E104" s="954"/>
      <c r="F104" s="954"/>
      <c r="G104" s="954"/>
      <c r="H104" s="954"/>
      <c r="I104" s="954"/>
      <c r="J104" s="954"/>
      <c r="K104" s="954"/>
      <c r="L104" s="954"/>
    </row>
  </sheetData>
  <mergeCells count="9">
    <mergeCell ref="A3:K3"/>
    <mergeCell ref="A94:K94"/>
    <mergeCell ref="B6:I6"/>
    <mergeCell ref="K6:K8"/>
    <mergeCell ref="B7:B8"/>
    <mergeCell ref="C7:C8"/>
    <mergeCell ref="F7:F8"/>
    <mergeCell ref="G7:G8"/>
    <mergeCell ref="J6:J8"/>
  </mergeCells>
  <phoneticPr fontId="37" type="noConversion"/>
  <pageMargins left="0.75" right="0.75" top="1" bottom="1" header="0.5" footer="0.5"/>
  <pageSetup scale="50" fitToHeight="0"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P99"/>
  <sheetViews>
    <sheetView zoomScale="70" zoomScaleNormal="70" zoomScalePageLayoutView="85" workbookViewId="0">
      <pane xSplit="1" ySplit="8" topLeftCell="B83" activePane="bottomRight" state="frozen"/>
      <selection pane="topRight" activeCell="AR8" sqref="AR8"/>
      <selection pane="bottomLeft" activeCell="AR8" sqref="AR8"/>
      <selection pane="bottomRight" activeCell="A3" sqref="A3:AB91"/>
    </sheetView>
  </sheetViews>
  <sheetFormatPr baseColWidth="10" defaultColWidth="10.83203125" defaultRowHeight="16" x14ac:dyDescent="0.2"/>
  <cols>
    <col min="1" max="1" width="19" style="1" customWidth="1"/>
    <col min="2" max="5" width="11.33203125" style="1" customWidth="1"/>
    <col min="6" max="11" width="11.33203125" style="1" hidden="1" customWidth="1"/>
    <col min="12" max="12" width="11.33203125" style="1" customWidth="1"/>
    <col min="13" max="13" width="10.83203125" style="1" customWidth="1"/>
    <col min="14" max="14" width="11.33203125" style="1" hidden="1" customWidth="1"/>
    <col min="15" max="21" width="11.33203125" style="1" customWidth="1"/>
    <col min="22" max="22" width="11.83203125" style="1" bestFit="1" customWidth="1"/>
    <col min="23" max="36" width="10.83203125" style="1"/>
    <col min="43" max="16384" width="10.83203125" style="1"/>
  </cols>
  <sheetData>
    <row r="1" spans="1:35" x14ac:dyDescent="0.2">
      <c r="A1" s="954"/>
      <c r="B1" s="954"/>
      <c r="C1" s="954"/>
      <c r="D1" s="954"/>
      <c r="E1" s="954"/>
      <c r="F1" s="954"/>
      <c r="G1" s="954"/>
      <c r="H1" s="954"/>
      <c r="I1" s="954"/>
      <c r="J1" s="954"/>
      <c r="K1" s="954"/>
      <c r="L1" s="954"/>
      <c r="M1" s="954"/>
      <c r="N1" s="954"/>
      <c r="O1" s="954"/>
      <c r="P1" s="954"/>
      <c r="Q1" s="954"/>
      <c r="R1" s="954"/>
      <c r="S1" s="954"/>
      <c r="T1" s="954"/>
      <c r="U1" s="954"/>
      <c r="V1" s="1000"/>
      <c r="W1" s="1000"/>
      <c r="X1" s="1000"/>
      <c r="Y1" s="1000"/>
      <c r="Z1" s="1000"/>
      <c r="AA1" s="1000"/>
      <c r="AB1" s="1000"/>
      <c r="AC1" s="1000"/>
      <c r="AD1" s="1000"/>
      <c r="AE1" s="1000"/>
      <c r="AF1" s="954"/>
      <c r="AG1" s="954"/>
      <c r="AH1" s="954"/>
      <c r="AI1" s="954"/>
    </row>
    <row r="2" spans="1:35" ht="17" thickBot="1" x14ac:dyDescent="0.25">
      <c r="A2" s="954"/>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row>
    <row r="3" spans="1:35" ht="32.25" customHeight="1" x14ac:dyDescent="0.2">
      <c r="A3" s="2090" t="s">
        <v>5329</v>
      </c>
      <c r="B3" s="2091"/>
      <c r="C3" s="2091"/>
      <c r="D3" s="2091"/>
      <c r="E3" s="2091"/>
      <c r="F3" s="2091"/>
      <c r="G3" s="2091"/>
      <c r="H3" s="2091"/>
      <c r="I3" s="2091"/>
      <c r="J3" s="2091"/>
      <c r="K3" s="2091"/>
      <c r="L3" s="2091"/>
      <c r="M3" s="2091"/>
      <c r="N3" s="2091"/>
      <c r="O3" s="2091"/>
      <c r="P3" s="2091"/>
      <c r="Q3" s="2091"/>
      <c r="R3" s="2091"/>
      <c r="S3" s="2091"/>
      <c r="T3" s="2091"/>
      <c r="U3" s="2091"/>
      <c r="V3" s="2091"/>
      <c r="W3" s="2091"/>
      <c r="X3" s="2091"/>
      <c r="Y3" s="2091"/>
      <c r="Z3" s="2091"/>
      <c r="AA3" s="2091"/>
      <c r="AB3" s="2092"/>
      <c r="AC3" s="620"/>
      <c r="AD3" s="620"/>
      <c r="AE3" s="620"/>
      <c r="AF3" s="954"/>
      <c r="AG3" s="954"/>
      <c r="AH3" s="954"/>
      <c r="AI3" s="954"/>
    </row>
    <row r="4" spans="1:35" ht="12" customHeight="1" x14ac:dyDescent="0.2">
      <c r="A4" s="118"/>
      <c r="B4" s="620"/>
      <c r="C4" s="620"/>
      <c r="D4" s="620"/>
      <c r="E4" s="620"/>
      <c r="F4" s="620"/>
      <c r="G4" s="620"/>
      <c r="H4" s="620"/>
      <c r="I4" s="620"/>
      <c r="J4" s="620"/>
      <c r="K4" s="620"/>
      <c r="L4" s="620"/>
      <c r="M4" s="620"/>
      <c r="N4" s="620"/>
      <c r="O4" s="620"/>
      <c r="P4" s="620"/>
      <c r="Q4" s="620"/>
      <c r="R4" s="620"/>
      <c r="S4" s="620"/>
      <c r="T4" s="620"/>
      <c r="U4" s="620"/>
      <c r="V4" s="1027"/>
      <c r="W4" s="1027"/>
      <c r="X4" s="1027"/>
      <c r="Y4" s="1027"/>
      <c r="Z4" s="1027"/>
      <c r="AA4" s="1027"/>
      <c r="AB4" s="953"/>
      <c r="AC4" s="1027"/>
      <c r="AD4" s="1027"/>
      <c r="AE4" s="1027"/>
      <c r="AF4" s="954"/>
      <c r="AG4" s="954"/>
      <c r="AH4" s="954"/>
      <c r="AI4" s="954"/>
    </row>
    <row r="5" spans="1:35" x14ac:dyDescent="0.2">
      <c r="A5" s="955"/>
      <c r="B5" s="3" t="s">
        <v>1</v>
      </c>
      <c r="C5" s="3" t="s">
        <v>2</v>
      </c>
      <c r="D5" s="3" t="s">
        <v>3</v>
      </c>
      <c r="E5" s="3" t="s">
        <v>4</v>
      </c>
      <c r="F5" s="1027"/>
      <c r="G5" s="1027"/>
      <c r="H5" s="1027"/>
      <c r="I5" s="1027"/>
      <c r="J5" s="1027"/>
      <c r="K5" s="1027"/>
      <c r="L5" s="3" t="s">
        <v>5</v>
      </c>
      <c r="M5" s="3" t="s">
        <v>6</v>
      </c>
      <c r="N5" s="3" t="s">
        <v>7</v>
      </c>
      <c r="O5" s="3" t="s">
        <v>8</v>
      </c>
      <c r="P5" s="3" t="s">
        <v>9</v>
      </c>
      <c r="Q5" s="3" t="s">
        <v>10</v>
      </c>
      <c r="R5" s="3" t="s">
        <v>11</v>
      </c>
      <c r="S5" s="3" t="s">
        <v>12</v>
      </c>
      <c r="T5" s="3" t="s">
        <v>13</v>
      </c>
      <c r="U5" s="3" t="s">
        <v>177</v>
      </c>
      <c r="V5" s="3" t="s">
        <v>178</v>
      </c>
      <c r="W5" s="3" t="s">
        <v>179</v>
      </c>
      <c r="X5" s="3" t="s">
        <v>619</v>
      </c>
      <c r="Y5" s="1301" t="s">
        <v>620</v>
      </c>
      <c r="Z5" s="3" t="s">
        <v>621</v>
      </c>
      <c r="AA5" s="3" t="s">
        <v>622</v>
      </c>
      <c r="AB5" s="793" t="s">
        <v>623</v>
      </c>
      <c r="AC5" s="3"/>
      <c r="AD5" s="3"/>
      <c r="AE5" s="3"/>
      <c r="AF5" s="954"/>
      <c r="AG5" s="954"/>
      <c r="AH5" s="954"/>
      <c r="AI5" s="954"/>
    </row>
    <row r="6" spans="1:35" ht="21" customHeight="1" x14ac:dyDescent="0.2">
      <c r="A6" s="955"/>
      <c r="B6" s="2079" t="s">
        <v>14</v>
      </c>
      <c r="C6" s="2080"/>
      <c r="D6" s="2080"/>
      <c r="E6" s="2080"/>
      <c r="F6" s="2074" t="s">
        <v>204</v>
      </c>
      <c r="G6" s="2077" t="s">
        <v>205</v>
      </c>
      <c r="H6" s="2083" t="s">
        <v>206</v>
      </c>
      <c r="I6" s="2057" t="s">
        <v>207</v>
      </c>
      <c r="J6" s="2069" t="s">
        <v>208</v>
      </c>
      <c r="K6" s="2069" t="s">
        <v>209</v>
      </c>
      <c r="L6" s="2372" t="s">
        <v>210</v>
      </c>
      <c r="M6" s="2057" t="s">
        <v>211</v>
      </c>
      <c r="N6" s="2081" t="s">
        <v>212</v>
      </c>
      <c r="O6" s="2100" t="s">
        <v>213</v>
      </c>
      <c r="P6" s="2290" t="s">
        <v>892</v>
      </c>
      <c r="Q6" s="2057" t="s">
        <v>893</v>
      </c>
      <c r="R6" s="2057" t="s">
        <v>894</v>
      </c>
      <c r="S6" s="2290" t="s">
        <v>895</v>
      </c>
      <c r="T6" s="2290"/>
      <c r="U6" s="2290"/>
      <c r="V6" s="2282" t="s">
        <v>136</v>
      </c>
      <c r="W6" s="2047"/>
      <c r="X6" s="2047"/>
      <c r="Y6" s="2400"/>
      <c r="Z6" s="2282" t="s">
        <v>136</v>
      </c>
      <c r="AA6" s="2047"/>
      <c r="AB6" s="2048"/>
      <c r="AC6" s="1037"/>
      <c r="AD6" s="1037"/>
      <c r="AE6" s="1037"/>
      <c r="AF6" s="954"/>
      <c r="AG6" s="954"/>
      <c r="AH6" s="954"/>
      <c r="AI6" s="954"/>
    </row>
    <row r="7" spans="1:35" ht="85" customHeight="1" x14ac:dyDescent="0.2">
      <c r="A7" s="955"/>
      <c r="B7" s="2072" t="s">
        <v>214</v>
      </c>
      <c r="C7" s="1829" t="s">
        <v>215</v>
      </c>
      <c r="D7" s="1829" t="s">
        <v>216</v>
      </c>
      <c r="E7" s="1819" t="s">
        <v>162</v>
      </c>
      <c r="F7" s="2401"/>
      <c r="G7" s="2033"/>
      <c r="H7" s="2058"/>
      <c r="I7" s="2058"/>
      <c r="J7" s="2034"/>
      <c r="K7" s="2034"/>
      <c r="L7" s="2397"/>
      <c r="M7" s="2058"/>
      <c r="N7" s="2082"/>
      <c r="O7" s="2101"/>
      <c r="P7" s="2087"/>
      <c r="Q7" s="2058"/>
      <c r="R7" s="2058"/>
      <c r="S7" s="2087"/>
      <c r="T7" s="2087"/>
      <c r="U7" s="2087"/>
      <c r="V7" s="2372" t="s">
        <v>896</v>
      </c>
      <c r="W7" s="2290"/>
      <c r="X7" s="2290"/>
      <c r="Y7" s="2398"/>
      <c r="Z7" s="2087" t="s">
        <v>897</v>
      </c>
      <c r="AA7" s="2087"/>
      <c r="AB7" s="2399"/>
      <c r="AC7" s="1832"/>
      <c r="AD7" s="1832"/>
      <c r="AE7" s="1832"/>
      <c r="AF7" s="1027"/>
      <c r="AG7" s="954"/>
      <c r="AH7" s="173" t="s">
        <v>166</v>
      </c>
      <c r="AI7" s="954"/>
    </row>
    <row r="8" spans="1:35" ht="33" customHeight="1" x14ac:dyDescent="0.2">
      <c r="A8" s="955"/>
      <c r="B8" s="2028"/>
      <c r="C8" s="1814"/>
      <c r="D8" s="1814"/>
      <c r="E8" s="1814"/>
      <c r="F8" s="2076"/>
      <c r="G8" s="2078"/>
      <c r="H8" s="2030"/>
      <c r="I8" s="2030"/>
      <c r="J8" s="1814"/>
      <c r="K8" s="1814"/>
      <c r="L8" s="2373"/>
      <c r="M8" s="1814"/>
      <c r="N8" s="1814"/>
      <c r="O8" s="1694"/>
      <c r="P8" s="2105"/>
      <c r="Q8" s="1814"/>
      <c r="R8" s="1814"/>
      <c r="S8" s="1814" t="s">
        <v>898</v>
      </c>
      <c r="T8" s="1814" t="s">
        <v>899</v>
      </c>
      <c r="U8" s="1814" t="s">
        <v>900</v>
      </c>
      <c r="V8" s="1695" t="s">
        <v>901</v>
      </c>
      <c r="W8" s="1814" t="s">
        <v>898</v>
      </c>
      <c r="X8" s="1814" t="s">
        <v>899</v>
      </c>
      <c r="Y8" s="1694" t="s">
        <v>900</v>
      </c>
      <c r="Z8" s="1814" t="s">
        <v>898</v>
      </c>
      <c r="AA8" s="1814" t="s">
        <v>899</v>
      </c>
      <c r="AB8" s="1851" t="s">
        <v>900</v>
      </c>
      <c r="AC8" s="1820"/>
      <c r="AD8" s="1820"/>
      <c r="AE8" s="1820"/>
      <c r="AF8" s="954"/>
      <c r="AG8" s="954"/>
      <c r="AH8" s="172"/>
      <c r="AI8" s="954"/>
    </row>
    <row r="9" spans="1:35" ht="40" customHeight="1" x14ac:dyDescent="0.2">
      <c r="A9" s="894" t="s">
        <v>28</v>
      </c>
      <c r="B9" s="256">
        <f>SUM(B10:B44)</f>
        <v>6449.286986082956</v>
      </c>
      <c r="C9" s="295">
        <f>SUM(C10:C44)</f>
        <v>956.10086642796193</v>
      </c>
      <c r="D9" s="295">
        <f>SUM(D10:D44)</f>
        <v>83.176702611519431</v>
      </c>
      <c r="E9" s="258">
        <f>SUM(E10:E44)</f>
        <v>5410.0094170434731</v>
      </c>
      <c r="F9" s="308">
        <f t="shared" ref="F9:F40" si="0">C9/(B9-D9)</f>
        <v>0.1501860357195384</v>
      </c>
      <c r="G9" s="266">
        <f>TableA2!L9</f>
        <v>0.41149842417638866</v>
      </c>
      <c r="H9" s="266">
        <f>D9/TableA2!C9</f>
        <v>5.4072503583288559E-3</v>
      </c>
      <c r="I9" s="266">
        <f t="shared" ref="I9:I52" si="1">J9+K9</f>
        <v>7.7645217153016902E-3</v>
      </c>
      <c r="J9" s="266">
        <f>TableA6!I9/TableA2!$C9</f>
        <v>6.6527210204393103E-3</v>
      </c>
      <c r="K9" s="266">
        <f>TableA6!J9/TableA2!$C9</f>
        <v>1.1118006948623801E-3</v>
      </c>
      <c r="L9" s="699">
        <f t="shared" ref="L9:L52" si="2">G9-H9+I9</f>
        <v>0.41385569553336149</v>
      </c>
      <c r="M9" s="266">
        <f>C9/TableA4!D9</f>
        <v>0.42001657601288439</v>
      </c>
      <c r="N9" s="266"/>
      <c r="O9" s="427">
        <f>E9/TableA4!G9</f>
        <v>0.41278563924415895</v>
      </c>
      <c r="P9" s="266">
        <f>+'Table E1'!D9</f>
        <v>0.13295330543030764</v>
      </c>
      <c r="Q9" s="266">
        <f>+'Table E1'!I9</f>
        <v>0.20563597055527447</v>
      </c>
      <c r="R9" s="266">
        <f>+'Table E1'!N9</f>
        <v>0.12468410759526835</v>
      </c>
      <c r="S9" s="266"/>
      <c r="T9" s="266"/>
      <c r="U9" s="266"/>
      <c r="V9" s="904">
        <f t="shared" ref="V9:AB9" si="3">V12+V24+V30+V32+V41</f>
        <v>281.74149562210863</v>
      </c>
      <c r="W9" s="893">
        <f t="shared" si="3"/>
        <v>304.57484169223159</v>
      </c>
      <c r="X9" s="893">
        <f t="shared" si="3"/>
        <v>281.74149562210863</v>
      </c>
      <c r="Y9" s="905">
        <f t="shared" si="3"/>
        <v>269.44661696896549</v>
      </c>
      <c r="Z9" s="893">
        <f t="shared" si="3"/>
        <v>22.833346070122928</v>
      </c>
      <c r="AA9" s="893">
        <f t="shared" si="3"/>
        <v>0</v>
      </c>
      <c r="AB9" s="895">
        <f t="shared" si="3"/>
        <v>-12.294878653143119</v>
      </c>
      <c r="AC9" s="26"/>
      <c r="AD9" s="26"/>
      <c r="AE9" s="26"/>
      <c r="AF9" s="954"/>
      <c r="AG9" s="954"/>
      <c r="AH9" s="320">
        <f t="shared" ref="AH9:AH40" si="4">L9-G9-I9+H9</f>
        <v>0</v>
      </c>
      <c r="AI9" s="320">
        <f t="shared" ref="AI9:AI40" si="5">B9-C9-D9-E9</f>
        <v>0</v>
      </c>
    </row>
    <row r="10" spans="1:35" ht="14.25" customHeight="1" x14ac:dyDescent="0.2">
      <c r="A10" s="933" t="s">
        <v>29</v>
      </c>
      <c r="B10" s="1208">
        <f>TableA6!B10</f>
        <v>178.84741076861815</v>
      </c>
      <c r="C10" s="1153">
        <f>TableA6!E10</f>
        <v>28.299110069424813</v>
      </c>
      <c r="D10" s="1153">
        <v>0</v>
      </c>
      <c r="E10" s="1153">
        <f t="shared" ref="E10:E44" si="6">B10-C10-D10</f>
        <v>150.54830069919333</v>
      </c>
      <c r="F10" s="311">
        <f t="shared" si="0"/>
        <v>0.15823047114747707</v>
      </c>
      <c r="G10" s="1210">
        <f>TableA2!L10</f>
        <v>0.35986511293798373</v>
      </c>
      <c r="H10" s="1210">
        <f>D10/TableA2!C10</f>
        <v>0</v>
      </c>
      <c r="I10" s="1210">
        <f t="shared" si="1"/>
        <v>0</v>
      </c>
      <c r="J10" s="1210">
        <f>TableA6!I10/TableA2!$C10</f>
        <v>0</v>
      </c>
      <c r="K10" s="1210">
        <f>TableA6!J10/TableA2!$C10</f>
        <v>0</v>
      </c>
      <c r="L10" s="699">
        <f t="shared" si="2"/>
        <v>0.35986511293798373</v>
      </c>
      <c r="M10" s="1210">
        <f>C10/TableA4!D10</f>
        <v>0.27383940346897767</v>
      </c>
      <c r="N10" s="1210">
        <f>AVERAGE((VLOOKUP(A10,TableA10!$A$8:$G$95,4,)/VLOOKUP(A10,TableA10!$A$8:$G$95,3,)),(VLOOKUP(A10,TableA10b!$A$8:$G$95,4,)/VLOOKUP(A10,TableA10b!$A$8:$G$95,3,)))</f>
        <v>0.27383940346897767</v>
      </c>
      <c r="O10" s="1515">
        <f>E10/TableA4!G10</f>
        <v>0.38244922547378107</v>
      </c>
      <c r="P10" s="266">
        <f>+'Table E1'!D10</f>
        <v>0.23694866782897228</v>
      </c>
      <c r="Q10" s="266">
        <f>+'Table E1'!I10</f>
        <v>0.43762637385941966</v>
      </c>
      <c r="R10" s="266">
        <f>+'Table E1'!N10</f>
        <v>0.21572732634001954</v>
      </c>
      <c r="S10" s="266">
        <f t="shared" ref="S10:S41" si="7">IFERROR(($Q10/$R10-1)*(1-1/0.7)*$O10+$O10,"")</f>
        <v>0.21385322124215647</v>
      </c>
      <c r="T10" s="266">
        <f t="shared" ref="T10:T41" si="8">IFERROR(($Q10/$R10-1)*(1-1/1)*$O10+$O10,"")</f>
        <v>0.38244922547378107</v>
      </c>
      <c r="U10" s="266">
        <f t="shared" ref="U10:U41" si="9">IFERROR(($Q10/$R10-1)*(1-1/1.3)*$O10+$O10,"")</f>
        <v>0.47323168929080972</v>
      </c>
      <c r="V10" s="12">
        <f>$C10-O10*TableA4!$D10</f>
        <v>-11.223955605361816</v>
      </c>
      <c r="W10" s="26">
        <f>IFERROR($C10-S10*TableA4!$D10,"")</f>
        <v>6.199091701109765</v>
      </c>
      <c r="X10" s="26">
        <f>IFERROR($C10-T10*TableA4!$D10,"")</f>
        <v>-11.223955605361816</v>
      </c>
      <c r="Y10" s="906">
        <f>IFERROR($C10-U10*TableA4!$D10,"")</f>
        <v>-20.605596462692674</v>
      </c>
      <c r="Z10" s="26">
        <f t="shared" ref="Z10:Z44" si="10">IFERROR(-$V10+W10,"")</f>
        <v>17.423047306471581</v>
      </c>
      <c r="AA10" s="26">
        <f t="shared" ref="AA10:AA44" si="11">IFERROR(-$V10+X10,"")</f>
        <v>0</v>
      </c>
      <c r="AB10" s="896">
        <f t="shared" ref="AB10:AB44" si="12">IFERROR(-$V10+Y10,"")</f>
        <v>-9.3816408573308578</v>
      </c>
      <c r="AC10" s="26"/>
      <c r="AD10" s="26"/>
      <c r="AE10" s="26"/>
      <c r="AF10" s="954"/>
      <c r="AG10" s="954"/>
      <c r="AH10" s="320">
        <f t="shared" si="4"/>
        <v>0</v>
      </c>
      <c r="AI10" s="320">
        <f t="shared" si="5"/>
        <v>0</v>
      </c>
    </row>
    <row r="11" spans="1:35" ht="14.25" customHeight="1" x14ac:dyDescent="0.2">
      <c r="A11" s="933" t="s">
        <v>30</v>
      </c>
      <c r="B11" s="1208">
        <f>TableA6!B11</f>
        <v>47.957043627358011</v>
      </c>
      <c r="C11" s="1153">
        <f>TableA6!E11</f>
        <v>11.294821742987047</v>
      </c>
      <c r="D11" s="1153">
        <v>0</v>
      </c>
      <c r="E11" s="1153">
        <f t="shared" si="6"/>
        <v>36.662221884370965</v>
      </c>
      <c r="F11" s="311">
        <f t="shared" si="0"/>
        <v>0.23551955851890127</v>
      </c>
      <c r="G11" s="1178">
        <f>TableA2!L11</f>
        <v>0.38573161702393371</v>
      </c>
      <c r="H11" s="1178">
        <f>D11/TableA2!C11</f>
        <v>0</v>
      </c>
      <c r="I11" s="1178">
        <f t="shared" si="1"/>
        <v>0</v>
      </c>
      <c r="J11" s="1178">
        <f>TableA6!I11/TableA2!$C11</f>
        <v>0</v>
      </c>
      <c r="K11" s="1178">
        <f>TableA6!J11/TableA2!$C11</f>
        <v>0</v>
      </c>
      <c r="L11" s="902">
        <f t="shared" si="2"/>
        <v>0.38573161702393371</v>
      </c>
      <c r="M11" s="1178">
        <f>C11/TableA4!D11</f>
        <v>0.33058399232200741</v>
      </c>
      <c r="N11" s="1178">
        <f>VLOOKUP(A11,TableA10!$A$8:$G$95,4,)/VLOOKUP(A11,TableA10!$A$8:$G$95,3,)</f>
        <v>-3.7660055234747677E-3</v>
      </c>
      <c r="O11" s="1486">
        <f>E11/TableA4!G11</f>
        <v>0.40662961061080261</v>
      </c>
      <c r="P11" s="266">
        <f>+'Table E1'!D11</f>
        <v>0.25199362023294941</v>
      </c>
      <c r="Q11" s="266">
        <f>+'Table E1'!I11</f>
        <v>0.30122861727115979</v>
      </c>
      <c r="R11" s="266">
        <f>+'Table E1'!N11</f>
        <v>0.23976431623616923</v>
      </c>
      <c r="S11" s="266">
        <f t="shared" si="7"/>
        <v>0.36195501660829965</v>
      </c>
      <c r="T11" s="266">
        <f t="shared" si="8"/>
        <v>0.40662961061080261</v>
      </c>
      <c r="U11" s="266">
        <f t="shared" si="9"/>
        <v>0.43068516122753497</v>
      </c>
      <c r="V11" s="12">
        <f>C11-O11*TableA4!D11</f>
        <v>-2.5981950816013484</v>
      </c>
      <c r="W11" s="26">
        <f>IFERROR($C11-S11*TableA4!$D11,"")</f>
        <v>-1.0718308673078489</v>
      </c>
      <c r="X11" s="26">
        <f>IFERROR($C11-T11*TableA4!$D11,"")</f>
        <v>-2.5981950816013484</v>
      </c>
      <c r="Y11" s="906">
        <f>IFERROR($C11-U11*TableA4!$D11,"")</f>
        <v>-3.4200835046824629</v>
      </c>
      <c r="Z11" s="26">
        <f t="shared" si="10"/>
        <v>1.5263642142934994</v>
      </c>
      <c r="AA11" s="26">
        <f t="shared" si="11"/>
        <v>0</v>
      </c>
      <c r="AB11" s="896">
        <f t="shared" si="12"/>
        <v>-0.82188842308111454</v>
      </c>
      <c r="AC11" s="26"/>
      <c r="AD11" s="26"/>
      <c r="AE11" s="26"/>
      <c r="AF11" s="954"/>
      <c r="AG11" s="954"/>
      <c r="AH11" s="320">
        <f t="shared" si="4"/>
        <v>0</v>
      </c>
      <c r="AI11" s="320">
        <f t="shared" si="5"/>
        <v>0</v>
      </c>
    </row>
    <row r="12" spans="1:35" x14ac:dyDescent="0.2">
      <c r="A12" s="933" t="s">
        <v>31</v>
      </c>
      <c r="B12" s="1208">
        <f>TableA6!B12</f>
        <v>80.241889758299209</v>
      </c>
      <c r="C12" s="1153">
        <f>TableA6!E12</f>
        <v>32.206747942780808</v>
      </c>
      <c r="D12" s="1153">
        <v>0</v>
      </c>
      <c r="E12" s="1153">
        <f t="shared" si="6"/>
        <v>48.035141815518401</v>
      </c>
      <c r="F12" s="311">
        <f t="shared" si="0"/>
        <v>0.40137075584576132</v>
      </c>
      <c r="G12" s="1178">
        <f>TableA2!L12</f>
        <v>0.46042895713758619</v>
      </c>
      <c r="H12" s="1178">
        <f>D12/TableA2!C12</f>
        <v>0</v>
      </c>
      <c r="I12" s="1178">
        <f t="shared" si="1"/>
        <v>2.1427357922788704E-2</v>
      </c>
      <c r="J12" s="1178">
        <f>TableA6!I12/TableA2!$C12</f>
        <v>2.1427357922788704E-2</v>
      </c>
      <c r="K12" s="1178">
        <f>TableA6!J12/TableA2!$C12</f>
        <v>0</v>
      </c>
      <c r="L12" s="902">
        <f t="shared" si="2"/>
        <v>0.48185631506037491</v>
      </c>
      <c r="M12" s="1178">
        <f>C12/TableA4!D12</f>
        <v>0.67980103327038299</v>
      </c>
      <c r="N12" s="1178">
        <f>VLOOKUP(A12,TableA10!$A$8:$G$95,4,)/VLOOKUP(A12,TableA10!$A$8:$G$95,3,)</f>
        <v>0.60110878851222393</v>
      </c>
      <c r="O12" s="1486">
        <f>E12/TableA4!G12</f>
        <v>0.4031489417707429</v>
      </c>
      <c r="P12" s="266">
        <f>+'Table E1'!D12</f>
        <v>0.18083148404617411</v>
      </c>
      <c r="Q12" s="266">
        <f>+'Table E1'!I12</f>
        <v>0.23510719634065672</v>
      </c>
      <c r="R12" s="266">
        <f>+'Table E1'!N12</f>
        <v>0.17060626965404216</v>
      </c>
      <c r="S12" s="266">
        <f t="shared" si="7"/>
        <v>0.33782690678087707</v>
      </c>
      <c r="T12" s="266">
        <f t="shared" si="8"/>
        <v>0.4031489417707429</v>
      </c>
      <c r="U12" s="266">
        <f t="shared" si="9"/>
        <v>0.43832234522682451</v>
      </c>
      <c r="V12" s="12">
        <f>C12-O12*TableA4!D12</f>
        <v>13.106870602869716</v>
      </c>
      <c r="W12" s="26">
        <f>IFERROR($C12-S12*TableA4!$D12,"")</f>
        <v>16.201614819287155</v>
      </c>
      <c r="X12" s="26">
        <f>IFERROR($C12-T12*TableA4!$D12,"")</f>
        <v>13.106870602869716</v>
      </c>
      <c r="Y12" s="906">
        <f>IFERROR($C12-U12*TableA4!$D12,"")</f>
        <v>11.440469870952633</v>
      </c>
      <c r="Z12" s="26">
        <f t="shared" si="10"/>
        <v>3.094744216417439</v>
      </c>
      <c r="AA12" s="26">
        <f t="shared" si="11"/>
        <v>0</v>
      </c>
      <c r="AB12" s="896">
        <f t="shared" si="12"/>
        <v>-1.6664007319170828</v>
      </c>
      <c r="AC12" s="26"/>
      <c r="AD12" s="26"/>
      <c r="AE12" s="26"/>
      <c r="AF12" s="954"/>
      <c r="AG12" s="954"/>
      <c r="AH12" s="320">
        <f t="shared" si="4"/>
        <v>1.0408340855860843E-17</v>
      </c>
      <c r="AI12" s="320">
        <f t="shared" si="5"/>
        <v>0</v>
      </c>
    </row>
    <row r="13" spans="1:35" x14ac:dyDescent="0.2">
      <c r="A13" s="933" t="s">
        <v>32</v>
      </c>
      <c r="B13" s="1208">
        <f>TableA6!B13</f>
        <v>142.9569900038934</v>
      </c>
      <c r="C13" s="1153">
        <f>TableA6!E13</f>
        <v>46.935942392007277</v>
      </c>
      <c r="D13" s="1153">
        <v>0</v>
      </c>
      <c r="E13" s="1153">
        <f t="shared" si="6"/>
        <v>96.021047611886118</v>
      </c>
      <c r="F13" s="311">
        <f t="shared" si="0"/>
        <v>0.3283221225539863</v>
      </c>
      <c r="G13" s="1178">
        <f>TableA2!L13</f>
        <v>0.23305888899623428</v>
      </c>
      <c r="H13" s="1178">
        <f>D13/TableA2!C13</f>
        <v>0</v>
      </c>
      <c r="I13" s="1178">
        <f t="shared" si="1"/>
        <v>0</v>
      </c>
      <c r="J13" s="1178">
        <f>TableA6!I13/TableA2!$C13</f>
        <v>0</v>
      </c>
      <c r="K13" s="1178">
        <f>TableA6!J13/TableA2!$C13</f>
        <v>0</v>
      </c>
      <c r="L13" s="902">
        <f t="shared" si="2"/>
        <v>0.23305888899623428</v>
      </c>
      <c r="M13" s="1178">
        <f>C13/TableA4!D13</f>
        <v>0.51265902111925798</v>
      </c>
      <c r="N13" s="1178">
        <f>VLOOKUP(A13,TableA10!$A$8:$G$95,4,)/VLOOKUP(A13,TableA10!$A$8:$G$95,3,)</f>
        <v>0.51265902111925798</v>
      </c>
      <c r="O13" s="1486">
        <f>E13/TableA4!G13</f>
        <v>0.18400463874630477</v>
      </c>
      <c r="P13" s="266">
        <f>+'Table E1'!D13</f>
        <v>0.11840889506314953</v>
      </c>
      <c r="Q13" s="266">
        <f>+'Table E1'!I13</f>
        <v>0.22644356487007861</v>
      </c>
      <c r="R13" s="266">
        <f>+'Table E1'!N13</f>
        <v>0.10423262483262766</v>
      </c>
      <c r="S13" s="266">
        <f t="shared" si="7"/>
        <v>9.1543679116492846E-2</v>
      </c>
      <c r="T13" s="266">
        <f t="shared" si="8"/>
        <v>0.18400463874630477</v>
      </c>
      <c r="U13" s="266">
        <f t="shared" si="9"/>
        <v>0.23379130931620351</v>
      </c>
      <c r="V13" s="907">
        <f>C13-O13*TableA4!D13</f>
        <v>30.089596637272944</v>
      </c>
      <c r="W13" s="26">
        <f>IFERROR($C13-S13*TableA4!$D13,"")</f>
        <v>38.554759827457055</v>
      </c>
      <c r="X13" s="26">
        <f>IFERROR($C13-T13*TableA4!$D13,"")</f>
        <v>30.089596637272944</v>
      </c>
      <c r="Y13" s="906">
        <f>IFERROR($C13-U13*TableA4!$D13,"")</f>
        <v>25.531431842558419</v>
      </c>
      <c r="Z13" s="26">
        <f t="shared" si="10"/>
        <v>8.4651631901841107</v>
      </c>
      <c r="AA13" s="26">
        <f t="shared" si="11"/>
        <v>0</v>
      </c>
      <c r="AB13" s="896">
        <f t="shared" si="12"/>
        <v>-4.558164794714525</v>
      </c>
      <c r="AC13" s="26"/>
      <c r="AD13" s="26"/>
      <c r="AE13" s="26"/>
      <c r="AF13" s="954"/>
      <c r="AG13" s="954"/>
      <c r="AH13" s="320">
        <f t="shared" si="4"/>
        <v>0</v>
      </c>
      <c r="AI13" s="320">
        <f t="shared" si="5"/>
        <v>0</v>
      </c>
    </row>
    <row r="14" spans="1:35" x14ac:dyDescent="0.2">
      <c r="A14" s="933" t="s">
        <v>33</v>
      </c>
      <c r="B14" s="1208">
        <f>TableA6!B14</f>
        <v>67.542484958596845</v>
      </c>
      <c r="C14" s="1153">
        <f>TableA6!E14</f>
        <v>9.8951445885655183</v>
      </c>
      <c r="D14" s="1153">
        <v>0</v>
      </c>
      <c r="E14" s="1153">
        <f t="shared" si="6"/>
        <v>57.64734037003133</v>
      </c>
      <c r="F14" s="311">
        <f t="shared" si="0"/>
        <v>0.14650252496086255</v>
      </c>
      <c r="G14" s="1178">
        <f>TableA2!L14</f>
        <v>1.0076535203150763</v>
      </c>
      <c r="H14" s="1178">
        <f>D14/TableA2!C14</f>
        <v>0</v>
      </c>
      <c r="I14" s="1178">
        <f t="shared" si="1"/>
        <v>0</v>
      </c>
      <c r="J14" s="1178">
        <f>TableA6!I14/TableA2!$C14</f>
        <v>0</v>
      </c>
      <c r="K14" s="1178">
        <f>TableA6!J14/TableA2!$C14</f>
        <v>0</v>
      </c>
      <c r="L14" s="902">
        <f t="shared" si="2"/>
        <v>1.0076535203150763</v>
      </c>
      <c r="M14" s="1178">
        <f>C14/TableA4!D14</f>
        <v>0.99074432261467493</v>
      </c>
      <c r="N14" s="1178">
        <f>VLOOKUP(A14,TableA10!$A$8:$G$95,4,)/VLOOKUP(A14,TableA10!$A$8:$G$95,3,)</f>
        <v>0.99075263293090166</v>
      </c>
      <c r="O14" s="1486">
        <f>E14/TableA4!G14</f>
        <v>1.0106141880425457</v>
      </c>
      <c r="P14" s="266">
        <f>+'Table E1'!D14</f>
        <v>4.4822137481688472E-2</v>
      </c>
      <c r="Q14" s="266">
        <f>+'Table E1'!I14</f>
        <v>0.15444711315829332</v>
      </c>
      <c r="R14" s="266">
        <f>+'Table E1'!N14</f>
        <v>3.4671939098385202E-2</v>
      </c>
      <c r="S14" s="266">
        <f t="shared" si="7"/>
        <v>-0.48561211518612657</v>
      </c>
      <c r="T14" s="266">
        <f t="shared" si="8"/>
        <v>1.0106141880425457</v>
      </c>
      <c r="U14" s="266">
        <f t="shared" si="9"/>
        <v>1.8162745051656772</v>
      </c>
      <c r="V14" s="12">
        <f>C14-O14*TableA4!D14</f>
        <v>-0.19845199904374233</v>
      </c>
      <c r="W14" s="26">
        <f>IFERROR($C14-S14*TableA4!$D14,"")</f>
        <v>14.745237578293118</v>
      </c>
      <c r="X14" s="26">
        <f>IFERROR($C14-T14*TableA4!$D14,"")</f>
        <v>-0.19845199904374233</v>
      </c>
      <c r="Y14" s="906">
        <f>IFERROR($C14-U14*TableA4!$D14,"")</f>
        <v>-8.2450540791482076</v>
      </c>
      <c r="Z14" s="26">
        <f t="shared" si="10"/>
        <v>14.94368957733686</v>
      </c>
      <c r="AA14" s="26">
        <f t="shared" si="11"/>
        <v>0</v>
      </c>
      <c r="AB14" s="896">
        <f t="shared" si="12"/>
        <v>-8.0466020801044653</v>
      </c>
      <c r="AC14" s="26"/>
      <c r="AD14" s="26"/>
      <c r="AE14" s="26"/>
      <c r="AF14" s="954"/>
      <c r="AG14" s="954"/>
      <c r="AH14" s="320">
        <f t="shared" si="4"/>
        <v>0</v>
      </c>
      <c r="AI14" s="320">
        <f t="shared" si="5"/>
        <v>0</v>
      </c>
    </row>
    <row r="15" spans="1:35" x14ac:dyDescent="0.2">
      <c r="A15" s="933" t="s">
        <v>34</v>
      </c>
      <c r="B15" s="1208">
        <f>TableA6!B15</f>
        <v>33.577437877940952</v>
      </c>
      <c r="C15" s="1153">
        <f>TableA6!E15</f>
        <v>17.490778418103861</v>
      </c>
      <c r="D15" s="1153">
        <v>0</v>
      </c>
      <c r="E15" s="1153">
        <f t="shared" si="6"/>
        <v>16.08665945983709</v>
      </c>
      <c r="F15" s="311">
        <f t="shared" si="0"/>
        <v>0.52090866735232977</v>
      </c>
      <c r="G15" s="1178">
        <f>TableA2!L15</f>
        <v>0.62169699268833523</v>
      </c>
      <c r="H15" s="1178">
        <f>D15/TableA2!C15</f>
        <v>0</v>
      </c>
      <c r="I15" s="1178">
        <f t="shared" si="1"/>
        <v>0</v>
      </c>
      <c r="J15" s="1178">
        <f>TableA6!I15/TableA2!$C15</f>
        <v>0</v>
      </c>
      <c r="K15" s="1178">
        <f>TableA6!J15/TableA2!$C15</f>
        <v>0</v>
      </c>
      <c r="L15" s="902">
        <f t="shared" si="2"/>
        <v>0.62169699268833523</v>
      </c>
      <c r="M15" s="1178">
        <f>C15/TableA4!D15</f>
        <v>0.76443329218162037</v>
      </c>
      <c r="N15" s="1178">
        <f>VLOOKUP(A15,TableA10!$A$8:$G$95,4,)/VLOOKUP(A15,TableA10!$A$8:$G$95,3,)</f>
        <v>0.60775473399458968</v>
      </c>
      <c r="O15" s="1486">
        <f>E15/TableA4!G15</f>
        <v>0.51678040684408355</v>
      </c>
      <c r="P15" s="266">
        <f>+'Table E1'!D15</f>
        <v>8.8064214554096215E-2</v>
      </c>
      <c r="Q15" s="266">
        <f>+'Table E1'!I15</f>
        <v>0.12008709361182347</v>
      </c>
      <c r="R15" s="266">
        <f>+'Table E1'!N15</f>
        <v>7.6323365014813682E-2</v>
      </c>
      <c r="S15" s="266">
        <f t="shared" si="7"/>
        <v>0.3897855711305348</v>
      </c>
      <c r="T15" s="266">
        <f t="shared" si="8"/>
        <v>0.51678040684408355</v>
      </c>
      <c r="U15" s="266">
        <f t="shared" si="9"/>
        <v>0.58516224145907136</v>
      </c>
      <c r="V15" s="12">
        <f>C15-O15*TableA4!D15</f>
        <v>5.6664744803053289</v>
      </c>
      <c r="W15" s="26">
        <f>IFERROR($C15-S15*TableA4!$D15,"")</f>
        <v>8.5722068109446425</v>
      </c>
      <c r="X15" s="26">
        <f>IFERROR($C15-T15*TableA4!$D15,"")</f>
        <v>5.6664744803053289</v>
      </c>
      <c r="Y15" s="906">
        <f>IFERROR($C15-U15*TableA4!$D15,"")</f>
        <v>4.1018493791918509</v>
      </c>
      <c r="Z15" s="26">
        <f t="shared" si="10"/>
        <v>2.9057323306393137</v>
      </c>
      <c r="AA15" s="26">
        <f t="shared" si="11"/>
        <v>0</v>
      </c>
      <c r="AB15" s="896">
        <f t="shared" si="12"/>
        <v>-1.564625101113478</v>
      </c>
      <c r="AC15" s="26"/>
      <c r="AD15" s="26"/>
      <c r="AE15" s="26"/>
      <c r="AF15" s="954"/>
      <c r="AG15" s="954"/>
      <c r="AH15" s="320">
        <f t="shared" si="4"/>
        <v>0</v>
      </c>
      <c r="AI15" s="320">
        <f t="shared" si="5"/>
        <v>0</v>
      </c>
    </row>
    <row r="16" spans="1:35" x14ac:dyDescent="0.2">
      <c r="A16" s="933" t="s">
        <v>35</v>
      </c>
      <c r="B16" s="1208">
        <f>TableA6!B16</f>
        <v>51.69259919912686</v>
      </c>
      <c r="C16" s="1153">
        <f>TableA6!E16</f>
        <v>5.1092950429719881</v>
      </c>
      <c r="D16" s="1153">
        <v>0</v>
      </c>
      <c r="E16" s="1153">
        <f t="shared" si="6"/>
        <v>46.583304156154874</v>
      </c>
      <c r="F16" s="311">
        <f t="shared" si="0"/>
        <v>9.8839971719941855E-2</v>
      </c>
      <c r="G16" s="1178">
        <f>TableA2!L16</f>
        <v>0.52437213243531344</v>
      </c>
      <c r="H16" s="1178">
        <f>D16/TableA2!C16</f>
        <v>0</v>
      </c>
      <c r="I16" s="1178">
        <f t="shared" si="1"/>
        <v>0</v>
      </c>
      <c r="J16" s="1178">
        <f>TableA6!I16/TableA2!$C16</f>
        <v>0</v>
      </c>
      <c r="K16" s="1178">
        <f>TableA6!J16/TableA2!$C16</f>
        <v>0</v>
      </c>
      <c r="L16" s="902">
        <f t="shared" si="2"/>
        <v>0.52437213243531344</v>
      </c>
      <c r="M16" s="1178">
        <f>C16/TableA4!D16</f>
        <v>0.22447139293998325</v>
      </c>
      <c r="N16" s="1178">
        <f>VLOOKUP(A16,TableA10!$A$8:$G$95,4,)/VLOOKUP(A16,TableA10!$A$8:$G$95,3,)</f>
        <v>0.2613430127041742</v>
      </c>
      <c r="O16" s="1486">
        <f>E16/TableA4!G16</f>
        <v>0.6144052152506192</v>
      </c>
      <c r="P16" s="266">
        <f>+'Table E1'!D16</f>
        <v>0.24911472763689882</v>
      </c>
      <c r="Q16" s="266">
        <f>+'Table E1'!I16</f>
        <v>0.18914404956710307</v>
      </c>
      <c r="R16" s="266">
        <f>+'Table E1'!N16</f>
        <v>0.26533508473269962</v>
      </c>
      <c r="S16" s="266">
        <f t="shared" si="7"/>
        <v>0.69001661929022884</v>
      </c>
      <c r="T16" s="266">
        <f t="shared" si="8"/>
        <v>0.6144052152506192</v>
      </c>
      <c r="U16" s="266">
        <f t="shared" si="9"/>
        <v>0.57369138230621397</v>
      </c>
      <c r="V16" s="12">
        <f>C16-O16*TableA4!D16</f>
        <v>-8.8754603396234497</v>
      </c>
      <c r="W16" s="26">
        <f>IFERROR($C16-S16*TableA4!$D16,"")</f>
        <v>-10.596485753115759</v>
      </c>
      <c r="X16" s="26">
        <f>IFERROR($C16-T16*TableA4!$D16,"")</f>
        <v>-8.8754603396234497</v>
      </c>
      <c r="Y16" s="906">
        <f>IFERROR($C16-U16*TableA4!$D16,"")</f>
        <v>-7.9487543477429732</v>
      </c>
      <c r="Z16" s="26">
        <f t="shared" si="10"/>
        <v>-1.7210254134923098</v>
      </c>
      <c r="AA16" s="26">
        <f t="shared" si="11"/>
        <v>0</v>
      </c>
      <c r="AB16" s="896">
        <f t="shared" si="12"/>
        <v>0.92670599188047653</v>
      </c>
      <c r="AC16" s="26"/>
      <c r="AD16" s="26"/>
      <c r="AE16" s="26"/>
      <c r="AF16" s="954"/>
      <c r="AG16" s="954"/>
      <c r="AH16" s="320">
        <f t="shared" si="4"/>
        <v>0</v>
      </c>
      <c r="AI16" s="320">
        <f t="shared" si="5"/>
        <v>0</v>
      </c>
    </row>
    <row r="17" spans="1:35" x14ac:dyDescent="0.2">
      <c r="A17" s="933" t="s">
        <v>36</v>
      </c>
      <c r="B17" s="1208">
        <f>TableA6!B17</f>
        <v>4.0797019715879275</v>
      </c>
      <c r="C17" s="1153">
        <f>TableA6!E17</f>
        <v>1.4550356443784636</v>
      </c>
      <c r="D17" s="1153">
        <v>0</v>
      </c>
      <c r="E17" s="1153">
        <f t="shared" si="6"/>
        <v>2.6246663272094639</v>
      </c>
      <c r="F17" s="311">
        <f t="shared" si="0"/>
        <v>0.35665243552389325</v>
      </c>
      <c r="G17" s="1178">
        <f>TableA2!L17</f>
        <v>0.51266863641431581</v>
      </c>
      <c r="H17" s="1178">
        <f>D17/TableA2!C17</f>
        <v>0</v>
      </c>
      <c r="I17" s="1178">
        <f t="shared" si="1"/>
        <v>0</v>
      </c>
      <c r="J17" s="1178">
        <f>TableA6!I17/TableA2!$C17</f>
        <v>0</v>
      </c>
      <c r="K17" s="1178">
        <f>TableA6!J17/TableA2!$C17</f>
        <v>0</v>
      </c>
      <c r="L17" s="902">
        <f t="shared" si="2"/>
        <v>0.51266863641431581</v>
      </c>
      <c r="M17" s="1178">
        <f>C17/TableA4!D17</f>
        <v>0.45190986584988918</v>
      </c>
      <c r="N17" s="1178"/>
      <c r="O17" s="1486">
        <f>E17/TableA4!G17</f>
        <v>0.55395752101378837</v>
      </c>
      <c r="P17" s="266">
        <f>+'Table E1'!D17</f>
        <v>0.13831160795229278</v>
      </c>
      <c r="Q17" s="266">
        <f>+'Table E1'!I17</f>
        <v>0.10047777000456205</v>
      </c>
      <c r="R17" s="266">
        <f>+'Table E1'!N17</f>
        <v>0.16157766015647265</v>
      </c>
      <c r="S17" s="266">
        <f t="shared" si="7"/>
        <v>0.64373321945234152</v>
      </c>
      <c r="T17" s="266">
        <f t="shared" si="8"/>
        <v>0.55395752101378837</v>
      </c>
      <c r="U17" s="266">
        <f t="shared" si="9"/>
        <v>0.50561676031610592</v>
      </c>
      <c r="V17" s="12">
        <f>C17-O17*TableA4!D17</f>
        <v>-0.32856767888762328</v>
      </c>
      <c r="W17" s="26">
        <f>IFERROR($C17-S17*TableA4!$D17,"")</f>
        <v>-0.6176227562345229</v>
      </c>
      <c r="X17" s="26">
        <f>IFERROR($C17-T17*TableA4!$D17,"")</f>
        <v>-0.32856767888762328</v>
      </c>
      <c r="Y17" s="906">
        <f>IFERROR($C17-U17*TableA4!$D17,"")</f>
        <v>-0.17292263723929269</v>
      </c>
      <c r="Z17" s="26">
        <f t="shared" si="10"/>
        <v>-0.28905507734689961</v>
      </c>
      <c r="AA17" s="26">
        <f t="shared" si="11"/>
        <v>0</v>
      </c>
      <c r="AB17" s="896">
        <f t="shared" si="12"/>
        <v>0.1556450416483306</v>
      </c>
      <c r="AC17" s="26"/>
      <c r="AD17" s="26"/>
      <c r="AE17" s="26"/>
      <c r="AF17" s="954"/>
      <c r="AG17" s="954"/>
      <c r="AH17" s="320">
        <f t="shared" si="4"/>
        <v>0</v>
      </c>
      <c r="AI17" s="320">
        <f t="shared" si="5"/>
        <v>0</v>
      </c>
    </row>
    <row r="18" spans="1:35" x14ac:dyDescent="0.2">
      <c r="A18" s="933" t="s">
        <v>37</v>
      </c>
      <c r="B18" s="1208">
        <f>TableA6!B18</f>
        <v>25.094852932206081</v>
      </c>
      <c r="C18" s="1153">
        <f>TableA6!E18</f>
        <v>4.2466092034416771</v>
      </c>
      <c r="D18" s="1153">
        <v>0</v>
      </c>
      <c r="E18" s="1153">
        <f t="shared" si="6"/>
        <v>20.848243728764402</v>
      </c>
      <c r="F18" s="311">
        <f t="shared" si="0"/>
        <v>0.16922231881230471</v>
      </c>
      <c r="G18" s="1178">
        <f>TableA2!L18</f>
        <v>0.33261304168871642</v>
      </c>
      <c r="H18" s="1178">
        <f>D18/TableA2!C18</f>
        <v>0</v>
      </c>
      <c r="I18" s="1178">
        <f t="shared" si="1"/>
        <v>0</v>
      </c>
      <c r="J18" s="1178">
        <f>TableA6!I18/TableA2!$C18</f>
        <v>0</v>
      </c>
      <c r="K18" s="1178">
        <f>TableA6!J18/TableA2!$C18</f>
        <v>0</v>
      </c>
      <c r="L18" s="902">
        <f t="shared" si="2"/>
        <v>0.33261304168871642</v>
      </c>
      <c r="M18" s="1178">
        <f>C18/TableA4!D18</f>
        <v>0.25990349075974173</v>
      </c>
      <c r="N18" s="1178">
        <f>VLOOKUP(A18,TableA10!$A$8:$G$95,4,)/VLOOKUP(A18,TableA10!$A$8:$G$95,3,)</f>
        <v>-0.86225490196078436</v>
      </c>
      <c r="O18" s="1486">
        <f>E18/TableA4!G18</f>
        <v>0.35271194390671812</v>
      </c>
      <c r="P18" s="266">
        <f>+'Table E1'!D18</f>
        <v>0.18095028521661602</v>
      </c>
      <c r="Q18" s="266">
        <f>+'Table E1'!I18</f>
        <v>0.18420637943609547</v>
      </c>
      <c r="R18" s="266">
        <f>+'Table E1'!N18</f>
        <v>0.1802924460042071</v>
      </c>
      <c r="S18" s="266">
        <f t="shared" si="7"/>
        <v>0.34943039194644837</v>
      </c>
      <c r="T18" s="266">
        <f t="shared" si="8"/>
        <v>0.35271194390671812</v>
      </c>
      <c r="U18" s="266">
        <f t="shared" si="9"/>
        <v>0.35447893342378645</v>
      </c>
      <c r="V18" s="12">
        <f>C18-O18*TableA4!D18</f>
        <v>-1.516413766275523</v>
      </c>
      <c r="W18" s="26">
        <f>IFERROR($C18-S18*TableA4!$D18,"")</f>
        <v>-1.462795907141281</v>
      </c>
      <c r="X18" s="26">
        <f>IFERROR($C18-T18*TableA4!$D18,"")</f>
        <v>-1.516413766275523</v>
      </c>
      <c r="Y18" s="906">
        <f>IFERROR($C18-U18*TableA4!$D18,"")</f>
        <v>-1.5452849211939608</v>
      </c>
      <c r="Z18" s="26">
        <f t="shared" si="10"/>
        <v>5.3617859134241996E-2</v>
      </c>
      <c r="AA18" s="26">
        <f t="shared" si="11"/>
        <v>0</v>
      </c>
      <c r="AB18" s="896">
        <f t="shared" si="12"/>
        <v>-2.8871154918437725E-2</v>
      </c>
      <c r="AC18" s="26"/>
      <c r="AD18" s="26"/>
      <c r="AE18" s="26"/>
      <c r="AF18" s="954"/>
      <c r="AG18" s="954"/>
      <c r="AH18" s="320">
        <f t="shared" si="4"/>
        <v>0</v>
      </c>
      <c r="AI18" s="320">
        <f t="shared" si="5"/>
        <v>0</v>
      </c>
    </row>
    <row r="19" spans="1:35" x14ac:dyDescent="0.2">
      <c r="A19" s="933" t="s">
        <v>38</v>
      </c>
      <c r="B19" s="1208">
        <f>TableA6!B19</f>
        <v>187.65852722592464</v>
      </c>
      <c r="C19" s="1153">
        <f>TableA6!E19</f>
        <v>31.778815000521959</v>
      </c>
      <c r="D19" s="1153">
        <v>0</v>
      </c>
      <c r="E19" s="1153">
        <f t="shared" si="6"/>
        <v>155.87971222540267</v>
      </c>
      <c r="F19" s="311">
        <f t="shared" si="0"/>
        <v>0.16934383675655204</v>
      </c>
      <c r="G19" s="1178">
        <f>TableA2!L19</f>
        <v>0.21535775015018682</v>
      </c>
      <c r="H19" s="1178">
        <f>D19/TableA2!C19</f>
        <v>0</v>
      </c>
      <c r="I19" s="1178">
        <f t="shared" si="1"/>
        <v>0</v>
      </c>
      <c r="J19" s="1178">
        <f>TableA6!I19/TableA2!$C19</f>
        <v>0</v>
      </c>
      <c r="K19" s="1178">
        <f>TableA6!J19/TableA2!$C19</f>
        <v>0</v>
      </c>
      <c r="L19" s="902">
        <f t="shared" si="2"/>
        <v>0.21535775015018682</v>
      </c>
      <c r="M19" s="1178">
        <f>C19/TableA4!D19</f>
        <v>0.2071972615008727</v>
      </c>
      <c r="N19" s="1178">
        <f>VLOOKUP(A19,TableA10!$A$8:$G$95,4,)/VLOOKUP(A19,TableA10!$A$8:$G$95,3,)</f>
        <v>0.14399522601820081</v>
      </c>
      <c r="O19" s="1486">
        <f>E19/TableA4!G19</f>
        <v>0.2171009289647885</v>
      </c>
      <c r="P19" s="266">
        <f>+'Table E1'!D19</f>
        <v>0.14506478214910593</v>
      </c>
      <c r="Q19" s="266">
        <f>+'Table E1'!I19</f>
        <v>0.1604858759321765</v>
      </c>
      <c r="R19" s="266">
        <f>+'Table E1'!N19</f>
        <v>0.14312079639648098</v>
      </c>
      <c r="S19" s="266">
        <f t="shared" si="7"/>
        <v>0.20581183912798734</v>
      </c>
      <c r="T19" s="266">
        <f t="shared" si="8"/>
        <v>0.2171009289647885</v>
      </c>
      <c r="U19" s="266">
        <f t="shared" si="9"/>
        <v>0.22317966964614297</v>
      </c>
      <c r="V19" s="12">
        <f>C19-O19*TableA4!D19</f>
        <v>-1.5189718912435666</v>
      </c>
      <c r="W19" s="26">
        <f>IFERROR($C19-S19*TableA4!$D19,"")</f>
        <v>0.21248872193864798</v>
      </c>
      <c r="X19" s="26">
        <f>IFERROR($C19-T19*TableA4!$D19,"")</f>
        <v>-1.5189718912435666</v>
      </c>
      <c r="Y19" s="906">
        <f>IFERROR($C19-U19*TableA4!$D19,"")</f>
        <v>-2.4512968368032233</v>
      </c>
      <c r="Z19" s="26">
        <f t="shared" si="10"/>
        <v>1.7314606131822146</v>
      </c>
      <c r="AA19" s="26">
        <f t="shared" si="11"/>
        <v>0</v>
      </c>
      <c r="AB19" s="896">
        <f t="shared" si="12"/>
        <v>-0.93232494555965673</v>
      </c>
      <c r="AC19" s="26"/>
      <c r="AD19" s="26"/>
      <c r="AE19" s="26"/>
      <c r="AF19" s="954"/>
      <c r="AG19" s="954"/>
      <c r="AH19" s="320">
        <f t="shared" si="4"/>
        <v>0</v>
      </c>
      <c r="AI19" s="320">
        <f t="shared" si="5"/>
        <v>0</v>
      </c>
    </row>
    <row r="20" spans="1:35" x14ac:dyDescent="0.2">
      <c r="A20" s="933" t="s">
        <v>39</v>
      </c>
      <c r="B20" s="1208">
        <f>TableA6!B20</f>
        <v>553.04943443142031</v>
      </c>
      <c r="C20" s="1153">
        <f>TableA6!E20</f>
        <v>42.83586575015805</v>
      </c>
      <c r="D20" s="1153">
        <v>0</v>
      </c>
      <c r="E20" s="1153">
        <f t="shared" si="6"/>
        <v>510.21356868126225</v>
      </c>
      <c r="F20" s="311">
        <f t="shared" si="0"/>
        <v>7.7453954535179656E-2</v>
      </c>
      <c r="G20" s="1178">
        <f>TableA2!L20</f>
        <v>0.45220474547375394</v>
      </c>
      <c r="H20" s="1178">
        <f>D20/TableA2!C20</f>
        <v>0</v>
      </c>
      <c r="I20" s="1178">
        <f t="shared" si="1"/>
        <v>0</v>
      </c>
      <c r="J20" s="1178">
        <f>TableA6!I20/TableA2!$C20</f>
        <v>0</v>
      </c>
      <c r="K20" s="1178">
        <f>TableA6!J20/TableA2!$C20</f>
        <v>0</v>
      </c>
      <c r="L20" s="902">
        <f t="shared" si="2"/>
        <v>0.45220474547375394</v>
      </c>
      <c r="M20" s="1178">
        <f>C20/TableA4!D20</f>
        <v>0.18304850872360104</v>
      </c>
      <c r="N20" s="1178">
        <f>VLOOKUP(A20,TableA10!$A$8:$G$95,4,)/VLOOKUP(A20,TableA10!$A$8:$G$95,3,)</f>
        <v>0.24505490373044525</v>
      </c>
      <c r="O20" s="1486">
        <f>E20/TableA4!G20</f>
        <v>0.51589201053413136</v>
      </c>
      <c r="P20" s="266">
        <f>+'Table E1'!D20</f>
        <v>0.12776033754199193</v>
      </c>
      <c r="Q20" s="266">
        <f>+'Table E1'!I20</f>
        <v>0.2581822877163451</v>
      </c>
      <c r="R20" s="266">
        <f>+'Table E1'!N20</f>
        <v>0.11190368320557728</v>
      </c>
      <c r="S20" s="266">
        <f t="shared" si="7"/>
        <v>0.22687830102409207</v>
      </c>
      <c r="T20" s="266">
        <f t="shared" si="8"/>
        <v>0.51589201053413136</v>
      </c>
      <c r="U20" s="266">
        <f t="shared" si="9"/>
        <v>0.67151477719338337</v>
      </c>
      <c r="V20" s="908">
        <f>C20-O20*TableA4!D20</f>
        <v>-77.889952006640314</v>
      </c>
      <c r="W20" s="26">
        <f>IFERROR($C20-S20*TableA4!$D20,"")</f>
        <v>-10.256773529229385</v>
      </c>
      <c r="X20" s="26">
        <f>IFERROR($C20-T20*TableA4!$D20,"")</f>
        <v>-77.889952006640314</v>
      </c>
      <c r="Y20" s="906">
        <f>IFERROR($C20-U20*TableA4!$D20,"")</f>
        <v>-114.30781734063082</v>
      </c>
      <c r="Z20" s="26">
        <f t="shared" si="10"/>
        <v>67.633178477410922</v>
      </c>
      <c r="AA20" s="26">
        <f t="shared" si="11"/>
        <v>0</v>
      </c>
      <c r="AB20" s="896">
        <f t="shared" si="12"/>
        <v>-36.417865333990505</v>
      </c>
      <c r="AC20" s="26"/>
      <c r="AD20" s="26"/>
      <c r="AE20" s="26"/>
      <c r="AF20" s="954"/>
      <c r="AG20" s="954"/>
      <c r="AH20" s="320">
        <f t="shared" si="4"/>
        <v>0</v>
      </c>
      <c r="AI20" s="320">
        <f t="shared" si="5"/>
        <v>0</v>
      </c>
    </row>
    <row r="21" spans="1:35" x14ac:dyDescent="0.2">
      <c r="A21" s="933" t="s">
        <v>40</v>
      </c>
      <c r="B21" s="1208">
        <f>TableA6!B21</f>
        <v>22.607784095761257</v>
      </c>
      <c r="C21" s="1153">
        <f>TableA6!E21</f>
        <v>1.3429928248302583</v>
      </c>
      <c r="D21" s="1153">
        <v>0</v>
      </c>
      <c r="E21" s="1153">
        <f t="shared" si="6"/>
        <v>21.264791270930999</v>
      </c>
      <c r="F21" s="311">
        <f t="shared" si="0"/>
        <v>5.9404000814129172E-2</v>
      </c>
      <c r="G21" s="1178">
        <f>TableA2!L21</f>
        <v>0.81636062215561511</v>
      </c>
      <c r="H21" s="1178">
        <f>D21/TableA2!C21</f>
        <v>0</v>
      </c>
      <c r="I21" s="1178">
        <f t="shared" si="1"/>
        <v>0</v>
      </c>
      <c r="J21" s="1178">
        <f>TableA6!I21/TableA2!$C21</f>
        <v>0</v>
      </c>
      <c r="K21" s="1178">
        <f>TableA6!J21/TableA2!$C21</f>
        <v>0</v>
      </c>
      <c r="L21" s="902">
        <f t="shared" si="2"/>
        <v>0.81636062215561511</v>
      </c>
      <c r="M21" s="1178">
        <f>C21/TableA4!D21</f>
        <v>0.32015467353035559</v>
      </c>
      <c r="N21" s="1178">
        <f>VLOOKUP(A21,TableA10!$A$8:$G$95,4,)/VLOOKUP(A21,TableA10!$A$8:$G$95,3,)</f>
        <v>0.14510686164229472</v>
      </c>
      <c r="O21" s="1486">
        <f>E21/TableA4!G21</f>
        <v>0.90494041789473145</v>
      </c>
      <c r="P21" s="266">
        <f>+'Table E1'!D21</f>
        <v>6.147764241837958E-2</v>
      </c>
      <c r="Q21" s="266">
        <f>+'Table E1'!I21</f>
        <v>0.13824577991346368</v>
      </c>
      <c r="R21" s="266">
        <f>+'Table E1'!N21</f>
        <v>5.6820217672788415E-2</v>
      </c>
      <c r="S21" s="266">
        <f t="shared" si="7"/>
        <v>0.34916277390497952</v>
      </c>
      <c r="T21" s="266">
        <f t="shared" si="8"/>
        <v>0.90494041789473145</v>
      </c>
      <c r="U21" s="266">
        <f t="shared" si="9"/>
        <v>1.2042053031199824</v>
      </c>
      <c r="V21" s="908">
        <f>C21-O21*TableA4!D21</f>
        <v>-2.4530738535975614</v>
      </c>
      <c r="W21" s="26">
        <f>IFERROR($C21-S21*TableA4!$D21,"")</f>
        <v>-0.12168390433126719</v>
      </c>
      <c r="X21" s="26">
        <f>IFERROR($C21-T21*TableA4!$D21,"")</f>
        <v>-2.4530738535975614</v>
      </c>
      <c r="Y21" s="906">
        <f>IFERROR($C21-U21*TableA4!$D21,"")</f>
        <v>-3.7084376724332575</v>
      </c>
      <c r="Z21" s="26">
        <f t="shared" si="10"/>
        <v>2.3313899492662942</v>
      </c>
      <c r="AA21" s="26">
        <f t="shared" si="11"/>
        <v>0</v>
      </c>
      <c r="AB21" s="896">
        <f t="shared" si="12"/>
        <v>-1.2553638188356961</v>
      </c>
      <c r="AC21" s="26"/>
      <c r="AD21" s="26"/>
      <c r="AE21" s="26"/>
      <c r="AF21" s="954"/>
      <c r="AG21" s="954"/>
      <c r="AH21" s="320">
        <f t="shared" si="4"/>
        <v>0</v>
      </c>
      <c r="AI21" s="320">
        <f t="shared" si="5"/>
        <v>0</v>
      </c>
    </row>
    <row r="22" spans="1:35" x14ac:dyDescent="0.2">
      <c r="A22" s="933" t="s">
        <v>41</v>
      </c>
      <c r="B22" s="1208">
        <f>TableA6!B22</f>
        <v>20.668289583202817</v>
      </c>
      <c r="C22" s="1153">
        <f>TableA6!E22</f>
        <v>9.7164397220911169</v>
      </c>
      <c r="D22" s="1153">
        <v>0</v>
      </c>
      <c r="E22" s="1153">
        <f t="shared" si="6"/>
        <v>10.9518498611117</v>
      </c>
      <c r="F22" s="311">
        <f t="shared" si="0"/>
        <v>0.47011339196581114</v>
      </c>
      <c r="G22" s="1178">
        <f>TableA2!L22</f>
        <v>0.60422536243108271</v>
      </c>
      <c r="H22" s="1178">
        <f>D22/TableA2!C22</f>
        <v>0</v>
      </c>
      <c r="I22" s="1178">
        <f t="shared" si="1"/>
        <v>0</v>
      </c>
      <c r="J22" s="1178">
        <f>TableA6!I22/TableA2!$C22</f>
        <v>0</v>
      </c>
      <c r="K22" s="1178">
        <f>TableA6!J22/TableA2!$C22</f>
        <v>0</v>
      </c>
      <c r="L22" s="902">
        <f t="shared" si="2"/>
        <v>0.60422536243108271</v>
      </c>
      <c r="M22" s="1178">
        <f>C22/TableA4!D22</f>
        <v>0.61386905762305399</v>
      </c>
      <c r="N22" s="1178">
        <f>VLOOKUP(A22,TableA10!$A$8:$G$95,4,)/VLOOKUP(A22,TableA10!$A$8:$G$95,3,)</f>
        <v>7.4171817058096412</v>
      </c>
      <c r="O22" s="1486">
        <f>E22/TableA4!G22</f>
        <v>0.59591968343815072</v>
      </c>
      <c r="P22" s="266">
        <f>+'Table E1'!D22</f>
        <v>7.1800964935391079E-2</v>
      </c>
      <c r="Q22" s="266">
        <f>+'Table E1'!I22</f>
        <v>0.12931448405704929</v>
      </c>
      <c r="R22" s="266">
        <f>+'Table E1'!N22</f>
        <v>5.15960753570395E-2</v>
      </c>
      <c r="S22" s="266">
        <f t="shared" si="7"/>
        <v>0.21122323520190361</v>
      </c>
      <c r="T22" s="266">
        <f t="shared" si="8"/>
        <v>0.59591968343815072</v>
      </c>
      <c r="U22" s="266">
        <f t="shared" si="9"/>
        <v>0.80306392479612998</v>
      </c>
      <c r="V22" s="908">
        <f>C22-O22*TableA4!D22</f>
        <v>0.28410621149757276</v>
      </c>
      <c r="W22" s="26">
        <f>IFERROR($C22-S22*TableA4!$D22,"")</f>
        <v>6.3731569694285639</v>
      </c>
      <c r="X22" s="26">
        <f>IFERROR($C22-T22*TableA4!$D22,"")</f>
        <v>0.28410621149757276</v>
      </c>
      <c r="Y22" s="906">
        <f>IFERROR($C22-U22*TableA4!$D22,"")</f>
        <v>-2.9946134273883462</v>
      </c>
      <c r="Z22" s="26">
        <f t="shared" si="10"/>
        <v>6.0890507579309912</v>
      </c>
      <c r="AA22" s="26">
        <f t="shared" si="11"/>
        <v>0</v>
      </c>
      <c r="AB22" s="896">
        <f t="shared" si="12"/>
        <v>-3.278719638885919</v>
      </c>
      <c r="AC22" s="26"/>
      <c r="AD22" s="26"/>
      <c r="AE22" s="26"/>
      <c r="AF22" s="954"/>
      <c r="AG22" s="954"/>
      <c r="AH22" s="320">
        <f t="shared" si="4"/>
        <v>0</v>
      </c>
      <c r="AI22" s="320">
        <f t="shared" si="5"/>
        <v>0</v>
      </c>
    </row>
    <row r="23" spans="1:35" ht="17" x14ac:dyDescent="0.2">
      <c r="A23" s="933" t="s">
        <v>42</v>
      </c>
      <c r="B23" s="1208">
        <f>TableA6!B23</f>
        <v>2.1489969781260903</v>
      </c>
      <c r="C23" s="1153">
        <f>TableA6!E23</f>
        <v>-9.6186838505018343E-2</v>
      </c>
      <c r="D23" s="1153">
        <v>0</v>
      </c>
      <c r="E23" s="1153">
        <f t="shared" si="6"/>
        <v>2.2451838166311084</v>
      </c>
      <c r="F23" s="311">
        <f t="shared" si="0"/>
        <v>-4.4758945444815172E-2</v>
      </c>
      <c r="G23" s="1178">
        <f>TableA2!L23</f>
        <v>0.41910792740626918</v>
      </c>
      <c r="H23" s="1178">
        <f>D23/TableA2!C23</f>
        <v>0</v>
      </c>
      <c r="I23" s="1178">
        <f t="shared" si="1"/>
        <v>0</v>
      </c>
      <c r="J23" s="1178">
        <f>TableA6!I23/TableA2!$C23</f>
        <v>0</v>
      </c>
      <c r="K23" s="1178">
        <f>TableA6!J23/TableA2!$C23</f>
        <v>0</v>
      </c>
      <c r="L23" s="902">
        <f t="shared" si="2"/>
        <v>0.41910792740626918</v>
      </c>
      <c r="M23" s="1178">
        <f>C23/TableA4!D23</f>
        <v>-6.7952586167860679E-2</v>
      </c>
      <c r="N23" s="1178"/>
      <c r="O23" s="1486">
        <f>E23/TableA4!G23</f>
        <v>0.60483646934821078</v>
      </c>
      <c r="P23" s="266">
        <f>+'Table E1'!D23</f>
        <v>0.142361783342771</v>
      </c>
      <c r="Q23" s="266">
        <f>+'Table E1'!I23</f>
        <v>0</v>
      </c>
      <c r="R23" s="266">
        <f>+'Table E1'!N23</f>
        <v>0</v>
      </c>
      <c r="S23" s="266" t="str">
        <f t="shared" si="7"/>
        <v/>
      </c>
      <c r="T23" s="266" t="str">
        <f t="shared" si="8"/>
        <v/>
      </c>
      <c r="U23" s="266" t="str">
        <f t="shared" si="9"/>
        <v/>
      </c>
      <c r="V23" s="908">
        <f>C23-O23*TableA4!D23</f>
        <v>-0.95233244060805888</v>
      </c>
      <c r="W23" s="26" t="str">
        <f>IFERROR($C23-S23*TableA4!$D23,"")</f>
        <v/>
      </c>
      <c r="X23" s="26" t="str">
        <f>IFERROR($C23-T23*TableA4!$D23,"")</f>
        <v/>
      </c>
      <c r="Y23" s="906" t="str">
        <f>IFERROR($C23-U23*TableA4!$D23,"")</f>
        <v/>
      </c>
      <c r="Z23" s="26" t="str">
        <f t="shared" si="10"/>
        <v/>
      </c>
      <c r="AA23" s="26" t="str">
        <f t="shared" si="11"/>
        <v/>
      </c>
      <c r="AB23" s="896" t="str">
        <f t="shared" si="12"/>
        <v/>
      </c>
      <c r="AC23" s="26"/>
      <c r="AD23" s="26"/>
      <c r="AE23" s="26"/>
      <c r="AF23" s="954"/>
      <c r="AG23" s="954"/>
      <c r="AH23" s="320">
        <f t="shared" si="4"/>
        <v>0</v>
      </c>
      <c r="AI23" s="320">
        <f t="shared" si="5"/>
        <v>0</v>
      </c>
    </row>
    <row r="24" spans="1:35" x14ac:dyDescent="0.2">
      <c r="A24" s="933" t="s">
        <v>43</v>
      </c>
      <c r="B24" s="1208">
        <f>TableA6!B24</f>
        <v>174.30510209753976</v>
      </c>
      <c r="C24" s="1153">
        <f>TableA6!E24</f>
        <v>116.2731292562101</v>
      </c>
      <c r="D24" s="1153">
        <v>25.995157260117182</v>
      </c>
      <c r="E24" s="1153">
        <f t="shared" si="6"/>
        <v>32.03681558121248</v>
      </c>
      <c r="F24" s="311">
        <f t="shared" si="0"/>
        <v>0.78398740815168366</v>
      </c>
      <c r="G24" s="1178">
        <f>TableA2!L24</f>
        <v>2.0458364548956904</v>
      </c>
      <c r="H24" s="1178">
        <f>D24/TableA2!C24</f>
        <v>0.42364275085659048</v>
      </c>
      <c r="I24" s="1178">
        <f t="shared" si="1"/>
        <v>0.79481160128028239</v>
      </c>
      <c r="J24" s="1178">
        <f>TableA6!I24/TableA2!$C24</f>
        <v>0.79481160128028239</v>
      </c>
      <c r="K24" s="1178">
        <f>TableA6!J24/TableA2!$C24</f>
        <v>0</v>
      </c>
      <c r="L24" s="902">
        <f t="shared" si="2"/>
        <v>2.4170053053193823</v>
      </c>
      <c r="M24" s="1178">
        <f>C24/TableA4!D24</f>
        <v>7.9996490577609283</v>
      </c>
      <c r="N24" s="1178">
        <f>VLOOKUP(A24,TableA10!$A$8:$G$95,4,)/VLOOKUP(A24,TableA10!$A$8:$G$95,3,)</f>
        <v>7.7427987962166807</v>
      </c>
      <c r="O24" s="1116">
        <f>E24/TableA4!G24</f>
        <v>0.68416351867003244</v>
      </c>
      <c r="P24" s="266">
        <f>+'Table E1'!D24</f>
        <v>0.1510853378572892</v>
      </c>
      <c r="Q24" s="266">
        <f>+'Table E1'!I24</f>
        <v>0.33424889387920881</v>
      </c>
      <c r="R24" s="266">
        <f>+'Table E1'!N24</f>
        <v>0.11035923688474457</v>
      </c>
      <c r="S24" s="266">
        <f t="shared" si="7"/>
        <v>8.9312143753408457E-2</v>
      </c>
      <c r="T24" s="266">
        <f t="shared" si="8"/>
        <v>0.68416351867003244</v>
      </c>
      <c r="U24" s="266">
        <f t="shared" si="9"/>
        <v>1.0044681051635993</v>
      </c>
      <c r="V24" s="908">
        <f>C24-O24*TableA4!D24</f>
        <v>106.3289638729139</v>
      </c>
      <c r="W24" s="26">
        <f>IFERROR($C24-S24*TableA4!$D24,"")</f>
        <v>114.97499700568162</v>
      </c>
      <c r="X24" s="26">
        <f>IFERROR($C24-T24*TableA4!$D24,"")</f>
        <v>106.3289638729139</v>
      </c>
      <c r="Y24" s="906">
        <f>IFERROR($C24-U24*TableA4!$D24,"")</f>
        <v>101.67340757065438</v>
      </c>
      <c r="Z24" s="26">
        <f t="shared" si="10"/>
        <v>8.6460331327677125</v>
      </c>
      <c r="AA24" s="26">
        <f t="shared" si="11"/>
        <v>0</v>
      </c>
      <c r="AB24" s="896">
        <f t="shared" si="12"/>
        <v>-4.6555563022595265</v>
      </c>
      <c r="AC24" s="26"/>
      <c r="AD24" s="26"/>
      <c r="AE24" s="26"/>
      <c r="AF24" s="954"/>
      <c r="AG24" s="954"/>
      <c r="AH24" s="320">
        <f t="shared" si="4"/>
        <v>0</v>
      </c>
      <c r="AI24" s="320">
        <f t="shared" si="5"/>
        <v>0</v>
      </c>
    </row>
    <row r="25" spans="1:35" x14ac:dyDescent="0.2">
      <c r="A25" s="933" t="s">
        <v>44</v>
      </c>
      <c r="B25" s="1208">
        <f>TableA6!B25</f>
        <v>53.821062621875072</v>
      </c>
      <c r="C25" s="1153">
        <f>TableA6!E25</f>
        <v>5.8274626748237663</v>
      </c>
      <c r="D25" s="1153">
        <v>0</v>
      </c>
      <c r="E25" s="1153">
        <f t="shared" si="6"/>
        <v>47.993599947051308</v>
      </c>
      <c r="F25" s="311">
        <f t="shared" si="0"/>
        <v>0.10827476067808532</v>
      </c>
      <c r="G25" s="1178">
        <f>TableA2!L25</f>
        <v>0.58530208289956809</v>
      </c>
      <c r="H25" s="1178">
        <f>D25/TableA2!C25</f>
        <v>0</v>
      </c>
      <c r="I25" s="1178">
        <f t="shared" si="1"/>
        <v>0</v>
      </c>
      <c r="J25" s="1178">
        <f>TableA6!I25/TableA2!$C25</f>
        <v>0</v>
      </c>
      <c r="K25" s="1178">
        <f>TableA6!J25/TableA2!$C25</f>
        <v>0</v>
      </c>
      <c r="L25" s="902">
        <f t="shared" si="2"/>
        <v>0.58530208289956809</v>
      </c>
      <c r="M25" s="1178">
        <f>C25/TableA4!D25</f>
        <v>0.507499525346497</v>
      </c>
      <c r="N25" s="1178">
        <f>VLOOKUP(A25,TableA10!$A$8:$G$95,4,)/VLOOKUP(A25,TableA10!$A$8:$G$95,3,)</f>
        <v>0.507499525346497</v>
      </c>
      <c r="O25" s="1486">
        <f>E25/TableA4!G25</f>
        <v>0.59640392117908991</v>
      </c>
      <c r="P25" s="266">
        <f>+'Table E1'!D25</f>
        <v>7.6088109021998335E-2</v>
      </c>
      <c r="Q25" s="266">
        <f>+'Table E1'!I25</f>
        <v>8.1275159193857013E-2</v>
      </c>
      <c r="R25" s="266">
        <f>+'Table E1'!N25</f>
        <v>7.5627376630288817E-2</v>
      </c>
      <c r="S25" s="266">
        <f t="shared" si="7"/>
        <v>0.57731582400187609</v>
      </c>
      <c r="T25" s="266">
        <f t="shared" si="8"/>
        <v>0.59640392117908991</v>
      </c>
      <c r="U25" s="266">
        <f t="shared" si="9"/>
        <v>0.60668212735143578</v>
      </c>
      <c r="V25" s="908">
        <f>C25-O25*TableA4!D25</f>
        <v>-1.0208621337891248</v>
      </c>
      <c r="W25" s="26">
        <f>IFERROR($C25-S25*TableA4!$D25,"")</f>
        <v>-0.80167932025313871</v>
      </c>
      <c r="X25" s="26">
        <f>IFERROR($C25-T25*TableA4!$D25,"")</f>
        <v>-1.0208621337891248</v>
      </c>
      <c r="Y25" s="906">
        <f>IFERROR($C25-U25*TableA4!$D25,"")</f>
        <v>-1.1388836487700393</v>
      </c>
      <c r="Z25" s="26">
        <f t="shared" si="10"/>
        <v>0.21918281353598612</v>
      </c>
      <c r="AA25" s="26">
        <f t="shared" si="11"/>
        <v>0</v>
      </c>
      <c r="AB25" s="896">
        <f t="shared" si="12"/>
        <v>-0.11802151498091451</v>
      </c>
      <c r="AC25" s="26"/>
      <c r="AD25" s="26"/>
      <c r="AE25" s="26"/>
      <c r="AF25" s="954"/>
      <c r="AG25" s="954"/>
      <c r="AH25" s="320">
        <f t="shared" si="4"/>
        <v>0</v>
      </c>
      <c r="AI25" s="320">
        <f t="shared" si="5"/>
        <v>0</v>
      </c>
    </row>
    <row r="26" spans="1:35" x14ac:dyDescent="0.2">
      <c r="A26" s="933" t="s">
        <v>45</v>
      </c>
      <c r="B26" s="1208">
        <f>TableA6!B26</f>
        <v>211.89440797463348</v>
      </c>
      <c r="C26" s="1153">
        <f>TableA6!E26</f>
        <v>13.197888688714203</v>
      </c>
      <c r="D26" s="1153">
        <v>0</v>
      </c>
      <c r="E26" s="1153">
        <f t="shared" si="6"/>
        <v>198.69651928591927</v>
      </c>
      <c r="F26" s="311">
        <f t="shared" si="0"/>
        <v>6.228521467302791E-2</v>
      </c>
      <c r="G26" s="1178">
        <f>TableA2!L26</f>
        <v>0.43094579515647402</v>
      </c>
      <c r="H26" s="1178">
        <f>D26/TableA2!C26</f>
        <v>0</v>
      </c>
      <c r="I26" s="1178">
        <f t="shared" si="1"/>
        <v>0</v>
      </c>
      <c r="J26" s="1178">
        <f>TableA6!I26/TableA2!$C26</f>
        <v>0</v>
      </c>
      <c r="K26" s="1178">
        <f>TableA6!J26/TableA2!$C26</f>
        <v>0</v>
      </c>
      <c r="L26" s="902">
        <f t="shared" si="2"/>
        <v>0.43094579515647402</v>
      </c>
      <c r="M26" s="1178">
        <f>C26/TableA4!D26</f>
        <v>0.16233602672515596</v>
      </c>
      <c r="N26" s="1178">
        <f>VLOOKUP(A26,TableA10!$A$8:$G$95,4,)/VLOOKUP(A26,TableA10!$A$8:$G$95,3,)</f>
        <v>0.29230028211656228</v>
      </c>
      <c r="O26" s="1486">
        <f>E26/TableA4!G26</f>
        <v>0.48415758018996907</v>
      </c>
      <c r="P26" s="266">
        <f>+'Table E1'!D26</f>
        <v>0.1416191303959051</v>
      </c>
      <c r="Q26" s="266">
        <f>+'Table E1'!I26</f>
        <v>0.23520857895128969</v>
      </c>
      <c r="R26" s="266">
        <f>+'Table E1'!N26</f>
        <v>0.13324414709091489</v>
      </c>
      <c r="S26" s="266">
        <f t="shared" si="7"/>
        <v>0.32537220009921791</v>
      </c>
      <c r="T26" s="266">
        <f t="shared" si="8"/>
        <v>0.48415758018996907</v>
      </c>
      <c r="U26" s="266">
        <f t="shared" si="9"/>
        <v>0.56965740023883515</v>
      </c>
      <c r="V26" s="908">
        <f>C26-O26*TableA4!D26</f>
        <v>-26.164032260372608</v>
      </c>
      <c r="W26" s="26">
        <f>IFERROR($C26-S26*TableA4!$D26,"")</f>
        <v>-13.254810480656802</v>
      </c>
      <c r="X26" s="26">
        <f>IFERROR($C26-T26*TableA4!$D26,"")</f>
        <v>-26.164032260372608</v>
      </c>
      <c r="Y26" s="906">
        <f>IFERROR($C26-U26*TableA4!$D26,"")</f>
        <v>-33.11515168021959</v>
      </c>
      <c r="Z26" s="26">
        <f t="shared" si="10"/>
        <v>12.909221779715805</v>
      </c>
      <c r="AA26" s="26">
        <f t="shared" si="11"/>
        <v>0</v>
      </c>
      <c r="AB26" s="896">
        <f t="shared" si="12"/>
        <v>-6.9511194198469823</v>
      </c>
      <c r="AC26" s="26"/>
      <c r="AD26" s="26"/>
      <c r="AE26" s="26"/>
      <c r="AF26" s="954"/>
      <c r="AG26" s="954"/>
      <c r="AH26" s="320">
        <f t="shared" si="4"/>
        <v>0</v>
      </c>
      <c r="AI26" s="320">
        <f t="shared" si="5"/>
        <v>0</v>
      </c>
    </row>
    <row r="27" spans="1:35" x14ac:dyDescent="0.2">
      <c r="A27" s="933" t="s">
        <v>46</v>
      </c>
      <c r="B27" s="1208">
        <f>TableA6!B27</f>
        <v>634.13536380108962</v>
      </c>
      <c r="C27" s="1153">
        <f>TableA6!E27</f>
        <v>32.091665406409945</v>
      </c>
      <c r="D27" s="1153">
        <v>0</v>
      </c>
      <c r="E27" s="1153">
        <f t="shared" si="6"/>
        <v>602.04369839467972</v>
      </c>
      <c r="F27" s="311">
        <f t="shared" si="0"/>
        <v>5.0606963809821832E-2</v>
      </c>
      <c r="G27" s="1178">
        <f>TableA2!L27</f>
        <v>0.41884260770852871</v>
      </c>
      <c r="H27" s="1178">
        <f>D27/TableA2!C27</f>
        <v>0</v>
      </c>
      <c r="I27" s="1178">
        <f t="shared" si="1"/>
        <v>0</v>
      </c>
      <c r="J27" s="1178">
        <f>TableA6!I27/TableA2!$C27</f>
        <v>0</v>
      </c>
      <c r="K27" s="1178">
        <f>TableA6!J27/TableA2!$C27</f>
        <v>0</v>
      </c>
      <c r="L27" s="902">
        <f t="shared" si="2"/>
        <v>0.41884260770852871</v>
      </c>
      <c r="M27" s="1178">
        <f>C27/TableA4!D27</f>
        <v>0.23732566147384185</v>
      </c>
      <c r="N27" s="1178">
        <f>VLOOKUP(A27,TableA10!$A$8:$G$95,4,)/VLOOKUP(A27,TableA10!$A$8:$G$95,3,)</f>
        <v>0.85962139029186102</v>
      </c>
      <c r="O27" s="1486">
        <f>E27/TableA4!G27</f>
        <v>0.43664443770241151</v>
      </c>
      <c r="P27" s="266">
        <f>+'Table E1'!D27</f>
        <v>0.14545222977998268</v>
      </c>
      <c r="Q27" s="266">
        <f>+'Table E1'!I27</f>
        <v>0.10940132347603941</v>
      </c>
      <c r="R27" s="266">
        <f>+'Table E1'!N27</f>
        <v>0.14671054470606501</v>
      </c>
      <c r="S27" s="266">
        <f t="shared" si="7"/>
        <v>0.48423337440106978</v>
      </c>
      <c r="T27" s="266">
        <f t="shared" si="8"/>
        <v>0.43664443770241151</v>
      </c>
      <c r="U27" s="266">
        <f t="shared" si="9"/>
        <v>0.41101962563390321</v>
      </c>
      <c r="V27" s="909">
        <f>C27-O27*TableA4!D27</f>
        <v>-26.952295997908244</v>
      </c>
      <c r="W27" s="26">
        <f>IFERROR($C27-S27*TableA4!$D27,"")</f>
        <v>-33.387370166019195</v>
      </c>
      <c r="X27" s="26">
        <f>IFERROR($C27-T27*TableA4!$D27,"")</f>
        <v>-26.952295997908244</v>
      </c>
      <c r="Y27" s="906">
        <f>IFERROR($C27-U27*TableA4!$D27,"")</f>
        <v>-23.487256061233118</v>
      </c>
      <c r="Z27" s="26">
        <f t="shared" si="10"/>
        <v>-6.4350741681109511</v>
      </c>
      <c r="AA27" s="26">
        <f t="shared" si="11"/>
        <v>0</v>
      </c>
      <c r="AB27" s="896">
        <f t="shared" si="12"/>
        <v>3.4650399366751259</v>
      </c>
      <c r="AC27" s="26"/>
      <c r="AD27" s="26"/>
      <c r="AE27" s="26"/>
      <c r="AF27" s="954"/>
      <c r="AG27" s="954"/>
      <c r="AH27" s="320">
        <f t="shared" si="4"/>
        <v>0</v>
      </c>
      <c r="AI27" s="320">
        <f t="shared" si="5"/>
        <v>0</v>
      </c>
    </row>
    <row r="28" spans="1:35" ht="17" x14ac:dyDescent="0.2">
      <c r="A28" s="933" t="s">
        <v>47</v>
      </c>
      <c r="B28" s="1208">
        <f>TableA6!B28</f>
        <v>248.21706968304588</v>
      </c>
      <c r="C28" s="1153">
        <f>TableA6!E28</f>
        <v>2.54407878701964</v>
      </c>
      <c r="D28" s="1153">
        <v>0</v>
      </c>
      <c r="E28" s="1153">
        <f t="shared" si="6"/>
        <v>245.67299089602625</v>
      </c>
      <c r="F28" s="311">
        <f t="shared" si="0"/>
        <v>1.0249411091139835E-2</v>
      </c>
      <c r="G28" s="1178">
        <f>TableA2!L28</f>
        <v>0.59857470740953445</v>
      </c>
      <c r="H28" s="1178">
        <f>D28/TableA2!C28</f>
        <v>0</v>
      </c>
      <c r="I28" s="1178">
        <f t="shared" si="1"/>
        <v>0</v>
      </c>
      <c r="J28" s="1178">
        <f>TableA6!I28/TableA2!$C28</f>
        <v>0</v>
      </c>
      <c r="K28" s="1178">
        <f>TableA6!J28/TableA2!$C28</f>
        <v>0</v>
      </c>
      <c r="L28" s="902">
        <f t="shared" si="2"/>
        <v>0.59857470740953445</v>
      </c>
      <c r="M28" s="1178">
        <f>C28/TableA4!D28</f>
        <v>3.9749361886952154E-2</v>
      </c>
      <c r="N28" s="1178">
        <f>VLOOKUP(A28,TableA10!$A$8:$G$95,4,)/VLOOKUP(A28,TableA10!$A$8:$G$95,3,)</f>
        <v>0.68300783844825297</v>
      </c>
      <c r="O28" s="1486">
        <f>E28/TableA4!G28</f>
        <v>0.70056738480426717</v>
      </c>
      <c r="P28" s="266">
        <f>+'Table E1'!D28</f>
        <v>0.12414683693476472</v>
      </c>
      <c r="Q28" s="266">
        <f>+'Table E1'!I28</f>
        <v>0.15303662955804084</v>
      </c>
      <c r="R28" s="266">
        <f>+'Table E1'!N28</f>
        <v>0</v>
      </c>
      <c r="S28" s="266" t="str">
        <f t="shared" si="7"/>
        <v/>
      </c>
      <c r="T28" s="266" t="str">
        <f t="shared" si="8"/>
        <v/>
      </c>
      <c r="U28" s="266" t="str">
        <f t="shared" si="9"/>
        <v/>
      </c>
      <c r="V28" s="908">
        <f>C28-O28*TableA4!D28</f>
        <v>-42.29434220769339</v>
      </c>
      <c r="W28" s="26" t="str">
        <f>IFERROR($C28-S28*TableA4!$D28,"")</f>
        <v/>
      </c>
      <c r="X28" s="26" t="str">
        <f>IFERROR($C28-T28*TableA4!$D28,"")</f>
        <v/>
      </c>
      <c r="Y28" s="906" t="str">
        <f>IFERROR($C28-U28*TableA4!$D28,"")</f>
        <v/>
      </c>
      <c r="Z28" s="26" t="str">
        <f t="shared" si="10"/>
        <v/>
      </c>
      <c r="AA28" s="26" t="str">
        <f t="shared" si="11"/>
        <v/>
      </c>
      <c r="AB28" s="896" t="str">
        <f t="shared" si="12"/>
        <v/>
      </c>
      <c r="AC28" s="26"/>
      <c r="AD28" s="26"/>
      <c r="AE28" s="26"/>
      <c r="AF28" s="954"/>
      <c r="AG28" s="954"/>
      <c r="AH28" s="320">
        <f t="shared" si="4"/>
        <v>0</v>
      </c>
      <c r="AI28" s="320">
        <f t="shared" si="5"/>
        <v>0</v>
      </c>
    </row>
    <row r="29" spans="1:35" x14ac:dyDescent="0.2">
      <c r="A29" s="955" t="s">
        <v>48</v>
      </c>
      <c r="B29" s="1208">
        <f>TableA6!B29</f>
        <v>4.1858751479217755</v>
      </c>
      <c r="C29" s="1153">
        <f>TableA6!E29</f>
        <v>1.2242246708432463</v>
      </c>
      <c r="D29" s="1153">
        <v>0</v>
      </c>
      <c r="E29" s="1153">
        <f t="shared" si="6"/>
        <v>2.9616504770785292</v>
      </c>
      <c r="F29" s="311">
        <f t="shared" si="0"/>
        <v>0.29246564400064717</v>
      </c>
      <c r="G29" s="1178">
        <f>TableA2!L29</f>
        <v>0.4548799812563365</v>
      </c>
      <c r="H29" s="1178">
        <f>D29/TableA2!C29</f>
        <v>0</v>
      </c>
      <c r="I29" s="1178">
        <f t="shared" si="1"/>
        <v>0</v>
      </c>
      <c r="J29" s="1178">
        <f>TableA6!I29/TableA2!$C29</f>
        <v>0</v>
      </c>
      <c r="K29" s="1178">
        <f>TableA6!J29/TableA2!$C29</f>
        <v>0</v>
      </c>
      <c r="L29" s="902">
        <f t="shared" si="2"/>
        <v>0.4548799812563365</v>
      </c>
      <c r="M29" s="1178">
        <f>C29/TableA4!D29</f>
        <v>0.41891257424263328</v>
      </c>
      <c r="N29" s="1178"/>
      <c r="O29" s="1486">
        <f>E29/TableA4!G29</f>
        <v>0.47161797519422538</v>
      </c>
      <c r="P29" s="266">
        <f>+'Table E1'!D29</f>
        <v>8.8296635740784585E-2</v>
      </c>
      <c r="Q29" s="266">
        <f>+'Table E1'!I29</f>
        <v>0.12839451804317503</v>
      </c>
      <c r="R29" s="266">
        <f>+'Table E1'!N29</f>
        <v>7.8297670309072434E-2</v>
      </c>
      <c r="S29" s="266">
        <f t="shared" si="7"/>
        <v>0.342295167949</v>
      </c>
      <c r="T29" s="266">
        <f t="shared" si="8"/>
        <v>0.47161797519422538</v>
      </c>
      <c r="U29" s="266">
        <f t="shared" si="9"/>
        <v>0.54125333294165445</v>
      </c>
      <c r="V29" s="908">
        <f>C29-O29*TableA4!D29</f>
        <v>-0.15402557979616138</v>
      </c>
      <c r="W29" s="26">
        <f>IFERROR($C29-S29*TableA4!$D29,"")</f>
        <v>0.22390571390764591</v>
      </c>
      <c r="X29" s="26">
        <f>IFERROR($C29-T29*TableA4!$D29,"")</f>
        <v>-0.15402557979616138</v>
      </c>
      <c r="Y29" s="906">
        <f>IFERROR($C29-U29*TableA4!$D29,"")</f>
        <v>-0.35752704563667304</v>
      </c>
      <c r="Z29" s="26">
        <f t="shared" si="10"/>
        <v>0.37793129370380729</v>
      </c>
      <c r="AA29" s="26">
        <f t="shared" si="11"/>
        <v>0</v>
      </c>
      <c r="AB29" s="896">
        <f t="shared" si="12"/>
        <v>-0.20350146584051165</v>
      </c>
      <c r="AC29" s="26"/>
      <c r="AD29" s="26"/>
      <c r="AE29" s="26"/>
      <c r="AF29" s="954"/>
      <c r="AG29" s="954"/>
      <c r="AH29" s="320">
        <f t="shared" si="4"/>
        <v>0</v>
      </c>
      <c r="AI29" s="320">
        <f t="shared" si="5"/>
        <v>0</v>
      </c>
    </row>
    <row r="30" spans="1:35" x14ac:dyDescent="0.2">
      <c r="A30" s="955" t="s">
        <v>49</v>
      </c>
      <c r="B30" s="1208">
        <f>TableA6!B30</f>
        <v>91.027431841444567</v>
      </c>
      <c r="C30" s="1153">
        <f>TableA6!E30</f>
        <v>51.304832182529623</v>
      </c>
      <c r="D30" s="1153">
        <v>35.507497845637872</v>
      </c>
      <c r="E30" s="1153">
        <f t="shared" si="6"/>
        <v>4.215101813277073</v>
      </c>
      <c r="F30" s="311">
        <f t="shared" si="0"/>
        <v>0.92407948803405582</v>
      </c>
      <c r="G30" s="1178">
        <f>TableA2!L30</f>
        <v>2.7503859454118813</v>
      </c>
      <c r="H30" s="1178">
        <f>D30/TableA2!C30</f>
        <v>1.6475060207484251</v>
      </c>
      <c r="I30" s="1178">
        <f t="shared" si="1"/>
        <v>1.4731795298014214</v>
      </c>
      <c r="J30" s="1178">
        <f>TableA6!I30/TableA2!$C30</f>
        <v>1.1684081444524146</v>
      </c>
      <c r="K30" s="1178">
        <f>TableA6!J30/TableA2!$C30</f>
        <v>0.30477138534900672</v>
      </c>
      <c r="L30" s="902">
        <f t="shared" si="2"/>
        <v>2.5760594544648776</v>
      </c>
      <c r="M30" s="1178">
        <f>C30/TableA4!D30</f>
        <v>4.6076539817790847</v>
      </c>
      <c r="N30" s="1178">
        <f>VLOOKUP(A30,TableA10!$A$8:$G$95,4,)/VLOOKUP(A30,TableA10!$A$8:$G$95,3,)</f>
        <v>5.5750591016548467</v>
      </c>
      <c r="O30" s="1104">
        <f>E30/TableA4!G30</f>
        <v>0.40461450275815142</v>
      </c>
      <c r="P30" s="266">
        <f>+'Table E1'!D30</f>
        <v>0.1933696418088944</v>
      </c>
      <c r="Q30" s="266">
        <f>+'Table E1'!I30</f>
        <v>0.16146643743375119</v>
      </c>
      <c r="R30" s="266">
        <f>+'Table E1'!N30</f>
        <v>0.21380838644670047</v>
      </c>
      <c r="S30" s="266">
        <f t="shared" si="7"/>
        <v>0.44706568738839331</v>
      </c>
      <c r="T30" s="266">
        <f t="shared" si="8"/>
        <v>0.40461450275815142</v>
      </c>
      <c r="U30" s="266">
        <f t="shared" si="9"/>
        <v>0.38175617257263655</v>
      </c>
      <c r="V30" s="908">
        <f>C30-O30*TableA4!D30</f>
        <v>46.799572185855702</v>
      </c>
      <c r="W30" s="26">
        <f>IFERROR($C30-S30*TableA4!$D30,"")</f>
        <v>46.326891096516782</v>
      </c>
      <c r="X30" s="26">
        <f>IFERROR($C30-T30*TableA4!$D30,"")</f>
        <v>46.799572185855702</v>
      </c>
      <c r="Y30" s="906">
        <f>IFERROR($C30-U30*TableA4!$D30,"")</f>
        <v>47.054092772422806</v>
      </c>
      <c r="Z30" s="26">
        <f t="shared" si="10"/>
        <v>-0.47268108933891995</v>
      </c>
      <c r="AA30" s="26">
        <f t="shared" si="11"/>
        <v>0</v>
      </c>
      <c r="AB30" s="896">
        <f t="shared" si="12"/>
        <v>0.25452058656710363</v>
      </c>
      <c r="AC30" s="26"/>
      <c r="AD30" s="26"/>
      <c r="AE30" s="26"/>
      <c r="AF30" s="954"/>
      <c r="AG30" s="954"/>
      <c r="AH30" s="320">
        <f t="shared" si="4"/>
        <v>0</v>
      </c>
      <c r="AI30" s="320">
        <f t="shared" si="5"/>
        <v>0</v>
      </c>
    </row>
    <row r="31" spans="1:35" x14ac:dyDescent="0.2">
      <c r="A31" s="955" t="s">
        <v>50</v>
      </c>
      <c r="B31" s="1208">
        <f>TableA6!B31</f>
        <v>325.04468785135941</v>
      </c>
      <c r="C31" s="1153">
        <f>TableA6!E31</f>
        <v>23.460473720946542</v>
      </c>
      <c r="D31" s="1153">
        <v>0</v>
      </c>
      <c r="E31" s="1153">
        <f t="shared" si="6"/>
        <v>301.58421413041287</v>
      </c>
      <c r="F31" s="311">
        <f t="shared" si="0"/>
        <v>7.2176148689053019E-2</v>
      </c>
      <c r="G31" s="1178">
        <f>TableA2!L31</f>
        <v>2.3179694326877476</v>
      </c>
      <c r="H31" s="1178">
        <f>D31/TableA2!C31</f>
        <v>0</v>
      </c>
      <c r="I31" s="1178">
        <f t="shared" si="1"/>
        <v>0</v>
      </c>
      <c r="J31" s="1178">
        <f>TableA6!I31/TableA2!$C31</f>
        <v>0</v>
      </c>
      <c r="K31" s="1178">
        <f>TableA6!J31/TableA2!$C31</f>
        <v>0</v>
      </c>
      <c r="L31" s="902">
        <f t="shared" si="2"/>
        <v>2.3179694326877476</v>
      </c>
      <c r="M31" s="1178">
        <f>C31/TableA4!D31</f>
        <v>0.72504257375615577</v>
      </c>
      <c r="N31" s="1178">
        <f>VLOOKUP(A31,TableA10!$A$8:$G$95,4,)/VLOOKUP(A31,TableA10!$A$8:$G$95,3,)</f>
        <v>0.72504257375615588</v>
      </c>
      <c r="O31" s="1486">
        <f>E31/TableA4!G31</f>
        <v>2.7957902732061406</v>
      </c>
      <c r="P31" s="266">
        <f>+'Table E1'!D31</f>
        <v>4.2736244821519324E-2</v>
      </c>
      <c r="Q31" s="266">
        <f>+'Table E1'!I31</f>
        <v>5.4253262422202644E-2</v>
      </c>
      <c r="R31" s="266">
        <f>+'Table E1'!N31</f>
        <v>4.2108579462909072E-2</v>
      </c>
      <c r="S31" s="266">
        <f t="shared" si="7"/>
        <v>2.4502144147756071</v>
      </c>
      <c r="T31" s="266">
        <f t="shared" si="8"/>
        <v>2.7957902732061406</v>
      </c>
      <c r="U31" s="266">
        <f t="shared" si="9"/>
        <v>2.9818695815918126</v>
      </c>
      <c r="V31" s="908">
        <f>C31-O31*TableA4!D31</f>
        <v>-67.003957759307255</v>
      </c>
      <c r="W31" s="26">
        <f>IFERROR($C31-S31*TableA4!$D31,"")</f>
        <v>-55.822030464607835</v>
      </c>
      <c r="X31" s="26">
        <f>IFERROR($C31-T31*TableA4!$D31,"")</f>
        <v>-67.003957759307255</v>
      </c>
      <c r="Y31" s="906">
        <f>IFERROR($C31-U31*TableA4!$D31,"")</f>
        <v>-73.02499553337617</v>
      </c>
      <c r="Z31" s="26">
        <f t="shared" si="10"/>
        <v>11.18192729469942</v>
      </c>
      <c r="AA31" s="26">
        <f t="shared" si="11"/>
        <v>0</v>
      </c>
      <c r="AB31" s="896">
        <f t="shared" si="12"/>
        <v>-6.0210377740689154</v>
      </c>
      <c r="AC31" s="26"/>
      <c r="AD31" s="26"/>
      <c r="AE31" s="26"/>
      <c r="AF31" s="954"/>
      <c r="AG31" s="954"/>
      <c r="AH31" s="320">
        <f t="shared" si="4"/>
        <v>0</v>
      </c>
      <c r="AI31" s="320">
        <f t="shared" si="5"/>
        <v>0</v>
      </c>
    </row>
    <row r="32" spans="1:35" x14ac:dyDescent="0.2">
      <c r="A32" s="955" t="s">
        <v>51</v>
      </c>
      <c r="B32" s="1208">
        <f>TableA6!B32</f>
        <v>195.09598848383817</v>
      </c>
      <c r="C32" s="1153">
        <f>TableA6!E32</f>
        <v>89.333947018983608</v>
      </c>
      <c r="D32" s="1153">
        <v>21.674047505764374</v>
      </c>
      <c r="E32" s="1153">
        <f t="shared" si="6"/>
        <v>84.087993959090184</v>
      </c>
      <c r="F32" s="311">
        <f t="shared" si="0"/>
        <v>0.51512482512393487</v>
      </c>
      <c r="G32" s="1178">
        <f>TableA2!L32</f>
        <v>0.56640307035308279</v>
      </c>
      <c r="H32" s="1178">
        <f>D32/TableA2!C32</f>
        <v>7.6847697431803794E-2</v>
      </c>
      <c r="I32" s="1178">
        <f t="shared" si="1"/>
        <v>0.12533101803891036</v>
      </c>
      <c r="J32" s="1178">
        <f>TableA6!I32/TableA2!$C32</f>
        <v>8.7982667359788116E-2</v>
      </c>
      <c r="K32" s="1178">
        <f>TableA6!J32/TableA2!$C32</f>
        <v>3.7348350679122254E-2</v>
      </c>
      <c r="L32" s="902">
        <f t="shared" si="2"/>
        <v>0.61488639096018938</v>
      </c>
      <c r="M32" s="1178">
        <f>C32/TableA4!D32</f>
        <v>1.1495705968665206</v>
      </c>
      <c r="N32" s="1105">
        <f>VLOOKUP(A32,TableA10!$A$8:$G$95,4,)/VLOOKUP(A32,TableA10!$A$8:$G$95,3,)</f>
        <v>1.7924291254711313</v>
      </c>
      <c r="O32" s="1486">
        <f>E32/TableA4!G32</f>
        <v>0.41153378760859277</v>
      </c>
      <c r="P32" s="266">
        <f>+'Table E1'!D32</f>
        <v>0.15081767375249652</v>
      </c>
      <c r="Q32" s="266">
        <f>+'Table E1'!I32</f>
        <v>0.24817144798456189</v>
      </c>
      <c r="R32" s="266">
        <f>+'Table E1'!N32</f>
        <v>0.13119593915213407</v>
      </c>
      <c r="S32" s="266">
        <f t="shared" si="7"/>
        <v>0.25427922235400396</v>
      </c>
      <c r="T32" s="266">
        <f t="shared" si="8"/>
        <v>0.41153378760859277</v>
      </c>
      <c r="U32" s="266">
        <f t="shared" si="9"/>
        <v>0.49620932274567908</v>
      </c>
      <c r="V32" s="908">
        <f>C32-O32*TableA4!D32</f>
        <v>57.353364287520073</v>
      </c>
      <c r="W32" s="26">
        <f>IFERROR($C32-S32*TableA4!$D32,"")</f>
        <v>69.573728168815393</v>
      </c>
      <c r="X32" s="26">
        <f>IFERROR($C32-T32*TableA4!$D32,"")</f>
        <v>57.353364287520073</v>
      </c>
      <c r="Y32" s="906">
        <f>IFERROR($C32-U32*TableA4!$D32,"")</f>
        <v>50.773168351437974</v>
      </c>
      <c r="Z32" s="26">
        <f t="shared" si="10"/>
        <v>12.22036388129532</v>
      </c>
      <c r="AA32" s="26">
        <f t="shared" si="11"/>
        <v>0</v>
      </c>
      <c r="AB32" s="896">
        <f t="shared" si="12"/>
        <v>-6.5801959360820987</v>
      </c>
      <c r="AC32" s="26"/>
      <c r="AD32" s="26"/>
      <c r="AE32" s="26"/>
      <c r="AF32" s="954"/>
      <c r="AG32" s="954"/>
      <c r="AH32" s="320">
        <f t="shared" si="4"/>
        <v>0</v>
      </c>
      <c r="AI32" s="320">
        <f t="shared" si="5"/>
        <v>0</v>
      </c>
    </row>
    <row r="33" spans="1:35" x14ac:dyDescent="0.2">
      <c r="A33" s="955" t="s">
        <v>52</v>
      </c>
      <c r="B33" s="1208">
        <f>TableA6!B33</f>
        <v>43.62366684525152</v>
      </c>
      <c r="C33" s="1153">
        <f>TableA6!E33</f>
        <v>6.2361538780448305</v>
      </c>
      <c r="D33" s="1153">
        <v>0</v>
      </c>
      <c r="E33" s="1153">
        <f t="shared" si="6"/>
        <v>37.387512967206689</v>
      </c>
      <c r="F33" s="311">
        <f t="shared" si="0"/>
        <v>0.1429534546045077</v>
      </c>
      <c r="G33" s="1178">
        <f>TableA2!L33</f>
        <v>0.76342747942908895</v>
      </c>
      <c r="H33" s="1178">
        <f>D33/TableA2!C33</f>
        <v>0</v>
      </c>
      <c r="I33" s="1178">
        <f t="shared" si="1"/>
        <v>0</v>
      </c>
      <c r="J33" s="1178">
        <f>TableA6!I33/TableA2!$C33</f>
        <v>0</v>
      </c>
      <c r="K33" s="1178">
        <f>TableA6!J33/TableA2!$C33</f>
        <v>0</v>
      </c>
      <c r="L33" s="902">
        <f t="shared" si="2"/>
        <v>0.76342747942908895</v>
      </c>
      <c r="M33" s="1178">
        <f>C33/TableA4!D33</f>
        <v>0.67991169977924948</v>
      </c>
      <c r="N33" s="1178">
        <f>VLOOKUP(A33,TableA10!$A$8:$G$95,4,)/VLOOKUP(A33,TableA10!$A$8:$G$95,3,)</f>
        <v>0.67991169977924948</v>
      </c>
      <c r="O33" s="1486">
        <f>E33/TableA4!G33</f>
        <v>0.77939599106707602</v>
      </c>
      <c r="P33" s="266">
        <f>+'Table E1'!D33</f>
        <v>0.12442219910297715</v>
      </c>
      <c r="Q33" s="266">
        <f>+'Table E1'!I33</f>
        <v>5.7446548961500678E-2</v>
      </c>
      <c r="R33" s="266">
        <f>+'Table E1'!N33</f>
        <v>0.14424978986778478</v>
      </c>
      <c r="S33" s="266">
        <f t="shared" si="7"/>
        <v>0.98039880323060724</v>
      </c>
      <c r="T33" s="266">
        <f t="shared" si="8"/>
        <v>0.77939599106707602</v>
      </c>
      <c r="U33" s="266">
        <f t="shared" si="9"/>
        <v>0.67116370759440536</v>
      </c>
      <c r="V33" s="908">
        <f>C33-O33*TableA4!D33</f>
        <v>-0.91247047097520007</v>
      </c>
      <c r="W33" s="26">
        <f>IFERROR($C33-S33*TableA4!$D33,"")</f>
        <v>-2.7560693779781209</v>
      </c>
      <c r="X33" s="26">
        <f>IFERROR($C33-T33*TableA4!$D33,"")</f>
        <v>-0.91247047097520007</v>
      </c>
      <c r="Y33" s="906">
        <f>IFERROR($C33-U33*TableA4!$D33,"")</f>
        <v>8.023663279560278E-2</v>
      </c>
      <c r="Z33" s="26">
        <f t="shared" si="10"/>
        <v>-1.8435989070029208</v>
      </c>
      <c r="AA33" s="26">
        <f t="shared" si="11"/>
        <v>0</v>
      </c>
      <c r="AB33" s="896">
        <f t="shared" si="12"/>
        <v>0.99270710377080285</v>
      </c>
      <c r="AC33" s="26"/>
      <c r="AD33" s="26"/>
      <c r="AE33" s="26"/>
      <c r="AF33" s="954"/>
      <c r="AG33" s="954"/>
      <c r="AH33" s="320">
        <f t="shared" si="4"/>
        <v>0</v>
      </c>
      <c r="AI33" s="320">
        <f t="shared" si="5"/>
        <v>0</v>
      </c>
    </row>
    <row r="34" spans="1:35" x14ac:dyDescent="0.2">
      <c r="A34" s="955" t="s">
        <v>53</v>
      </c>
      <c r="B34" s="1208">
        <f>TableA6!B34</f>
        <v>76.129871814410606</v>
      </c>
      <c r="C34" s="1153">
        <f>TableA6!E34</f>
        <v>6.9090708256049158</v>
      </c>
      <c r="D34" s="1153">
        <v>0</v>
      </c>
      <c r="E34" s="1153">
        <f t="shared" si="6"/>
        <v>69.220800988805692</v>
      </c>
      <c r="F34" s="311">
        <f t="shared" si="0"/>
        <v>9.0753743056967803E-2</v>
      </c>
      <c r="G34" s="1178">
        <f>TableA2!L34</f>
        <v>0.63204211939456467</v>
      </c>
      <c r="H34" s="1178">
        <f>D34/TableA2!C34</f>
        <v>0</v>
      </c>
      <c r="I34" s="1178">
        <f t="shared" si="1"/>
        <v>0</v>
      </c>
      <c r="J34" s="1178">
        <f>TableA6!I34/TableA2!$C34</f>
        <v>0</v>
      </c>
      <c r="K34" s="1178">
        <f>TableA6!J34/TableA2!$C34</f>
        <v>0</v>
      </c>
      <c r="L34" s="902">
        <f t="shared" si="2"/>
        <v>0.63204211939456467</v>
      </c>
      <c r="M34" s="1178">
        <f>C34/TableA4!D34</f>
        <v>0.2081320757956302</v>
      </c>
      <c r="N34" s="1178">
        <f>VLOOKUP(A34,TableA10!$A$8:$G$95,4,)/VLOOKUP(A34,TableA10!$A$8:$G$95,3,)</f>
        <v>1.3034855769230769</v>
      </c>
      <c r="O34" s="1486">
        <f>E34/TableA4!G34</f>
        <v>0.79331594976644759</v>
      </c>
      <c r="P34" s="266">
        <f>+'Table E1'!D34</f>
        <v>0.28659257722826242</v>
      </c>
      <c r="Q34" s="266">
        <f>+'Table E1'!I34</f>
        <v>0.34417605887332126</v>
      </c>
      <c r="R34" s="266">
        <f>+'Table E1'!N34</f>
        <v>0.27135598963949448</v>
      </c>
      <c r="S34" s="266">
        <f t="shared" si="7"/>
        <v>0.70207683226773798</v>
      </c>
      <c r="T34" s="266">
        <f t="shared" si="8"/>
        <v>0.79331594976644759</v>
      </c>
      <c r="U34" s="266">
        <f t="shared" si="9"/>
        <v>0.8424447053426759</v>
      </c>
      <c r="V34" s="908">
        <f>C34-O34*TableA4!D34</f>
        <v>-19.425534559297006</v>
      </c>
      <c r="W34" s="26">
        <f>IFERROR($C34-S34*TableA4!$D34,"")</f>
        <v>-16.396796569467625</v>
      </c>
      <c r="X34" s="26">
        <f>IFERROR($C34-T34*TableA4!$D34,"")</f>
        <v>-19.425534559297006</v>
      </c>
      <c r="Y34" s="906">
        <f>IFERROR($C34-U34*TableA4!$D34,"")</f>
        <v>-21.056393476897448</v>
      </c>
      <c r="Z34" s="26">
        <f t="shared" si="10"/>
        <v>3.0287379898293807</v>
      </c>
      <c r="AA34" s="26">
        <f t="shared" si="11"/>
        <v>0</v>
      </c>
      <c r="AB34" s="896">
        <f t="shared" si="12"/>
        <v>-1.6308589176004418</v>
      </c>
      <c r="AC34" s="26"/>
      <c r="AD34" s="26"/>
      <c r="AE34" s="26"/>
      <c r="AF34" s="954"/>
      <c r="AG34" s="954"/>
      <c r="AH34" s="320">
        <f t="shared" si="4"/>
        <v>0</v>
      </c>
      <c r="AI34" s="320">
        <f t="shared" si="5"/>
        <v>0</v>
      </c>
    </row>
    <row r="35" spans="1:35" x14ac:dyDescent="0.2">
      <c r="A35" s="955" t="s">
        <v>54</v>
      </c>
      <c r="B35" s="1208">
        <f>TableA6!B35</f>
        <v>87.784586815227485</v>
      </c>
      <c r="C35" s="1153">
        <f>TableA6!E35</f>
        <v>19.384207569701928</v>
      </c>
      <c r="D35" s="1153">
        <v>0</v>
      </c>
      <c r="E35" s="1153">
        <f t="shared" si="6"/>
        <v>68.400379245525556</v>
      </c>
      <c r="F35" s="311">
        <f t="shared" si="0"/>
        <v>0.22081561550779508</v>
      </c>
      <c r="G35" s="1178">
        <f>TableA2!L35</f>
        <v>0.79203427559300121</v>
      </c>
      <c r="H35" s="1178">
        <f>D35/TableA2!C35</f>
        <v>0</v>
      </c>
      <c r="I35" s="1178">
        <f t="shared" si="1"/>
        <v>0</v>
      </c>
      <c r="J35" s="1178">
        <f>TableA6!I35/TableA2!$C35</f>
        <v>0</v>
      </c>
      <c r="K35" s="1178">
        <f>TableA6!J35/TableA2!$C35</f>
        <v>0</v>
      </c>
      <c r="L35" s="902">
        <f t="shared" si="2"/>
        <v>0.79203427559300121</v>
      </c>
      <c r="M35" s="1178">
        <f>C35/TableA4!D35</f>
        <v>0.49458294133053354</v>
      </c>
      <c r="N35" s="1178">
        <f>VLOOKUP(A35,TableA10!$A$8:$G$95,4,)/VLOOKUP(A35,TableA10!$A$8:$G$95,3,)</f>
        <v>0.35369993211133743</v>
      </c>
      <c r="O35" s="1486">
        <f>E35/TableA4!G35</f>
        <v>0.9547619569021214</v>
      </c>
      <c r="P35" s="266">
        <f>+'Table E1'!D35</f>
        <v>6.1047230498978568E-2</v>
      </c>
      <c r="Q35" s="266">
        <f>+'Table E1'!I35</f>
        <v>6.7428599473708828E-2</v>
      </c>
      <c r="R35" s="266">
        <f>+'Table E1'!N35</f>
        <v>5.8465393294983591E-2</v>
      </c>
      <c r="S35" s="266">
        <f t="shared" si="7"/>
        <v>0.89203086721185387</v>
      </c>
      <c r="T35" s="266">
        <f t="shared" si="8"/>
        <v>0.9547619569021214</v>
      </c>
      <c r="U35" s="266">
        <f t="shared" si="9"/>
        <v>0.98854023596611162</v>
      </c>
      <c r="V35" s="908">
        <f>C35-O35*TableA4!D35</f>
        <v>-18.035813230968905</v>
      </c>
      <c r="W35" s="26">
        <f>IFERROR($C35-S35*TableA4!$D35,"")</f>
        <v>-15.57719130527439</v>
      </c>
      <c r="X35" s="26">
        <f>IFERROR($C35-T35*TableA4!$D35,"")</f>
        <v>-18.035813230968905</v>
      </c>
      <c r="Y35" s="906">
        <f>IFERROR($C35-U35*TableA4!$D35,"")</f>
        <v>-19.359686575573647</v>
      </c>
      <c r="Z35" s="26">
        <f t="shared" si="10"/>
        <v>2.4586219256945157</v>
      </c>
      <c r="AA35" s="26">
        <f t="shared" si="11"/>
        <v>0</v>
      </c>
      <c r="AB35" s="896">
        <f t="shared" si="12"/>
        <v>-1.3238733446047419</v>
      </c>
      <c r="AC35" s="26"/>
      <c r="AD35" s="26"/>
      <c r="AE35" s="26"/>
      <c r="AF35" s="954"/>
      <c r="AG35" s="954"/>
      <c r="AH35" s="320">
        <f t="shared" si="4"/>
        <v>0</v>
      </c>
      <c r="AI35" s="320">
        <f t="shared" si="5"/>
        <v>0</v>
      </c>
    </row>
    <row r="36" spans="1:35" x14ac:dyDescent="0.2">
      <c r="A36" s="955" t="s">
        <v>55</v>
      </c>
      <c r="B36" s="1208">
        <f>TableA6!B36</f>
        <v>26.618072907828797</v>
      </c>
      <c r="C36" s="1153">
        <f>TableA6!E36</f>
        <v>4.8218004507448811</v>
      </c>
      <c r="D36" s="1153">
        <v>0</v>
      </c>
      <c r="E36" s="1153">
        <f t="shared" si="6"/>
        <v>21.796272457083916</v>
      </c>
      <c r="F36" s="311">
        <f t="shared" si="0"/>
        <v>0.18114761603672341</v>
      </c>
      <c r="G36" s="1178">
        <f>TableA2!L36</f>
        <v>0.45898248483094545</v>
      </c>
      <c r="H36" s="1178">
        <f>D36/TableA2!C36</f>
        <v>0</v>
      </c>
      <c r="I36" s="1178">
        <f t="shared" si="1"/>
        <v>0</v>
      </c>
      <c r="J36" s="1178">
        <f>TableA6!I36/TableA2!$C36</f>
        <v>0</v>
      </c>
      <c r="K36" s="1178">
        <f>TableA6!J36/TableA2!$C36</f>
        <v>0</v>
      </c>
      <c r="L36" s="902">
        <f t="shared" si="2"/>
        <v>0.45898248483094545</v>
      </c>
      <c r="M36" s="1178">
        <f>C36/TableA4!D36</f>
        <v>0.36763705254070139</v>
      </c>
      <c r="N36" s="1178">
        <f>VLOOKUP(A36,TableA10!$A$8:$G$95,4,)/VLOOKUP(A36,TableA10!$A$8:$G$95,3,)</f>
        <v>0.39500390320062451</v>
      </c>
      <c r="O36" s="1486">
        <f>E36/TableA4!G36</f>
        <v>0.48567830507336524</v>
      </c>
      <c r="P36" s="266">
        <f>+'Table E1'!D36</f>
        <v>7.7770166463602797E-2</v>
      </c>
      <c r="Q36" s="266">
        <f>+'Table E1'!I36</f>
        <v>0.12788421869713573</v>
      </c>
      <c r="R36" s="266">
        <f>+'Table E1'!N36</f>
        <v>7.0226287527235379E-2</v>
      </c>
      <c r="S36" s="266">
        <f t="shared" si="7"/>
        <v>0.31478255442825853</v>
      </c>
      <c r="T36" s="266">
        <f t="shared" si="8"/>
        <v>0.48567830507336524</v>
      </c>
      <c r="U36" s="266">
        <f t="shared" si="9"/>
        <v>0.57769909388226881</v>
      </c>
      <c r="V36" s="908">
        <f>C36-O36*TableA4!D36</f>
        <v>-1.5481882490761061</v>
      </c>
      <c r="W36" s="26">
        <f>IFERROR($C36-S36*TableA4!$D36,"")</f>
        <v>0.69322131994368608</v>
      </c>
      <c r="X36" s="26">
        <f>IFERROR($C36-T36*TableA4!$D36,"")</f>
        <v>-1.5481882490761061</v>
      </c>
      <c r="Y36" s="906">
        <f>IFERROR($C36-U36*TableA4!$D36,"")</f>
        <v>-2.7551010939329172</v>
      </c>
      <c r="Z36" s="26">
        <f t="shared" si="10"/>
        <v>2.2414095690197922</v>
      </c>
      <c r="AA36" s="26">
        <f t="shared" si="11"/>
        <v>0</v>
      </c>
      <c r="AB36" s="896">
        <f t="shared" si="12"/>
        <v>-1.2069128448568112</v>
      </c>
      <c r="AC36" s="26"/>
      <c r="AD36" s="26"/>
      <c r="AE36" s="26"/>
      <c r="AF36" s="954"/>
      <c r="AG36" s="954"/>
      <c r="AH36" s="320">
        <f t="shared" si="4"/>
        <v>0</v>
      </c>
      <c r="AI36" s="320">
        <f t="shared" si="5"/>
        <v>0</v>
      </c>
    </row>
    <row r="37" spans="1:35" x14ac:dyDescent="0.2">
      <c r="A37" s="955" t="s">
        <v>56</v>
      </c>
      <c r="B37" s="1208">
        <f>TableA6!B37</f>
        <v>11.604550057172386</v>
      </c>
      <c r="C37" s="1153">
        <f>TableA6!E37</f>
        <v>5.4939498259811472</v>
      </c>
      <c r="D37" s="1153">
        <v>0</v>
      </c>
      <c r="E37" s="1153">
        <f t="shared" si="6"/>
        <v>6.1106002311912384</v>
      </c>
      <c r="F37" s="311">
        <f t="shared" si="0"/>
        <v>0.47343066287912816</v>
      </c>
      <c r="G37" s="1178">
        <f>TableA2!L37</f>
        <v>0.546278965386233</v>
      </c>
      <c r="H37" s="1178">
        <f>D37/TableA2!C37</f>
        <v>0</v>
      </c>
      <c r="I37" s="1178">
        <f t="shared" si="1"/>
        <v>0</v>
      </c>
      <c r="J37" s="1178">
        <f>TableA6!I37/TableA2!$C37</f>
        <v>0</v>
      </c>
      <c r="K37" s="1178">
        <f>TableA6!J37/TableA2!$C37</f>
        <v>0</v>
      </c>
      <c r="L37" s="902">
        <f t="shared" si="2"/>
        <v>0.546278965386233</v>
      </c>
      <c r="M37" s="1178">
        <f>C37/TableA4!D37</f>
        <v>0.57224436371630738</v>
      </c>
      <c r="N37" s="1178"/>
      <c r="O37" s="1486">
        <f>E37/TableA4!G37</f>
        <v>0.52486666755881606</v>
      </c>
      <c r="P37" s="266">
        <f>+'Table E1'!D37</f>
        <v>2.8874183365466183E-2</v>
      </c>
      <c r="Q37" s="266">
        <f>+'Table E1'!I37</f>
        <v>4.5380937888974411E-2</v>
      </c>
      <c r="R37" s="266">
        <f>+'Table E1'!N37</f>
        <v>2.3083978122192914E-2</v>
      </c>
      <c r="S37" s="266">
        <f t="shared" si="7"/>
        <v>0.30759294560694572</v>
      </c>
      <c r="T37" s="266">
        <f t="shared" si="8"/>
        <v>0.52486666755881606</v>
      </c>
      <c r="U37" s="266">
        <f t="shared" si="9"/>
        <v>0.64186021014828476</v>
      </c>
      <c r="V37" s="908">
        <f>C37-O37*TableA4!D37</f>
        <v>0.45485932595201106</v>
      </c>
      <c r="W37" s="26">
        <f>IFERROR($C37-S37*TableA4!$D37,"")</f>
        <v>2.5408404252774939</v>
      </c>
      <c r="X37" s="26">
        <f>IFERROR($C37-T37*TableA4!$D37,"")</f>
        <v>0.45485932595201106</v>
      </c>
      <c r="Y37" s="906">
        <f>IFERROR($C37-U37*TableA4!$D37,"")</f>
        <v>-0.66836126599248047</v>
      </c>
      <c r="Z37" s="26">
        <f t="shared" si="10"/>
        <v>2.0859810993254828</v>
      </c>
      <c r="AA37" s="26">
        <f t="shared" si="11"/>
        <v>0</v>
      </c>
      <c r="AB37" s="896">
        <f t="shared" si="12"/>
        <v>-1.1232205919444915</v>
      </c>
      <c r="AC37" s="26"/>
      <c r="AD37" s="26"/>
      <c r="AE37" s="26"/>
      <c r="AF37" s="954"/>
      <c r="AG37" s="954"/>
      <c r="AH37" s="320">
        <f t="shared" si="4"/>
        <v>0</v>
      </c>
      <c r="AI37" s="320">
        <f t="shared" si="5"/>
        <v>0</v>
      </c>
    </row>
    <row r="38" spans="1:35" x14ac:dyDescent="0.2">
      <c r="A38" s="955" t="s">
        <v>57</v>
      </c>
      <c r="B38" s="1208">
        <f>TableA6!B38</f>
        <v>3.417758487410429</v>
      </c>
      <c r="C38" s="1153">
        <f>TableA6!E38</f>
        <v>1.2522612330475162</v>
      </c>
      <c r="D38" s="1153">
        <v>0</v>
      </c>
      <c r="E38" s="1153">
        <f t="shared" si="6"/>
        <v>2.1654972543629127</v>
      </c>
      <c r="F38" s="311">
        <f t="shared" si="0"/>
        <v>0.36639839756387554</v>
      </c>
      <c r="G38" s="1178">
        <f>TableA2!L38</f>
        <v>0.22872131230765103</v>
      </c>
      <c r="H38" s="1178">
        <f>D38/TableA2!C38</f>
        <v>0</v>
      </c>
      <c r="I38" s="1178">
        <f t="shared" si="1"/>
        <v>0</v>
      </c>
      <c r="J38" s="1178">
        <f>TableA6!I38/TableA2!$C38</f>
        <v>0</v>
      </c>
      <c r="K38" s="1178">
        <f>TableA6!J38/TableA2!$C38</f>
        <v>0</v>
      </c>
      <c r="L38" s="902">
        <f t="shared" si="2"/>
        <v>0.22872131230765103</v>
      </c>
      <c r="M38" s="1178">
        <f>C38/TableA4!D38</f>
        <v>0.31396441219878563</v>
      </c>
      <c r="N38" s="1178"/>
      <c r="O38" s="1486">
        <f>E38/TableA4!G38</f>
        <v>0.19768378236215448</v>
      </c>
      <c r="P38" s="266">
        <f>+'Table E1'!D38</f>
        <v>0.10921944096458891</v>
      </c>
      <c r="Q38" s="266">
        <f>+'Table E1'!I38</f>
        <v>0.1119093004510788</v>
      </c>
      <c r="R38" s="266">
        <f>+'Table E1'!N38</f>
        <v>0.10852625901174039</v>
      </c>
      <c r="S38" s="266">
        <f t="shared" si="7"/>
        <v>0.19504279245517073</v>
      </c>
      <c r="T38" s="266">
        <f t="shared" si="8"/>
        <v>0.19768378236215448</v>
      </c>
      <c r="U38" s="266">
        <f t="shared" si="9"/>
        <v>0.19910585385053034</v>
      </c>
      <c r="V38" s="908">
        <f>C38-O38*TableA4!D38</f>
        <v>0.46379054198845515</v>
      </c>
      <c r="W38" s="26">
        <f>IFERROR($C38-S38*TableA4!$D38,"")</f>
        <v>0.47432424946894358</v>
      </c>
      <c r="X38" s="26">
        <f>IFERROR($C38-T38*TableA4!$D38,"")</f>
        <v>0.46379054198845515</v>
      </c>
      <c r="Y38" s="906">
        <f>IFERROR($C38-U38*TableA4!$D38,"")</f>
        <v>0.45811854565280752</v>
      </c>
      <c r="Z38" s="26">
        <f t="shared" si="10"/>
        <v>1.053370748048843E-2</v>
      </c>
      <c r="AA38" s="26">
        <f t="shared" si="11"/>
        <v>0</v>
      </c>
      <c r="AB38" s="896">
        <f t="shared" si="12"/>
        <v>-5.6719963356476333E-3</v>
      </c>
      <c r="AC38" s="26"/>
      <c r="AD38" s="26"/>
      <c r="AE38" s="26"/>
      <c r="AF38" s="954"/>
      <c r="AG38" s="954"/>
      <c r="AH38" s="320">
        <f t="shared" si="4"/>
        <v>0</v>
      </c>
      <c r="AI38" s="320">
        <f t="shared" si="5"/>
        <v>0</v>
      </c>
    </row>
    <row r="39" spans="1:35" x14ac:dyDescent="0.2">
      <c r="A39" s="955" t="s">
        <v>58</v>
      </c>
      <c r="B39" s="1208">
        <f>TableA6!B39</f>
        <v>158.95366208289389</v>
      </c>
      <c r="C39" s="1153">
        <f>TableA6!E39</f>
        <v>20.844161911169302</v>
      </c>
      <c r="D39" s="1153">
        <v>0</v>
      </c>
      <c r="E39" s="1153">
        <f t="shared" si="6"/>
        <v>138.10950017172459</v>
      </c>
      <c r="F39" s="311">
        <f t="shared" si="0"/>
        <v>0.13113357464075995</v>
      </c>
      <c r="G39" s="1178">
        <f>TableA2!L39</f>
        <v>0.40428538787668511</v>
      </c>
      <c r="H39" s="1178">
        <f>D39/TableA2!C39</f>
        <v>0</v>
      </c>
      <c r="I39" s="1178">
        <f t="shared" si="1"/>
        <v>0</v>
      </c>
      <c r="J39" s="1178">
        <f>TableA6!I39/TableA2!$C39</f>
        <v>0</v>
      </c>
      <c r="K39" s="1178">
        <f>TableA6!J39/TableA2!$C39</f>
        <v>0</v>
      </c>
      <c r="L39" s="902">
        <f t="shared" si="2"/>
        <v>0.40428538787668511</v>
      </c>
      <c r="M39" s="1178">
        <f>C39/TableA4!D39</f>
        <v>0.24643753940062663</v>
      </c>
      <c r="N39" s="1178">
        <f>VLOOKUP(A39,TableA10!$A$8:$G$95,4,)/VLOOKUP(A39,TableA10!$A$8:$G$95,3,)</f>
        <v>0.26873857404021939</v>
      </c>
      <c r="O39" s="1486">
        <f>E39/TableA4!G39</f>
        <v>0.44755015816737814</v>
      </c>
      <c r="P39" s="266">
        <f>+'Table E1'!D39</f>
        <v>0.10475523411099644</v>
      </c>
      <c r="Q39" s="266">
        <f>+'Table E1'!I39</f>
        <v>0.17196455041775643</v>
      </c>
      <c r="R39" s="266">
        <f>+'Table E1'!N39</f>
        <v>9.5050196103206239E-2</v>
      </c>
      <c r="S39" s="266">
        <f t="shared" si="7"/>
        <v>0.29234029680659668</v>
      </c>
      <c r="T39" s="266">
        <f t="shared" si="8"/>
        <v>0.44755015816737814</v>
      </c>
      <c r="U39" s="266">
        <f t="shared" si="9"/>
        <v>0.53112469890010661</v>
      </c>
      <c r="V39" s="908">
        <f>C39-O39*TableA4!D39</f>
        <v>-17.010492793220834</v>
      </c>
      <c r="W39" s="26">
        <f>IFERROR($C39-S39*TableA4!$D39,"")</f>
        <v>-3.8825436654912977</v>
      </c>
      <c r="X39" s="26">
        <f>IFERROR($C39-T39*TableA4!$D39,"")</f>
        <v>-17.010492793220834</v>
      </c>
      <c r="Y39" s="906">
        <f>IFERROR($C39-U39*TableA4!$D39,"")</f>
        <v>-24.079388477382885</v>
      </c>
      <c r="Z39" s="26">
        <f t="shared" si="10"/>
        <v>13.127949127729536</v>
      </c>
      <c r="AA39" s="26">
        <f t="shared" si="11"/>
        <v>0</v>
      </c>
      <c r="AB39" s="896">
        <f t="shared" si="12"/>
        <v>-7.0688956841620509</v>
      </c>
      <c r="AC39" s="26"/>
      <c r="AD39" s="26"/>
      <c r="AE39" s="26"/>
      <c r="AF39" s="954"/>
      <c r="AG39" s="954"/>
      <c r="AH39" s="320">
        <f t="shared" si="4"/>
        <v>0</v>
      </c>
      <c r="AI39" s="320">
        <f t="shared" si="5"/>
        <v>0</v>
      </c>
    </row>
    <row r="40" spans="1:35" x14ac:dyDescent="0.2">
      <c r="A40" s="955" t="s">
        <v>59</v>
      </c>
      <c r="B40" s="1208">
        <f>TableA6!B40</f>
        <v>63.367762356160583</v>
      </c>
      <c r="C40" s="1153">
        <f>TableA6!E40</f>
        <v>24.473912269549327</v>
      </c>
      <c r="D40" s="1153">
        <v>0</v>
      </c>
      <c r="E40" s="1153">
        <f t="shared" si="6"/>
        <v>38.893850086611252</v>
      </c>
      <c r="F40" s="311">
        <f t="shared" si="0"/>
        <v>0.38622023817083678</v>
      </c>
      <c r="G40" s="1178">
        <f>TableA2!L40</f>
        <v>0.38626088690911503</v>
      </c>
      <c r="H40" s="1178">
        <f>D40/TableA2!C40</f>
        <v>0</v>
      </c>
      <c r="I40" s="1178">
        <f t="shared" si="1"/>
        <v>0</v>
      </c>
      <c r="J40" s="1178">
        <f>TableA6!I40/TableA2!$C40</f>
        <v>0</v>
      </c>
      <c r="K40" s="1178">
        <f>TableA6!J40/TableA2!$C40</f>
        <v>0</v>
      </c>
      <c r="L40" s="902">
        <f t="shared" si="2"/>
        <v>0.38626088690911503</v>
      </c>
      <c r="M40" s="1178">
        <f>C40/TableA4!D40</f>
        <v>0.53949704245493946</v>
      </c>
      <c r="N40" s="1178">
        <f>VLOOKUP(A40,TableA10!$A$8:$G$95,4,)/VLOOKUP(A40,TableA10!$A$8:$G$95,3,)</f>
        <v>0.46141975308641975</v>
      </c>
      <c r="O40" s="1486">
        <f>E40/TableA4!G40</f>
        <v>0.32769274240203272</v>
      </c>
      <c r="P40" s="266">
        <f>+'Table E1'!D40</f>
        <v>0.23198890791914323</v>
      </c>
      <c r="Q40" s="266">
        <f>+'Table E1'!I40</f>
        <v>0.22751533146991837</v>
      </c>
      <c r="R40" s="266">
        <f>+'Table E1'!N40</f>
        <v>0.23323111415856385</v>
      </c>
      <c r="S40" s="266">
        <f t="shared" si="7"/>
        <v>0.33113449191359151</v>
      </c>
      <c r="T40" s="266">
        <f t="shared" si="8"/>
        <v>0.32769274240203272</v>
      </c>
      <c r="U40" s="266">
        <f t="shared" si="9"/>
        <v>0.32583949266503953</v>
      </c>
      <c r="V40" s="908">
        <f>C40-O40*TableA4!D40</f>
        <v>9.6083563947268509</v>
      </c>
      <c r="W40" s="26">
        <f>IFERROR($C40-S40*TableA4!$D40,"")</f>
        <v>9.4522237953406574</v>
      </c>
      <c r="X40" s="26">
        <f>IFERROR($C40-T40*TableA4!$D40,"")</f>
        <v>9.6083563947268509</v>
      </c>
      <c r="Y40" s="906">
        <f>IFERROR($C40-U40*TableA4!$D40,"")</f>
        <v>9.6924277943963411</v>
      </c>
      <c r="Z40" s="26">
        <f t="shared" si="10"/>
        <v>-0.1561325993861935</v>
      </c>
      <c r="AA40" s="26">
        <f t="shared" si="11"/>
        <v>0</v>
      </c>
      <c r="AB40" s="896">
        <f t="shared" si="12"/>
        <v>8.4071399669490177E-2</v>
      </c>
      <c r="AC40" s="26"/>
      <c r="AD40" s="26"/>
      <c r="AE40" s="26"/>
      <c r="AF40" s="954"/>
      <c r="AG40" s="954"/>
      <c r="AH40" s="320">
        <f t="shared" si="4"/>
        <v>0</v>
      </c>
      <c r="AI40" s="320">
        <f t="shared" si="5"/>
        <v>0</v>
      </c>
    </row>
    <row r="41" spans="1:35" x14ac:dyDescent="0.2">
      <c r="A41" s="955" t="s">
        <v>60</v>
      </c>
      <c r="B41" s="1208">
        <f>TableA6!B41</f>
        <v>94.889238877326122</v>
      </c>
      <c r="C41" s="1153">
        <f>TableA6!E41</f>
        <v>60.313127140541056</v>
      </c>
      <c r="D41" s="1153">
        <v>0</v>
      </c>
      <c r="E41" s="1153">
        <f t="shared" si="6"/>
        <v>34.576111736785066</v>
      </c>
      <c r="F41" s="311">
        <f t="shared" ref="F41:F72" si="13">C41/(B41-D41)</f>
        <v>0.6356160914992115</v>
      </c>
      <c r="G41" s="1178">
        <f>TableA2!L41</f>
        <v>0.29546351380205693</v>
      </c>
      <c r="H41" s="1178">
        <f>D41/TableA2!C41</f>
        <v>0</v>
      </c>
      <c r="I41" s="1178">
        <f t="shared" si="1"/>
        <v>0</v>
      </c>
      <c r="J41" s="1178">
        <f>TableA6!I41/TableA2!$C41</f>
        <v>0</v>
      </c>
      <c r="K41" s="1178">
        <f>TableA6!J41/TableA2!$C41</f>
        <v>0</v>
      </c>
      <c r="L41" s="902">
        <f t="shared" si="2"/>
        <v>0.29546351380205693</v>
      </c>
      <c r="M41" s="1178">
        <f>C41/TableA4!D41</f>
        <v>3.1934639833073937</v>
      </c>
      <c r="N41" s="1178">
        <f>VLOOKUP(A41,TableA10!$A$8:$G$95,4,)/VLOOKUP(A41,TableA10!$A$8:$G$95,3,)</f>
        <v>3.0350836431226766</v>
      </c>
      <c r="O41" s="1104">
        <f>E41/TableA4!G41</f>
        <v>0.11438915202699569</v>
      </c>
      <c r="P41" s="266">
        <f>+'Table E1'!D41</f>
        <v>0.1231524981241746</v>
      </c>
      <c r="Q41" s="266">
        <f>+'Table E1'!I41</f>
        <v>3.849423923889609E-2</v>
      </c>
      <c r="R41" s="266">
        <f>+'Table E1'!N41</f>
        <v>0.13162813975194951</v>
      </c>
      <c r="S41" s="266">
        <f t="shared" si="7"/>
        <v>0.14907618103613485</v>
      </c>
      <c r="T41" s="266">
        <f t="shared" si="8"/>
        <v>0.11438915202699569</v>
      </c>
      <c r="U41" s="266">
        <f t="shared" si="9"/>
        <v>9.57115210220746E-2</v>
      </c>
      <c r="V41" s="909">
        <f>C41-O41*TableA4!D41</f>
        <v>58.152724672949248</v>
      </c>
      <c r="W41" s="26">
        <f>IFERROR($C41-S41*TableA4!$D41,"")</f>
        <v>57.497610601930624</v>
      </c>
      <c r="X41" s="26">
        <f>IFERROR($C41-T41*TableA4!$D41,"")</f>
        <v>58.152724672949248</v>
      </c>
      <c r="Y41" s="906">
        <f>IFERROR($C41-U41*TableA4!$D41,"")</f>
        <v>58.505478403497733</v>
      </c>
      <c r="Z41" s="26">
        <f t="shared" si="10"/>
        <v>-0.65511407101862318</v>
      </c>
      <c r="AA41" s="26">
        <f t="shared" si="11"/>
        <v>0</v>
      </c>
      <c r="AB41" s="896">
        <f t="shared" si="12"/>
        <v>0.35275373054848558</v>
      </c>
      <c r="AC41" s="26"/>
      <c r="AD41" s="26"/>
      <c r="AE41" s="26"/>
      <c r="AF41" s="954"/>
      <c r="AG41" s="954"/>
      <c r="AH41" s="320">
        <f t="shared" ref="AH41:AH72" si="14">L41-G41-I41+H41</f>
        <v>0</v>
      </c>
      <c r="AI41" s="320">
        <f t="shared" ref="AI41:AI72" si="15">B41-C41-D41-E41</f>
        <v>0</v>
      </c>
    </row>
    <row r="42" spans="1:35" x14ac:dyDescent="0.2">
      <c r="A42" s="955" t="s">
        <v>61</v>
      </c>
      <c r="B42" s="1208">
        <f>TableA6!B42</f>
        <v>212.59949330572061</v>
      </c>
      <c r="C42" s="1153">
        <f>TableA6!E42</f>
        <v>3.6081037546987877</v>
      </c>
      <c r="D42" s="1153">
        <v>0</v>
      </c>
      <c r="E42" s="1153">
        <f t="shared" si="6"/>
        <v>208.99138955102183</v>
      </c>
      <c r="F42" s="311">
        <f t="shared" si="13"/>
        <v>1.6971365729034411E-2</v>
      </c>
      <c r="G42" s="1178">
        <f>TableA2!L42</f>
        <v>1.1786568376604671</v>
      </c>
      <c r="H42" s="1178">
        <f>D42/TableA2!C42</f>
        <v>0</v>
      </c>
      <c r="I42" s="1178">
        <f t="shared" si="1"/>
        <v>0</v>
      </c>
      <c r="J42" s="1178">
        <f>TableA6!I42/TableA2!$C42</f>
        <v>0</v>
      </c>
      <c r="K42" s="1178">
        <f>TableA6!J42/TableA2!$C42</f>
        <v>0</v>
      </c>
      <c r="L42" s="902">
        <f t="shared" si="2"/>
        <v>1.1786568376604671</v>
      </c>
      <c r="M42" s="1178">
        <f>C42/TableA4!D42</f>
        <v>0.43176052765093853</v>
      </c>
      <c r="N42" s="1178">
        <f>VLOOKUP(A42,TableA10!$A$8:$G$95,4,)/VLOOKUP(A42,TableA10!$A$8:$G$95,3,)</f>
        <v>0.43176052765093859</v>
      </c>
      <c r="O42" s="1486">
        <f>E42/TableA4!G42</f>
        <v>1.2149415243838195</v>
      </c>
      <c r="P42" s="266">
        <f>+'Table E1'!D42</f>
        <v>4.8533754489864959E-2</v>
      </c>
      <c r="Q42" s="266">
        <f>+'Table E1'!I42</f>
        <v>7.1316210841993452E-2</v>
      </c>
      <c r="R42" s="266">
        <f>+'Table E1'!N42</f>
        <v>4.837056781781255E-2</v>
      </c>
      <c r="S42" s="266">
        <f t="shared" ref="S42:S73" si="16">IFERROR(($Q42/$R42-1)*(1-1/0.7)*$O42+$O42,"")</f>
        <v>0.96794113517341462</v>
      </c>
      <c r="T42" s="266">
        <f t="shared" ref="T42:T73" si="17">IFERROR(($Q42/$R42-1)*(1-1/1)*$O42+$O42,"")</f>
        <v>1.2149415243838195</v>
      </c>
      <c r="U42" s="266">
        <f t="shared" ref="U42:U73" si="18">IFERROR(($Q42/$R42-1)*(1-1/1.3)*$O42+$O42,"")</f>
        <v>1.347941733958653</v>
      </c>
      <c r="V42" s="908">
        <f>C42-O42*TableA4!D42</f>
        <v>-6.5448277782474689</v>
      </c>
      <c r="W42" s="26">
        <f>IFERROR($C42-S42*TableA4!$D42,"")</f>
        <v>-4.4807135884421738</v>
      </c>
      <c r="X42" s="26">
        <f>IFERROR($C42-T42*TableA4!$D42,"")</f>
        <v>-6.5448277782474689</v>
      </c>
      <c r="Y42" s="906">
        <f>IFERROR($C42-U42*TableA4!$D42,"")</f>
        <v>-7.6562738804503203</v>
      </c>
      <c r="Z42" s="26">
        <f t="shared" si="10"/>
        <v>2.064114189805295</v>
      </c>
      <c r="AA42" s="26">
        <f t="shared" si="11"/>
        <v>0</v>
      </c>
      <c r="AB42" s="896">
        <f t="shared" si="12"/>
        <v>-1.1114461022028514</v>
      </c>
      <c r="AC42" s="26"/>
      <c r="AD42" s="26"/>
      <c r="AE42" s="26"/>
      <c r="AF42" s="954"/>
      <c r="AG42" s="954"/>
      <c r="AH42" s="320">
        <f t="shared" si="14"/>
        <v>0</v>
      </c>
      <c r="AI42" s="320">
        <f t="shared" si="15"/>
        <v>0</v>
      </c>
    </row>
    <row r="43" spans="1:35" x14ac:dyDescent="0.2">
      <c r="A43" s="955" t="s">
        <v>62</v>
      </c>
      <c r="B43" s="1208">
        <f>TableA6!B43</f>
        <v>425.05098961874262</v>
      </c>
      <c r="C43" s="1153">
        <f>TableA6!E43</f>
        <v>72.19500365863982</v>
      </c>
      <c r="D43" s="1153">
        <v>0</v>
      </c>
      <c r="E43" s="1153">
        <f t="shared" si="6"/>
        <v>352.85598596010277</v>
      </c>
      <c r="F43" s="311">
        <f t="shared" si="13"/>
        <v>0.16985021896642677</v>
      </c>
      <c r="G43" s="1178">
        <f>TableA2!L43</f>
        <v>0.41977482452487414</v>
      </c>
      <c r="H43" s="1178">
        <f>D43/TableA2!C43</f>
        <v>0</v>
      </c>
      <c r="I43" s="1178">
        <f t="shared" si="1"/>
        <v>0</v>
      </c>
      <c r="J43" s="1178">
        <f>TableA6!I43/TableA2!$C43</f>
        <v>0</v>
      </c>
      <c r="K43" s="1178">
        <f>TableA6!J43/TableA2!$C43</f>
        <v>0</v>
      </c>
      <c r="L43" s="902">
        <f t="shared" si="2"/>
        <v>0.41977482452487414</v>
      </c>
      <c r="M43" s="1178">
        <f>C43/TableA4!D43</f>
        <v>0.25723407405999843</v>
      </c>
      <c r="N43" s="1178">
        <f>VLOOKUP(A43,TableA10!$A$8:$G$95,4,)/VLOOKUP(A43,TableA10!$A$8:$G$95,3,)</f>
        <v>0.32541900820732633</v>
      </c>
      <c r="O43" s="1486">
        <f>E43/TableA4!G43</f>
        <v>0.48210280844721259</v>
      </c>
      <c r="P43" s="266">
        <f>+'Table E1'!D43</f>
        <v>0.14514875312203893</v>
      </c>
      <c r="Q43" s="266">
        <f>+'Table E1'!I43</f>
        <v>0.23782860019575947</v>
      </c>
      <c r="R43" s="266">
        <f>+'Table E1'!N43</f>
        <v>0.12322627923489798</v>
      </c>
      <c r="S43" s="266">
        <f t="shared" si="16"/>
        <v>0.28994724900633129</v>
      </c>
      <c r="T43" s="266">
        <f t="shared" si="17"/>
        <v>0.48210280844721259</v>
      </c>
      <c r="U43" s="266">
        <f t="shared" si="18"/>
        <v>0.58557118660768714</v>
      </c>
      <c r="V43" s="908">
        <f>C43-O43*TableA4!D43</f>
        <v>-63.111386627620902</v>
      </c>
      <c r="W43" s="26">
        <f>IFERROR($C43-S43*TableA4!$D43,"")</f>
        <v>-9.1812400575880275</v>
      </c>
      <c r="X43" s="26">
        <f>IFERROR($C43-T43*TableA4!$D43,"")</f>
        <v>-63.111386627620902</v>
      </c>
      <c r="Y43" s="906">
        <f>IFERROR($C43-U43*TableA4!$D43,"")</f>
        <v>-92.150696319177058</v>
      </c>
      <c r="Z43" s="26">
        <f t="shared" si="10"/>
        <v>53.930146570032875</v>
      </c>
      <c r="AA43" s="26">
        <f t="shared" si="11"/>
        <v>0</v>
      </c>
      <c r="AB43" s="896">
        <f t="shared" si="12"/>
        <v>-29.039309691556156</v>
      </c>
      <c r="AC43" s="26"/>
      <c r="AD43" s="26"/>
      <c r="AE43" s="26"/>
      <c r="AF43" s="954"/>
      <c r="AG43" s="954"/>
      <c r="AH43" s="320">
        <f t="shared" si="14"/>
        <v>0</v>
      </c>
      <c r="AI43" s="320">
        <f t="shared" si="15"/>
        <v>0</v>
      </c>
    </row>
    <row r="44" spans="1:35" x14ac:dyDescent="0.2">
      <c r="A44" s="955" t="s">
        <v>63</v>
      </c>
      <c r="B44" s="1208">
        <f>TableA6!B44</f>
        <v>1889.3969000000002</v>
      </c>
      <c r="C44" s="1153">
        <f>TableA6!E44</f>
        <v>152.79999999999998</v>
      </c>
      <c r="D44" s="1153">
        <v>0</v>
      </c>
      <c r="E44" s="1153">
        <f t="shared" si="6"/>
        <v>1736.5969000000002</v>
      </c>
      <c r="F44" s="311">
        <f t="shared" si="13"/>
        <v>8.0872367261743669E-2</v>
      </c>
      <c r="G44" s="1178">
        <f>TableA2!L44</f>
        <v>0.31301581156556391</v>
      </c>
      <c r="H44" s="1178">
        <f>D44/TableA2!C44</f>
        <v>0</v>
      </c>
      <c r="I44" s="1178">
        <f t="shared" si="1"/>
        <v>0</v>
      </c>
      <c r="J44" s="1178">
        <f>TableA6!I44/TableA2!$C44</f>
        <v>0</v>
      </c>
      <c r="K44" s="1178">
        <f>TableA6!J44/TableA2!$C44</f>
        <v>0</v>
      </c>
      <c r="L44" s="902">
        <f t="shared" si="2"/>
        <v>0.31301581156556391</v>
      </c>
      <c r="M44" s="1178">
        <f>C44/TableA4!D44</f>
        <v>0.28343272646330486</v>
      </c>
      <c r="N44" s="1178"/>
      <c r="O44" s="1543">
        <f>E44/TableA4!G44</f>
        <v>0.3159171001923794</v>
      </c>
      <c r="P44" s="266">
        <f>+'Table E1'!D44</f>
        <v>0.17275643440163449</v>
      </c>
      <c r="Q44" s="266">
        <f>+'Table E1'!I44</f>
        <v>0.25788985140996118</v>
      </c>
      <c r="R44" s="266">
        <f>+'Table E1'!N44</f>
        <v>0.16269600222188993</v>
      </c>
      <c r="S44" s="266">
        <f t="shared" si="16"/>
        <v>0.23669828267572257</v>
      </c>
      <c r="T44" s="266">
        <f t="shared" si="17"/>
        <v>0.3159171001923794</v>
      </c>
      <c r="U44" s="266">
        <f t="shared" si="18"/>
        <v>0.35857338654750232</v>
      </c>
      <c r="V44" s="908">
        <f>C44-O44*TableA4!D44</f>
        <v>-17.51248829921272</v>
      </c>
      <c r="W44" s="26">
        <f>IFERROR($C44-S44*TableA4!$D44,"")</f>
        <v>25.194772318104569</v>
      </c>
      <c r="X44" s="26">
        <f>IFERROR($C44-T44*TableA4!$D44,"")</f>
        <v>-17.51248829921272</v>
      </c>
      <c r="Y44" s="906">
        <f>IFERROR($C44-U44*TableA4!$D44,"")</f>
        <v>-40.508705554691261</v>
      </c>
      <c r="Z44" s="26">
        <f t="shared" si="10"/>
        <v>42.707260617317289</v>
      </c>
      <c r="AA44" s="26">
        <f t="shared" si="11"/>
        <v>0</v>
      </c>
      <c r="AB44" s="896">
        <f t="shared" si="12"/>
        <v>-22.996217255478541</v>
      </c>
      <c r="AC44" s="26"/>
      <c r="AD44" s="26"/>
      <c r="AE44" s="26"/>
      <c r="AF44" s="954"/>
      <c r="AG44" s="954"/>
      <c r="AH44" s="320">
        <f t="shared" si="14"/>
        <v>0</v>
      </c>
      <c r="AI44" s="320">
        <f t="shared" si="15"/>
        <v>0</v>
      </c>
    </row>
    <row r="45" spans="1:35" ht="40" customHeight="1" x14ac:dyDescent="0.2">
      <c r="A45" s="1810" t="s">
        <v>64</v>
      </c>
      <c r="B45" s="304">
        <f>SUM(B46:B52)</f>
        <v>3157.101545061153</v>
      </c>
      <c r="C45" s="245">
        <f>SUM(C46:C52)</f>
        <v>253.30348219544206</v>
      </c>
      <c r="D45" s="245">
        <f>SUM(D46:D52)</f>
        <v>0</v>
      </c>
      <c r="E45" s="245">
        <f>SUM(E46:E52)</f>
        <v>2903.7980628657106</v>
      </c>
      <c r="F45" s="308">
        <f t="shared" si="13"/>
        <v>8.0232922058430522E-2</v>
      </c>
      <c r="G45" s="266">
        <f>TableA2!L45</f>
        <v>0.68108145790918762</v>
      </c>
      <c r="H45" s="266">
        <f>D45/TableA2!C45</f>
        <v>0</v>
      </c>
      <c r="I45" s="266">
        <f t="shared" si="1"/>
        <v>0</v>
      </c>
      <c r="J45" s="266">
        <f>TableA6!I45/TableA2!$C45</f>
        <v>0</v>
      </c>
      <c r="K45" s="266">
        <f>TableA6!J45/TableA2!$C45</f>
        <v>0</v>
      </c>
      <c r="L45" s="699">
        <f t="shared" si="2"/>
        <v>0.68108145790918762</v>
      </c>
      <c r="M45" s="266">
        <f>C45/TableA4!D45</f>
        <v>0.60344989333222621</v>
      </c>
      <c r="N45" s="266">
        <f>(TableA10!D43+TableA10!D52+TableA10!D45+TableA10!D81+TableA10!D31+TableA10!D68)/(TableA10!C43+TableA10!C45+TableA10!C52+TableA10!C81+TableA10!C31+TableA10!C68)</f>
        <v>0.20871685346538396</v>
      </c>
      <c r="O45" s="660">
        <f>E45/TableA4!G45</f>
        <v>0.68881132725607408</v>
      </c>
      <c r="P45" s="266">
        <f>+'Table E1'!D45</f>
        <v>1.3538521803939461E-2</v>
      </c>
      <c r="Q45" s="266">
        <f>+'Table E1'!I45</f>
        <v>7.2171752825818419E-2</v>
      </c>
      <c r="R45" s="266">
        <f>+'Table E1'!N45</f>
        <v>9.9419204706696282E-3</v>
      </c>
      <c r="S45" s="266">
        <f t="shared" si="16"/>
        <v>-1.1589753918734798</v>
      </c>
      <c r="T45" s="266">
        <f t="shared" si="17"/>
        <v>0.68881132725607408</v>
      </c>
      <c r="U45" s="266">
        <f t="shared" si="18"/>
        <v>1.6837734067873726</v>
      </c>
      <c r="V45" s="910"/>
      <c r="W45" s="26"/>
      <c r="X45" s="26"/>
      <c r="Y45" s="906"/>
      <c r="Z45" s="26"/>
      <c r="AA45" s="26"/>
      <c r="AB45" s="896"/>
      <c r="AC45" s="26"/>
      <c r="AD45" s="26"/>
      <c r="AE45" s="26"/>
      <c r="AF45" s="954"/>
      <c r="AG45" s="954"/>
      <c r="AH45" s="320">
        <f t="shared" si="14"/>
        <v>0</v>
      </c>
      <c r="AI45" s="320">
        <f t="shared" si="15"/>
        <v>0</v>
      </c>
    </row>
    <row r="46" spans="1:35" x14ac:dyDescent="0.2">
      <c r="A46" s="933" t="s">
        <v>65</v>
      </c>
      <c r="B46" s="1208">
        <f>TableA6!B46</f>
        <v>274.33569999999997</v>
      </c>
      <c r="C46" s="1153">
        <f>TableA6!E46</f>
        <v>29.642380154899492</v>
      </c>
      <c r="D46" s="1153">
        <v>0</v>
      </c>
      <c r="E46" s="1153">
        <f t="shared" ref="E46:E52" si="19">B46-C46-D46</f>
        <v>244.69331984510049</v>
      </c>
      <c r="F46" s="311">
        <f t="shared" si="13"/>
        <v>0.10805148639021277</v>
      </c>
      <c r="G46" s="1178">
        <f>TableA2!L46</f>
        <v>0.40116486198248541</v>
      </c>
      <c r="H46" s="1178">
        <f>D46/TableA2!C46</f>
        <v>0</v>
      </c>
      <c r="I46" s="1178">
        <f t="shared" si="1"/>
        <v>0</v>
      </c>
      <c r="J46" s="1178">
        <f>TableA6!I46/TableA2!$C46</f>
        <v>0</v>
      </c>
      <c r="K46" s="1178">
        <f>TableA6!J46/TableA2!$C46</f>
        <v>0</v>
      </c>
      <c r="L46" s="902">
        <f t="shared" si="2"/>
        <v>0.40116486198248541</v>
      </c>
      <c r="M46" s="1178">
        <f>C46/TableA4!D46</f>
        <v>0.28488946288839928</v>
      </c>
      <c r="N46" s="1178">
        <f>VLOOKUP(A46,TableA10b!$A$8:$G$95,4,)/VLOOKUP(A46,TableA10b!$A$8:$G$95,3,)</f>
        <v>0.28488946288839928</v>
      </c>
      <c r="O46" s="1543">
        <f>E46/TableA4!G46</f>
        <v>0.42203123701335166</v>
      </c>
      <c r="P46" s="266">
        <f>+'Table E1'!D46</f>
        <v>3.422710872748267E-2</v>
      </c>
      <c r="Q46" s="266">
        <f>+'Table E1'!I46</f>
        <v>0.10715394693222455</v>
      </c>
      <c r="R46" s="266">
        <f>+'Table E1'!N46</f>
        <v>3.1822809604507951E-2</v>
      </c>
      <c r="S46" s="266">
        <f t="shared" si="16"/>
        <v>-6.1265188382692015E-3</v>
      </c>
      <c r="T46" s="266">
        <f t="shared" si="17"/>
        <v>0.42203123701335166</v>
      </c>
      <c r="U46" s="266">
        <f t="shared" si="18"/>
        <v>0.65257772093345523</v>
      </c>
      <c r="V46" s="908">
        <f>C46-O46*TableA4!D46</f>
        <v>-14.269424226903311</v>
      </c>
      <c r="W46" s="26">
        <f>IFERROR($C46-S46*TableA4!$D46,"")</f>
        <v>30.279836516355967</v>
      </c>
      <c r="X46" s="26">
        <f>IFERROR($C46-T46*TableA4!$D46,"")</f>
        <v>-14.269424226903311</v>
      </c>
      <c r="Y46" s="906">
        <f>IFERROR($C46-U46*TableA4!$D46,"")</f>
        <v>-38.257487704042937</v>
      </c>
      <c r="Z46" s="26">
        <f t="shared" ref="Z46:AB52" si="20">IFERROR(-$V46+W46,"")</f>
        <v>44.549260743259282</v>
      </c>
      <c r="AA46" s="26">
        <f t="shared" si="20"/>
        <v>0</v>
      </c>
      <c r="AB46" s="896">
        <f t="shared" si="20"/>
        <v>-23.988063477139626</v>
      </c>
      <c r="AC46" s="26"/>
      <c r="AD46" s="26"/>
      <c r="AE46" s="26"/>
      <c r="AF46" s="954"/>
      <c r="AG46" s="954"/>
      <c r="AH46" s="320">
        <f t="shared" si="14"/>
        <v>0</v>
      </c>
      <c r="AI46" s="320">
        <f t="shared" si="15"/>
        <v>0</v>
      </c>
    </row>
    <row r="47" spans="1:35" x14ac:dyDescent="0.2">
      <c r="A47" s="955" t="s">
        <v>66</v>
      </c>
      <c r="B47" s="1208">
        <f>TableA6!B47</f>
        <v>2068.7040725409047</v>
      </c>
      <c r="C47" s="1153">
        <f>TableA6!E47</f>
        <v>162.29225058924547</v>
      </c>
      <c r="D47" s="1153">
        <v>0</v>
      </c>
      <c r="E47" s="1153">
        <f t="shared" si="19"/>
        <v>1906.4118219516592</v>
      </c>
      <c r="F47" s="311">
        <f t="shared" si="13"/>
        <v>7.8451167928484097E-2</v>
      </c>
      <c r="G47" s="1178">
        <f>TableA2!L47</f>
        <v>0.6894883048234598</v>
      </c>
      <c r="H47" s="1178">
        <f>D47/TableA2!C47</f>
        <v>0</v>
      </c>
      <c r="I47" s="1178">
        <f t="shared" si="1"/>
        <v>0</v>
      </c>
      <c r="J47" s="1178">
        <f>TableA6!I47/TableA2!$C47</f>
        <v>0</v>
      </c>
      <c r="K47" s="1178">
        <f>TableA6!J47/TableA2!$C47</f>
        <v>0</v>
      </c>
      <c r="L47" s="902">
        <f t="shared" si="2"/>
        <v>0.6894883048234598</v>
      </c>
      <c r="M47" s="1178">
        <f>C47/TableA4!D47</f>
        <v>0.86041477550450374</v>
      </c>
      <c r="N47" s="1178">
        <f>VLOOKUP(A47,TableA10!$A$8:$G$95,4,)/VLOOKUP(A47,TableA10!$A$8:$G$95,3,)</f>
        <v>0.86041477550450385</v>
      </c>
      <c r="O47" s="1543">
        <f>E47/TableA4!G47</f>
        <v>0.67802192655512161</v>
      </c>
      <c r="P47" s="266">
        <f>+'Table E1'!D47</f>
        <v>6.6557315636438736E-3</v>
      </c>
      <c r="Q47" s="266">
        <f>+'Table E1'!I47</f>
        <v>6.4526259113114659E-2</v>
      </c>
      <c r="R47" s="266">
        <f>+'Table E1'!N47</f>
        <v>5.9200082554295786E-3</v>
      </c>
      <c r="S47" s="266">
        <f t="shared" si="16"/>
        <v>-2.1986383800963041</v>
      </c>
      <c r="T47" s="266">
        <f t="shared" si="17"/>
        <v>0.67802192655512161</v>
      </c>
      <c r="U47" s="266">
        <f t="shared" si="18"/>
        <v>2.2269928609058898</v>
      </c>
      <c r="V47" s="908">
        <f>C47-O47*TableA4!D47</f>
        <v>34.40311206885427</v>
      </c>
      <c r="W47" s="26">
        <f>IFERROR($C47-S47*TableA4!$D47,"")</f>
        <v>577.00150605094962</v>
      </c>
      <c r="X47" s="26">
        <f>IFERROR($C47-T47*TableA4!$D47,"")</f>
        <v>34.40311206885427</v>
      </c>
      <c r="Y47" s="906">
        <f>IFERROR($C47-U47*TableA4!$D47,"")</f>
        <v>-257.76525392150484</v>
      </c>
      <c r="Z47" s="26">
        <f t="shared" si="20"/>
        <v>542.59839398209533</v>
      </c>
      <c r="AA47" s="26">
        <f t="shared" si="20"/>
        <v>0</v>
      </c>
      <c r="AB47" s="896">
        <f t="shared" si="20"/>
        <v>-292.16836599035912</v>
      </c>
      <c r="AC47" s="26"/>
      <c r="AD47" s="26"/>
      <c r="AE47" s="26"/>
      <c r="AF47" s="954"/>
      <c r="AG47" s="954"/>
      <c r="AH47" s="320">
        <f t="shared" si="14"/>
        <v>0</v>
      </c>
      <c r="AI47" s="320">
        <f t="shared" si="15"/>
        <v>0</v>
      </c>
    </row>
    <row r="48" spans="1:35" x14ac:dyDescent="0.2">
      <c r="A48" s="955" t="s">
        <v>67</v>
      </c>
      <c r="B48" s="1208">
        <f>TableA6!B48</f>
        <v>58.600733808963028</v>
      </c>
      <c r="C48" s="1153">
        <f>TableA6!E48</f>
        <v>6.7581585025254878</v>
      </c>
      <c r="D48" s="1153">
        <v>0</v>
      </c>
      <c r="E48" s="1153">
        <f t="shared" si="19"/>
        <v>51.842575306437539</v>
      </c>
      <c r="F48" s="311">
        <f t="shared" si="13"/>
        <v>0.11532549275845112</v>
      </c>
      <c r="G48" s="1178">
        <f>TableA2!L48</f>
        <v>1.0817835759803136</v>
      </c>
      <c r="H48" s="1178">
        <f>D48/TableA2!C48</f>
        <v>0</v>
      </c>
      <c r="I48" s="1178">
        <f t="shared" si="1"/>
        <v>0</v>
      </c>
      <c r="J48" s="1178">
        <f>TableA6!I48/TableA2!$C48</f>
        <v>0</v>
      </c>
      <c r="K48" s="1178">
        <f>TableA6!J48/TableA2!$C48</f>
        <v>0</v>
      </c>
      <c r="L48" s="902">
        <f t="shared" si="2"/>
        <v>1.0817835759803136</v>
      </c>
      <c r="M48" s="1178">
        <f>C48/TableA4!D48</f>
        <v>0.59300746775288526</v>
      </c>
      <c r="N48" s="1178">
        <f>VLOOKUP(A48,TableA10b!$A$8:$G$95,4,)/VLOOKUP(A48,TableA10b!$A$8:$G$95,3,)</f>
        <v>0.59300746775288526</v>
      </c>
      <c r="O48" s="1543">
        <f>E48/TableA4!G48</f>
        <v>1.2120095634890702</v>
      </c>
      <c r="P48" s="266">
        <f>+'Table E1'!D48</f>
        <v>2.1524734512741107E-2</v>
      </c>
      <c r="Q48" s="266">
        <f>+'Table E1'!I48</f>
        <v>0.10036365100009582</v>
      </c>
      <c r="R48" s="266">
        <f>+'Table E1'!N48</f>
        <v>2.003379651528606E-2</v>
      </c>
      <c r="S48" s="266">
        <f t="shared" si="16"/>
        <v>-0.87076844462737979</v>
      </c>
      <c r="T48" s="266">
        <f t="shared" si="17"/>
        <v>1.2120095634890702</v>
      </c>
      <c r="U48" s="266">
        <f t="shared" si="18"/>
        <v>2.3335054140133127</v>
      </c>
      <c r="V48" s="908">
        <f>C48-O48*TableA4!D48</f>
        <v>-7.0544040401930346</v>
      </c>
      <c r="W48" s="26">
        <f>IFERROR($C48-S48*TableA4!$D48,"")</f>
        <v>16.681796041339247</v>
      </c>
      <c r="X48" s="26">
        <f>IFERROR($C48-T48*TableA4!$D48,"")</f>
        <v>-7.0544040401930346</v>
      </c>
      <c r="Y48" s="906">
        <f>IFERROR($C48-U48*TableA4!$D48,"")</f>
        <v>-19.8354348533258</v>
      </c>
      <c r="Z48" s="26">
        <f t="shared" si="20"/>
        <v>23.736200081532282</v>
      </c>
      <c r="AA48" s="26">
        <f t="shared" si="20"/>
        <v>0</v>
      </c>
      <c r="AB48" s="896">
        <f t="shared" si="20"/>
        <v>-12.781030813132766</v>
      </c>
      <c r="AC48" s="26"/>
      <c r="AD48" s="26"/>
      <c r="AE48" s="26"/>
      <c r="AF48" s="954"/>
      <c r="AG48" s="954"/>
      <c r="AH48" s="320">
        <f t="shared" si="14"/>
        <v>0</v>
      </c>
      <c r="AI48" s="320">
        <f t="shared" si="15"/>
        <v>0</v>
      </c>
    </row>
    <row r="49" spans="1:36" x14ac:dyDescent="0.2">
      <c r="A49" s="955" t="s">
        <v>68</v>
      </c>
      <c r="B49" s="1208">
        <f>TableA6!B49</f>
        <v>13.202740172271037</v>
      </c>
      <c r="C49" s="1153">
        <f>TableA6!E49</f>
        <v>1.0992314060745381</v>
      </c>
      <c r="D49" s="1153">
        <v>0</v>
      </c>
      <c r="E49" s="1153">
        <f t="shared" si="19"/>
        <v>12.103508766196498</v>
      </c>
      <c r="F49" s="311">
        <f t="shared" si="13"/>
        <v>8.3257823128504119E-2</v>
      </c>
      <c r="G49" s="1178">
        <f>TableA2!L49</f>
        <v>0.84460673307568312</v>
      </c>
      <c r="H49" s="1178">
        <f>D49/TableA2!C49</f>
        <v>0</v>
      </c>
      <c r="I49" s="1178">
        <f t="shared" si="1"/>
        <v>0</v>
      </c>
      <c r="J49" s="1178">
        <f>TableA6!I49/TableA2!$C49</f>
        <v>0</v>
      </c>
      <c r="K49" s="1178">
        <f>TableA6!J49/TableA2!$C49</f>
        <v>0</v>
      </c>
      <c r="L49" s="902">
        <f t="shared" si="2"/>
        <v>0.84460673307568312</v>
      </c>
      <c r="M49" s="1178">
        <f>C49/TableA4!D49</f>
        <v>0.58033898305084741</v>
      </c>
      <c r="N49" s="1178">
        <f>VLOOKUP(A49,TableA10!$A$8:$G$95,4,)/VLOOKUP(A49,TableA10!$A$8:$G$95,3,)</f>
        <v>0.58033898305084741</v>
      </c>
      <c r="O49" s="1543">
        <f>E49/TableA4!G49</f>
        <v>0.88104330559766775</v>
      </c>
      <c r="P49" s="266">
        <f>+'Table E1'!D49</f>
        <v>4.7831781660845021E-2</v>
      </c>
      <c r="Q49" s="266">
        <f>+'Table E1'!I49</f>
        <v>3.9950500372258176E-2</v>
      </c>
      <c r="R49" s="266">
        <f>+'Table E1'!N49</f>
        <v>4.8363553479633836E-2</v>
      </c>
      <c r="S49" s="266">
        <f t="shared" si="16"/>
        <v>0.94672674683091251</v>
      </c>
      <c r="T49" s="266">
        <f t="shared" si="17"/>
        <v>0.88104330559766775</v>
      </c>
      <c r="U49" s="266">
        <f t="shared" si="18"/>
        <v>0.84567529877976666</v>
      </c>
      <c r="V49" s="908">
        <f>C49-O49*TableA4!D49</f>
        <v>-0.56956993229743369</v>
      </c>
      <c r="W49" s="26">
        <f>IFERROR($C49-S49*TableA4!$D49,"")</f>
        <v>-0.69398222161680878</v>
      </c>
      <c r="X49" s="26">
        <f>IFERROR($C49-T49*TableA4!$D49,"")</f>
        <v>-0.56956993229743369</v>
      </c>
      <c r="Y49" s="906">
        <f>IFERROR($C49-U49*TableA4!$D49,"")</f>
        <v>-0.50257869958700097</v>
      </c>
      <c r="Z49" s="26">
        <f t="shared" si="20"/>
        <v>-0.12441228931937509</v>
      </c>
      <c r="AA49" s="26">
        <f t="shared" si="20"/>
        <v>0</v>
      </c>
      <c r="AB49" s="896">
        <f t="shared" si="20"/>
        <v>6.6991232710432724E-2</v>
      </c>
      <c r="AC49" s="26"/>
      <c r="AD49" s="26"/>
      <c r="AE49" s="26"/>
      <c r="AF49" s="954"/>
      <c r="AG49" s="954"/>
      <c r="AH49" s="320">
        <f t="shared" si="14"/>
        <v>0</v>
      </c>
      <c r="AI49" s="320">
        <f t="shared" si="15"/>
        <v>0</v>
      </c>
      <c r="AJ49" s="954"/>
    </row>
    <row r="50" spans="1:36" x14ac:dyDescent="0.2">
      <c r="A50" s="955" t="s">
        <v>69</v>
      </c>
      <c r="B50" s="1208">
        <f>TableA6!B50</f>
        <v>376.12710693199818</v>
      </c>
      <c r="C50" s="1153">
        <f>TableA6!E50</f>
        <v>7.7329709258650219</v>
      </c>
      <c r="D50" s="1153">
        <v>0</v>
      </c>
      <c r="E50" s="1153">
        <f t="shared" si="19"/>
        <v>368.39413600613318</v>
      </c>
      <c r="F50" s="311">
        <f t="shared" si="13"/>
        <v>2.0559461903560974E-2</v>
      </c>
      <c r="G50" s="1178">
        <f>TableA2!L50</f>
        <v>1.1804668339549873</v>
      </c>
      <c r="H50" s="1178">
        <f>D50/TableA2!C50</f>
        <v>0</v>
      </c>
      <c r="I50" s="1178">
        <f t="shared" si="1"/>
        <v>0</v>
      </c>
      <c r="J50" s="1178">
        <f>TableA6!I50/TableA2!$C50</f>
        <v>0</v>
      </c>
      <c r="K50" s="1178">
        <f>TableA6!J50/TableA2!$C50</f>
        <v>0</v>
      </c>
      <c r="L50" s="902">
        <f t="shared" si="2"/>
        <v>1.1804668339549873</v>
      </c>
      <c r="M50" s="1178">
        <f>C50/TableA4!D50</f>
        <v>0.36740237691001698</v>
      </c>
      <c r="N50" s="1178">
        <f>VLOOKUP(A50,TableA10!$A$8:$G$95,4,)/VLOOKUP(A50,TableA10!$A$8:$G$95,3,)</f>
        <v>0.36740237691001698</v>
      </c>
      <c r="O50" s="1543">
        <f>E50/TableA4!G50</f>
        <v>1.2379748666810551</v>
      </c>
      <c r="P50" s="266">
        <f>+'Table E1'!D50</f>
        <v>0</v>
      </c>
      <c r="Q50" s="266">
        <f>+'Table E1'!I50</f>
        <v>1.9789899575823135E-2</v>
      </c>
      <c r="R50" s="266">
        <f>+'Table E1'!N50</f>
        <v>4.3665075963113982E-3</v>
      </c>
      <c r="S50" s="266">
        <f t="shared" si="16"/>
        <v>-0.63607316910602196</v>
      </c>
      <c r="T50" s="266">
        <f t="shared" si="17"/>
        <v>1.2379748666810551</v>
      </c>
      <c r="U50" s="266">
        <f t="shared" si="18"/>
        <v>2.2470776551817888</v>
      </c>
      <c r="V50" s="908">
        <f>C50-O50*TableA4!D50</f>
        <v>-18.323538919036906</v>
      </c>
      <c r="W50" s="26">
        <f>IFERROR($C50-S50*TableA4!$D50,"")</f>
        <v>21.12084109912842</v>
      </c>
      <c r="X50" s="26">
        <f>IFERROR($C50-T50*TableA4!$D50,"")</f>
        <v>-18.323538919036906</v>
      </c>
      <c r="Y50" s="906">
        <f>IFERROR($C50-U50*TableA4!$D50,"")</f>
        <v>-39.562820467279778</v>
      </c>
      <c r="Z50" s="26">
        <f t="shared" si="20"/>
        <v>39.444380018165326</v>
      </c>
      <c r="AA50" s="26">
        <f t="shared" si="20"/>
        <v>0</v>
      </c>
      <c r="AB50" s="896">
        <f t="shared" si="20"/>
        <v>-21.239281548242872</v>
      </c>
      <c r="AC50" s="26"/>
      <c r="AD50" s="26"/>
      <c r="AE50" s="26"/>
      <c r="AF50" s="954"/>
      <c r="AG50" s="954"/>
      <c r="AH50" s="320">
        <f t="shared" si="14"/>
        <v>0</v>
      </c>
      <c r="AI50" s="320">
        <f t="shared" si="15"/>
        <v>0</v>
      </c>
      <c r="AJ50" s="954"/>
    </row>
    <row r="51" spans="1:36" x14ac:dyDescent="0.2">
      <c r="A51" s="955" t="s">
        <v>70</v>
      </c>
      <c r="B51" s="1208">
        <f>TableA6!B51</f>
        <v>289.6640115913587</v>
      </c>
      <c r="C51" s="1153">
        <f>TableA6!E51</f>
        <v>37.035306707060499</v>
      </c>
      <c r="D51" s="1153">
        <v>0</v>
      </c>
      <c r="E51" s="1153">
        <f t="shared" si="19"/>
        <v>252.6287048842982</v>
      </c>
      <c r="F51" s="311">
        <f t="shared" si="13"/>
        <v>0.12785608575810162</v>
      </c>
      <c r="G51" s="1178">
        <f>TableA2!L51</f>
        <v>0.62204444586734098</v>
      </c>
      <c r="H51" s="1178">
        <f>D51/TableA2!C51</f>
        <v>0</v>
      </c>
      <c r="I51" s="1178">
        <f t="shared" si="1"/>
        <v>0</v>
      </c>
      <c r="J51" s="1178">
        <f>TableA6!I51/TableA2!$C51</f>
        <v>0</v>
      </c>
      <c r="K51" s="1178">
        <f>TableA6!J51/TableA2!$C51</f>
        <v>0</v>
      </c>
      <c r="L51" s="902">
        <f t="shared" si="2"/>
        <v>0.62204444586734098</v>
      </c>
      <c r="M51" s="1178">
        <f>C51/TableA4!D51</f>
        <v>0.57186108637577915</v>
      </c>
      <c r="N51" s="1178">
        <f>VLOOKUP(A51,TableA10b!$A$8:$G$95,4,)/VLOOKUP(A51,TableA10b!$A$8:$G$95,3,)</f>
        <v>0.57186108637577915</v>
      </c>
      <c r="O51" s="1543">
        <f>E51/TableA4!G51</f>
        <v>0.63015120382906453</v>
      </c>
      <c r="P51" s="266">
        <f>+'Table E1'!D51</f>
        <v>5.3742769036280592E-2</v>
      </c>
      <c r="Q51" s="266">
        <f>+'Table E1'!I51</f>
        <v>8.7326556684011569E-2</v>
      </c>
      <c r="R51" s="266">
        <f>+'Table E1'!N51</f>
        <v>5.2359583486292896E-2</v>
      </c>
      <c r="S51" s="266">
        <f t="shared" si="16"/>
        <v>0.44979551625753944</v>
      </c>
      <c r="T51" s="266">
        <f t="shared" si="17"/>
        <v>0.63015120382906453</v>
      </c>
      <c r="U51" s="266">
        <f t="shared" si="18"/>
        <v>0.72726580482911651</v>
      </c>
      <c r="V51" s="908">
        <f>C51-O51*TableA4!D51</f>
        <v>-3.7750293372023975</v>
      </c>
      <c r="W51" s="26">
        <f>IFERROR($C51-S51*TableA4!$D51,"")</f>
        <v>7.9053041646036384</v>
      </c>
      <c r="X51" s="26">
        <f>IFERROR($C51-T51*TableA4!$D51,"")</f>
        <v>-3.7750293372023975</v>
      </c>
      <c r="Y51" s="906">
        <f>IFERROR($C51-U51*TableA4!$D51,"")</f>
        <v>-10.064439684328732</v>
      </c>
      <c r="Z51" s="26">
        <f t="shared" si="20"/>
        <v>11.680333501806036</v>
      </c>
      <c r="AA51" s="26">
        <f t="shared" si="20"/>
        <v>0</v>
      </c>
      <c r="AB51" s="896">
        <f t="shared" si="20"/>
        <v>-6.289410347126335</v>
      </c>
      <c r="AC51" s="26"/>
      <c r="AD51" s="26"/>
      <c r="AE51" s="26"/>
      <c r="AF51" s="954"/>
      <c r="AG51" s="954"/>
      <c r="AH51" s="320">
        <f t="shared" si="14"/>
        <v>0</v>
      </c>
      <c r="AI51" s="320">
        <f t="shared" si="15"/>
        <v>0</v>
      </c>
      <c r="AJ51" s="954"/>
    </row>
    <row r="52" spans="1:36" x14ac:dyDescent="0.2">
      <c r="A52" s="955" t="s">
        <v>71</v>
      </c>
      <c r="B52" s="1208">
        <f>TableA6!B52</f>
        <v>76.467180015656993</v>
      </c>
      <c r="C52" s="1153">
        <f>TableA6!E52</f>
        <v>8.7431839097715454</v>
      </c>
      <c r="D52" s="1153">
        <v>0</v>
      </c>
      <c r="E52" s="1153">
        <f t="shared" si="19"/>
        <v>67.723996105885448</v>
      </c>
      <c r="F52" s="311">
        <f t="shared" si="13"/>
        <v>0.11433903941509729</v>
      </c>
      <c r="G52" s="1178">
        <f>TableA2!L52</f>
        <v>0.78720845080042035</v>
      </c>
      <c r="H52" s="1178">
        <f>D52/TableA2!C52</f>
        <v>0</v>
      </c>
      <c r="I52" s="1178">
        <f t="shared" si="1"/>
        <v>0</v>
      </c>
      <c r="J52" s="1178">
        <f>TableA6!I52/TableA2!$C52</f>
        <v>0</v>
      </c>
      <c r="K52" s="1178">
        <f>TableA6!J52/TableA2!$C52</f>
        <v>0</v>
      </c>
      <c r="L52" s="902">
        <f t="shared" si="2"/>
        <v>0.78720845080042035</v>
      </c>
      <c r="M52" s="1178">
        <f>C52/TableA4!D52</f>
        <v>0.31238725195429945</v>
      </c>
      <c r="N52" s="1178">
        <f>VLOOKUP(A52,TableA10!$A$8:$G$95,4,)/VLOOKUP(A52,TableA10!$A$8:$G$95,3,)</f>
        <v>0.31238725195429945</v>
      </c>
      <c r="O52" s="1543">
        <f>E52/TableA4!G52</f>
        <v>0.97939430014021822</v>
      </c>
      <c r="P52" s="266">
        <f>+'Table E1'!D52</f>
        <v>0</v>
      </c>
      <c r="Q52" s="266">
        <f>+'Table E1'!I52</f>
        <v>6.4415425758922895E-2</v>
      </c>
      <c r="R52" s="266">
        <f>+'Table E1'!N52</f>
        <v>2.403572164420276E-2</v>
      </c>
      <c r="S52" s="266">
        <f t="shared" si="16"/>
        <v>0.27423578702514706</v>
      </c>
      <c r="T52" s="266">
        <f t="shared" si="17"/>
        <v>0.97939430014021822</v>
      </c>
      <c r="U52" s="266">
        <f t="shared" si="18"/>
        <v>1.3590950379714104</v>
      </c>
      <c r="V52" s="908">
        <f>C52-O52*TableA4!D52</f>
        <v>-18.668384368823393</v>
      </c>
      <c r="W52" s="26">
        <f>IFERROR($C52-S52*TableA4!$D52,"")</f>
        <v>1.0677941312137076</v>
      </c>
      <c r="X52" s="26">
        <f>IFERROR($C52-T52*TableA4!$D52,"")</f>
        <v>-18.668384368823393</v>
      </c>
      <c r="Y52" s="906">
        <f>IFERROR($C52-U52*TableA4!$D52,"")</f>
        <v>-29.295557407304912</v>
      </c>
      <c r="Z52" s="26">
        <f t="shared" si="20"/>
        <v>19.736178500037099</v>
      </c>
      <c r="AA52" s="26">
        <f t="shared" si="20"/>
        <v>0</v>
      </c>
      <c r="AB52" s="896">
        <f t="shared" si="20"/>
        <v>-10.627173038481519</v>
      </c>
      <c r="AC52" s="26"/>
      <c r="AD52" s="26"/>
      <c r="AE52" s="26"/>
      <c r="AF52" s="954"/>
      <c r="AG52" s="954"/>
      <c r="AH52" s="320">
        <f t="shared" si="14"/>
        <v>0</v>
      </c>
      <c r="AI52" s="320">
        <f t="shared" si="15"/>
        <v>0</v>
      </c>
      <c r="AJ52" s="954"/>
    </row>
    <row r="53" spans="1:36" ht="40" customHeight="1" x14ac:dyDescent="0.2">
      <c r="A53" s="1810" t="s">
        <v>72</v>
      </c>
      <c r="B53" s="304">
        <f>SUM(B54:B89)</f>
        <v>485.75226113968216</v>
      </c>
      <c r="C53" s="245">
        <f>SUM(C54:C89)</f>
        <v>379.64154036573251</v>
      </c>
      <c r="D53" s="245">
        <f>SUM(D54:D89)</f>
        <v>0</v>
      </c>
      <c r="E53" s="245">
        <f>SUM(E54:E89)</f>
        <v>106.11072077394961</v>
      </c>
      <c r="F53" s="308">
        <f t="shared" si="13"/>
        <v>0.7815538304958366</v>
      </c>
      <c r="G53" s="266">
        <f>TableA2!L53</f>
        <v>0.9495478158383921</v>
      </c>
      <c r="H53" s="266">
        <f>D53/TableA2!C53</f>
        <v>0</v>
      </c>
      <c r="I53" s="266">
        <f>TableA6!D53/TableA2!C53</f>
        <v>0.59411815848754679</v>
      </c>
      <c r="J53" s="266">
        <f>TableA6!I53/TableA2!$C53</f>
        <v>0.1253592019677329</v>
      </c>
      <c r="K53" s="266">
        <f>TableA6!J53/TableA2!$C53</f>
        <v>0.57918768418334599</v>
      </c>
      <c r="L53" s="699">
        <f>(C53+E53)/TableA2!C53</f>
        <v>1.5436659743259391</v>
      </c>
      <c r="M53" s="266">
        <f>C53/TableA4!D53</f>
        <v>4.0562827786519096</v>
      </c>
      <c r="N53" s="266">
        <f>(TableA10!D59+TableA10!D60+TableA10!D62+TableA10!D63+TableA10!D80+TableA10!D88+C89*1000)/(TableA10!C59+TableA10!C60+TableA10!C62+TableA10!C63+TableA10!C80+TableA10!C88+TableA4!D89*1000)</f>
        <v>3.6378279827459132</v>
      </c>
      <c r="O53" s="903">
        <f>(E9+E45)/(TableA4!G9+TableA4!G45)</f>
        <v>0.47996308817683037</v>
      </c>
      <c r="P53" s="266"/>
      <c r="Q53" s="266"/>
      <c r="R53" s="266"/>
      <c r="S53" s="266" t="str">
        <f t="shared" si="16"/>
        <v/>
      </c>
      <c r="T53" s="266" t="str">
        <f t="shared" si="17"/>
        <v/>
      </c>
      <c r="U53" s="266" t="str">
        <f t="shared" si="18"/>
        <v/>
      </c>
      <c r="V53" s="911">
        <f>SUM(V54:V89)</f>
        <v>334.72013422680857</v>
      </c>
      <c r="W53" s="26" t="str">
        <f>IFERROR($C53-S53*TableA4!$D53,"")</f>
        <v/>
      </c>
      <c r="X53" s="26" t="str">
        <f>IFERROR($C53-T53*TableA4!$D53,"")</f>
        <v/>
      </c>
      <c r="Y53" s="906" t="str">
        <f>IFERROR($C53-U53*TableA4!$D53,"")</f>
        <v/>
      </c>
      <c r="Z53" s="277">
        <f>SUM(Z54:Z89)</f>
        <v>20.641445594046825</v>
      </c>
      <c r="AA53" s="26">
        <f>SUM(AA54:AA89)</f>
        <v>0</v>
      </c>
      <c r="AB53" s="896">
        <f>SUM(AB54:AB89)</f>
        <v>-11.114624550640611</v>
      </c>
      <c r="AC53" s="26"/>
      <c r="AD53" s="26"/>
      <c r="AE53" s="26"/>
      <c r="AF53" s="954"/>
      <c r="AG53" s="954"/>
      <c r="AH53" s="320">
        <f t="shared" si="14"/>
        <v>2.2204460492503131E-16</v>
      </c>
      <c r="AI53" s="320">
        <f t="shared" si="15"/>
        <v>0</v>
      </c>
      <c r="AJ53" s="954"/>
    </row>
    <row r="54" spans="1:36" ht="17" x14ac:dyDescent="0.2">
      <c r="A54" s="955" t="s">
        <v>73</v>
      </c>
      <c r="B54" s="1208">
        <f>TableA6!B54</f>
        <v>1.2179448838266</v>
      </c>
      <c r="C54" s="1153">
        <f>TableA6!E54</f>
        <v>1.0713339190228408</v>
      </c>
      <c r="D54" s="1153">
        <v>0</v>
      </c>
      <c r="E54" s="1153">
        <f>TableA6!K54</f>
        <v>0.14661096480375915</v>
      </c>
      <c r="F54" s="308">
        <f t="shared" si="13"/>
        <v>0.87962430258491697</v>
      </c>
      <c r="G54" s="1210">
        <f>TableA2!L54</f>
        <v>2.3923255199351803</v>
      </c>
      <c r="H54" s="1210">
        <f>D54/TableA2!C54</f>
        <v>0</v>
      </c>
      <c r="I54" s="1210">
        <f>TableA6!D54/TableA2!C54</f>
        <v>0</v>
      </c>
      <c r="J54" s="1210">
        <f>TableA6!I54/TableA2!$C54</f>
        <v>0</v>
      </c>
      <c r="K54" s="1210">
        <f>TableA6!J54/TableA2!$C54</f>
        <v>2.171958577610551</v>
      </c>
      <c r="L54" s="902">
        <f>(C54+E54)/TableA2!C54</f>
        <v>2.3923255199351803</v>
      </c>
      <c r="M54" s="1178">
        <f>C54/TableA4!D54</f>
        <v>5.2608691675727046</v>
      </c>
      <c r="N54" s="1178">
        <f>TableA10!D37/TableA10!C37</f>
        <v>1.5591216216216208</v>
      </c>
      <c r="O54" s="1696">
        <f t="shared" ref="O54:O90" si="21">O$53</f>
        <v>0.47996308817683037</v>
      </c>
      <c r="P54" s="266" t="str">
        <f>+'Table E1'!D54</f>
        <v/>
      </c>
      <c r="Q54" s="266" t="str">
        <f>+'Table E1'!I54</f>
        <v/>
      </c>
      <c r="R54" s="266" t="str">
        <f>+'Table E1'!N54</f>
        <v/>
      </c>
      <c r="S54" s="266" t="str">
        <f t="shared" si="16"/>
        <v/>
      </c>
      <c r="T54" s="266" t="str">
        <f t="shared" si="17"/>
        <v/>
      </c>
      <c r="U54" s="266" t="str">
        <f t="shared" si="18"/>
        <v/>
      </c>
      <c r="V54" s="908">
        <f>C54-O54*TableA4!D54</f>
        <v>0.97359327582033472</v>
      </c>
      <c r="W54" s="26" t="str">
        <f>IFERROR($C54-S54*TableA4!$D54,"")</f>
        <v/>
      </c>
      <c r="X54" s="26" t="str">
        <f>IFERROR($C54-T54*TableA4!$D54,"")</f>
        <v/>
      </c>
      <c r="Y54" s="906" t="str">
        <f>IFERROR($C54-U54*TableA4!$D54,"")</f>
        <v/>
      </c>
      <c r="Z54" s="26" t="str">
        <f t="shared" ref="Z54:Z90" si="22">IFERROR(-$V54+W54,"")</f>
        <v/>
      </c>
      <c r="AA54" s="26" t="str">
        <f t="shared" ref="AA54:AA90" si="23">IFERROR(-$V54+X54,"")</f>
        <v/>
      </c>
      <c r="AB54" s="896" t="str">
        <f t="shared" ref="AB54:AB90" si="24">IFERROR(-$V54+Y54,"")</f>
        <v/>
      </c>
      <c r="AC54" s="26"/>
      <c r="AD54" s="26"/>
      <c r="AE54" s="26"/>
      <c r="AF54" s="954"/>
      <c r="AG54" s="954"/>
      <c r="AH54" s="320">
        <f t="shared" si="14"/>
        <v>0</v>
      </c>
      <c r="AI54" s="320">
        <f t="shared" si="15"/>
        <v>0</v>
      </c>
      <c r="AJ54" s="954"/>
    </row>
    <row r="55" spans="1:36" ht="17" x14ac:dyDescent="0.2">
      <c r="A55" s="955" t="s">
        <v>74</v>
      </c>
      <c r="B55" s="1208">
        <f>TableA6!B55</f>
        <v>0.23996156292186116</v>
      </c>
      <c r="C55" s="1153">
        <f>TableA6!E55</f>
        <v>0.22608681761471922</v>
      </c>
      <c r="D55" s="1860">
        <v>0</v>
      </c>
      <c r="E55" s="1153">
        <f>TableA6!K55</f>
        <v>1.3874745307141934E-2</v>
      </c>
      <c r="F55" s="311">
        <f t="shared" si="13"/>
        <v>0.94217930097554836</v>
      </c>
      <c r="G55" s="1210">
        <f>TableA2!L55</f>
        <v>2.3923282826230872</v>
      </c>
      <c r="H55" s="1178">
        <f>D55/TableA2!C55</f>
        <v>0</v>
      </c>
      <c r="I55" s="1178">
        <f>TableA6!D55/TableA2!C55</f>
        <v>2.5882039102567727</v>
      </c>
      <c r="J55" s="1178">
        <f>TableA6!I55/TableA2!$C55</f>
        <v>0</v>
      </c>
      <c r="K55" s="1178">
        <f>TableA6!J55/TableA2!$C55</f>
        <v>2.5609602213968543</v>
      </c>
      <c r="L55" s="902">
        <f>(C55+E55)/TableA2!C55</f>
        <v>4.9805321928798598</v>
      </c>
      <c r="M55" s="1178">
        <f>C55/TableA4!D55</f>
        <v>11.731385849934403</v>
      </c>
      <c r="N55" s="1178">
        <f>TableA10!D$63/TableA10!C$63</f>
        <v>14.031458531935176</v>
      </c>
      <c r="O55" s="1696">
        <f t="shared" si="21"/>
        <v>0.47996308817683037</v>
      </c>
      <c r="P55" s="266" t="str">
        <f>+'Table E1'!D55</f>
        <v/>
      </c>
      <c r="Q55" s="266" t="str">
        <f>+'Table E1'!I55</f>
        <v/>
      </c>
      <c r="R55" s="266" t="str">
        <f>+'Table E1'!N55</f>
        <v/>
      </c>
      <c r="S55" s="266" t="str">
        <f t="shared" si="16"/>
        <v/>
      </c>
      <c r="T55" s="266" t="str">
        <f t="shared" si="17"/>
        <v/>
      </c>
      <c r="U55" s="266" t="str">
        <f t="shared" si="18"/>
        <v/>
      </c>
      <c r="V55" s="908">
        <f>C55-O55*TableA4!D55</f>
        <v>0.21683698740995794</v>
      </c>
      <c r="W55" s="26" t="str">
        <f>IFERROR($C55-S55*TableA4!$D55,"")</f>
        <v/>
      </c>
      <c r="X55" s="26" t="str">
        <f>IFERROR($C55-T55*TableA4!$D55,"")</f>
        <v/>
      </c>
      <c r="Y55" s="906" t="str">
        <f>IFERROR($C55-U55*TableA4!$D55,"")</f>
        <v/>
      </c>
      <c r="Z55" s="26" t="str">
        <f t="shared" si="22"/>
        <v/>
      </c>
      <c r="AA55" s="26" t="str">
        <f t="shared" si="23"/>
        <v/>
      </c>
      <c r="AB55" s="896" t="str">
        <f t="shared" si="24"/>
        <v/>
      </c>
      <c r="AC55" s="26"/>
      <c r="AD55" s="26"/>
      <c r="AE55" s="26"/>
      <c r="AF55" s="954"/>
      <c r="AG55" s="954"/>
      <c r="AH55" s="320">
        <f t="shared" si="14"/>
        <v>0</v>
      </c>
      <c r="AI55" s="320">
        <f t="shared" si="15"/>
        <v>0</v>
      </c>
      <c r="AJ55" s="954"/>
    </row>
    <row r="56" spans="1:36" ht="17" x14ac:dyDescent="0.2">
      <c r="A56" s="955" t="str">
        <f>+TableA1!A56</f>
        <v>Antigua and Barbuda</v>
      </c>
      <c r="B56" s="1208">
        <f>TableA6!B56</f>
        <v>0.83688997048164881</v>
      </c>
      <c r="C56" s="1153">
        <f>TableA6!E56</f>
        <v>0.80975658198969502</v>
      </c>
      <c r="D56" s="1153">
        <v>0</v>
      </c>
      <c r="E56" s="1153">
        <f>TableA6!K56</f>
        <v>2.7133388491953736E-2</v>
      </c>
      <c r="F56" s="311">
        <f t="shared" si="13"/>
        <v>0.96757830844078829</v>
      </c>
      <c r="G56" s="1210">
        <f>TableA2!L56</f>
        <v>7.8984192228753365</v>
      </c>
      <c r="H56" s="1178">
        <f>D56/TableA2!C56</f>
        <v>0</v>
      </c>
      <c r="I56" s="1178">
        <f>TableA6!D56/TableA2!C56</f>
        <v>0.98383950752326899</v>
      </c>
      <c r="J56" s="1178">
        <f>TableA6!I56/TableA2!$C56</f>
        <v>0</v>
      </c>
      <c r="K56" s="1178">
        <f>TableA6!J56/TableA2!$C56</f>
        <v>7.7351530408344944</v>
      </c>
      <c r="L56" s="902">
        <f>(C56+E56)/TableA2!C56</f>
        <v>8.8822587303986058</v>
      </c>
      <c r="M56" s="1178">
        <f>C56/TableA4!D56</f>
        <v>21.485702193731267</v>
      </c>
      <c r="N56" s="1178">
        <f>TableA10!D$63/TableA10!C$63</f>
        <v>14.031458531935176</v>
      </c>
      <c r="O56" s="1696">
        <f t="shared" si="21"/>
        <v>0.47996308817683037</v>
      </c>
      <c r="P56" s="266" t="str">
        <f>+'Table E1'!D56</f>
        <v/>
      </c>
      <c r="Q56" s="266" t="str">
        <f>+'Table E1'!I56</f>
        <v/>
      </c>
      <c r="R56" s="266" t="str">
        <f>+'Table E1'!N56</f>
        <v/>
      </c>
      <c r="S56" s="266" t="str">
        <f t="shared" si="16"/>
        <v/>
      </c>
      <c r="T56" s="266" t="str">
        <f t="shared" si="17"/>
        <v/>
      </c>
      <c r="U56" s="266" t="str">
        <f t="shared" si="18"/>
        <v/>
      </c>
      <c r="V56" s="908">
        <f>C56-O56*TableA4!D56</f>
        <v>0.79166765632839253</v>
      </c>
      <c r="W56" s="26" t="str">
        <f>IFERROR($C56-S56*TableA4!$D56,"")</f>
        <v/>
      </c>
      <c r="X56" s="26" t="str">
        <f>IFERROR($C56-T56*TableA4!$D56,"")</f>
        <v/>
      </c>
      <c r="Y56" s="906" t="str">
        <f>IFERROR($C56-U56*TableA4!$D56,"")</f>
        <v/>
      </c>
      <c r="Z56" s="26" t="str">
        <f t="shared" si="22"/>
        <v/>
      </c>
      <c r="AA56" s="26" t="str">
        <f t="shared" si="23"/>
        <v/>
      </c>
      <c r="AB56" s="896" t="str">
        <f t="shared" si="24"/>
        <v/>
      </c>
      <c r="AC56" s="26"/>
      <c r="AD56" s="26"/>
      <c r="AE56" s="26"/>
      <c r="AF56" s="954"/>
      <c r="AG56" s="954"/>
      <c r="AH56" s="320">
        <f t="shared" si="14"/>
        <v>3.3306690738754696E-16</v>
      </c>
      <c r="AI56" s="320">
        <f t="shared" si="15"/>
        <v>5.5511151231257827E-17</v>
      </c>
      <c r="AJ56" s="954"/>
    </row>
    <row r="57" spans="1:36" ht="17" x14ac:dyDescent="0.2">
      <c r="A57" s="955" t="s">
        <v>76</v>
      </c>
      <c r="B57" s="1208">
        <f>TableA6!B57</f>
        <v>1.0830039076807072</v>
      </c>
      <c r="C57" s="1153">
        <f>TableA6!E57</f>
        <v>0.95263604569226357</v>
      </c>
      <c r="D57" s="1860">
        <v>0</v>
      </c>
      <c r="E57" s="1153">
        <f>TableA6!K57</f>
        <v>0.13036786198844358</v>
      </c>
      <c r="F57" s="311">
        <f t="shared" si="13"/>
        <v>0.87962383047386117</v>
      </c>
      <c r="G57" s="1210">
        <f>TableA2!L57</f>
        <v>2.3923161373195709</v>
      </c>
      <c r="H57" s="1178">
        <f>D57/TableA2!C57</f>
        <v>0</v>
      </c>
      <c r="I57" s="1178">
        <f>TableA6!D57/TableA2!C57</f>
        <v>0</v>
      </c>
      <c r="J57" s="1178">
        <f>TableA6!I57/TableA2!$C57</f>
        <v>0</v>
      </c>
      <c r="K57" s="1178">
        <f>TableA6!J57/TableA2!$C57</f>
        <v>2.0073413382474254</v>
      </c>
      <c r="L57" s="902">
        <f>(C57+E57)/TableA2!C57</f>
        <v>2.3923161373195709</v>
      </c>
      <c r="M57" s="1178">
        <f>C57/TableA4!D57</f>
        <v>5.2608457110336815</v>
      </c>
      <c r="N57" s="1178">
        <f>TableA10!D$63/TableA10!C$63</f>
        <v>14.031458531935176</v>
      </c>
      <c r="O57" s="1696">
        <f t="shared" si="21"/>
        <v>0.47996308817683037</v>
      </c>
      <c r="P57" s="266" t="str">
        <f>+'Table E1'!D57</f>
        <v/>
      </c>
      <c r="Q57" s="266" t="str">
        <f>+'Table E1'!I57</f>
        <v/>
      </c>
      <c r="R57" s="266" t="str">
        <f>+'Table E1'!N57</f>
        <v/>
      </c>
      <c r="S57" s="266" t="str">
        <f t="shared" si="16"/>
        <v/>
      </c>
      <c r="T57" s="266" t="str">
        <f t="shared" si="17"/>
        <v/>
      </c>
      <c r="U57" s="266" t="str">
        <f t="shared" si="18"/>
        <v/>
      </c>
      <c r="V57" s="908">
        <f>C57-O57*TableA4!D57</f>
        <v>0.86572413769996781</v>
      </c>
      <c r="W57" s="26" t="str">
        <f>IFERROR($C57-S57*TableA4!$D57,"")</f>
        <v/>
      </c>
      <c r="X57" s="26" t="str">
        <f>IFERROR($C57-T57*TableA4!$D57,"")</f>
        <v/>
      </c>
      <c r="Y57" s="906" t="str">
        <f>IFERROR($C57-U57*TableA4!$D57,"")</f>
        <v/>
      </c>
      <c r="Z57" s="26" t="str">
        <f t="shared" si="22"/>
        <v/>
      </c>
      <c r="AA57" s="26" t="str">
        <f t="shared" si="23"/>
        <v/>
      </c>
      <c r="AB57" s="896" t="str">
        <f t="shared" si="24"/>
        <v/>
      </c>
      <c r="AC57" s="26"/>
      <c r="AD57" s="26"/>
      <c r="AE57" s="26"/>
      <c r="AF57" s="954"/>
      <c r="AG57" s="954"/>
      <c r="AH57" s="320">
        <f t="shared" si="14"/>
        <v>0</v>
      </c>
      <c r="AI57" s="320">
        <f t="shared" si="15"/>
        <v>0</v>
      </c>
      <c r="AJ57" s="954"/>
    </row>
    <row r="58" spans="1:36" ht="17" x14ac:dyDescent="0.2">
      <c r="A58" s="955" t="s">
        <v>152</v>
      </c>
      <c r="B58" s="1208">
        <f>TableA6!B58</f>
        <v>7.5674507528223769</v>
      </c>
      <c r="C58" s="1153">
        <f>TableA6!E58</f>
        <v>7.4256876071944387</v>
      </c>
      <c r="D58" s="1860">
        <v>0</v>
      </c>
      <c r="E58" s="1153">
        <f>TableA6!K58</f>
        <v>0.1417631456279379</v>
      </c>
      <c r="F58" s="311">
        <f t="shared" si="13"/>
        <v>0.98126672372792567</v>
      </c>
      <c r="G58" s="1210">
        <f>TableA2!L58</f>
        <v>13.025874775347917</v>
      </c>
      <c r="H58" s="1178">
        <f>D58/TableA2!C58</f>
        <v>0</v>
      </c>
      <c r="I58" s="1178">
        <f>TableA6!D58/TableA2!C58</f>
        <v>2.3466553002047297</v>
      </c>
      <c r="J58" s="1178">
        <f>TableA6!I58/TableA2!$C58</f>
        <v>11.090152854335686</v>
      </c>
      <c r="K58" s="1178">
        <f>TableA6!J58/TableA2!$C58</f>
        <v>2.493548736246979</v>
      </c>
      <c r="L58" s="902">
        <f>(C58+E58)/TableA2!C58</f>
        <v>15.372530075552646</v>
      </c>
      <c r="M58" s="1178">
        <f>C58/TableA4!D58</f>
        <v>37.711380556616369</v>
      </c>
      <c r="N58" s="1178">
        <f>TableA10!D$63/TableA10!C$63</f>
        <v>14.031458531935176</v>
      </c>
      <c r="O58" s="1696">
        <f t="shared" si="21"/>
        <v>0.47996308817683037</v>
      </c>
      <c r="P58" s="266"/>
      <c r="Q58" s="266"/>
      <c r="R58" s="266"/>
      <c r="S58" s="266" t="str">
        <f t="shared" si="16"/>
        <v/>
      </c>
      <c r="T58" s="266" t="str">
        <f t="shared" si="17"/>
        <v/>
      </c>
      <c r="U58" s="266" t="str">
        <f t="shared" si="18"/>
        <v/>
      </c>
      <c r="V58" s="908">
        <f>C58-O58*TableA4!D58</f>
        <v>7.3311788434424798</v>
      </c>
      <c r="W58" s="26" t="str">
        <f>IFERROR($C58-S58*TableA4!$D58,"")</f>
        <v/>
      </c>
      <c r="X58" s="26" t="str">
        <f>IFERROR($C58-T58*TableA4!$D58,"")</f>
        <v/>
      </c>
      <c r="Y58" s="906" t="str">
        <f>IFERROR($C58-U58*TableA4!$D58,"")</f>
        <v/>
      </c>
      <c r="Z58" s="26" t="str">
        <f t="shared" si="22"/>
        <v/>
      </c>
      <c r="AA58" s="26" t="str">
        <f t="shared" si="23"/>
        <v/>
      </c>
      <c r="AB58" s="896" t="str">
        <f t="shared" si="24"/>
        <v/>
      </c>
      <c r="AC58" s="26"/>
      <c r="AD58" s="26"/>
      <c r="AE58" s="26"/>
      <c r="AF58" s="954"/>
      <c r="AG58" s="954"/>
      <c r="AH58" s="320">
        <f t="shared" si="14"/>
        <v>-8.8817841970012523E-16</v>
      </c>
      <c r="AI58" s="320">
        <f t="shared" si="15"/>
        <v>3.3306690738754696E-16</v>
      </c>
      <c r="AJ58" s="954"/>
    </row>
    <row r="59" spans="1:36" ht="17" x14ac:dyDescent="0.2">
      <c r="A59" s="955" t="s">
        <v>78</v>
      </c>
      <c r="B59" s="1208">
        <f>TableA6!B59</f>
        <v>12.818630643859262</v>
      </c>
      <c r="C59" s="1153">
        <f>TableA6!E59</f>
        <v>9.9035637652207527</v>
      </c>
      <c r="D59" s="1860">
        <v>0</v>
      </c>
      <c r="E59" s="1153">
        <f>TableA6!K59</f>
        <v>2.9150668786385086</v>
      </c>
      <c r="F59" s="311">
        <f t="shared" si="13"/>
        <v>0.7725913976595491</v>
      </c>
      <c r="G59" s="1210">
        <f>TableA2!L59</f>
        <v>1.1886326440866672</v>
      </c>
      <c r="H59" s="1178">
        <f>D59/TableA2!C59</f>
        <v>0</v>
      </c>
      <c r="I59" s="1178">
        <f>TableA6!D59/TableA2!C59</f>
        <v>7.7712823684907076E-2</v>
      </c>
      <c r="J59" s="1178">
        <f>TableA6!I59/TableA2!$C59</f>
        <v>9.6292997742348937E-2</v>
      </c>
      <c r="K59" s="1178">
        <f>TableA6!J59/TableA2!$C59</f>
        <v>0.81859172082117837</v>
      </c>
      <c r="L59" s="902">
        <f>(C59+E59)/TableA2!C59</f>
        <v>1.2663454677715744</v>
      </c>
      <c r="M59" s="1178">
        <f>C59/TableA4!D59</f>
        <v>2.4459190371636907</v>
      </c>
      <c r="N59" s="1178">
        <f>TableA10!D75/TableA10!C75</f>
        <v>2.6792645556690502</v>
      </c>
      <c r="O59" s="1696">
        <f t="shared" si="21"/>
        <v>0.47996308817683037</v>
      </c>
      <c r="P59" s="266"/>
      <c r="Q59" s="266"/>
      <c r="R59" s="266"/>
      <c r="S59" s="266" t="str">
        <f t="shared" si="16"/>
        <v/>
      </c>
      <c r="T59" s="266" t="str">
        <f t="shared" si="17"/>
        <v/>
      </c>
      <c r="U59" s="266" t="str">
        <f t="shared" si="18"/>
        <v/>
      </c>
      <c r="V59" s="908">
        <f>C59-O59*TableA4!D59</f>
        <v>7.9601858461284136</v>
      </c>
      <c r="W59" s="26" t="str">
        <f>IFERROR($C59-S59*TableA4!$D59,"")</f>
        <v/>
      </c>
      <c r="X59" s="26" t="str">
        <f>IFERROR($C59-T59*TableA4!$D59,"")</f>
        <v/>
      </c>
      <c r="Y59" s="906" t="str">
        <f>IFERROR($C59-U59*TableA4!$D59,"")</f>
        <v/>
      </c>
      <c r="Z59" s="26" t="str">
        <f t="shared" si="22"/>
        <v/>
      </c>
      <c r="AA59" s="26" t="str">
        <f t="shared" si="23"/>
        <v/>
      </c>
      <c r="AB59" s="896" t="str">
        <f t="shared" si="24"/>
        <v/>
      </c>
      <c r="AC59" s="26"/>
      <c r="AD59" s="26"/>
      <c r="AE59" s="26"/>
      <c r="AF59" s="954"/>
      <c r="AG59" s="954"/>
      <c r="AH59" s="320">
        <f t="shared" si="14"/>
        <v>9.7144514654701197E-17</v>
      </c>
      <c r="AI59" s="320">
        <f t="shared" si="15"/>
        <v>0</v>
      </c>
      <c r="AJ59" s="954"/>
    </row>
    <row r="60" spans="1:36" ht="17" x14ac:dyDescent="0.2">
      <c r="A60" s="955" t="str">
        <f>+TableA1!A60</f>
        <v>Barbados</v>
      </c>
      <c r="B60" s="1208">
        <f>TableA6!B60</f>
        <v>4.7927919009162316</v>
      </c>
      <c r="C60" s="1153">
        <f>TableA6!E60</f>
        <v>4.6934588361797722</v>
      </c>
      <c r="D60" s="1860">
        <v>0</v>
      </c>
      <c r="E60" s="1153">
        <f>TableA6!K60</f>
        <v>9.933306473645917E-2</v>
      </c>
      <c r="F60" s="311">
        <f t="shared" si="13"/>
        <v>0.97927448827530561</v>
      </c>
      <c r="G60" s="1210">
        <f>TableA2!L60</f>
        <v>7.1637948004065679</v>
      </c>
      <c r="H60" s="1178">
        <f>D60/TableA2!C60</f>
        <v>0</v>
      </c>
      <c r="I60" s="1178">
        <f>TableA6!D60/TableA2!C60</f>
        <v>6.7310540569548074</v>
      </c>
      <c r="J60" s="1178">
        <f>TableA6!I60/TableA2!$C60</f>
        <v>4.65234739282762</v>
      </c>
      <c r="K60" s="1178">
        <f>TableA6!J60/TableA2!$C60</f>
        <v>3.1691441921362671</v>
      </c>
      <c r="L60" s="902">
        <f>(C60+E60)/TableA2!C60</f>
        <v>13.894848857361376</v>
      </c>
      <c r="M60" s="1178">
        <f>C60/TableA4!D60</f>
        <v>34.017177511138193</v>
      </c>
      <c r="N60" s="1178">
        <f>VLOOKUP(A60,TableA10!$A$8:$G$95,4,)/VLOOKUP(A60,TableA10!$A$8:$G$95,3,)</f>
        <v>25.326530612244898</v>
      </c>
      <c r="O60" s="1696">
        <f t="shared" si="21"/>
        <v>0.47996308817683037</v>
      </c>
      <c r="P60" s="266"/>
      <c r="Q60" s="266"/>
      <c r="R60" s="266"/>
      <c r="S60" s="266" t="str">
        <f t="shared" si="16"/>
        <v/>
      </c>
      <c r="T60" s="266" t="str">
        <f t="shared" si="17"/>
        <v/>
      </c>
      <c r="U60" s="266" t="str">
        <f t="shared" si="18"/>
        <v/>
      </c>
      <c r="V60" s="908">
        <f>C60-O60*TableA4!D60</f>
        <v>4.6272367930221332</v>
      </c>
      <c r="W60" s="26" t="str">
        <f>IFERROR($C60-S60*TableA4!$D60,"")</f>
        <v/>
      </c>
      <c r="X60" s="26" t="str">
        <f>IFERROR($C60-T60*TableA4!$D60,"")</f>
        <v/>
      </c>
      <c r="Y60" s="906" t="str">
        <f>IFERROR($C60-U60*TableA4!$D60,"")</f>
        <v/>
      </c>
      <c r="Z60" s="26" t="str">
        <f t="shared" si="22"/>
        <v/>
      </c>
      <c r="AA60" s="26" t="str">
        <f t="shared" si="23"/>
        <v/>
      </c>
      <c r="AB60" s="896" t="str">
        <f t="shared" si="24"/>
        <v/>
      </c>
      <c r="AC60" s="26"/>
      <c r="AD60" s="26"/>
      <c r="AE60" s="26"/>
      <c r="AF60" s="954"/>
      <c r="AG60" s="954"/>
      <c r="AH60" s="320">
        <f t="shared" si="14"/>
        <v>8.8817841970012523E-16</v>
      </c>
      <c r="AI60" s="320">
        <f t="shared" si="15"/>
        <v>2.4980018054066022E-16</v>
      </c>
      <c r="AJ60" s="954"/>
    </row>
    <row r="61" spans="1:36" ht="17" x14ac:dyDescent="0.2">
      <c r="A61" s="955" t="s">
        <v>80</v>
      </c>
      <c r="B61" s="1208">
        <f>TableA6!B61</f>
        <v>0.96228953856820065</v>
      </c>
      <c r="C61" s="1153">
        <f>TableA6!E61</f>
        <v>0.92373045597548575</v>
      </c>
      <c r="D61" s="1153">
        <v>0</v>
      </c>
      <c r="E61" s="1153">
        <f>TableA6!K61</f>
        <v>3.855908259271492E-2</v>
      </c>
      <c r="F61" s="311">
        <f t="shared" si="13"/>
        <v>0.95992985370069872</v>
      </c>
      <c r="G61" s="1210">
        <f>TableA2!L61</f>
        <v>6.9944164581853387</v>
      </c>
      <c r="H61" s="1178">
        <f>D61/TableA2!C61</f>
        <v>0</v>
      </c>
      <c r="I61" s="1178">
        <f>TableA6!D61/TableA2!C61</f>
        <v>0.19242660335646011</v>
      </c>
      <c r="J61" s="1178">
        <f>TableA6!I61/TableA2!$C61</f>
        <v>0.52273449757673773</v>
      </c>
      <c r="K61" s="1178">
        <f>TableA6!J61/TableA2!$C61</f>
        <v>5.8907579015650278</v>
      </c>
      <c r="L61" s="902">
        <f>(C61+E61)/TableA2!C61</f>
        <v>7.1868430615417989</v>
      </c>
      <c r="M61" s="1178">
        <f>C61/TableA4!D61</f>
        <v>17.247163021589252</v>
      </c>
      <c r="N61" s="1178">
        <f>TableA10!D$63/TableA10!C$63</f>
        <v>14.031458531935176</v>
      </c>
      <c r="O61" s="1696">
        <f t="shared" si="21"/>
        <v>0.47996308817683037</v>
      </c>
      <c r="P61" s="266"/>
      <c r="Q61" s="266"/>
      <c r="R61" s="266"/>
      <c r="S61" s="266" t="str">
        <f t="shared" si="16"/>
        <v/>
      </c>
      <c r="T61" s="266" t="str">
        <f t="shared" si="17"/>
        <v/>
      </c>
      <c r="U61" s="266" t="str">
        <f t="shared" si="18"/>
        <v/>
      </c>
      <c r="V61" s="908">
        <f>C61-O61*TableA4!D61</f>
        <v>0.89802440091367575</v>
      </c>
      <c r="W61" s="26" t="str">
        <f>IFERROR($C61-S61*TableA4!$D61,"")</f>
        <v/>
      </c>
      <c r="X61" s="26" t="str">
        <f>IFERROR($C61-T61*TableA4!$D61,"")</f>
        <v/>
      </c>
      <c r="Y61" s="906" t="str">
        <f>IFERROR($C61-U61*TableA4!$D61,"")</f>
        <v/>
      </c>
      <c r="Z61" s="26" t="str">
        <f t="shared" si="22"/>
        <v/>
      </c>
      <c r="AA61" s="26" t="str">
        <f t="shared" si="23"/>
        <v/>
      </c>
      <c r="AB61" s="896" t="str">
        <f t="shared" si="24"/>
        <v/>
      </c>
      <c r="AC61" s="26"/>
      <c r="AD61" s="26"/>
      <c r="AE61" s="26"/>
      <c r="AF61" s="954"/>
      <c r="AG61" s="954"/>
      <c r="AH61" s="320">
        <f t="shared" si="14"/>
        <v>0</v>
      </c>
      <c r="AI61" s="320">
        <f t="shared" si="15"/>
        <v>0</v>
      </c>
      <c r="AJ61" s="954"/>
    </row>
    <row r="62" spans="1:36" ht="17" x14ac:dyDescent="0.2">
      <c r="A62" s="955" t="s">
        <v>81</v>
      </c>
      <c r="B62" s="1208">
        <f>TableA6!B62</f>
        <v>25.438024032487199</v>
      </c>
      <c r="C62" s="1153">
        <f>TableA6!E62</f>
        <v>24.545618103452078</v>
      </c>
      <c r="D62" s="1860">
        <v>0</v>
      </c>
      <c r="E62" s="1153">
        <f>TableA6!K62</f>
        <v>0.89240592903512039</v>
      </c>
      <c r="F62" s="311">
        <f t="shared" si="13"/>
        <v>0.96491842574346898</v>
      </c>
      <c r="G62" s="1210">
        <f>TableA2!L62</f>
        <v>0.57155258740431214</v>
      </c>
      <c r="H62" s="1178">
        <f>D62/TableA2!C62</f>
        <v>0</v>
      </c>
      <c r="I62" s="1178">
        <f>TableA6!D62/TableA2!C62</f>
        <v>7.6372538589736259</v>
      </c>
      <c r="J62" s="1178">
        <f>TableA6!I62/TableA2!$C62</f>
        <v>1.6319218643375801</v>
      </c>
      <c r="K62" s="1178">
        <f>TableA6!J62/TableA2!$C62</f>
        <v>1.3040578882868976</v>
      </c>
      <c r="L62" s="902">
        <f>(C62+E62)/TableA2!C62</f>
        <v>8.2088064463779382</v>
      </c>
      <c r="M62" s="1178">
        <f>C62/TableA4!D62</f>
        <v>19.802071483679597</v>
      </c>
      <c r="N62" s="1178">
        <f>VLOOKUP(A62,TableA10!$A$8:$G$95,4,)/VLOOKUP(A62,TableA10!$A$8:$G$95,3,)</f>
        <v>1.3093313739897134</v>
      </c>
      <c r="O62" s="1696">
        <f t="shared" si="21"/>
        <v>0.47996308817683037</v>
      </c>
      <c r="P62" s="266"/>
      <c r="Q62" s="266"/>
      <c r="R62" s="266"/>
      <c r="S62" s="266" t="str">
        <f t="shared" si="16"/>
        <v/>
      </c>
      <c r="T62" s="266" t="str">
        <f t="shared" si="17"/>
        <v/>
      </c>
      <c r="U62" s="266" t="str">
        <f t="shared" si="18"/>
        <v/>
      </c>
      <c r="V62" s="908">
        <f>C62-O62*TableA4!D62</f>
        <v>23.950680817428665</v>
      </c>
      <c r="W62" s="26" t="str">
        <f>IFERROR($C62-S62*TableA4!$D62,"")</f>
        <v/>
      </c>
      <c r="X62" s="26" t="str">
        <f>IFERROR($C62-T62*TableA4!$D62,"")</f>
        <v/>
      </c>
      <c r="Y62" s="906" t="str">
        <f>IFERROR($C62-U62*TableA4!$D62,"")</f>
        <v/>
      </c>
      <c r="Z62" s="26" t="str">
        <f t="shared" si="22"/>
        <v/>
      </c>
      <c r="AA62" s="26" t="str">
        <f t="shared" si="23"/>
        <v/>
      </c>
      <c r="AB62" s="896" t="str">
        <f t="shared" si="24"/>
        <v/>
      </c>
      <c r="AC62" s="26"/>
      <c r="AD62" s="26"/>
      <c r="AE62" s="26"/>
      <c r="AF62" s="954"/>
      <c r="AG62" s="954"/>
      <c r="AH62" s="320">
        <f t="shared" si="14"/>
        <v>0</v>
      </c>
      <c r="AI62" s="320">
        <f t="shared" si="15"/>
        <v>0</v>
      </c>
      <c r="AJ62" s="954"/>
    </row>
    <row r="63" spans="1:36" ht="17" x14ac:dyDescent="0.2">
      <c r="A63" s="955" t="s">
        <v>82</v>
      </c>
      <c r="B63" s="1208">
        <f>TableA6!B63</f>
        <v>0.17335876526209473</v>
      </c>
      <c r="C63" s="1153">
        <f>TableA6!E63</f>
        <v>0.1524905077468249</v>
      </c>
      <c r="D63" s="1860">
        <v>0</v>
      </c>
      <c r="E63" s="1153">
        <f>TableA6!K63</f>
        <v>2.0868257515269825E-2</v>
      </c>
      <c r="F63" s="311">
        <f t="shared" si="13"/>
        <v>0.87962386854959496</v>
      </c>
      <c r="G63" s="1210">
        <f>TableA2!L63</f>
        <v>2.3923168940243364</v>
      </c>
      <c r="H63" s="1178">
        <f>D63/TableA2!C63</f>
        <v>0</v>
      </c>
      <c r="I63" s="1178">
        <f>TableA6!D63/TableA2!C63</f>
        <v>0</v>
      </c>
      <c r="J63" s="1178">
        <f>TableA6!I63/TableA2!$C63</f>
        <v>0</v>
      </c>
      <c r="K63" s="1178">
        <f>TableA6!J63/TableA2!$C63</f>
        <v>2.2408844651324529</v>
      </c>
      <c r="L63" s="902">
        <f>(C63+E63)/TableA2!C63</f>
        <v>2.3923168940243364</v>
      </c>
      <c r="M63" s="1178">
        <f>C63/TableA4!D63</f>
        <v>5.2608476027955957</v>
      </c>
      <c r="N63" s="1178">
        <f>TableA10!D$63/TableA10!C$63</f>
        <v>14.031458531935176</v>
      </c>
      <c r="O63" s="1696">
        <f t="shared" si="21"/>
        <v>0.47996308817683037</v>
      </c>
      <c r="P63" s="266" t="str">
        <f>+'Table E1'!D63</f>
        <v/>
      </c>
      <c r="Q63" s="266" t="str">
        <f>+'Table E1'!I63</f>
        <v/>
      </c>
      <c r="R63" s="266" t="str">
        <f>+'Table E1'!N63</f>
        <v/>
      </c>
      <c r="S63" s="266" t="str">
        <f t="shared" si="16"/>
        <v/>
      </c>
      <c r="T63" s="266" t="str">
        <f t="shared" si="17"/>
        <v/>
      </c>
      <c r="U63" s="266" t="str">
        <f t="shared" si="18"/>
        <v/>
      </c>
      <c r="V63" s="908">
        <f>C63-O63*TableA4!D63</f>
        <v>0.13857833606997835</v>
      </c>
      <c r="W63" s="26" t="str">
        <f>IFERROR($C63-S63*TableA4!$D63,"")</f>
        <v/>
      </c>
      <c r="X63" s="26" t="str">
        <f>IFERROR($C63-T63*TableA4!$D63,"")</f>
        <v/>
      </c>
      <c r="Y63" s="906" t="str">
        <f>IFERROR($C63-U63*TableA4!$D63,"")</f>
        <v/>
      </c>
      <c r="Z63" s="26" t="str">
        <f t="shared" si="22"/>
        <v/>
      </c>
      <c r="AA63" s="26" t="str">
        <f t="shared" si="23"/>
        <v/>
      </c>
      <c r="AB63" s="896" t="str">
        <f t="shared" si="24"/>
        <v/>
      </c>
      <c r="AC63" s="26"/>
      <c r="AD63" s="26"/>
      <c r="AE63" s="26"/>
      <c r="AF63" s="954"/>
      <c r="AG63" s="954"/>
      <c r="AH63" s="320">
        <f t="shared" si="14"/>
        <v>0</v>
      </c>
      <c r="AI63" s="320">
        <f t="shared" si="15"/>
        <v>0</v>
      </c>
      <c r="AJ63" s="954"/>
    </row>
    <row r="64" spans="1:36" ht="17" x14ac:dyDescent="0.2">
      <c r="A64" s="955" t="s">
        <v>153</v>
      </c>
      <c r="B64" s="1208">
        <f>TableA6!B64</f>
        <v>29.125071697810739</v>
      </c>
      <c r="C64" s="1153">
        <f>TableA6!E64</f>
        <v>29.078139371166927</v>
      </c>
      <c r="D64" s="1860">
        <v>0</v>
      </c>
      <c r="E64" s="1153">
        <f>TableA6!K64</f>
        <v>4.6932326643812639E-2</v>
      </c>
      <c r="F64" s="311">
        <f t="shared" si="13"/>
        <v>0.99838859360997423</v>
      </c>
      <c r="G64" s="1210">
        <f>TableA2!L64</f>
        <v>2.3923257034784351</v>
      </c>
      <c r="H64" s="1178">
        <f>D64/TableA2!C64</f>
        <v>0</v>
      </c>
      <c r="I64" s="1178">
        <f>TableA6!D64/TableA2!C64</f>
        <v>176.31979477004302</v>
      </c>
      <c r="J64" s="1178">
        <f>TableA6!I64/TableA2!$C64</f>
        <v>0</v>
      </c>
      <c r="K64" s="1178">
        <f>TableA6!J64/TableA2!$C64</f>
        <v>203.02408818842605</v>
      </c>
      <c r="L64" s="902">
        <f>(C64+E64)/TableA2!C64</f>
        <v>178.71212047352145</v>
      </c>
      <c r="M64" s="1178">
        <f>C64/TableA4!D64</f>
        <v>446.06035655153835</v>
      </c>
      <c r="N64" s="1178">
        <f>TableA10!D$62/TableA10!C$62</f>
        <v>8.901215805471125</v>
      </c>
      <c r="O64" s="1696">
        <f t="shared" si="21"/>
        <v>0.47996308817683037</v>
      </c>
      <c r="P64" s="266" t="str">
        <f>+'Table E1'!D64</f>
        <v/>
      </c>
      <c r="Q64" s="266" t="str">
        <f>+'Table E1'!I64</f>
        <v/>
      </c>
      <c r="R64" s="266" t="str">
        <f>+'Table E1'!N64</f>
        <v/>
      </c>
      <c r="S64" s="266" t="str">
        <f t="shared" si="16"/>
        <v/>
      </c>
      <c r="T64" s="266" t="str">
        <f t="shared" si="17"/>
        <v/>
      </c>
      <c r="U64" s="266" t="str">
        <f t="shared" si="18"/>
        <v/>
      </c>
      <c r="V64" s="908">
        <f>C64-O64*TableA4!D64</f>
        <v>29.046851153404386</v>
      </c>
      <c r="W64" s="26" t="str">
        <f>IFERROR($C64-S64*TableA4!$D64,"")</f>
        <v/>
      </c>
      <c r="X64" s="26" t="str">
        <f>IFERROR($C64-T64*TableA4!$D64,"")</f>
        <v/>
      </c>
      <c r="Y64" s="906" t="str">
        <f>IFERROR($C64-U64*TableA4!$D64,"")</f>
        <v/>
      </c>
      <c r="Z64" s="26" t="str">
        <f t="shared" si="22"/>
        <v/>
      </c>
      <c r="AA64" s="26" t="str">
        <f t="shared" si="23"/>
        <v/>
      </c>
      <c r="AB64" s="896" t="str">
        <f t="shared" si="24"/>
        <v/>
      </c>
      <c r="AC64" s="26"/>
      <c r="AD64" s="26"/>
      <c r="AE64" s="26"/>
      <c r="AF64" s="954"/>
      <c r="AG64" s="954"/>
      <c r="AH64" s="320">
        <f t="shared" si="14"/>
        <v>0</v>
      </c>
      <c r="AI64" s="320">
        <f t="shared" si="15"/>
        <v>-2.2204460492503131E-16</v>
      </c>
      <c r="AJ64" s="954"/>
    </row>
    <row r="65" spans="1:35" ht="17" x14ac:dyDescent="0.2">
      <c r="A65" s="123" t="s">
        <v>84</v>
      </c>
      <c r="B65" s="1208">
        <f>TableA6!B65</f>
        <v>22.920824144129366</v>
      </c>
      <c r="C65" s="1153">
        <f>TableA6!E65</f>
        <v>22.512935193051696</v>
      </c>
      <c r="D65" s="1216">
        <v>0</v>
      </c>
      <c r="E65" s="1153">
        <f>TableA6!K65</f>
        <v>0.40788895107766843</v>
      </c>
      <c r="F65" s="311">
        <f t="shared" si="13"/>
        <v>0.98220443782855249</v>
      </c>
      <c r="G65" s="1210">
        <f>TableA2!L65</f>
        <v>0.75160134279400448</v>
      </c>
      <c r="H65" s="1178">
        <f>D65/TableA2!C65</f>
        <v>0</v>
      </c>
      <c r="I65" s="1178">
        <f>TableA6!D65/TableA2!C65</f>
        <v>15.430964295292515</v>
      </c>
      <c r="J65" s="1178">
        <f>TableA6!I65/TableA2!$C65</f>
        <v>2.876389513296298</v>
      </c>
      <c r="K65" s="1178">
        <f>TableA6!J65/TableA2!$C65</f>
        <v>1.6922088373792077</v>
      </c>
      <c r="L65" s="902">
        <f>(C65+E65)/TableA2!C65</f>
        <v>16.182565638086519</v>
      </c>
      <c r="M65" s="1178">
        <f>C65/TableA4!D65</f>
        <v>39.73646946295105</v>
      </c>
      <c r="N65" s="1178">
        <f>TableA10!D$62/TableA10!C$62</f>
        <v>8.901215805471125</v>
      </c>
      <c r="O65" s="1696">
        <f t="shared" si="21"/>
        <v>0.47996308817683037</v>
      </c>
      <c r="P65" s="266" t="str">
        <f>+'Table E1'!D65</f>
        <v/>
      </c>
      <c r="Q65" s="266" t="str">
        <f>+'Table E1'!I65</f>
        <v/>
      </c>
      <c r="R65" s="266" t="str">
        <f>+'Table E1'!N65</f>
        <v/>
      </c>
      <c r="S65" s="266" t="str">
        <f t="shared" si="16"/>
        <v/>
      </c>
      <c r="T65" s="266" t="str">
        <f t="shared" si="17"/>
        <v/>
      </c>
      <c r="U65" s="266" t="str">
        <f t="shared" si="18"/>
        <v/>
      </c>
      <c r="V65" s="908">
        <f>C65-O65*TableA4!D65</f>
        <v>22.241009225666584</v>
      </c>
      <c r="W65" s="26" t="str">
        <f>IFERROR($C65-S65*TableA4!$D65,"")</f>
        <v/>
      </c>
      <c r="X65" s="26" t="str">
        <f>IFERROR($C65-T65*TableA4!$D65,"")</f>
        <v/>
      </c>
      <c r="Y65" s="906" t="str">
        <f>IFERROR($C65-U65*TableA4!$D65,"")</f>
        <v/>
      </c>
      <c r="Z65" s="26" t="str">
        <f t="shared" si="22"/>
        <v/>
      </c>
      <c r="AA65" s="26" t="str">
        <f t="shared" si="23"/>
        <v/>
      </c>
      <c r="AB65" s="896" t="str">
        <f t="shared" si="24"/>
        <v/>
      </c>
      <c r="AC65" s="26"/>
      <c r="AD65" s="26"/>
      <c r="AE65" s="26"/>
      <c r="AF65" s="954"/>
      <c r="AG65" s="954"/>
      <c r="AH65" s="320">
        <f t="shared" si="14"/>
        <v>0</v>
      </c>
      <c r="AI65" s="320">
        <f t="shared" si="15"/>
        <v>1.3322676295501878E-15</v>
      </c>
    </row>
    <row r="66" spans="1:35" ht="17" x14ac:dyDescent="0.2">
      <c r="A66" s="955" t="s">
        <v>85</v>
      </c>
      <c r="B66" s="1208">
        <f>TableA6!B66</f>
        <v>11.68734919710977</v>
      </c>
      <c r="C66" s="1153">
        <f>TableA6!E66</f>
        <v>11.296185999728888</v>
      </c>
      <c r="D66" s="1860">
        <v>0</v>
      </c>
      <c r="E66" s="1153">
        <f>TableA6!K66</f>
        <v>0.39116319738088223</v>
      </c>
      <c r="F66" s="311">
        <f t="shared" si="13"/>
        <v>0.96653105928608563</v>
      </c>
      <c r="G66" s="1210">
        <f>TableA2!L66</f>
        <v>0.33575980655064125</v>
      </c>
      <c r="H66" s="1178">
        <f>D66/TableA2!C66</f>
        <v>0</v>
      </c>
      <c r="I66" s="1178">
        <f>TableA6!D66/TableA2!C66</f>
        <v>8.2685714559076864</v>
      </c>
      <c r="J66" s="1178">
        <f>TableA6!I66/TableA2!$C66</f>
        <v>1.3268676411786671</v>
      </c>
      <c r="K66" s="1178">
        <f>TableA6!J66/TableA2!$C66</f>
        <v>8.6936233491982904</v>
      </c>
      <c r="L66" s="902">
        <f>(C66+E66)/TableA2!C66</f>
        <v>8.6043312624583272</v>
      </c>
      <c r="M66" s="1178">
        <f>C66/TableA4!D66</f>
        <v>20.79088352388057</v>
      </c>
      <c r="N66" s="1178">
        <f>TableA10!D$63/TableA10!C$63</f>
        <v>14.031458531935176</v>
      </c>
      <c r="O66" s="1696">
        <f t="shared" si="21"/>
        <v>0.47996308817683037</v>
      </c>
      <c r="P66" s="266" t="str">
        <f>+'Table E1'!D66</f>
        <v/>
      </c>
      <c r="Q66" s="266" t="str">
        <f>+'Table E1'!I66</f>
        <v/>
      </c>
      <c r="R66" s="266" t="str">
        <f>+'Table E1'!N66</f>
        <v/>
      </c>
      <c r="S66" s="266" t="str">
        <f t="shared" si="16"/>
        <v/>
      </c>
      <c r="T66" s="266" t="str">
        <f t="shared" si="17"/>
        <v/>
      </c>
      <c r="U66" s="266" t="str">
        <f t="shared" si="18"/>
        <v/>
      </c>
      <c r="V66" s="908">
        <f>C66-O66*TableA4!D66</f>
        <v>11.0354105348083</v>
      </c>
      <c r="W66" s="26" t="str">
        <f>IFERROR($C66-S66*TableA4!$D66,"")</f>
        <v/>
      </c>
      <c r="X66" s="26" t="str">
        <f>IFERROR($C66-T66*TableA4!$D66,"")</f>
        <v/>
      </c>
      <c r="Y66" s="906" t="str">
        <f>IFERROR($C66-U66*TableA4!$D66,"")</f>
        <v/>
      </c>
      <c r="Z66" s="26" t="str">
        <f t="shared" si="22"/>
        <v/>
      </c>
      <c r="AA66" s="26" t="str">
        <f t="shared" si="23"/>
        <v/>
      </c>
      <c r="AB66" s="896" t="str">
        <f t="shared" si="24"/>
        <v/>
      </c>
      <c r="AC66" s="26"/>
      <c r="AD66" s="26"/>
      <c r="AE66" s="26"/>
      <c r="AF66" s="954"/>
      <c r="AG66" s="954"/>
      <c r="AH66" s="320">
        <f t="shared" si="14"/>
        <v>0</v>
      </c>
      <c r="AI66" s="320">
        <f t="shared" si="15"/>
        <v>0</v>
      </c>
    </row>
    <row r="67" spans="1:35" x14ac:dyDescent="0.2">
      <c r="A67" s="955" t="str">
        <f>+TableA1!A67</f>
        <v>Cyprus</v>
      </c>
      <c r="B67" s="1208">
        <f>TableA6!B67</f>
        <v>6.8820083274691735</v>
      </c>
      <c r="C67" s="1153">
        <f>TableA6!E67</f>
        <v>5.2850761004134004</v>
      </c>
      <c r="D67" s="1860">
        <v>0</v>
      </c>
      <c r="E67" s="1153">
        <f>TableA6!K67</f>
        <v>1.5969322270557735</v>
      </c>
      <c r="F67" s="311">
        <f t="shared" si="13"/>
        <v>0.76795549335770164</v>
      </c>
      <c r="G67" s="1210">
        <f>TableA2!L67</f>
        <v>0.56340199771699795</v>
      </c>
      <c r="H67" s="1178">
        <f>D67/TableA2!C67</f>
        <v>0</v>
      </c>
      <c r="I67" s="1178">
        <f>TableA6!D67/TableA2!C67</f>
        <v>0.67764377006763776</v>
      </c>
      <c r="J67" s="1178">
        <f>TableA6!I67/TableA2!$C67</f>
        <v>1.0088176835559211E-2</v>
      </c>
      <c r="K67" s="1178">
        <f>TableA6!J67/TableA2!$C67</f>
        <v>0.28675503536078822</v>
      </c>
      <c r="L67" s="902">
        <f>(C67+E67)/TableA2!C67</f>
        <v>1.2410457677846358</v>
      </c>
      <c r="M67" s="1178">
        <f>C67/TableA4!D67</f>
        <v>2.3826697871963436</v>
      </c>
      <c r="N67" s="1178">
        <f>TableA10!D$63/TableA10!C$63</f>
        <v>14.031458531935176</v>
      </c>
      <c r="O67" s="1696">
        <f t="shared" si="21"/>
        <v>0.47996308817683037</v>
      </c>
      <c r="P67" s="266">
        <f>+'Table E1'!D67</f>
        <v>0.14801994603568444</v>
      </c>
      <c r="Q67" s="266">
        <f>+'Table E1'!I67</f>
        <v>0.22964710193716911</v>
      </c>
      <c r="R67" s="266">
        <f>+'Table E1'!N67</f>
        <v>0.14194509090763011</v>
      </c>
      <c r="S67" s="266">
        <f t="shared" si="16"/>
        <v>0.35287049870971771</v>
      </c>
      <c r="T67" s="266">
        <f t="shared" si="17"/>
        <v>0.47996308817683037</v>
      </c>
      <c r="U67" s="266">
        <f t="shared" si="18"/>
        <v>0.54839755942835255</v>
      </c>
      <c r="V67" s="908">
        <f>C67-O67*TableA4!D67</f>
        <v>4.220454615709551</v>
      </c>
      <c r="W67" s="26">
        <f>IFERROR($C67-S67*TableA4!$D67,"")</f>
        <v>4.5023627553694165</v>
      </c>
      <c r="X67" s="26">
        <f>IFERROR($C67-T67*TableA4!$D67,"")</f>
        <v>4.220454615709551</v>
      </c>
      <c r="Y67" s="906">
        <f>IFERROR($C67-U67*TableA4!$D67,"")</f>
        <v>4.0686579251234694</v>
      </c>
      <c r="Z67" s="26">
        <f t="shared" si="22"/>
        <v>0.2819081396598655</v>
      </c>
      <c r="AA67" s="26">
        <f t="shared" si="23"/>
        <v>0</v>
      </c>
      <c r="AB67" s="896">
        <f t="shared" si="24"/>
        <v>-0.1517966905860817</v>
      </c>
      <c r="AC67" s="26"/>
      <c r="AD67" s="26"/>
      <c r="AE67" s="26"/>
      <c r="AF67" s="954"/>
      <c r="AG67" s="954"/>
      <c r="AH67" s="320">
        <f t="shared" si="14"/>
        <v>1.1102230246251565E-16</v>
      </c>
      <c r="AI67" s="320">
        <f t="shared" si="15"/>
        <v>0</v>
      </c>
    </row>
    <row r="68" spans="1:35" ht="17" x14ac:dyDescent="0.2">
      <c r="A68" s="955" t="s">
        <v>87</v>
      </c>
      <c r="B68" s="1208">
        <f>TableA6!B68</f>
        <v>5.5192543961170966</v>
      </c>
      <c r="C68" s="1153">
        <f>TableA6!E68</f>
        <v>5.1556449197022696</v>
      </c>
      <c r="D68" s="1860">
        <v>0</v>
      </c>
      <c r="E68" s="1153">
        <f>TableA6!K68</f>
        <v>0.36360947641482677</v>
      </c>
      <c r="F68" s="311">
        <f t="shared" si="13"/>
        <v>0.93411981939614286</v>
      </c>
      <c r="G68" s="1210">
        <f>TableA2!L68</f>
        <v>2.3923102518718911</v>
      </c>
      <c r="H68" s="1178">
        <f>D68/TableA2!C68</f>
        <v>0</v>
      </c>
      <c r="I68" s="1178">
        <f>TableA6!D68/TableA2!C68</f>
        <v>1.978926290992683</v>
      </c>
      <c r="J68" s="1178">
        <f>TableA6!I68/TableA2!$C68</f>
        <v>0</v>
      </c>
      <c r="K68" s="1178">
        <f>TableA6!J68/TableA2!$C68</f>
        <v>2.3866849643048886</v>
      </c>
      <c r="L68" s="902">
        <f>(C68+E68)/TableA2!C68</f>
        <v>4.3712365428645743</v>
      </c>
      <c r="M68" s="1178">
        <f>C68/TableA4!D68</f>
        <v>10.208146724896189</v>
      </c>
      <c r="N68" s="1178">
        <f>TableA10!D$37/TableA10!C$37</f>
        <v>1.5591216216216208</v>
      </c>
      <c r="O68" s="1696">
        <f t="shared" si="21"/>
        <v>0.47996308817683037</v>
      </c>
      <c r="P68" s="266" t="str">
        <f>+'Table E1'!D68</f>
        <v/>
      </c>
      <c r="Q68" s="266" t="str">
        <f>+'Table E1'!I68</f>
        <v/>
      </c>
      <c r="R68" s="266" t="str">
        <f>+'Table E1'!N68</f>
        <v/>
      </c>
      <c r="S68" s="266" t="str">
        <f t="shared" si="16"/>
        <v/>
      </c>
      <c r="T68" s="266" t="str">
        <f t="shared" si="17"/>
        <v/>
      </c>
      <c r="U68" s="266" t="str">
        <f t="shared" si="18"/>
        <v/>
      </c>
      <c r="V68" s="908">
        <f>C68-O68*TableA4!D68</f>
        <v>4.9132386020923846</v>
      </c>
      <c r="W68" s="26" t="str">
        <f>IFERROR($C68-S68*TableA4!$D68,"")</f>
        <v/>
      </c>
      <c r="X68" s="26" t="str">
        <f>IFERROR($C68-T68*TableA4!$D68,"")</f>
        <v/>
      </c>
      <c r="Y68" s="906" t="str">
        <f>IFERROR($C68-U68*TableA4!$D68,"")</f>
        <v/>
      </c>
      <c r="Z68" s="26" t="str">
        <f t="shared" si="22"/>
        <v/>
      </c>
      <c r="AA68" s="26" t="str">
        <f t="shared" si="23"/>
        <v/>
      </c>
      <c r="AB68" s="896" t="str">
        <f t="shared" si="24"/>
        <v/>
      </c>
      <c r="AC68" s="26"/>
      <c r="AD68" s="26"/>
      <c r="AE68" s="26"/>
      <c r="AF68" s="954"/>
      <c r="AG68" s="954"/>
      <c r="AH68" s="320">
        <f t="shared" si="14"/>
        <v>2.2204460492503131E-16</v>
      </c>
      <c r="AI68" s="320">
        <f t="shared" si="15"/>
        <v>0</v>
      </c>
    </row>
    <row r="69" spans="1:35" ht="17" x14ac:dyDescent="0.2">
      <c r="A69" s="955" t="str">
        <f>+TableA1!A69</f>
        <v>Grenada</v>
      </c>
      <c r="B69" s="1208">
        <f>TableA6!B69</f>
        <v>0.4015897418869116</v>
      </c>
      <c r="C69" s="1153">
        <f>TableA6!E69</f>
        <v>0.38030614888924363</v>
      </c>
      <c r="D69" s="1860">
        <v>0</v>
      </c>
      <c r="E69" s="1153">
        <f>TableA6!K69</f>
        <v>2.1283592997667938E-2</v>
      </c>
      <c r="F69" s="311">
        <f t="shared" si="13"/>
        <v>0.94700165174124029</v>
      </c>
      <c r="G69" s="1210">
        <f>TableA2!L69</f>
        <v>5.1857999974895419</v>
      </c>
      <c r="H69" s="1178">
        <f>D69/TableA2!C69</f>
        <v>0</v>
      </c>
      <c r="I69" s="1178">
        <f>TableA6!D69/TableA2!C69</f>
        <v>0.2479137382682656</v>
      </c>
      <c r="J69" s="1178">
        <f>TableA6!I69/TableA2!$C69</f>
        <v>0</v>
      </c>
      <c r="K69" s="1178">
        <f>TableA6!J69/TableA2!$C69</f>
        <v>4.929247734116557</v>
      </c>
      <c r="L69" s="902">
        <f>(C69+E69)/TableA2!C69</f>
        <v>5.4337137357578067</v>
      </c>
      <c r="M69" s="1178">
        <f>C69/TableA4!D69</f>
        <v>12.864339707129272</v>
      </c>
      <c r="N69" s="1178">
        <f>TableA10!D$37/TableA10!C$37</f>
        <v>1.5591216216216208</v>
      </c>
      <c r="O69" s="1696">
        <f t="shared" si="21"/>
        <v>0.47996308817683037</v>
      </c>
      <c r="P69" s="266" t="str">
        <f>+'Table E1'!D69</f>
        <v/>
      </c>
      <c r="Q69" s="266" t="str">
        <f>+'Table E1'!I69</f>
        <v/>
      </c>
      <c r="R69" s="266" t="str">
        <f>+'Table E1'!N69</f>
        <v/>
      </c>
      <c r="S69" s="266" t="str">
        <f t="shared" si="16"/>
        <v/>
      </c>
      <c r="T69" s="266" t="str">
        <f t="shared" si="17"/>
        <v/>
      </c>
      <c r="U69" s="266" t="str">
        <f t="shared" si="18"/>
        <v/>
      </c>
      <c r="V69" s="908">
        <f>C69-O69*TableA4!D69</f>
        <v>0.36611708689079836</v>
      </c>
      <c r="W69" s="26" t="str">
        <f>IFERROR($C69-S69*TableA4!$D69,"")</f>
        <v/>
      </c>
      <c r="X69" s="26" t="str">
        <f>IFERROR($C69-T69*TableA4!$D69,"")</f>
        <v/>
      </c>
      <c r="Y69" s="906" t="str">
        <f>IFERROR($C69-U69*TableA4!$D69,"")</f>
        <v/>
      </c>
      <c r="Z69" s="26" t="str">
        <f t="shared" si="22"/>
        <v/>
      </c>
      <c r="AA69" s="26" t="str">
        <f t="shared" si="23"/>
        <v/>
      </c>
      <c r="AB69" s="896" t="str">
        <f t="shared" si="24"/>
        <v/>
      </c>
      <c r="AC69" s="26"/>
      <c r="AD69" s="26"/>
      <c r="AE69" s="26"/>
      <c r="AF69" s="954"/>
      <c r="AG69" s="954"/>
      <c r="AH69" s="320">
        <f t="shared" si="14"/>
        <v>-8.0491169285323849E-16</v>
      </c>
      <c r="AI69" s="320">
        <f t="shared" si="15"/>
        <v>2.7755575615628914E-17</v>
      </c>
    </row>
    <row r="70" spans="1:35" ht="17" x14ac:dyDescent="0.2">
      <c r="A70" s="955" t="s">
        <v>89</v>
      </c>
      <c r="B70" s="1208">
        <f>TableA6!B70</f>
        <v>2.0311467085553057</v>
      </c>
      <c r="C70" s="1153">
        <f>TableA6!E70</f>
        <v>1.7866451600802939</v>
      </c>
      <c r="D70" s="1860">
        <v>0</v>
      </c>
      <c r="E70" s="1153">
        <f>TableA6!K70</f>
        <v>0.24450154847501168</v>
      </c>
      <c r="F70" s="311">
        <f t="shared" si="13"/>
        <v>0.87962388563802052</v>
      </c>
      <c r="G70" s="1210">
        <f>TableA2!L70</f>
        <v>2.3923172336343113</v>
      </c>
      <c r="H70" s="1178">
        <f>D70/TableA2!C70</f>
        <v>0</v>
      </c>
      <c r="I70" s="1178">
        <f>TableA6!D70/TableA2!C70</f>
        <v>0</v>
      </c>
      <c r="J70" s="1178">
        <f>TableA6!I70/TableA2!$C70</f>
        <v>0</v>
      </c>
      <c r="K70" s="1178">
        <f>TableA6!J70/TableA2!$C70</f>
        <v>4.416005410082767</v>
      </c>
      <c r="L70" s="902">
        <f>(C70+E70)/TableA2!C70</f>
        <v>2.3923172336343113</v>
      </c>
      <c r="M70" s="1178">
        <f>C70/TableA4!D70</f>
        <v>5.2608484518205323</v>
      </c>
      <c r="N70" s="1178">
        <f>TableA10!D$37/TableA10!C$37</f>
        <v>1.5591216216216208</v>
      </c>
      <c r="O70" s="1696">
        <f t="shared" si="21"/>
        <v>0.47996308817683037</v>
      </c>
      <c r="P70" s="266" t="str">
        <f>+'Table E1'!D70</f>
        <v/>
      </c>
      <c r="Q70" s="266" t="str">
        <f>+'Table E1'!I70</f>
        <v/>
      </c>
      <c r="R70" s="266" t="str">
        <f>+'Table E1'!N70</f>
        <v/>
      </c>
      <c r="S70" s="266" t="str">
        <f t="shared" si="16"/>
        <v/>
      </c>
      <c r="T70" s="266" t="str">
        <f t="shared" si="17"/>
        <v/>
      </c>
      <c r="U70" s="266" t="str">
        <f t="shared" si="18"/>
        <v/>
      </c>
      <c r="V70" s="908">
        <f>C70-O70*TableA4!D70</f>
        <v>1.6236441277636195</v>
      </c>
      <c r="W70" s="26" t="str">
        <f>IFERROR($C70-S70*TableA4!$D70,"")</f>
        <v/>
      </c>
      <c r="X70" s="26" t="str">
        <f>IFERROR($C70-T70*TableA4!$D70,"")</f>
        <v/>
      </c>
      <c r="Y70" s="906" t="str">
        <f>IFERROR($C70-U70*TableA4!$D70,"")</f>
        <v/>
      </c>
      <c r="Z70" s="26" t="str">
        <f t="shared" si="22"/>
        <v/>
      </c>
      <c r="AA70" s="26" t="str">
        <f t="shared" si="23"/>
        <v/>
      </c>
      <c r="AB70" s="896" t="str">
        <f t="shared" si="24"/>
        <v/>
      </c>
      <c r="AC70" s="26"/>
      <c r="AD70" s="26"/>
      <c r="AE70" s="26"/>
      <c r="AF70" s="954"/>
      <c r="AG70" s="954"/>
      <c r="AH70" s="320">
        <f t="shared" si="14"/>
        <v>0</v>
      </c>
      <c r="AI70" s="320">
        <f t="shared" si="15"/>
        <v>0</v>
      </c>
    </row>
    <row r="71" spans="1:35" ht="17" x14ac:dyDescent="0.2">
      <c r="A71" s="955" t="s">
        <v>90</v>
      </c>
      <c r="B71" s="1208">
        <f>TableA6!B71</f>
        <v>1.0873325907085956</v>
      </c>
      <c r="C71" s="1153">
        <f>TableA6!E71</f>
        <v>0.95644320082853906</v>
      </c>
      <c r="D71" s="1860">
        <v>0</v>
      </c>
      <c r="E71" s="1153">
        <f>TableA6!K71</f>
        <v>0.13088938988005652</v>
      </c>
      <c r="F71" s="311">
        <f t="shared" si="13"/>
        <v>0.87962340961861707</v>
      </c>
      <c r="G71" s="1210">
        <f>TableA2!L71</f>
        <v>2.3923077734110332</v>
      </c>
      <c r="H71" s="1178">
        <f>D71/TableA2!C71</f>
        <v>0</v>
      </c>
      <c r="I71" s="1178">
        <f>TableA6!D71/TableA2!C71</f>
        <v>0</v>
      </c>
      <c r="J71" s="1178">
        <f>TableA6!I71/TableA2!$C71</f>
        <v>4.2739569276131757</v>
      </c>
      <c r="K71" s="1178">
        <f>TableA6!J71/TableA2!$C71</f>
        <v>4.2739569276131757</v>
      </c>
      <c r="L71" s="902">
        <f>(C71+E71)/TableA2!C71</f>
        <v>2.3923077734110332</v>
      </c>
      <c r="M71" s="1178">
        <f>C71/TableA4!D71</f>
        <v>5.2608248012623369</v>
      </c>
      <c r="N71" s="1178">
        <f>TableA10!D$37/TableA10!C$37</f>
        <v>1.5591216216216208</v>
      </c>
      <c r="O71" s="1696">
        <f t="shared" si="21"/>
        <v>0.47996308817683037</v>
      </c>
      <c r="P71" s="266" t="str">
        <f>+'Table E1'!D71</f>
        <v/>
      </c>
      <c r="Q71" s="266" t="str">
        <f>+'Table E1'!I71</f>
        <v/>
      </c>
      <c r="R71" s="266" t="str">
        <f>+'Table E1'!N71</f>
        <v/>
      </c>
      <c r="S71" s="266" t="str">
        <f t="shared" si="16"/>
        <v/>
      </c>
      <c r="T71" s="266" t="str">
        <f t="shared" si="17"/>
        <v/>
      </c>
      <c r="U71" s="266" t="str">
        <f t="shared" si="18"/>
        <v/>
      </c>
      <c r="V71" s="908">
        <f>C71-O71*TableA4!D71</f>
        <v>0.86918360757516799</v>
      </c>
      <c r="W71" s="26" t="str">
        <f>IFERROR($C71-S71*TableA4!$D71,"")</f>
        <v/>
      </c>
      <c r="X71" s="26" t="str">
        <f>IFERROR($C71-T71*TableA4!$D71,"")</f>
        <v/>
      </c>
      <c r="Y71" s="906" t="str">
        <f>IFERROR($C71-U71*TableA4!$D71,"")</f>
        <v/>
      </c>
      <c r="Z71" s="26" t="str">
        <f t="shared" si="22"/>
        <v/>
      </c>
      <c r="AA71" s="26" t="str">
        <f t="shared" si="23"/>
        <v/>
      </c>
      <c r="AB71" s="896" t="str">
        <f t="shared" si="24"/>
        <v/>
      </c>
      <c r="AC71" s="26"/>
      <c r="AD71" s="26"/>
      <c r="AE71" s="26"/>
      <c r="AF71" s="954"/>
      <c r="AG71" s="954"/>
      <c r="AH71" s="320">
        <f t="shared" si="14"/>
        <v>0</v>
      </c>
      <c r="AI71" s="320">
        <f t="shared" si="15"/>
        <v>0</v>
      </c>
    </row>
    <row r="72" spans="1:35" x14ac:dyDescent="0.2">
      <c r="A72" s="955" t="s">
        <v>91</v>
      </c>
      <c r="B72" s="1208">
        <f>TableA6!B72</f>
        <v>95.223967679643692</v>
      </c>
      <c r="C72" s="1153">
        <f>TableA6!E72</f>
        <v>50.356172185286226</v>
      </c>
      <c r="D72" s="1196">
        <v>0</v>
      </c>
      <c r="E72" s="1153">
        <f>TableA6!K72</f>
        <v>44.867795494357466</v>
      </c>
      <c r="F72" s="311">
        <f t="shared" si="13"/>
        <v>0.52881825250861725</v>
      </c>
      <c r="G72" s="1210">
        <f>TableA2!L72</f>
        <v>0.63150559253260896</v>
      </c>
      <c r="H72" s="1178">
        <f>D72/TableA2!C72</f>
        <v>0</v>
      </c>
      <c r="I72" s="1178">
        <f>TableA6!D72/TableA2!C72</f>
        <v>0.18189477545245697</v>
      </c>
      <c r="J72" s="1178">
        <f>TableA6!I72/TableA2!$C72</f>
        <v>0</v>
      </c>
      <c r="K72" s="1178">
        <f>TableA6!J72/TableA2!$C72</f>
        <v>0.26079690122761051</v>
      </c>
      <c r="L72" s="902">
        <f>(C72+E72)/TableA2!C72</f>
        <v>0.81340036798506599</v>
      </c>
      <c r="M72" s="1178">
        <f>C72/TableA4!D72</f>
        <v>2.1348906384735855</v>
      </c>
      <c r="N72" s="1178">
        <f>VLOOKUP(A72,TableA10!$A$8:$G$95,4,)/VLOOKUP(A72,TableA10!$A$8:$G$95,3,)</f>
        <v>0.84049435164622965</v>
      </c>
      <c r="O72" s="1696">
        <f t="shared" si="21"/>
        <v>0.47996308817683037</v>
      </c>
      <c r="P72" s="266">
        <f>+'Table E1'!D72</f>
        <v>0.14403407545691116</v>
      </c>
      <c r="Q72" s="266">
        <f>+'Table E1'!I72</f>
        <v>0.11734003212757226</v>
      </c>
      <c r="R72" s="266">
        <f>+'Table E1'!N72</f>
        <v>0.14524032817272817</v>
      </c>
      <c r="S72" s="266">
        <f t="shared" si="16"/>
        <v>0.51947723813589097</v>
      </c>
      <c r="T72" s="266">
        <f t="shared" si="17"/>
        <v>0.47996308817683037</v>
      </c>
      <c r="U72" s="266">
        <f t="shared" si="18"/>
        <v>0.45868623819887461</v>
      </c>
      <c r="V72" s="908">
        <f>C72-O72*TableA4!D72</f>
        <v>39.035168909870336</v>
      </c>
      <c r="W72" s="26">
        <f>IFERROR($C72-S72*TableA4!$D72,"")</f>
        <v>38.103139276485301</v>
      </c>
      <c r="X72" s="26">
        <f>IFERROR($C72-T72*TableA4!$D72,"")</f>
        <v>39.035168909870336</v>
      </c>
      <c r="Y72" s="906">
        <f>IFERROR($C72-U72*TableA4!$D72,"")</f>
        <v>39.537031020154586</v>
      </c>
      <c r="Z72" s="26">
        <f t="shared" si="22"/>
        <v>-0.93202963338503508</v>
      </c>
      <c r="AA72" s="26">
        <f t="shared" si="23"/>
        <v>0</v>
      </c>
      <c r="AB72" s="896">
        <f t="shared" si="24"/>
        <v>0.50186211028425021</v>
      </c>
      <c r="AC72" s="26"/>
      <c r="AD72" s="26"/>
      <c r="AE72" s="26"/>
      <c r="AF72" s="954"/>
      <c r="AG72" s="954"/>
      <c r="AH72" s="320">
        <f t="shared" si="14"/>
        <v>5.5511151231257827E-17</v>
      </c>
      <c r="AI72" s="320">
        <f t="shared" si="15"/>
        <v>0</v>
      </c>
    </row>
    <row r="73" spans="1:35" ht="17" x14ac:dyDescent="0.2">
      <c r="A73" s="955" t="s">
        <v>92</v>
      </c>
      <c r="B73" s="1208">
        <f>TableA6!B73</f>
        <v>3.6449297805671903</v>
      </c>
      <c r="C73" s="1153">
        <f>TableA6!E73</f>
        <v>3.2907256608282767</v>
      </c>
      <c r="D73" s="1860">
        <v>0</v>
      </c>
      <c r="E73" s="1153">
        <f>TableA6!K73</f>
        <v>0.35420411973891358</v>
      </c>
      <c r="F73" s="311">
        <f t="shared" ref="F73:F91" si="25">C73/(B73-D73)</f>
        <v>0.90282278642860558</v>
      </c>
      <c r="G73" s="1210">
        <f>TableA2!L73</f>
        <v>2.3923324900643919</v>
      </c>
      <c r="H73" s="1178">
        <f>D73/TableA2!C73</f>
        <v>0</v>
      </c>
      <c r="I73" s="1178">
        <f>TableA6!D73/TableA2!C73</f>
        <v>0.57109733388837935</v>
      </c>
      <c r="J73" s="1178">
        <f>TableA6!I73/TableA2!$C73</f>
        <v>0</v>
      </c>
      <c r="K73" s="1178">
        <f>TableA6!J73/TableA2!$C73</f>
        <v>2.2040664276187067</v>
      </c>
      <c r="L73" s="902">
        <f>(C73+E73)/TableA2!C73</f>
        <v>2.9634298239527714</v>
      </c>
      <c r="M73" s="1178">
        <f>C73/TableA4!D73</f>
        <v>6.6886299276166827</v>
      </c>
      <c r="N73" s="1178">
        <f>TableA10!D$37/TableA10!C$37</f>
        <v>1.5591216216216208</v>
      </c>
      <c r="O73" s="1696">
        <f t="shared" si="21"/>
        <v>0.47996308817683037</v>
      </c>
      <c r="P73" s="266" t="str">
        <f>+'Table E1'!D73</f>
        <v/>
      </c>
      <c r="Q73" s="266" t="str">
        <f>+'Table E1'!I73</f>
        <v/>
      </c>
      <c r="R73" s="266" t="str">
        <f>+'Table E1'!N73</f>
        <v/>
      </c>
      <c r="S73" s="266" t="str">
        <f t="shared" si="16"/>
        <v/>
      </c>
      <c r="T73" s="266" t="str">
        <f t="shared" si="17"/>
        <v/>
      </c>
      <c r="U73" s="266" t="str">
        <f t="shared" si="18"/>
        <v/>
      </c>
      <c r="V73" s="908">
        <f>C73-O73*TableA4!D73</f>
        <v>3.0545895810023342</v>
      </c>
      <c r="W73" s="26" t="str">
        <f>IFERROR($C73-S73*TableA4!$D73,"")</f>
        <v/>
      </c>
      <c r="X73" s="26" t="str">
        <f>IFERROR($C73-T73*TableA4!$D73,"")</f>
        <v/>
      </c>
      <c r="Y73" s="906" t="str">
        <f>IFERROR($C73-U73*TableA4!$D73,"")</f>
        <v/>
      </c>
      <c r="Z73" s="26" t="str">
        <f t="shared" si="22"/>
        <v/>
      </c>
      <c r="AA73" s="26" t="str">
        <f t="shared" si="23"/>
        <v/>
      </c>
      <c r="AB73" s="896" t="str">
        <f t="shared" si="24"/>
        <v/>
      </c>
      <c r="AC73" s="26"/>
      <c r="AD73" s="26"/>
      <c r="AE73" s="26"/>
      <c r="AF73" s="954"/>
      <c r="AG73" s="954"/>
      <c r="AH73" s="320">
        <f t="shared" ref="AH73:AH91" si="26">L73-G73-I73+H73</f>
        <v>2.2204460492503131E-16</v>
      </c>
      <c r="AI73" s="320">
        <f t="shared" ref="AI73:AI91" si="27">B73-C73-D73-E73</f>
        <v>0</v>
      </c>
    </row>
    <row r="74" spans="1:35" ht="17" x14ac:dyDescent="0.2">
      <c r="A74" s="955" t="s">
        <v>93</v>
      </c>
      <c r="B74" s="1208">
        <f>TableA6!B74</f>
        <v>15.231019080376919</v>
      </c>
      <c r="C74" s="1153">
        <f>TableA6!E74</f>
        <v>10.848362353703763</v>
      </c>
      <c r="D74" s="1860">
        <v>0</v>
      </c>
      <c r="E74" s="1153">
        <f>TableA6!K74</f>
        <v>4.3826567266731562</v>
      </c>
      <c r="F74" s="311">
        <f t="shared" si="25"/>
        <v>0.71225453112854353</v>
      </c>
      <c r="G74" s="1210">
        <f>TableA2!L74</f>
        <v>0.9963546335773581</v>
      </c>
      <c r="H74" s="1178">
        <f>D74/TableA2!C74</f>
        <v>0</v>
      </c>
      <c r="I74" s="1178">
        <f>TableA6!D74/TableA2!C74</f>
        <v>4.4529691819596828E-3</v>
      </c>
      <c r="J74" s="1178">
        <f>TableA6!I74/TableA2!$C74</f>
        <v>0</v>
      </c>
      <c r="K74" s="1178">
        <f>TableA6!J74/TableA2!$C74</f>
        <v>0.71639470578797615</v>
      </c>
      <c r="L74" s="902">
        <f>(C74+E74)/TableA2!C74</f>
        <v>1.0008076027593178</v>
      </c>
      <c r="M74" s="1178">
        <f>C74/TableA4!D74</f>
        <v>1.7820743746330485</v>
      </c>
      <c r="N74" s="1178">
        <f>TableA10!$D75/TableA10!$C75</f>
        <v>2.6792645556690502</v>
      </c>
      <c r="O74" s="1696">
        <f t="shared" si="21"/>
        <v>0.47996308817683037</v>
      </c>
      <c r="P74" s="266" t="str">
        <f>+'Table E1'!D74</f>
        <v/>
      </c>
      <c r="Q74" s="266" t="str">
        <f>+'Table E1'!I74</f>
        <v/>
      </c>
      <c r="R74" s="266" t="str">
        <f>+'Table E1'!N74</f>
        <v/>
      </c>
      <c r="S74" s="266" t="str">
        <f t="shared" ref="S74:S91" si="28">IFERROR(($Q74/$R74-1)*(1-1/0.7)*$O74+$O74,"")</f>
        <v/>
      </c>
      <c r="T74" s="266" t="str">
        <f t="shared" ref="T74:T91" si="29">IFERROR(($Q74/$R74-1)*(1-1/1)*$O74+$O74,"")</f>
        <v/>
      </c>
      <c r="U74" s="266" t="str">
        <f t="shared" ref="U74:U91" si="30">IFERROR(($Q74/$R74-1)*(1-1/1.3)*$O74+$O74,"")</f>
        <v/>
      </c>
      <c r="V74" s="908">
        <f>C74-O74*TableA4!D74</f>
        <v>7.9265912025883249</v>
      </c>
      <c r="W74" s="26" t="str">
        <f>IFERROR($C74-S74*TableA4!$D74,"")</f>
        <v/>
      </c>
      <c r="X74" s="26" t="str">
        <f>IFERROR($C74-T74*TableA4!$D74,"")</f>
        <v/>
      </c>
      <c r="Y74" s="906" t="str">
        <f>IFERROR($C74-U74*TableA4!$D74,"")</f>
        <v/>
      </c>
      <c r="Z74" s="26" t="str">
        <f t="shared" si="22"/>
        <v/>
      </c>
      <c r="AA74" s="26" t="str">
        <f t="shared" si="23"/>
        <v/>
      </c>
      <c r="AB74" s="896" t="str">
        <f t="shared" si="24"/>
        <v/>
      </c>
      <c r="AC74" s="26"/>
      <c r="AD74" s="26"/>
      <c r="AE74" s="26"/>
      <c r="AF74" s="954"/>
      <c r="AG74" s="954"/>
      <c r="AH74" s="320">
        <f t="shared" si="26"/>
        <v>1.5612511283791264E-17</v>
      </c>
      <c r="AI74" s="320">
        <f t="shared" si="27"/>
        <v>0</v>
      </c>
    </row>
    <row r="75" spans="1:35" ht="17" x14ac:dyDescent="0.2">
      <c r="A75" s="955" t="s">
        <v>94</v>
      </c>
      <c r="B75" s="1208">
        <f>TableA6!B75</f>
        <v>1.3847476300640333</v>
      </c>
      <c r="C75" s="1153">
        <f>TableA6!E75</f>
        <v>0.54431306414287628</v>
      </c>
      <c r="D75" s="1860">
        <v>0</v>
      </c>
      <c r="E75" s="1153">
        <f>TableA6!K75</f>
        <v>0.84043456592115706</v>
      </c>
      <c r="F75" s="311">
        <f t="shared" si="25"/>
        <v>0.3930774477062699</v>
      </c>
      <c r="G75" s="1210">
        <f>TableA2!L75</f>
        <v>0.47448863420505527</v>
      </c>
      <c r="H75" s="1178">
        <f>D75/TableA2!C75</f>
        <v>0</v>
      </c>
      <c r="I75" s="1178">
        <f>TableA6!D75/TableA2!C75</f>
        <v>0</v>
      </c>
      <c r="J75" s="1178">
        <f>TableA6!I75/TableA2!$C75</f>
        <v>0.41564747945609143</v>
      </c>
      <c r="K75" s="1178">
        <f>TableA6!J75/TableA2!$C75</f>
        <v>0.41564747945609143</v>
      </c>
      <c r="L75" s="902">
        <f>(C75+E75)/TableA2!C75</f>
        <v>0.47448863420505527</v>
      </c>
      <c r="M75" s="1178">
        <f>C75/TableA4!D75</f>
        <v>0.4662769532473926</v>
      </c>
      <c r="N75" s="1178">
        <f>TableA10!D$37/TableA10!C$37</f>
        <v>1.5591216216216208</v>
      </c>
      <c r="O75" s="1696">
        <f t="shared" si="21"/>
        <v>0.47996308817683037</v>
      </c>
      <c r="P75" s="266" t="str">
        <f>+'Table E1'!D75</f>
        <v/>
      </c>
      <c r="Q75" s="266" t="str">
        <f>+'Table E1'!I75</f>
        <v/>
      </c>
      <c r="R75" s="266" t="str">
        <f>+'Table E1'!N75</f>
        <v/>
      </c>
      <c r="S75" s="266" t="str">
        <f t="shared" si="28"/>
        <v/>
      </c>
      <c r="T75" s="266" t="str">
        <f t="shared" si="29"/>
        <v/>
      </c>
      <c r="U75" s="266" t="str">
        <f t="shared" si="30"/>
        <v/>
      </c>
      <c r="V75" s="908">
        <f>C75-O75*TableA4!D75</f>
        <v>-1.5976646471228539E-2</v>
      </c>
      <c r="W75" s="26" t="str">
        <f>IFERROR($C75-S75*TableA4!$D75,"")</f>
        <v/>
      </c>
      <c r="X75" s="26" t="str">
        <f>IFERROR($C75-T75*TableA4!$D75,"")</f>
        <v/>
      </c>
      <c r="Y75" s="906" t="str">
        <f>IFERROR($C75-U75*TableA4!$D75,"")</f>
        <v/>
      </c>
      <c r="Z75" s="26" t="str">
        <f t="shared" si="22"/>
        <v/>
      </c>
      <c r="AA75" s="26" t="str">
        <f t="shared" si="23"/>
        <v/>
      </c>
      <c r="AB75" s="896" t="str">
        <f t="shared" si="24"/>
        <v/>
      </c>
      <c r="AC75" s="26"/>
      <c r="AD75" s="26"/>
      <c r="AE75" s="26"/>
      <c r="AF75" s="954"/>
      <c r="AG75" s="954"/>
      <c r="AH75" s="320">
        <f t="shared" si="26"/>
        <v>0</v>
      </c>
      <c r="AI75" s="320">
        <f t="shared" si="27"/>
        <v>0</v>
      </c>
    </row>
    <row r="76" spans="1:35" ht="17" x14ac:dyDescent="0.2">
      <c r="A76" s="955" t="s">
        <v>95</v>
      </c>
      <c r="B76" s="1208">
        <f>TableA6!B76</f>
        <v>13.856227663292829</v>
      </c>
      <c r="C76" s="1153">
        <f>TableA6!E76</f>
        <v>10.807557501271878</v>
      </c>
      <c r="D76" s="1860">
        <v>0</v>
      </c>
      <c r="E76" s="1153">
        <f>TableA6!K76</f>
        <v>3.0486701620209504</v>
      </c>
      <c r="F76" s="311">
        <f t="shared" si="25"/>
        <v>0.77997834359366636</v>
      </c>
      <c r="G76" s="1210">
        <f>TableA2!L76</f>
        <v>1.2806878724255955</v>
      </c>
      <c r="H76" s="1178">
        <f>D76/TableA2!C76</f>
        <v>0</v>
      </c>
      <c r="I76" s="1178">
        <f>TableA6!D76/TableA2!C76</f>
        <v>9.0862784167046753E-2</v>
      </c>
      <c r="J76" s="1178">
        <f>TableA6!I76/TableA2!$C76</f>
        <v>0</v>
      </c>
      <c r="K76" s="1178">
        <f>TableA6!J76/TableA2!$C76</f>
        <v>0.40789704226304274</v>
      </c>
      <c r="L76" s="902">
        <f>(C76+E76)/TableA2!C76</f>
        <v>1.3715506565926423</v>
      </c>
      <c r="M76" s="1178">
        <f>C76/TableA4!D76</f>
        <v>2.8814656487379704</v>
      </c>
      <c r="N76" s="1178">
        <f>TableA10!D$91/TableA10!C$91</f>
        <v>1.7827897293546149</v>
      </c>
      <c r="O76" s="1696">
        <f t="shared" si="21"/>
        <v>0.47996308817683037</v>
      </c>
      <c r="P76" s="266" t="str">
        <f>+'Table E1'!D76</f>
        <v/>
      </c>
      <c r="Q76" s="266" t="str">
        <f>+'Table E1'!I76</f>
        <v/>
      </c>
      <c r="R76" s="266" t="str">
        <f>+'Table E1'!N76</f>
        <v/>
      </c>
      <c r="S76" s="266" t="str">
        <f t="shared" si="28"/>
        <v/>
      </c>
      <c r="T76" s="266" t="str">
        <f t="shared" si="29"/>
        <v/>
      </c>
      <c r="U76" s="266" t="str">
        <f t="shared" si="30"/>
        <v/>
      </c>
      <c r="V76" s="908">
        <f>C76-O76*TableA4!D76</f>
        <v>9.0073525686775824</v>
      </c>
      <c r="W76" s="26" t="str">
        <f>IFERROR($C76-S76*TableA4!$D76,"")</f>
        <v/>
      </c>
      <c r="X76" s="26" t="str">
        <f>IFERROR($C76-T76*TableA4!$D76,"")</f>
        <v/>
      </c>
      <c r="Y76" s="906" t="str">
        <f>IFERROR($C76-U76*TableA4!$D76,"")</f>
        <v/>
      </c>
      <c r="Z76" s="26" t="str">
        <f t="shared" si="22"/>
        <v/>
      </c>
      <c r="AA76" s="26" t="str">
        <f t="shared" si="23"/>
        <v/>
      </c>
      <c r="AB76" s="896" t="str">
        <f t="shared" si="24"/>
        <v/>
      </c>
      <c r="AC76" s="26"/>
      <c r="AD76" s="26"/>
      <c r="AE76" s="26"/>
      <c r="AF76" s="954"/>
      <c r="AG76" s="954"/>
      <c r="AH76" s="320">
        <f t="shared" si="26"/>
        <v>9.7144514654701197E-17</v>
      </c>
      <c r="AI76" s="320">
        <f t="shared" si="27"/>
        <v>0</v>
      </c>
    </row>
    <row r="77" spans="1:35" s="25" customFormat="1" x14ac:dyDescent="0.2">
      <c r="A77" s="1231" t="s">
        <v>96</v>
      </c>
      <c r="B77" s="1208">
        <f>TableA6!B77</f>
        <v>13.646495114506827</v>
      </c>
      <c r="C77" s="1153">
        <f>TableA6!E77</f>
        <v>12.855054220700584</v>
      </c>
      <c r="D77" s="1217">
        <v>0</v>
      </c>
      <c r="E77" s="1153">
        <f>TableA6!K77</f>
        <v>0.79144089380624261</v>
      </c>
      <c r="F77" s="312">
        <f t="shared" si="25"/>
        <v>0.94200409063533785</v>
      </c>
      <c r="G77" s="1210">
        <f>TableA2!L77</f>
        <v>0.84886667394397175</v>
      </c>
      <c r="H77" s="1105">
        <f>D77/TableA2!C77</f>
        <v>0</v>
      </c>
      <c r="I77" s="1178">
        <f>TableA6!D77/TableA2!C77</f>
        <v>4.1166189277279255</v>
      </c>
      <c r="J77" s="1105">
        <f>TableA6!I77/TableA2!$C77</f>
        <v>0.10949868880580196</v>
      </c>
      <c r="K77" s="1105">
        <f>TableA6!J77/TableA2!$C77</f>
        <v>4.568009059959997</v>
      </c>
      <c r="L77" s="902">
        <f>(C77+E77)/TableA2!C77</f>
        <v>4.9654856016718973</v>
      </c>
      <c r="M77" s="1178">
        <f>C77/TableA4!D77</f>
        <v>11.693769371914497</v>
      </c>
      <c r="N77" s="1105">
        <f>TableA10!D$91/TableA10!C$91</f>
        <v>1.7827897293546149</v>
      </c>
      <c r="O77" s="1696">
        <f t="shared" si="21"/>
        <v>0.47996308817683037</v>
      </c>
      <c r="P77" s="266">
        <f>+'Table E1'!D77</f>
        <v>0.10988418309679379</v>
      </c>
      <c r="Q77" s="266">
        <f>+'Table E1'!I77</f>
        <v>0.22763157746295162</v>
      </c>
      <c r="R77" s="266">
        <f>+'Table E1'!N77</f>
        <v>8.853558235085375E-2</v>
      </c>
      <c r="S77" s="266">
        <f t="shared" si="28"/>
        <v>0.15679547452517456</v>
      </c>
      <c r="T77" s="266">
        <f t="shared" si="29"/>
        <v>0.47996308817683037</v>
      </c>
      <c r="U77" s="266">
        <f t="shared" si="30"/>
        <v>0.65397641860464506</v>
      </c>
      <c r="V77" s="908">
        <f>C77-O77*TableA4!D77</f>
        <v>12.327426958163089</v>
      </c>
      <c r="W77" s="26">
        <f>IFERROR($C77-S77*TableA4!$D77,"")</f>
        <v>12.682687701191263</v>
      </c>
      <c r="X77" s="26">
        <f>IFERROR($C77-T77*TableA4!$D77,"")</f>
        <v>12.327426958163089</v>
      </c>
      <c r="Y77" s="906">
        <f>IFERROR($C77-U77*TableA4!$D77,"")</f>
        <v>12.136132711917149</v>
      </c>
      <c r="Z77" s="26">
        <f t="shared" si="22"/>
        <v>0.35526074302817356</v>
      </c>
      <c r="AA77" s="26">
        <f t="shared" si="23"/>
        <v>0</v>
      </c>
      <c r="AB77" s="896">
        <f t="shared" si="24"/>
        <v>-0.19129424624594016</v>
      </c>
      <c r="AC77" s="26"/>
      <c r="AD77" s="26"/>
      <c r="AE77" s="26"/>
      <c r="AF77" s="1109"/>
      <c r="AG77" s="1109"/>
      <c r="AH77" s="320">
        <f t="shared" si="26"/>
        <v>0</v>
      </c>
      <c r="AI77" s="320">
        <f t="shared" si="27"/>
        <v>0</v>
      </c>
    </row>
    <row r="78" spans="1:35" ht="17" x14ac:dyDescent="0.2">
      <c r="A78" s="955" t="s">
        <v>97</v>
      </c>
      <c r="B78" s="1208">
        <f>TableA6!B78</f>
        <v>3.4329997064598869E-2</v>
      </c>
      <c r="C78" s="1153">
        <f>TableA6!E78</f>
        <v>1.0287836568069537E-2</v>
      </c>
      <c r="D78" s="1860">
        <v>0</v>
      </c>
      <c r="E78" s="1153">
        <f>TableA6!K78</f>
        <v>2.4042160496529331E-2</v>
      </c>
      <c r="F78" s="312">
        <f t="shared" si="25"/>
        <v>0.29967484555011414</v>
      </c>
      <c r="G78" s="1210">
        <f>TableA2!L78</f>
        <v>0.41120592495682723</v>
      </c>
      <c r="H78" s="1178">
        <f>D78/TableA2!C78</f>
        <v>0</v>
      </c>
      <c r="I78" s="1178">
        <f>TableA6!D78/TableA2!C78</f>
        <v>0</v>
      </c>
      <c r="J78" s="1178">
        <f>TableA6!I78/TableA2!$C78</f>
        <v>5.773884167235698</v>
      </c>
      <c r="K78" s="1178">
        <f>TableA6!J78/TableA2!$C78</f>
        <v>-2.2838462712650887</v>
      </c>
      <c r="L78" s="902">
        <f>(C78+E78)/TableA2!C78</f>
        <v>0.41120592495682723</v>
      </c>
      <c r="M78" s="1178">
        <f>C78/TableA4!D78</f>
        <v>0.30807018012682247</v>
      </c>
      <c r="N78" s="1178">
        <f>TableA10!D$91/TableA10!C$91</f>
        <v>1.7827897293546149</v>
      </c>
      <c r="O78" s="1696">
        <f t="shared" si="21"/>
        <v>0.47996308817683037</v>
      </c>
      <c r="P78" s="266" t="str">
        <f>+'Table E1'!D78</f>
        <v/>
      </c>
      <c r="Q78" s="266" t="str">
        <f>+'Table E1'!I78</f>
        <v/>
      </c>
      <c r="R78" s="266" t="str">
        <f>+'Table E1'!N78</f>
        <v/>
      </c>
      <c r="S78" s="266" t="str">
        <f t="shared" si="28"/>
        <v/>
      </c>
      <c r="T78" s="266" t="str">
        <f t="shared" si="29"/>
        <v/>
      </c>
      <c r="U78" s="266" t="str">
        <f t="shared" si="30"/>
        <v/>
      </c>
      <c r="V78" s="908">
        <f>C78-O78*TableA4!D78</f>
        <v>-5.7402704296166882E-3</v>
      </c>
      <c r="W78" s="26" t="str">
        <f>IFERROR($C78-S78*TableA4!$D78,"")</f>
        <v/>
      </c>
      <c r="X78" s="26" t="str">
        <f>IFERROR($C78-T78*TableA4!$D78,"")</f>
        <v/>
      </c>
      <c r="Y78" s="906" t="str">
        <f>IFERROR($C78-U78*TableA4!$D78,"")</f>
        <v/>
      </c>
      <c r="Z78" s="26" t="str">
        <f t="shared" si="22"/>
        <v/>
      </c>
      <c r="AA78" s="26" t="str">
        <f t="shared" si="23"/>
        <v/>
      </c>
      <c r="AB78" s="896" t="str">
        <f t="shared" si="24"/>
        <v/>
      </c>
      <c r="AC78" s="26"/>
      <c r="AD78" s="26"/>
      <c r="AE78" s="26"/>
      <c r="AF78" s="954"/>
      <c r="AG78" s="954"/>
      <c r="AH78" s="320">
        <f t="shared" si="26"/>
        <v>0</v>
      </c>
      <c r="AI78" s="320">
        <f t="shared" si="27"/>
        <v>0</v>
      </c>
    </row>
    <row r="79" spans="1:35" ht="17" x14ac:dyDescent="0.2">
      <c r="A79" s="955" t="str">
        <f>+TableA1!A79</f>
        <v>Monaco</v>
      </c>
      <c r="B79" s="1208">
        <f>TableA6!B79</f>
        <v>2.4865786089930788</v>
      </c>
      <c r="C79" s="1153">
        <f>TableA6!E79</f>
        <v>2.1872544286824804</v>
      </c>
      <c r="D79" s="1860">
        <v>0</v>
      </c>
      <c r="E79" s="1153">
        <f>TableA6!K79</f>
        <v>0.29932418031059849</v>
      </c>
      <c r="F79" s="311">
        <f t="shared" si="25"/>
        <v>0.87962408297568062</v>
      </c>
      <c r="G79" s="1210">
        <f>TableA2!L79</f>
        <v>2.3923211554676529</v>
      </c>
      <c r="H79" s="1178">
        <f>D79/TableA2!C79</f>
        <v>0</v>
      </c>
      <c r="I79" s="1178">
        <f>TableA6!D79/TableA2!C79</f>
        <v>0</v>
      </c>
      <c r="J79" s="1178">
        <f>TableA6!I79/TableA2!$C79</f>
        <v>0</v>
      </c>
      <c r="K79" s="1178">
        <f>TableA6!J79/TableA2!$C79</f>
        <v>0</v>
      </c>
      <c r="L79" s="902">
        <f>(C79+E79)/TableA2!C79</f>
        <v>2.3923211554676529</v>
      </c>
      <c r="M79" s="1178">
        <f>C79/TableA4!D79</f>
        <v>5.2608582564038873</v>
      </c>
      <c r="N79" s="1178">
        <f>TableA10!D$91/TableA10!C$91</f>
        <v>1.7827897293546149</v>
      </c>
      <c r="O79" s="1696">
        <f t="shared" si="21"/>
        <v>0.47996308817683037</v>
      </c>
      <c r="P79" s="266" t="str">
        <f>+'Table E1'!D79</f>
        <v/>
      </c>
      <c r="Q79" s="266" t="str">
        <f>+'Table E1'!I79</f>
        <v/>
      </c>
      <c r="R79" s="266" t="str">
        <f>+'Table E1'!N79</f>
        <v/>
      </c>
      <c r="S79" s="266" t="str">
        <f t="shared" si="28"/>
        <v/>
      </c>
      <c r="T79" s="266" t="str">
        <f t="shared" si="29"/>
        <v/>
      </c>
      <c r="U79" s="266" t="str">
        <f t="shared" si="30"/>
        <v/>
      </c>
      <c r="V79" s="908">
        <f>C79-O79*TableA4!D79</f>
        <v>1.9877049751420814</v>
      </c>
      <c r="W79" s="26" t="str">
        <f>IFERROR($C79-S79*TableA4!$D79,"")</f>
        <v/>
      </c>
      <c r="X79" s="26" t="str">
        <f>IFERROR($C79-T79*TableA4!$D79,"")</f>
        <v/>
      </c>
      <c r="Y79" s="906" t="str">
        <f>IFERROR($C79-U79*TableA4!$D79,"")</f>
        <v/>
      </c>
      <c r="Z79" s="26" t="str">
        <f t="shared" si="22"/>
        <v/>
      </c>
      <c r="AA79" s="26" t="str">
        <f t="shared" si="23"/>
        <v/>
      </c>
      <c r="AB79" s="896" t="str">
        <f t="shared" si="24"/>
        <v/>
      </c>
      <c r="AC79" s="26"/>
      <c r="AD79" s="26"/>
      <c r="AE79" s="26"/>
      <c r="AF79" s="954"/>
      <c r="AG79" s="954"/>
      <c r="AH79" s="320">
        <f t="shared" si="26"/>
        <v>0</v>
      </c>
      <c r="AI79" s="320">
        <f t="shared" si="27"/>
        <v>0</v>
      </c>
    </row>
    <row r="80" spans="1:35" ht="17" x14ac:dyDescent="0.2">
      <c r="A80" s="955" t="s">
        <v>99</v>
      </c>
      <c r="B80" s="1208">
        <f>TableA6!B80</f>
        <v>0.34823567512391918</v>
      </c>
      <c r="C80" s="1153">
        <f>TableA6!E80</f>
        <v>0.30679422220146713</v>
      </c>
      <c r="D80" s="1860">
        <v>0</v>
      </c>
      <c r="E80" s="1153">
        <f>TableA6!K80</f>
        <v>4.1441452922452063E-2</v>
      </c>
      <c r="F80" s="311">
        <f t="shared" si="25"/>
        <v>0.88099595795949059</v>
      </c>
      <c r="G80" s="1210">
        <f>TableA2!L80</f>
        <v>2.3923120916012683</v>
      </c>
      <c r="H80" s="1178">
        <f>D80/TableA2!C80</f>
        <v>0</v>
      </c>
      <c r="I80" s="1178">
        <f>TableA6!D80/TableA2!C80</f>
        <v>2.7587669518353539E-2</v>
      </c>
      <c r="J80" s="1178">
        <f>TableA6!I80/TableA2!$C80</f>
        <v>0</v>
      </c>
      <c r="K80" s="1178">
        <f>TableA6!J80/TableA2!$C80</f>
        <v>2.1061608509370675</v>
      </c>
      <c r="L80" s="902">
        <f>(C80+E80)/TableA2!C80</f>
        <v>2.4198997611196216</v>
      </c>
      <c r="M80" s="1178">
        <f>C80/TableA4!D80</f>
        <v>5.3298047705338094</v>
      </c>
      <c r="N80" s="1178">
        <f>TableA10!D$63/TableA10!C$63</f>
        <v>14.031458531935176</v>
      </c>
      <c r="O80" s="1696">
        <f t="shared" si="21"/>
        <v>0.47996308817683037</v>
      </c>
      <c r="P80" s="266" t="str">
        <f>+'Table E1'!D80</f>
        <v/>
      </c>
      <c r="Q80" s="266" t="str">
        <f>+'Table E1'!I80</f>
        <v/>
      </c>
      <c r="R80" s="266" t="str">
        <f>+'Table E1'!N80</f>
        <v/>
      </c>
      <c r="S80" s="266" t="str">
        <f t="shared" si="28"/>
        <v/>
      </c>
      <c r="T80" s="266" t="str">
        <f t="shared" si="29"/>
        <v/>
      </c>
      <c r="U80" s="266" t="str">
        <f t="shared" si="30"/>
        <v/>
      </c>
      <c r="V80" s="908">
        <f>C80-O80*TableA4!D80</f>
        <v>0.27916658691983243</v>
      </c>
      <c r="W80" s="26" t="str">
        <f>IFERROR($C80-S80*TableA4!$D80,"")</f>
        <v/>
      </c>
      <c r="X80" s="26" t="str">
        <f>IFERROR($C80-T80*TableA4!$D80,"")</f>
        <v/>
      </c>
      <c r="Y80" s="906" t="str">
        <f>IFERROR($C80-U80*TableA4!$D80,"")</f>
        <v/>
      </c>
      <c r="Z80" s="26" t="str">
        <f t="shared" si="22"/>
        <v/>
      </c>
      <c r="AA80" s="26" t="str">
        <f t="shared" si="23"/>
        <v/>
      </c>
      <c r="AB80" s="896" t="str">
        <f t="shared" si="24"/>
        <v/>
      </c>
      <c r="AC80" s="26"/>
      <c r="AD80" s="26"/>
      <c r="AE80" s="26"/>
      <c r="AF80" s="954"/>
      <c r="AG80" s="954"/>
      <c r="AH80" s="320">
        <f t="shared" si="26"/>
        <v>-3.0878077872387166E-16</v>
      </c>
      <c r="AI80" s="320">
        <f t="shared" si="27"/>
        <v>0</v>
      </c>
    </row>
    <row r="81" spans="1:35" ht="17" x14ac:dyDescent="0.2">
      <c r="A81" s="955" t="s">
        <v>100</v>
      </c>
      <c r="B81" s="1208">
        <f>TableA6!B81</f>
        <v>7.4441225761320906</v>
      </c>
      <c r="C81" s="1153">
        <f>TableA6!E81</f>
        <v>7.360135250471358</v>
      </c>
      <c r="D81" s="1860">
        <v>0</v>
      </c>
      <c r="E81" s="1153">
        <f>TableA6!K81</f>
        <v>8.3987325660732859E-2</v>
      </c>
      <c r="F81" s="311">
        <f t="shared" si="25"/>
        <v>0.98871763262872392</v>
      </c>
      <c r="G81" s="1210">
        <f>TableA2!L81</f>
        <v>18.781767953473743</v>
      </c>
      <c r="H81" s="1178">
        <f>D81/TableA2!C81</f>
        <v>0</v>
      </c>
      <c r="I81" s="1178">
        <f>TableA6!D81/TableA2!C81</f>
        <v>1.7209382714135832</v>
      </c>
      <c r="J81" s="1178">
        <f>TableA6!I81/TableA2!$C81</f>
        <v>0</v>
      </c>
      <c r="K81" s="1178">
        <f>TableA6!J81/TableA2!$C81</f>
        <v>19.347816111710308</v>
      </c>
      <c r="L81" s="902">
        <f>(C81+E81)/TableA2!C81</f>
        <v>20.502706224887326</v>
      </c>
      <c r="M81" s="1178">
        <f>C81/TableA4!D81</f>
        <v>39.130309305916256</v>
      </c>
      <c r="N81" s="1178">
        <f>TableA10!D$91/TableA10!C$91</f>
        <v>1.7827897293546149</v>
      </c>
      <c r="O81" s="1696">
        <f t="shared" si="21"/>
        <v>0.47996308817683037</v>
      </c>
      <c r="P81" s="266"/>
      <c r="Q81" s="266" t="str">
        <f>+'Table E1'!I81</f>
        <v/>
      </c>
      <c r="R81" s="266" t="str">
        <f>+'Table E1'!N81</f>
        <v/>
      </c>
      <c r="S81" s="266" t="str">
        <f t="shared" si="28"/>
        <v/>
      </c>
      <c r="T81" s="266" t="str">
        <f t="shared" si="29"/>
        <v/>
      </c>
      <c r="U81" s="266" t="str">
        <f t="shared" si="30"/>
        <v/>
      </c>
      <c r="V81" s="908">
        <f>C81-O81*TableA4!D81</f>
        <v>7.2698575780768468</v>
      </c>
      <c r="W81" s="26" t="str">
        <f>IFERROR($C81-S81*TableA4!$D81,"")</f>
        <v/>
      </c>
      <c r="X81" s="26" t="str">
        <f>IFERROR($C81-T81*TableA4!$D81,"")</f>
        <v/>
      </c>
      <c r="Y81" s="906" t="str">
        <f>IFERROR($C81-U81*TableA4!$D81,"")</f>
        <v/>
      </c>
      <c r="Z81" s="26" t="str">
        <f t="shared" si="22"/>
        <v/>
      </c>
      <c r="AA81" s="26" t="str">
        <f t="shared" si="23"/>
        <v/>
      </c>
      <c r="AB81" s="896" t="str">
        <f t="shared" si="24"/>
        <v/>
      </c>
      <c r="AC81" s="26"/>
      <c r="AD81" s="26"/>
      <c r="AE81" s="26"/>
      <c r="AF81" s="954"/>
      <c r="AG81" s="954"/>
      <c r="AH81" s="320">
        <f t="shared" si="26"/>
        <v>2.2204460492503131E-16</v>
      </c>
      <c r="AI81" s="320">
        <f t="shared" si="27"/>
        <v>-2.2204460492503131E-16</v>
      </c>
    </row>
    <row r="82" spans="1:35" ht="17" x14ac:dyDescent="0.2">
      <c r="A82" s="955" t="str">
        <f>+TableA1!A82</f>
        <v>Seychelles</v>
      </c>
      <c r="B82" s="1208">
        <f>TableA6!B82</f>
        <v>0.82419693736547761</v>
      </c>
      <c r="C82" s="1153">
        <f>TableA6!E82</f>
        <v>0.80997916157337257</v>
      </c>
      <c r="D82" s="1860">
        <v>0</v>
      </c>
      <c r="E82" s="1153">
        <f>TableA6!K82</f>
        <v>1.4217775792105054E-2</v>
      </c>
      <c r="F82" s="311">
        <f t="shared" si="25"/>
        <v>0.98274954061640685</v>
      </c>
      <c r="G82" s="1210">
        <f>TableA2!L82</f>
        <v>11.645447640290138</v>
      </c>
      <c r="H82" s="1178">
        <f>D82/TableA2!C82</f>
        <v>0</v>
      </c>
      <c r="I82" s="1178">
        <f>TableA6!D82/TableA2!C82</f>
        <v>0.1556292966812485</v>
      </c>
      <c r="J82" s="1178">
        <f>TableA6!I82/TableA2!$C82</f>
        <v>0</v>
      </c>
      <c r="K82" s="1178">
        <f>TableA6!J82/TableA2!$C82</f>
        <v>10.570874760866056</v>
      </c>
      <c r="L82" s="902">
        <f>(C82+E82)/TableA2!C82</f>
        <v>11.801076936971386</v>
      </c>
      <c r="M82" s="1178">
        <f>C82/TableA4!D82</f>
        <v>20.139627543599083</v>
      </c>
      <c r="N82" s="1178">
        <f>TableA10!D$91/TableA10!C$91</f>
        <v>1.7827897293546149</v>
      </c>
      <c r="O82" s="1696">
        <f t="shared" si="21"/>
        <v>0.47996308817683037</v>
      </c>
      <c r="P82" s="266" t="str">
        <f>+'Table E1'!D82</f>
        <v/>
      </c>
      <c r="Q82" s="266" t="str">
        <f>+'Table E1'!I82</f>
        <v/>
      </c>
      <c r="R82" s="266" t="str">
        <f>+'Table E1'!N82</f>
        <v/>
      </c>
      <c r="S82" s="266" t="str">
        <f t="shared" si="28"/>
        <v/>
      </c>
      <c r="T82" s="266" t="str">
        <f t="shared" si="29"/>
        <v/>
      </c>
      <c r="U82" s="266" t="str">
        <f t="shared" si="30"/>
        <v/>
      </c>
      <c r="V82" s="908">
        <f>C82-O82*TableA4!D82</f>
        <v>0.79067591979762319</v>
      </c>
      <c r="W82" s="26" t="str">
        <f>IFERROR($C82-S82*TableA4!$D82,"")</f>
        <v/>
      </c>
      <c r="X82" s="26" t="str">
        <f>IFERROR($C82-T82*TableA4!$D82,"")</f>
        <v/>
      </c>
      <c r="Y82" s="906" t="str">
        <f>IFERROR($C82-U82*TableA4!$D82,"")</f>
        <v/>
      </c>
      <c r="Z82" s="26" t="str">
        <f t="shared" si="22"/>
        <v/>
      </c>
      <c r="AA82" s="26" t="str">
        <f t="shared" si="23"/>
        <v/>
      </c>
      <c r="AB82" s="896" t="str">
        <f t="shared" si="24"/>
        <v/>
      </c>
      <c r="AC82" s="26"/>
      <c r="AD82" s="26"/>
      <c r="AE82" s="26"/>
      <c r="AF82" s="954"/>
      <c r="AG82" s="954"/>
      <c r="AH82" s="320">
        <f t="shared" si="26"/>
        <v>-6.9388939039072284E-16</v>
      </c>
      <c r="AI82" s="320">
        <f t="shared" si="27"/>
        <v>-1.7347234759768071E-17</v>
      </c>
    </row>
    <row r="83" spans="1:35" x14ac:dyDescent="0.2">
      <c r="A83" s="955" t="s">
        <v>102</v>
      </c>
      <c r="B83" s="1208">
        <f>TableA6!B83</f>
        <v>120.07387384516201</v>
      </c>
      <c r="C83" s="1153">
        <f>TableA6!E83</f>
        <v>90.279312540155431</v>
      </c>
      <c r="D83" s="1196">
        <f>D72</f>
        <v>0</v>
      </c>
      <c r="E83" s="1153">
        <f>TableA6!K83</f>
        <v>29.794561305006578</v>
      </c>
      <c r="F83" s="312">
        <f t="shared" si="25"/>
        <v>0.75186474500333567</v>
      </c>
      <c r="G83" s="1210">
        <f>TableA2!L83</f>
        <v>0.62387923338851881</v>
      </c>
      <c r="H83" s="1178">
        <f>D83/TableA2!C83</f>
        <v>0</v>
      </c>
      <c r="I83" s="1178">
        <f>TableA6!D83/TableA2!C83</f>
        <v>0.5366888322415323</v>
      </c>
      <c r="J83" s="1178">
        <f>TableA6!I83/TableA2!$C83</f>
        <v>0.15643459965113188</v>
      </c>
      <c r="K83" s="1178">
        <f>TableA6!J83/TableA2!$C83</f>
        <v>0.1945074374074523</v>
      </c>
      <c r="L83" s="902">
        <f>(C83+E83)/TableA2!C83</f>
        <v>1.1605680656300512</v>
      </c>
      <c r="M83" s="1178">
        <f>C83/TableA4!D83</f>
        <v>2.1814755318098822</v>
      </c>
      <c r="N83" s="1178">
        <f>TableA10!D$91/TableA10!C$91</f>
        <v>1.7827897293546149</v>
      </c>
      <c r="O83" s="1696">
        <f t="shared" si="21"/>
        <v>0.47996308817683037</v>
      </c>
      <c r="P83" s="266">
        <f>+'Table E1'!D83</f>
        <v>0.13975175828398759</v>
      </c>
      <c r="Q83" s="266">
        <f>+'Table E1'!I83</f>
        <v>0.33081796705761152</v>
      </c>
      <c r="R83" s="266">
        <f>+'Table E1'!N83</f>
        <v>0.10689536438994977</v>
      </c>
      <c r="S83" s="266">
        <f t="shared" si="28"/>
        <v>4.9069417386894298E-2</v>
      </c>
      <c r="T83" s="266">
        <f t="shared" si="29"/>
        <v>0.47996308817683037</v>
      </c>
      <c r="U83" s="266">
        <f t="shared" si="30"/>
        <v>0.71198275706371905</v>
      </c>
      <c r="V83" s="908">
        <f>C83-O83*TableA4!D83</f>
        <v>70.416271670151048</v>
      </c>
      <c r="W83" s="26">
        <f>IFERROR($C83-S83*TableA4!$D83,"")</f>
        <v>88.248598372685763</v>
      </c>
      <c r="X83" s="26">
        <f>IFERROR($C83-T83*TableA4!$D83,"")</f>
        <v>70.416271670151048</v>
      </c>
      <c r="Y83" s="906">
        <f>IFERROR($C83-U83*TableA4!$D83,"")</f>
        <v>60.814249599555424</v>
      </c>
      <c r="Z83" s="26">
        <f t="shared" si="22"/>
        <v>17.832326702534715</v>
      </c>
      <c r="AA83" s="26">
        <f t="shared" si="23"/>
        <v>0</v>
      </c>
      <c r="AB83" s="896">
        <f t="shared" si="24"/>
        <v>-9.6020220705956234</v>
      </c>
      <c r="AC83" s="26"/>
      <c r="AD83" s="26"/>
      <c r="AE83" s="26"/>
      <c r="AF83" s="954"/>
      <c r="AG83" s="1000"/>
      <c r="AH83" s="320">
        <f t="shared" si="26"/>
        <v>1.1102230246251565E-16</v>
      </c>
      <c r="AI83" s="320">
        <f t="shared" si="27"/>
        <v>0</v>
      </c>
    </row>
    <row r="84" spans="1:35" ht="17" x14ac:dyDescent="0.2">
      <c r="A84" s="955" t="str">
        <f>+TableA1!A84</f>
        <v>St. Kitts and Nevis</v>
      </c>
      <c r="B84" s="1208">
        <f>TableA6!B84</f>
        <v>0.47270768679271868</v>
      </c>
      <c r="C84" s="1153">
        <f>TableA6!E84</f>
        <v>0.45147281043247117</v>
      </c>
      <c r="D84" s="1860">
        <v>0</v>
      </c>
      <c r="E84" s="1153">
        <f>TableA6!K84</f>
        <v>2.1234876360247523E-2</v>
      </c>
      <c r="F84" s="311">
        <f t="shared" si="25"/>
        <v>0.95507820804792842</v>
      </c>
      <c r="G84" s="1210">
        <f>TableA2!L84</f>
        <v>6.3166391090861724</v>
      </c>
      <c r="H84" s="1178">
        <f>D84/TableA2!C84</f>
        <v>0</v>
      </c>
      <c r="I84" s="1178">
        <f>TableA6!D84/TableA2!C84</f>
        <v>9.4010163617608E-2</v>
      </c>
      <c r="J84" s="1105">
        <f>TableA6!I84/TableA2!$C84</f>
        <v>3.059194412415891</v>
      </c>
      <c r="K84" s="1178">
        <f>TableA6!J84/TableA2!$C84</f>
        <v>3.059194412415891</v>
      </c>
      <c r="L84" s="902">
        <f>(C84+E84)/TableA2!C84</f>
        <v>6.4106492727037807</v>
      </c>
      <c r="M84" s="1178">
        <f>C84/TableA4!D84</f>
        <v>15.306678549494206</v>
      </c>
      <c r="N84" s="1178">
        <f>TableA10!D$91/TableA10!C$91</f>
        <v>1.7827897293546149</v>
      </c>
      <c r="O84" s="1696">
        <f t="shared" si="21"/>
        <v>0.47996308817683037</v>
      </c>
      <c r="P84" s="266" t="str">
        <f>+'Table E1'!D84</f>
        <v/>
      </c>
      <c r="Q84" s="266" t="str">
        <f>+'Table E1'!I84</f>
        <v/>
      </c>
      <c r="R84" s="266" t="str">
        <f>+'Table E1'!N84</f>
        <v/>
      </c>
      <c r="S84" s="266" t="str">
        <f t="shared" si="28"/>
        <v/>
      </c>
      <c r="T84" s="266" t="str">
        <f t="shared" si="29"/>
        <v/>
      </c>
      <c r="U84" s="266" t="str">
        <f t="shared" si="30"/>
        <v/>
      </c>
      <c r="V84" s="908">
        <f>C84-O84*TableA4!D84</f>
        <v>0.43731622619230615</v>
      </c>
      <c r="W84" s="26" t="str">
        <f>IFERROR($C84-S84*TableA4!$D84,"")</f>
        <v/>
      </c>
      <c r="X84" s="26" t="str">
        <f>IFERROR($C84-T84*TableA4!$D84,"")</f>
        <v/>
      </c>
      <c r="Y84" s="906" t="str">
        <f>IFERROR($C84-U84*TableA4!$D84,"")</f>
        <v/>
      </c>
      <c r="Z84" s="26" t="str">
        <f t="shared" si="22"/>
        <v/>
      </c>
      <c r="AA84" s="26" t="str">
        <f t="shared" si="23"/>
        <v/>
      </c>
      <c r="AB84" s="896" t="str">
        <f t="shared" si="24"/>
        <v/>
      </c>
      <c r="AC84" s="26"/>
      <c r="AD84" s="26"/>
      <c r="AE84" s="26"/>
      <c r="AF84" s="954"/>
      <c r="AG84" s="1003"/>
      <c r="AH84" s="320">
        <f t="shared" si="26"/>
        <v>2.7755575615628914E-16</v>
      </c>
      <c r="AI84" s="320">
        <f t="shared" si="27"/>
        <v>0</v>
      </c>
    </row>
    <row r="85" spans="1:35" ht="17" x14ac:dyDescent="0.2">
      <c r="A85" s="955" t="str">
        <f>+TableA1!A85</f>
        <v>St. Lucia</v>
      </c>
      <c r="B85" s="1208">
        <f>TableA6!B85</f>
        <v>0.98185335484198899</v>
      </c>
      <c r="C85" s="1153">
        <f>TableA6!E85</f>
        <v>0.94866880291806055</v>
      </c>
      <c r="D85" s="1860">
        <v>0</v>
      </c>
      <c r="E85" s="1153">
        <f>TableA6!K85</f>
        <v>3.318455192392842E-2</v>
      </c>
      <c r="F85" s="311">
        <f t="shared" si="25"/>
        <v>0.96620213012434131</v>
      </c>
      <c r="G85" s="1210">
        <f>TableA2!L85</f>
        <v>7.7912383165560453</v>
      </c>
      <c r="H85" s="1178">
        <f>D85/TableA2!C85</f>
        <v>0</v>
      </c>
      <c r="I85" s="1178">
        <f>TableA6!D85/TableA2!C85</f>
        <v>0.72935348303251801</v>
      </c>
      <c r="J85" s="1178">
        <f>TableA6!I85/TableA2!$C85</f>
        <v>0</v>
      </c>
      <c r="K85" s="1178">
        <f>TableA6!J85/TableA2!$C85</f>
        <v>7.5986581217109093</v>
      </c>
      <c r="L85" s="902">
        <f>(C85+E85)/TableA2!C85</f>
        <v>8.5205917995885638</v>
      </c>
      <c r="M85" s="1178">
        <f>C85/TableA4!D85</f>
        <v>20.581534866706164</v>
      </c>
      <c r="N85" s="1178">
        <f>TableA10!D$91/TableA10!C$91</f>
        <v>1.7827897293546149</v>
      </c>
      <c r="O85" s="1696">
        <f t="shared" si="21"/>
        <v>0.47996308817683037</v>
      </c>
      <c r="P85" s="266" t="str">
        <f>+'Table E1'!D85</f>
        <v/>
      </c>
      <c r="Q85" s="266" t="str">
        <f>+'Table E1'!I85</f>
        <v/>
      </c>
      <c r="R85" s="266" t="str">
        <f>+'Table E1'!N85</f>
        <v/>
      </c>
      <c r="S85" s="266" t="str">
        <f t="shared" si="28"/>
        <v/>
      </c>
      <c r="T85" s="266" t="str">
        <f t="shared" si="29"/>
        <v/>
      </c>
      <c r="U85" s="266" t="str">
        <f t="shared" si="30"/>
        <v/>
      </c>
      <c r="V85" s="908">
        <f>C85-O85*TableA4!D85</f>
        <v>0.92654576830210822</v>
      </c>
      <c r="W85" s="26" t="str">
        <f>IFERROR($C85-S85*TableA4!$D85,"")</f>
        <v/>
      </c>
      <c r="X85" s="26" t="str">
        <f>IFERROR($C85-T85*TableA4!$D85,"")</f>
        <v/>
      </c>
      <c r="Y85" s="906" t="str">
        <f>IFERROR($C85-U85*TableA4!$D85,"")</f>
        <v/>
      </c>
      <c r="Z85" s="26" t="str">
        <f t="shared" si="22"/>
        <v/>
      </c>
      <c r="AA85" s="26" t="str">
        <f t="shared" si="23"/>
        <v/>
      </c>
      <c r="AB85" s="896" t="str">
        <f t="shared" si="24"/>
        <v/>
      </c>
      <c r="AC85" s="26"/>
      <c r="AD85" s="26"/>
      <c r="AE85" s="26"/>
      <c r="AF85" s="954"/>
      <c r="AG85" s="1003"/>
      <c r="AH85" s="320">
        <f t="shared" si="26"/>
        <v>5.5511151231257827E-16</v>
      </c>
      <c r="AI85" s="320">
        <f t="shared" si="27"/>
        <v>0</v>
      </c>
    </row>
    <row r="86" spans="1:35" ht="17" x14ac:dyDescent="0.2">
      <c r="A86" s="955" t="str">
        <f>+TableA1!A86</f>
        <v>St. Vincent and the Grenadines</v>
      </c>
      <c r="B86" s="1208">
        <f>TableA6!B86</f>
        <v>0.4096430975806486</v>
      </c>
      <c r="C86" s="1153">
        <f>TableA6!E86</f>
        <v>0.38835723070985412</v>
      </c>
      <c r="D86" s="1860">
        <v>0</v>
      </c>
      <c r="E86" s="1153">
        <f>TableA6!K86</f>
        <v>2.1285866870794486E-2</v>
      </c>
      <c r="F86" s="311">
        <f t="shared" si="25"/>
        <v>0.94803801895721229</v>
      </c>
      <c r="G86" s="1210">
        <f>TableA2!L86</f>
        <v>5.2762611763764227</v>
      </c>
      <c r="H86" s="1178">
        <f>D86/TableA2!C86</f>
        <v>0</v>
      </c>
      <c r="I86" s="1178">
        <f>TableA6!D86/TableA2!C86</f>
        <v>0.26582646398827259</v>
      </c>
      <c r="J86" s="1178">
        <f>TableA6!I86/TableA2!$C86</f>
        <v>0</v>
      </c>
      <c r="K86" s="1178">
        <f>TableA6!J86/TableA2!$C86</f>
        <v>5.0219795332999517</v>
      </c>
      <c r="L86" s="902">
        <f>(C86+E86)/TableA2!C86</f>
        <v>5.5420876403646959</v>
      </c>
      <c r="M86" s="1178">
        <f>C86/TableA4!D86</f>
        <v>13.135274468646493</v>
      </c>
      <c r="N86" s="1178">
        <f>TableA10!D$91/TableA10!C$91</f>
        <v>1.7827897293546149</v>
      </c>
      <c r="O86" s="1696">
        <f t="shared" si="21"/>
        <v>0.47996308817683037</v>
      </c>
      <c r="P86" s="266" t="str">
        <f>+'Table E1'!D86</f>
        <v/>
      </c>
      <c r="Q86" s="266" t="str">
        <f>+'Table E1'!I86</f>
        <v/>
      </c>
      <c r="R86" s="266" t="str">
        <f>+'Table E1'!N86</f>
        <v/>
      </c>
      <c r="S86" s="266" t="str">
        <f t="shared" si="28"/>
        <v/>
      </c>
      <c r="T86" s="266" t="str">
        <f t="shared" si="29"/>
        <v/>
      </c>
      <c r="U86" s="266" t="str">
        <f t="shared" si="30"/>
        <v/>
      </c>
      <c r="V86" s="908">
        <f>C86-O86*TableA4!D86</f>
        <v>0.37416665279599115</v>
      </c>
      <c r="W86" s="26" t="str">
        <f>IFERROR($C86-S86*TableA4!$D86,"")</f>
        <v/>
      </c>
      <c r="X86" s="26" t="str">
        <f>IFERROR($C86-T86*TableA4!$D86,"")</f>
        <v/>
      </c>
      <c r="Y86" s="906" t="str">
        <f>IFERROR($C86-U86*TableA4!$D86,"")</f>
        <v/>
      </c>
      <c r="Z86" s="26" t="str">
        <f t="shared" si="22"/>
        <v/>
      </c>
      <c r="AA86" s="26" t="str">
        <f t="shared" si="23"/>
        <v/>
      </c>
      <c r="AB86" s="896" t="str">
        <f t="shared" si="24"/>
        <v/>
      </c>
      <c r="AC86" s="26"/>
      <c r="AD86" s="26"/>
      <c r="AE86" s="26"/>
      <c r="AF86" s="954"/>
      <c r="AG86" s="1003"/>
      <c r="AH86" s="320">
        <f t="shared" si="26"/>
        <v>6.6613381477509392E-16</v>
      </c>
      <c r="AI86" s="320">
        <f t="shared" si="27"/>
        <v>0</v>
      </c>
    </row>
    <row r="87" spans="1:35" ht="17" x14ac:dyDescent="0.2">
      <c r="A87" s="955" t="str">
        <f>+TableA1!A87</f>
        <v>Turks and Caicos</v>
      </c>
      <c r="B87" s="1208">
        <f>TableA6!B87</f>
        <v>0.29994738122448317</v>
      </c>
      <c r="C87" s="1153">
        <f>TableA6!E87</f>
        <v>0.26699033180435056</v>
      </c>
      <c r="D87" s="1860">
        <v>0</v>
      </c>
      <c r="E87" s="1153">
        <f>TableA6!K87</f>
        <v>3.2957049420132598E-2</v>
      </c>
      <c r="F87" s="311">
        <f t="shared" si="25"/>
        <v>0.89012389677952453</v>
      </c>
      <c r="G87" s="1210">
        <f>TableA2!L87</f>
        <v>2.3923188641786157</v>
      </c>
      <c r="H87" s="1178">
        <f>D87/TableA2!C87</f>
        <v>0</v>
      </c>
      <c r="I87" s="1178">
        <f>TableA6!D87/TableA2!C87</f>
        <v>0.22861366314488285</v>
      </c>
      <c r="J87" s="1178">
        <f>TableA6!I87/TableA2!$C87</f>
        <v>0</v>
      </c>
      <c r="K87" s="1178">
        <f>TableA6!J87/TableA2!$C87</f>
        <v>0</v>
      </c>
      <c r="L87" s="902">
        <f>(C87+E87)/TableA2!C87</f>
        <v>2.6209325273234985</v>
      </c>
      <c r="M87" s="1178">
        <f>C87/TableA4!D87</f>
        <v>5.8323866860435007</v>
      </c>
      <c r="N87" s="1178">
        <f>TableA10!D$91/TableA10!C$91</f>
        <v>1.7827897293546149</v>
      </c>
      <c r="O87" s="1696">
        <f t="shared" si="21"/>
        <v>0.47996308817683037</v>
      </c>
      <c r="P87" s="266" t="str">
        <f>+'Table E1'!D87</f>
        <v/>
      </c>
      <c r="Q87" s="266" t="str">
        <f>+'Table E1'!I87</f>
        <v/>
      </c>
      <c r="R87" s="266" t="str">
        <f>+'Table E1'!N87</f>
        <v/>
      </c>
      <c r="S87" s="266" t="str">
        <f t="shared" si="28"/>
        <v/>
      </c>
      <c r="T87" s="266" t="str">
        <f t="shared" si="29"/>
        <v/>
      </c>
      <c r="U87" s="266" t="str">
        <f t="shared" si="30"/>
        <v/>
      </c>
      <c r="V87" s="908">
        <f>C87-O87*TableA4!D87</f>
        <v>0.24501896552426217</v>
      </c>
      <c r="W87" s="26" t="str">
        <f>IFERROR($C87-S87*TableA4!$D87,"")</f>
        <v/>
      </c>
      <c r="X87" s="26" t="str">
        <f>IFERROR($C87-T87*TableA4!$D87,"")</f>
        <v/>
      </c>
      <c r="Y87" s="906" t="str">
        <f>IFERROR($C87-U87*TableA4!$D87,"")</f>
        <v/>
      </c>
      <c r="Z87" s="26" t="str">
        <f t="shared" si="22"/>
        <v/>
      </c>
      <c r="AA87" s="26" t="str">
        <f t="shared" si="23"/>
        <v/>
      </c>
      <c r="AB87" s="896" t="str">
        <f t="shared" si="24"/>
        <v/>
      </c>
      <c r="AC87" s="26"/>
      <c r="AD87" s="26"/>
      <c r="AE87" s="26"/>
      <c r="AF87" s="954"/>
      <c r="AG87" s="1003"/>
      <c r="AH87" s="320">
        <f t="shared" si="26"/>
        <v>-1.1102230246251565E-16</v>
      </c>
      <c r="AI87" s="320">
        <f t="shared" si="27"/>
        <v>0</v>
      </c>
    </row>
    <row r="88" spans="1:35" x14ac:dyDescent="0.2">
      <c r="A88" s="955" t="str">
        <f>+TableA1!A88</f>
        <v>Panama</v>
      </c>
      <c r="B88" s="1208">
        <f>TableA6!B88</f>
        <v>21.839627936803055</v>
      </c>
      <c r="C88" s="1153">
        <f>TableA6!E88</f>
        <v>17.861321218110369</v>
      </c>
      <c r="D88" s="1860">
        <v>0</v>
      </c>
      <c r="E88" s="1153">
        <f>TableA6!K88</f>
        <v>3.9783067186926862</v>
      </c>
      <c r="F88" s="311">
        <f t="shared" si="25"/>
        <v>0.81783999570850563</v>
      </c>
      <c r="G88" s="1210">
        <f>TableA2!L88</f>
        <v>2.1187821699792249</v>
      </c>
      <c r="H88" s="1178">
        <f>D88/TableA2!C88</f>
        <v>0</v>
      </c>
      <c r="I88" s="1178">
        <f>TableA6!D88/TableA2!C88</f>
        <v>8.1573745132373331E-3</v>
      </c>
      <c r="J88" s="1178">
        <f>TableA6!I88/TableA2!$C88</f>
        <v>0</v>
      </c>
      <c r="K88" s="1178">
        <f>TableA6!J88/TableA2!$C88</f>
        <v>1.3958379286306488</v>
      </c>
      <c r="L88" s="902">
        <f>(C88+E88)/TableA2!C88</f>
        <v>2.1269395444924624</v>
      </c>
      <c r="M88" s="1178">
        <f>C88/TableA4!D88</f>
        <v>9.0239520350742346</v>
      </c>
      <c r="N88" s="1178">
        <f>TableA10!D$91/TableA10!C$91</f>
        <v>1.7827897293546149</v>
      </c>
      <c r="O88" s="1696">
        <f t="shared" si="21"/>
        <v>0.47996308817683037</v>
      </c>
      <c r="P88" s="266">
        <f>+'Table E1'!D88</f>
        <v>4.6619983642402885E-2</v>
      </c>
      <c r="Q88" s="266">
        <f>+'Table E1'!I88</f>
        <v>0.29853202215285468</v>
      </c>
      <c r="R88" s="266">
        <f>+'Table E1'!N88</f>
        <v>3.9307972777586277E-2</v>
      </c>
      <c r="S88" s="266">
        <f t="shared" si="28"/>
        <v>-0.87655533881553716</v>
      </c>
      <c r="T88" s="266">
        <f t="shared" si="29"/>
        <v>0.47996308817683037</v>
      </c>
      <c r="U88" s="266">
        <f t="shared" si="30"/>
        <v>1.2103960873265669</v>
      </c>
      <c r="V88" s="908">
        <f>C88-O88*TableA4!D88</f>
        <v>16.911318951094543</v>
      </c>
      <c r="W88" s="26">
        <f>IFERROR($C88-S88*TableA4!$D88,"")</f>
        <v>19.596307885945098</v>
      </c>
      <c r="X88" s="26">
        <f>IFERROR($C88-T88*TableA4!$D88,"")</f>
        <v>16.911318951094543</v>
      </c>
      <c r="Y88" s="906">
        <f>IFERROR($C88-U88*TableA4!$D88,"")</f>
        <v>15.465555678482705</v>
      </c>
      <c r="Z88" s="26">
        <f t="shared" si="22"/>
        <v>2.6849889348505549</v>
      </c>
      <c r="AA88" s="26">
        <f t="shared" si="23"/>
        <v>0</v>
      </c>
      <c r="AB88" s="896">
        <f t="shared" si="24"/>
        <v>-1.4457632726118383</v>
      </c>
      <c r="AC88" s="26"/>
      <c r="AD88" s="26"/>
      <c r="AE88" s="26"/>
      <c r="AF88" s="954"/>
      <c r="AG88" s="1003"/>
      <c r="AH88" s="320">
        <f t="shared" si="26"/>
        <v>1.700029006457271E-16</v>
      </c>
      <c r="AI88" s="320">
        <f t="shared" si="27"/>
        <v>0</v>
      </c>
    </row>
    <row r="89" spans="1:35" x14ac:dyDescent="0.2">
      <c r="A89" s="955" t="s">
        <v>108</v>
      </c>
      <c r="B89" s="1208">
        <f>TableA6!B89</f>
        <v>52.764834331533464</v>
      </c>
      <c r="C89" s="1153">
        <f>TableA6!E89</f>
        <v>42.913042812221541</v>
      </c>
      <c r="D89" s="1860">
        <v>0</v>
      </c>
      <c r="E89" s="1153">
        <f>TableA6!K89</f>
        <v>9.8517915193119219</v>
      </c>
      <c r="F89" s="311">
        <f t="shared" si="25"/>
        <v>0.81328868660117692</v>
      </c>
      <c r="G89" s="1210">
        <f>TableA2!L89</f>
        <v>2.2852999866399926</v>
      </c>
      <c r="H89" s="1178">
        <f>D89/TableA2!C89</f>
        <v>0</v>
      </c>
      <c r="I89" s="1178">
        <f>TableA6!D89/TableA2!C89</f>
        <v>0</v>
      </c>
      <c r="J89" s="1178">
        <f>TableA6!I89/TableA2!$C89</f>
        <v>0</v>
      </c>
      <c r="K89" s="1178">
        <f>TableA6!J89/TableA2!$C89</f>
        <v>0</v>
      </c>
      <c r="L89" s="902">
        <f>(C89+E89)/TableA2!C89</f>
        <v>2.2852999866399926</v>
      </c>
      <c r="M89" s="1178">
        <f>C89/TableA4!D89</f>
        <v>16.745534629218685</v>
      </c>
      <c r="N89" s="1178">
        <f>TableA10!D$63/TableA10!C$63</f>
        <v>14.031458531935176</v>
      </c>
      <c r="O89" s="1696">
        <f t="shared" si="21"/>
        <v>0.47996308817683037</v>
      </c>
      <c r="P89" s="266">
        <f>+'Table E1'!D89</f>
        <v>0.14792782283040815</v>
      </c>
      <c r="Q89" s="266">
        <f>+'Table E1'!I89</f>
        <v>0.24695258440129056</v>
      </c>
      <c r="R89" s="266">
        <f>+'Table E1'!N89</f>
        <v>0.13758983851288142</v>
      </c>
      <c r="S89" s="266">
        <f t="shared" si="28"/>
        <v>0.31646446538993056</v>
      </c>
      <c r="T89" s="266">
        <f t="shared" si="29"/>
        <v>0.47996308817683037</v>
      </c>
      <c r="U89" s="266">
        <f t="shared" si="30"/>
        <v>0.56800080813900722</v>
      </c>
      <c r="V89" s="908">
        <f>C89-O89*TableA4!D89</f>
        <v>41.683062581236264</v>
      </c>
      <c r="W89" s="26">
        <f>IFERROR($C89-S89*TableA4!$D89,"")</f>
        <v>42.102053288594817</v>
      </c>
      <c r="X89" s="26">
        <f>IFERROR($C89-T89*TableA4!$D89,"")</f>
        <v>41.683062581236264</v>
      </c>
      <c r="Y89" s="906">
        <f>IFERROR($C89-U89*TableA4!$D89,"")</f>
        <v>41.457452200350886</v>
      </c>
      <c r="Z89" s="26">
        <f t="shared" si="22"/>
        <v>0.41899070735855304</v>
      </c>
      <c r="AA89" s="26">
        <f t="shared" si="23"/>
        <v>0</v>
      </c>
      <c r="AB89" s="896">
        <f t="shared" si="24"/>
        <v>-0.22561038088537799</v>
      </c>
      <c r="AC89" s="26"/>
      <c r="AD89" s="26"/>
      <c r="AE89" s="26"/>
      <c r="AF89" s="954"/>
      <c r="AG89" s="1003"/>
      <c r="AH89" s="320">
        <f t="shared" si="26"/>
        <v>0</v>
      </c>
      <c r="AI89" s="320">
        <f t="shared" si="27"/>
        <v>0</v>
      </c>
    </row>
    <row r="90" spans="1:35" ht="40" customHeight="1" x14ac:dyDescent="0.2">
      <c r="A90" s="1812" t="s">
        <v>155</v>
      </c>
      <c r="B90" s="1464">
        <f>TableA6!B90</f>
        <v>1423.1461018568671</v>
      </c>
      <c r="C90" s="1342">
        <f>TableA6!E90</f>
        <v>114.1831702680436</v>
      </c>
      <c r="D90" s="1342">
        <v>0</v>
      </c>
      <c r="E90" s="1342">
        <f>TableA3!B90+TableA6!H90-C90-D90</f>
        <v>1308.9629315888235</v>
      </c>
      <c r="F90" s="1697">
        <f t="shared" si="25"/>
        <v>8.0232922058432174E-2</v>
      </c>
      <c r="G90" s="1490">
        <f>TableA2!L90</f>
        <v>0.68108145790914665</v>
      </c>
      <c r="H90" s="1490">
        <f>D90/TableA2!C90</f>
        <v>0</v>
      </c>
      <c r="I90" s="1490">
        <f>TableA6!D90/TableA2!C90</f>
        <v>0</v>
      </c>
      <c r="J90" s="1490">
        <f>TableA6!I90/TableA2!$C90</f>
        <v>0</v>
      </c>
      <c r="K90" s="1490">
        <f>TableA6!J90/TableA2!$C90</f>
        <v>0</v>
      </c>
      <c r="L90" s="1698">
        <f>(C90+E90)/TableA2!C90</f>
        <v>0.68108145790914665</v>
      </c>
      <c r="M90" s="1490">
        <f>C90/TableA4!D90</f>
        <v>0.60344989333220223</v>
      </c>
      <c r="N90" s="1490"/>
      <c r="O90" s="1699">
        <f t="shared" si="21"/>
        <v>0.47996308817683037</v>
      </c>
      <c r="P90" s="915"/>
      <c r="Q90" s="916"/>
      <c r="R90" s="916"/>
      <c r="S90" s="916" t="str">
        <f t="shared" si="28"/>
        <v/>
      </c>
      <c r="T90" s="916" t="str">
        <f t="shared" si="29"/>
        <v/>
      </c>
      <c r="U90" s="917" t="str">
        <f t="shared" si="30"/>
        <v/>
      </c>
      <c r="V90" s="912">
        <f>C90-O90*TableA4!D90</f>
        <v>23.365842060312318</v>
      </c>
      <c r="W90" s="913" t="str">
        <f>IFERROR($C90-S90*TableA4!$D90,"")</f>
        <v/>
      </c>
      <c r="X90" s="913" t="str">
        <f>IFERROR($C90-T90*TableA4!$D90,"")</f>
        <v/>
      </c>
      <c r="Y90" s="914" t="str">
        <f>IFERROR($C90-U90*TableA4!$D90,"")</f>
        <v/>
      </c>
      <c r="Z90" s="913" t="str">
        <f t="shared" si="22"/>
        <v/>
      </c>
      <c r="AA90" s="913" t="str">
        <f t="shared" si="23"/>
        <v/>
      </c>
      <c r="AB90" s="918" t="str">
        <f t="shared" si="24"/>
        <v/>
      </c>
      <c r="AC90" s="514"/>
      <c r="AD90" s="514"/>
      <c r="AE90" s="514"/>
      <c r="AF90" s="954"/>
      <c r="AG90" s="954"/>
      <c r="AH90" s="320">
        <f t="shared" si="26"/>
        <v>0</v>
      </c>
      <c r="AI90" s="320">
        <f t="shared" si="27"/>
        <v>0</v>
      </c>
    </row>
    <row r="91" spans="1:35" ht="40" customHeight="1" thickBot="1" x14ac:dyDescent="0.25">
      <c r="A91" s="897" t="s">
        <v>110</v>
      </c>
      <c r="B91" s="619">
        <f>B90+B53+B45+B9</f>
        <v>11515.286894140658</v>
      </c>
      <c r="C91" s="898">
        <f>C90+C53+C45+C9</f>
        <v>1703.2290592571801</v>
      </c>
      <c r="D91" s="898">
        <f>D90+D53+D45+D9</f>
        <v>83.176702611519431</v>
      </c>
      <c r="E91" s="898">
        <f>E90+E53+E45+E9</f>
        <v>9728.8811322719557</v>
      </c>
      <c r="F91" s="899">
        <f t="shared" si="25"/>
        <v>0.14898641027088974</v>
      </c>
      <c r="G91" s="892">
        <f>TableA2!L91</f>
        <v>0.49990443254630074</v>
      </c>
      <c r="H91" s="892">
        <f>D91/TableA2!C91</f>
        <v>3.7095895154838419E-3</v>
      </c>
      <c r="I91" s="892">
        <f>TableA6!D91/TableA2!C91</f>
        <v>1.3664706276192731E-2</v>
      </c>
      <c r="J91" s="892">
        <f>TableA6!I91/TableA2!$C91</f>
        <v>6.323340074442599E-3</v>
      </c>
      <c r="K91" s="892">
        <f>TableA6!J91/TableA2!$C91</f>
        <v>8.8911378929233814E-3</v>
      </c>
      <c r="L91" s="919">
        <f>(C91+E91)/TableA2!C91</f>
        <v>0.5098595493070095</v>
      </c>
      <c r="M91" s="892">
        <f>C91/TableA4!D91</f>
        <v>0.57176241351494561</v>
      </c>
      <c r="N91" s="892"/>
      <c r="O91" s="920">
        <f>E91/TableA4!G91</f>
        <v>0.50037533847929427</v>
      </c>
      <c r="P91" s="892"/>
      <c r="Q91" s="892"/>
      <c r="R91" s="892"/>
      <c r="S91" s="892" t="str">
        <f t="shared" si="28"/>
        <v/>
      </c>
      <c r="T91" s="892" t="str">
        <f t="shared" si="29"/>
        <v/>
      </c>
      <c r="U91" s="892" t="str">
        <f t="shared" si="30"/>
        <v/>
      </c>
      <c r="V91" s="921">
        <f>V53+V9</f>
        <v>616.46162984891726</v>
      </c>
      <c r="W91" s="900" t="str">
        <f>IFERROR($C91-S91*TableA4!$D91,"")</f>
        <v/>
      </c>
      <c r="X91" s="900" t="str">
        <f>IFERROR($C91-T91*TableA4!$D91,"")</f>
        <v/>
      </c>
      <c r="Y91" s="922" t="str">
        <f>IFERROR($C91-U91*TableA4!$D91,"")</f>
        <v/>
      </c>
      <c r="Z91" s="900">
        <f>+Z53+Z9</f>
        <v>43.474791664169757</v>
      </c>
      <c r="AA91" s="900">
        <f>+AA53+AA9</f>
        <v>0</v>
      </c>
      <c r="AB91" s="901">
        <f>+AB53+AB9</f>
        <v>-23.409503203783729</v>
      </c>
      <c r="AC91" s="26"/>
      <c r="AD91" s="26"/>
      <c r="AE91" s="26"/>
      <c r="AF91" s="954"/>
      <c r="AG91" s="954"/>
      <c r="AH91" s="320">
        <f t="shared" si="26"/>
        <v>-1.2880321809127793E-16</v>
      </c>
      <c r="AI91" s="320">
        <f t="shared" si="27"/>
        <v>0</v>
      </c>
    </row>
    <row r="92" spans="1:35" s="2" customFormat="1" x14ac:dyDescent="0.2">
      <c r="B92" s="954"/>
      <c r="C92" s="954"/>
      <c r="D92" s="954"/>
      <c r="E92" s="954"/>
      <c r="F92" s="954"/>
      <c r="G92" s="954"/>
      <c r="H92" s="954"/>
      <c r="I92" s="954"/>
      <c r="J92" s="954"/>
      <c r="K92" s="954"/>
      <c r="L92" s="954"/>
      <c r="M92" s="954"/>
      <c r="N92" s="954"/>
      <c r="O92" s="954"/>
      <c r="P92" s="954"/>
      <c r="Q92" s="954"/>
      <c r="R92" s="954"/>
      <c r="S92" s="954"/>
      <c r="T92" s="954"/>
      <c r="U92" s="954"/>
    </row>
    <row r="93" spans="1:35" s="2" customFormat="1" x14ac:dyDescent="0.2">
      <c r="B93" s="954"/>
      <c r="C93" s="954"/>
      <c r="D93" s="954"/>
      <c r="E93" s="954"/>
      <c r="F93" s="954"/>
      <c r="G93" s="954"/>
      <c r="H93" s="954"/>
      <c r="I93" s="954"/>
      <c r="J93" s="954"/>
      <c r="K93" s="954"/>
      <c r="L93" s="954"/>
      <c r="M93" s="954"/>
      <c r="N93" s="954"/>
      <c r="O93" s="954"/>
      <c r="P93" s="954"/>
      <c r="Q93" s="954"/>
      <c r="R93" s="954"/>
      <c r="S93" s="954"/>
      <c r="T93" s="954"/>
      <c r="U93" s="954"/>
    </row>
    <row r="94" spans="1:35" s="2" customFormat="1" x14ac:dyDescent="0.2">
      <c r="A94" s="172" t="s">
        <v>166</v>
      </c>
      <c r="B94" s="313">
        <f>B91-C91-D91-E91</f>
        <v>0</v>
      </c>
      <c r="C94" s="172"/>
      <c r="D94" s="172"/>
      <c r="E94" s="172"/>
      <c r="F94" s="172"/>
      <c r="G94" s="172"/>
      <c r="H94" s="172"/>
      <c r="I94" s="172"/>
      <c r="J94" s="172"/>
      <c r="K94" s="172"/>
      <c r="L94" s="172"/>
      <c r="M94" s="172"/>
      <c r="N94" s="172"/>
      <c r="O94" s="172"/>
      <c r="P94" s="172"/>
      <c r="Q94" s="172"/>
      <c r="R94" s="172"/>
      <c r="S94" s="172"/>
      <c r="T94" s="172"/>
      <c r="U94" s="172"/>
      <c r="V94" s="314"/>
      <c r="W94" s="314"/>
      <c r="X94" s="314"/>
      <c r="Y94" s="314"/>
      <c r="Z94" s="314"/>
      <c r="AA94" s="314"/>
      <c r="AB94" s="314"/>
      <c r="AC94" s="314"/>
      <c r="AD94" s="314"/>
      <c r="AE94" s="314"/>
    </row>
    <row r="95" spans="1:35" s="2" customFormat="1" x14ac:dyDescent="0.2">
      <c r="A95" s="954"/>
      <c r="B95" s="954"/>
      <c r="C95" s="954"/>
      <c r="D95" s="954"/>
      <c r="E95" s="954"/>
      <c r="F95" s="954"/>
      <c r="G95" s="954"/>
      <c r="H95" s="954"/>
      <c r="I95" s="954"/>
      <c r="J95" s="954"/>
      <c r="K95" s="954"/>
      <c r="L95" s="954"/>
      <c r="M95" s="954"/>
      <c r="N95" s="954"/>
      <c r="O95" s="954"/>
      <c r="P95" s="954"/>
      <c r="Q95" s="954"/>
      <c r="R95" s="954"/>
      <c r="S95" s="954"/>
      <c r="T95" s="954"/>
      <c r="U95" s="954"/>
      <c r="V95" s="394"/>
      <c r="W95" s="394"/>
      <c r="X95" s="394"/>
      <c r="Y95" s="394"/>
      <c r="Z95" s="394"/>
      <c r="AA95" s="394"/>
      <c r="AB95" s="394"/>
      <c r="AC95" s="394"/>
      <c r="AD95" s="394"/>
      <c r="AE95" s="394"/>
    </row>
    <row r="96" spans="1:35" s="2" customFormat="1" x14ac:dyDescent="0.2">
      <c r="A96" s="954"/>
      <c r="B96" s="954"/>
      <c r="C96" s="954"/>
      <c r="D96" s="954"/>
      <c r="E96" s="954"/>
      <c r="F96" s="954"/>
      <c r="G96" s="954"/>
      <c r="H96" s="954"/>
      <c r="I96" s="954"/>
      <c r="J96" s="954"/>
      <c r="K96" s="954"/>
      <c r="L96" s="954"/>
      <c r="M96" s="954"/>
      <c r="N96" s="954"/>
      <c r="O96" s="954"/>
      <c r="P96" s="954"/>
      <c r="Q96" s="954"/>
      <c r="R96" s="954"/>
      <c r="S96" s="954"/>
      <c r="T96" s="954"/>
      <c r="U96" s="954"/>
    </row>
    <row r="97" spans="1:21" s="2" customFormat="1" x14ac:dyDescent="0.2">
      <c r="A97" s="954"/>
      <c r="B97" s="954"/>
      <c r="C97" s="954"/>
      <c r="D97" s="954"/>
      <c r="E97" s="954"/>
      <c r="F97" s="954"/>
      <c r="G97" s="954"/>
      <c r="H97" s="954"/>
      <c r="I97" s="954"/>
      <c r="J97" s="954"/>
      <c r="K97" s="954"/>
      <c r="L97" s="954"/>
      <c r="M97" s="954"/>
      <c r="N97" s="954"/>
      <c r="O97" s="954"/>
      <c r="P97" s="954"/>
      <c r="Q97" s="954"/>
      <c r="R97" s="954"/>
      <c r="S97" s="954"/>
      <c r="T97" s="954"/>
      <c r="U97" s="954"/>
    </row>
    <row r="99" spans="1:21" s="2" customFormat="1" x14ac:dyDescent="0.2">
      <c r="A99" s="954"/>
      <c r="B99" s="954"/>
      <c r="C99" s="954"/>
      <c r="D99" s="954"/>
      <c r="E99" s="954"/>
      <c r="F99" s="954"/>
      <c r="G99" s="954"/>
      <c r="H99" s="954"/>
      <c r="I99" s="954"/>
      <c r="J99" s="954"/>
      <c r="K99" s="954"/>
      <c r="L99" s="954"/>
      <c r="M99" s="954"/>
      <c r="N99" s="954"/>
      <c r="O99" s="954"/>
      <c r="P99" s="954"/>
      <c r="Q99" s="954"/>
      <c r="R99" s="954"/>
      <c r="S99" s="954"/>
      <c r="T99" s="954"/>
      <c r="U99" s="954"/>
    </row>
  </sheetData>
  <mergeCells count="21">
    <mergeCell ref="V7:Y7"/>
    <mergeCell ref="Z7:AB7"/>
    <mergeCell ref="A3:AB3"/>
    <mergeCell ref="Z6:AB6"/>
    <mergeCell ref="N6:N7"/>
    <mergeCell ref="O6:O7"/>
    <mergeCell ref="V6:Y6"/>
    <mergeCell ref="B7:B8"/>
    <mergeCell ref="P6:P8"/>
    <mergeCell ref="Q6:Q7"/>
    <mergeCell ref="R6:R7"/>
    <mergeCell ref="S6:U7"/>
    <mergeCell ref="B6:E6"/>
    <mergeCell ref="F6:F8"/>
    <mergeCell ref="G6:G8"/>
    <mergeCell ref="H6:H8"/>
    <mergeCell ref="I6:I8"/>
    <mergeCell ref="J6:J7"/>
    <mergeCell ref="K6:K7"/>
    <mergeCell ref="L6:L8"/>
    <mergeCell ref="M6:M7"/>
  </mergeCells>
  <pageMargins left="0.7" right="0.7" top="0.75" bottom="0.75" header="0.3" footer="0.3"/>
  <pageSetup scale="36" fitToHeight="2" orientation="landscape" horizontalDpi="4294967292" verticalDpi="429496729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S99"/>
  <sheetViews>
    <sheetView zoomScale="87" zoomScaleNormal="70" zoomScalePageLayoutView="85" workbookViewId="0">
      <pane xSplit="1" ySplit="8" topLeftCell="B78" activePane="bottomRight" state="frozen"/>
      <selection pane="topRight" activeCell="AR8" sqref="AR8"/>
      <selection pane="bottomLeft" activeCell="AR8" sqref="AR8"/>
      <selection pane="bottomRight" activeCell="A3" sqref="A3:G91"/>
    </sheetView>
  </sheetViews>
  <sheetFormatPr baseColWidth="10" defaultColWidth="10.83203125" defaultRowHeight="16" x14ac:dyDescent="0.2"/>
  <cols>
    <col min="1" max="1" width="24.6640625" style="1045" customWidth="1"/>
    <col min="2" max="2" width="10.83203125" style="1"/>
    <col min="3" max="4" width="10.83203125" style="954"/>
    <col min="5" max="5" width="12.6640625" style="954" customWidth="1"/>
    <col min="6" max="7" width="10.83203125" style="954"/>
    <col min="8" max="11" width="11.33203125" style="1" hidden="1" customWidth="1"/>
    <col min="12" max="12" width="0" style="1" hidden="1" customWidth="1"/>
    <col min="13" max="16384" width="10.83203125" style="1"/>
  </cols>
  <sheetData>
    <row r="1" spans="1:11" x14ac:dyDescent="0.2">
      <c r="A1" s="1700"/>
      <c r="B1" s="1000"/>
      <c r="H1" s="954"/>
      <c r="I1" s="954"/>
      <c r="J1" s="954"/>
      <c r="K1" s="954"/>
    </row>
    <row r="2" spans="1:11" ht="17" thickBot="1" x14ac:dyDescent="0.25">
      <c r="A2" s="1701"/>
      <c r="B2" s="954"/>
      <c r="H2" s="954"/>
      <c r="I2" s="954"/>
      <c r="J2" s="954"/>
      <c r="K2" s="954"/>
    </row>
    <row r="3" spans="1:11" ht="32.25" customHeight="1" x14ac:dyDescent="0.2">
      <c r="A3" s="2090" t="s">
        <v>5330</v>
      </c>
      <c r="B3" s="2091"/>
      <c r="C3" s="2091"/>
      <c r="D3" s="2091"/>
      <c r="E3" s="2091"/>
      <c r="F3" s="2091"/>
      <c r="G3" s="2092"/>
      <c r="H3" s="1833"/>
      <c r="I3" s="1833"/>
      <c r="J3" s="1833"/>
      <c r="K3" s="1833"/>
    </row>
    <row r="4" spans="1:11" ht="12" customHeight="1" x14ac:dyDescent="0.2">
      <c r="A4" s="1702"/>
      <c r="B4" s="1027"/>
      <c r="C4" s="1027"/>
      <c r="D4" s="1027"/>
      <c r="E4" s="1027"/>
      <c r="F4" s="1027"/>
      <c r="G4" s="953"/>
      <c r="H4" s="620"/>
      <c r="I4" s="620"/>
      <c r="J4" s="620"/>
      <c r="K4" s="620"/>
    </row>
    <row r="5" spans="1:11" x14ac:dyDescent="0.2">
      <c r="A5" s="1046"/>
      <c r="B5" s="3" t="s">
        <v>1</v>
      </c>
      <c r="C5" s="3" t="s">
        <v>2</v>
      </c>
      <c r="D5" s="3" t="s">
        <v>3</v>
      </c>
      <c r="E5" s="3" t="s">
        <v>4</v>
      </c>
      <c r="F5" s="3" t="s">
        <v>5</v>
      </c>
      <c r="G5" s="793" t="s">
        <v>6</v>
      </c>
      <c r="H5" s="1027"/>
      <c r="I5" s="1027"/>
      <c r="J5" s="1027"/>
      <c r="K5" s="1027"/>
    </row>
    <row r="6" spans="1:11" ht="21" customHeight="1" x14ac:dyDescent="0.2">
      <c r="A6" s="1703"/>
      <c r="B6" s="2290" t="s">
        <v>902</v>
      </c>
      <c r="C6" s="2282" t="s">
        <v>903</v>
      </c>
      <c r="D6" s="2047"/>
      <c r="E6" s="2047"/>
      <c r="F6" s="2047"/>
      <c r="G6" s="2048"/>
      <c r="H6" s="1829" t="s">
        <v>206</v>
      </c>
      <c r="I6" s="1819" t="s">
        <v>207</v>
      </c>
      <c r="J6" s="1823" t="s">
        <v>208</v>
      </c>
      <c r="K6" s="1824" t="s">
        <v>209</v>
      </c>
    </row>
    <row r="7" spans="1:11" ht="91" customHeight="1" x14ac:dyDescent="0.2">
      <c r="A7" s="1047"/>
      <c r="B7" s="2087"/>
      <c r="C7" s="1818" t="s">
        <v>1126</v>
      </c>
      <c r="D7" s="1819" t="s">
        <v>1127</v>
      </c>
      <c r="E7" s="1848" t="s">
        <v>904</v>
      </c>
      <c r="F7" s="1814" t="s">
        <v>905</v>
      </c>
      <c r="G7" s="1851" t="s">
        <v>906</v>
      </c>
      <c r="H7" s="1813"/>
      <c r="I7" s="1820"/>
      <c r="J7" s="1822"/>
      <c r="K7" s="1825"/>
    </row>
    <row r="8" spans="1:11" ht="33" hidden="1" customHeight="1" x14ac:dyDescent="0.2">
      <c r="A8" s="1704"/>
      <c r="B8" s="2105"/>
      <c r="C8" s="1814">
        <v>0.45</v>
      </c>
      <c r="D8" s="1694">
        <v>-0.45</v>
      </c>
      <c r="E8" s="1027"/>
      <c r="F8" s="1027"/>
      <c r="G8" s="953"/>
      <c r="H8" s="1847"/>
      <c r="I8" s="1814"/>
      <c r="J8" s="1814"/>
      <c r="K8" s="1814"/>
    </row>
    <row r="9" spans="1:11" ht="67" customHeight="1" x14ac:dyDescent="0.2">
      <c r="A9" s="1048" t="s">
        <v>28</v>
      </c>
      <c r="B9" s="1029">
        <f t="shared" ref="B9:G9" si="0">B12+B24+B30+B32+B41</f>
        <v>281.74149562210869</v>
      </c>
      <c r="C9" s="1032">
        <f t="shared" si="0"/>
        <v>213.61464887090872</v>
      </c>
      <c r="D9" s="1032">
        <f t="shared" si="0"/>
        <v>358.0809989040302</v>
      </c>
      <c r="E9" s="1032">
        <f t="shared" si="0"/>
        <v>243.03095630348787</v>
      </c>
      <c r="F9" s="1032">
        <f t="shared" si="0"/>
        <v>304.57484169223159</v>
      </c>
      <c r="G9" s="1041">
        <f t="shared" si="0"/>
        <v>269.44661696896549</v>
      </c>
      <c r="H9" s="266" t="e">
        <f>#REF!/TableA2!C9</f>
        <v>#REF!</v>
      </c>
      <c r="I9" s="266">
        <f>J9+K9</f>
        <v>7.7645217153016902E-3</v>
      </c>
      <c r="J9" s="266">
        <f>TableA6!I9/TableA2!$C9</f>
        <v>6.6527210204393103E-3</v>
      </c>
      <c r="K9" s="266">
        <f>TableA6!J9/TableA2!$C9</f>
        <v>1.1118006948623801E-3</v>
      </c>
    </row>
    <row r="10" spans="1:11" ht="14.25" hidden="1" customHeight="1" x14ac:dyDescent="0.2">
      <c r="A10" s="1049" t="s">
        <v>29</v>
      </c>
      <c r="B10" s="1705"/>
      <c r="C10" s="1033"/>
      <c r="D10" s="1033"/>
      <c r="E10" s="1033"/>
      <c r="F10" s="1033"/>
      <c r="G10" s="1042"/>
      <c r="H10" s="1210" t="e">
        <f>#REF!/TableA2!C10</f>
        <v>#REF!</v>
      </c>
      <c r="I10" s="1210">
        <f>J10+K10</f>
        <v>0</v>
      </c>
      <c r="J10" s="1210">
        <f>TableA6!I10/TableA2!$C10</f>
        <v>0</v>
      </c>
      <c r="K10" s="1210">
        <f>TableA6!J10/TableA2!$C10</f>
        <v>0</v>
      </c>
    </row>
    <row r="11" spans="1:11" ht="14.25" hidden="1" customHeight="1" x14ac:dyDescent="0.2">
      <c r="A11" s="1049" t="s">
        <v>30</v>
      </c>
      <c r="B11" s="1705"/>
      <c r="C11" s="1033"/>
      <c r="D11" s="1033"/>
      <c r="E11" s="1033"/>
      <c r="F11" s="1033"/>
      <c r="G11" s="1042"/>
      <c r="H11" s="1178" t="e">
        <f>#REF!/TableA2!C11</f>
        <v>#REF!</v>
      </c>
      <c r="I11" s="1178">
        <f t="shared" ref="I11:I52" si="1">J11+K11</f>
        <v>0</v>
      </c>
      <c r="J11" s="1178">
        <f>TableA6!I11/TableA2!$C11</f>
        <v>0</v>
      </c>
      <c r="K11" s="1178">
        <f>TableA6!J11/TableA2!$C11</f>
        <v>0</v>
      </c>
    </row>
    <row r="12" spans="1:11" ht="17.25" customHeight="1" x14ac:dyDescent="0.2">
      <c r="A12" s="1049" t="s">
        <v>31</v>
      </c>
      <c r="B12" s="1705">
        <f>+TableA7!C12*(TableA7!M12-TableA7!O12)/TableA7!M12</f>
        <v>13.106870602869716</v>
      </c>
      <c r="C12" s="1033">
        <v>0</v>
      </c>
      <c r="D12" s="1033">
        <f>+TableA7!$C12*(TableA7!$M12-$D$8-TableA7!$O12)/TableA7!$M12</f>
        <v>34.426397736461062</v>
      </c>
      <c r="E12" s="1033">
        <f>+TableA7!$C12*(TableA7!$M12-TableA7!I12-TableA7!$O12)/TableA7!$M12</f>
        <v>12.091712517011789</v>
      </c>
      <c r="F12" s="1033">
        <f>+'Table E3'!W12</f>
        <v>16.201614819287155</v>
      </c>
      <c r="G12" s="1042">
        <f>+'Table E3'!Y12</f>
        <v>11.440469870952633</v>
      </c>
      <c r="H12" s="1178" t="e">
        <f>#REF!/TableA2!C12</f>
        <v>#REF!</v>
      </c>
      <c r="I12" s="1178">
        <f t="shared" si="1"/>
        <v>2.1427357922788704E-2</v>
      </c>
      <c r="J12" s="1178">
        <f>TableA6!I12/TableA2!$C12</f>
        <v>2.1427357922788704E-2</v>
      </c>
      <c r="K12" s="1178">
        <f>TableA6!J12/TableA2!$C12</f>
        <v>0</v>
      </c>
    </row>
    <row r="13" spans="1:11" ht="17.25" hidden="1" customHeight="1" x14ac:dyDescent="0.2">
      <c r="A13" s="1050" t="s">
        <v>32</v>
      </c>
      <c r="B13" s="1705"/>
      <c r="C13" s="1033"/>
      <c r="D13" s="1033"/>
      <c r="E13" s="1034"/>
      <c r="F13" s="1033"/>
      <c r="G13" s="1042"/>
      <c r="H13" s="1178" t="e">
        <f>#REF!/TableA2!C13</f>
        <v>#REF!</v>
      </c>
      <c r="I13" s="1178">
        <f t="shared" si="1"/>
        <v>0</v>
      </c>
      <c r="J13" s="1178">
        <f>TableA6!I13/TableA2!$C13</f>
        <v>0</v>
      </c>
      <c r="K13" s="1178">
        <f>TableA6!J13/TableA2!$C13</f>
        <v>0</v>
      </c>
    </row>
    <row r="14" spans="1:11" ht="17.25" hidden="1" customHeight="1" x14ac:dyDescent="0.2">
      <c r="A14" s="1049" t="s">
        <v>33</v>
      </c>
      <c r="B14" s="1705"/>
      <c r="C14" s="1033"/>
      <c r="D14" s="1033"/>
      <c r="E14" s="1033"/>
      <c r="F14" s="1033"/>
      <c r="G14" s="1042"/>
      <c r="H14" s="1178" t="e">
        <f>#REF!/TableA2!C14</f>
        <v>#REF!</v>
      </c>
      <c r="I14" s="1178">
        <f t="shared" si="1"/>
        <v>0</v>
      </c>
      <c r="J14" s="1178">
        <f>TableA6!I14/TableA2!$C14</f>
        <v>0</v>
      </c>
      <c r="K14" s="1178">
        <f>TableA6!J14/TableA2!$C14</f>
        <v>0</v>
      </c>
    </row>
    <row r="15" spans="1:11" ht="17.25" hidden="1" customHeight="1" x14ac:dyDescent="0.2">
      <c r="A15" s="1049" t="s">
        <v>34</v>
      </c>
      <c r="B15" s="1705"/>
      <c r="C15" s="1033"/>
      <c r="D15" s="1033"/>
      <c r="E15" s="1033"/>
      <c r="F15" s="1033"/>
      <c r="G15" s="1042"/>
      <c r="H15" s="1178" t="e">
        <f>#REF!/TableA2!C15</f>
        <v>#REF!</v>
      </c>
      <c r="I15" s="1178">
        <f t="shared" si="1"/>
        <v>0</v>
      </c>
      <c r="J15" s="1178">
        <f>TableA6!I15/TableA2!$C15</f>
        <v>0</v>
      </c>
      <c r="K15" s="1178">
        <f>TableA6!J15/TableA2!$C15</f>
        <v>0</v>
      </c>
    </row>
    <row r="16" spans="1:11" ht="17.25" hidden="1" customHeight="1" x14ac:dyDescent="0.2">
      <c r="A16" s="1049" t="s">
        <v>35</v>
      </c>
      <c r="B16" s="1705"/>
      <c r="C16" s="1033"/>
      <c r="D16" s="1033"/>
      <c r="E16" s="1033"/>
      <c r="F16" s="1033"/>
      <c r="G16" s="1042"/>
      <c r="H16" s="1178" t="e">
        <f>#REF!/TableA2!C16</f>
        <v>#REF!</v>
      </c>
      <c r="I16" s="1178">
        <f t="shared" si="1"/>
        <v>0</v>
      </c>
      <c r="J16" s="1178">
        <f>TableA6!I16/TableA2!$C16</f>
        <v>0</v>
      </c>
      <c r="K16" s="1178">
        <f>TableA6!J16/TableA2!$C16</f>
        <v>0</v>
      </c>
    </row>
    <row r="17" spans="1:11" ht="17.25" hidden="1" customHeight="1" x14ac:dyDescent="0.2">
      <c r="A17" s="1049" t="s">
        <v>36</v>
      </c>
      <c r="B17" s="1705"/>
      <c r="C17" s="1033"/>
      <c r="D17" s="1033"/>
      <c r="E17" s="1033"/>
      <c r="F17" s="1033"/>
      <c r="G17" s="1042"/>
      <c r="H17" s="1178" t="e">
        <f>#REF!/TableA2!C17</f>
        <v>#REF!</v>
      </c>
      <c r="I17" s="1178">
        <f t="shared" si="1"/>
        <v>0</v>
      </c>
      <c r="J17" s="1178">
        <f>TableA6!I17/TableA2!$C17</f>
        <v>0</v>
      </c>
      <c r="K17" s="1178">
        <f>TableA6!J17/TableA2!$C17</f>
        <v>0</v>
      </c>
    </row>
    <row r="18" spans="1:11" ht="17.25" hidden="1" customHeight="1" x14ac:dyDescent="0.2">
      <c r="A18" s="1049" t="s">
        <v>37</v>
      </c>
      <c r="B18" s="1705"/>
      <c r="C18" s="1033"/>
      <c r="D18" s="1033"/>
      <c r="E18" s="1033"/>
      <c r="F18" s="1033"/>
      <c r="G18" s="1042"/>
      <c r="H18" s="1178" t="e">
        <f>#REF!/TableA2!C18</f>
        <v>#REF!</v>
      </c>
      <c r="I18" s="1178">
        <f t="shared" si="1"/>
        <v>0</v>
      </c>
      <c r="J18" s="1178">
        <f>TableA6!I18/TableA2!$C18</f>
        <v>0</v>
      </c>
      <c r="K18" s="1178">
        <f>TableA6!J18/TableA2!$C18</f>
        <v>0</v>
      </c>
    </row>
    <row r="19" spans="1:11" ht="17.25" hidden="1" customHeight="1" x14ac:dyDescent="0.2">
      <c r="A19" s="1049" t="s">
        <v>38</v>
      </c>
      <c r="B19" s="1705"/>
      <c r="C19" s="1033"/>
      <c r="D19" s="1033"/>
      <c r="E19" s="1033"/>
      <c r="F19" s="1033"/>
      <c r="G19" s="1042"/>
      <c r="H19" s="1178" t="e">
        <f>#REF!/TableA2!C19</f>
        <v>#REF!</v>
      </c>
      <c r="I19" s="1178">
        <f t="shared" si="1"/>
        <v>0</v>
      </c>
      <c r="J19" s="1178">
        <f>TableA6!I19/TableA2!$C19</f>
        <v>0</v>
      </c>
      <c r="K19" s="1178">
        <f>TableA6!J19/TableA2!$C19</f>
        <v>0</v>
      </c>
    </row>
    <row r="20" spans="1:11" ht="17.25" hidden="1" customHeight="1" x14ac:dyDescent="0.2">
      <c r="A20" s="1051" t="s">
        <v>39</v>
      </c>
      <c r="B20" s="1705"/>
      <c r="C20" s="1033"/>
      <c r="D20" s="1033"/>
      <c r="E20" s="1035"/>
      <c r="F20" s="1033"/>
      <c r="G20" s="1042"/>
      <c r="H20" s="1178" t="e">
        <f>#REF!/TableA2!C20</f>
        <v>#REF!</v>
      </c>
      <c r="I20" s="1178">
        <f t="shared" si="1"/>
        <v>0</v>
      </c>
      <c r="J20" s="1178">
        <f>TableA6!I20/TableA2!$C20</f>
        <v>0</v>
      </c>
      <c r="K20" s="1178">
        <f>TableA6!J20/TableA2!$C20</f>
        <v>0</v>
      </c>
    </row>
    <row r="21" spans="1:11" ht="17.25" hidden="1" customHeight="1" x14ac:dyDescent="0.2">
      <c r="A21" s="1051" t="s">
        <v>40</v>
      </c>
      <c r="B21" s="1705"/>
      <c r="C21" s="1033"/>
      <c r="D21" s="1033"/>
      <c r="E21" s="1035"/>
      <c r="F21" s="1033"/>
      <c r="G21" s="1042"/>
      <c r="H21" s="1178" t="e">
        <f>#REF!/TableA2!C21</f>
        <v>#REF!</v>
      </c>
      <c r="I21" s="1178">
        <f t="shared" si="1"/>
        <v>0</v>
      </c>
      <c r="J21" s="1178">
        <f>TableA6!I21/TableA2!$C21</f>
        <v>0</v>
      </c>
      <c r="K21" s="1178">
        <f>TableA6!J21/TableA2!$C21</f>
        <v>0</v>
      </c>
    </row>
    <row r="22" spans="1:11" ht="17.25" hidden="1" customHeight="1" x14ac:dyDescent="0.2">
      <c r="A22" s="1051" t="s">
        <v>41</v>
      </c>
      <c r="B22" s="1705"/>
      <c r="C22" s="1033"/>
      <c r="D22" s="1033"/>
      <c r="E22" s="1035"/>
      <c r="F22" s="1033"/>
      <c r="G22" s="1042"/>
      <c r="H22" s="1178" t="e">
        <f>#REF!/TableA2!C22</f>
        <v>#REF!</v>
      </c>
      <c r="I22" s="1178">
        <f t="shared" si="1"/>
        <v>0</v>
      </c>
      <c r="J22" s="1178">
        <f>TableA6!I22/TableA2!$C22</f>
        <v>0</v>
      </c>
      <c r="K22" s="1178">
        <f>TableA6!J22/TableA2!$C22</f>
        <v>0</v>
      </c>
    </row>
    <row r="23" spans="1:11" hidden="1" x14ac:dyDescent="0.2">
      <c r="A23" s="1051" t="s">
        <v>42</v>
      </c>
      <c r="B23" s="1705"/>
      <c r="C23" s="1033"/>
      <c r="D23" s="1033"/>
      <c r="E23" s="1035"/>
      <c r="F23" s="1033"/>
      <c r="G23" s="1042"/>
      <c r="H23" s="1178" t="e">
        <f>#REF!/TableA2!C23</f>
        <v>#REF!</v>
      </c>
      <c r="I23" s="1178">
        <f t="shared" si="1"/>
        <v>0</v>
      </c>
      <c r="J23" s="1178">
        <f>TableA6!I23/TableA2!$C23</f>
        <v>0</v>
      </c>
      <c r="K23" s="1178">
        <f>TableA6!J23/TableA2!$C23</f>
        <v>0</v>
      </c>
    </row>
    <row r="24" spans="1:11" ht="17.25" customHeight="1" x14ac:dyDescent="0.2">
      <c r="A24" s="1051" t="s">
        <v>43</v>
      </c>
      <c r="B24" s="1705">
        <f>+TableA7!C24*(TableA7!M24-TableA7!O24)/TableA7!M24</f>
        <v>106.32896387291392</v>
      </c>
      <c r="C24" s="1033">
        <f>+TableA7!$C24*(TableA7!$M24-$C$8-TableA7!$O24)/TableA7!$M24</f>
        <v>99.788313428438087</v>
      </c>
      <c r="D24" s="1033">
        <f>+TableA7!$C24*(TableA7!$M24-$D$8-TableA7!$O24)/TableA7!$M24</f>
        <v>112.86961431738972</v>
      </c>
      <c r="E24" s="1035">
        <f>+TableA7!$C24*(TableA7!$M24-TableA7!I24-TableA7!$O24)/TableA7!$M24</f>
        <v>94.776553088050775</v>
      </c>
      <c r="F24" s="1033">
        <f>+'Table E3'!W24</f>
        <v>114.97499700568162</v>
      </c>
      <c r="G24" s="1042">
        <f>+'Table E3'!Y24</f>
        <v>101.67340757065438</v>
      </c>
      <c r="H24" s="1178" t="e">
        <f>#REF!/TableA2!C24</f>
        <v>#REF!</v>
      </c>
      <c r="I24" s="1178">
        <f t="shared" si="1"/>
        <v>0.79481160128028239</v>
      </c>
      <c r="J24" s="1178">
        <f>TableA6!I24/TableA2!$C24</f>
        <v>0.79481160128028239</v>
      </c>
      <c r="K24" s="1178">
        <f>TableA6!J24/TableA2!$C24</f>
        <v>0</v>
      </c>
    </row>
    <row r="25" spans="1:11" ht="17.25" hidden="1" customHeight="1" x14ac:dyDescent="0.2">
      <c r="A25" s="1051" t="s">
        <v>44</v>
      </c>
      <c r="B25" s="1705"/>
      <c r="C25" s="1033"/>
      <c r="D25" s="1033"/>
      <c r="E25" s="1035"/>
      <c r="F25" s="1033"/>
      <c r="G25" s="1042"/>
      <c r="H25" s="1178" t="e">
        <f>#REF!/TableA2!C25</f>
        <v>#REF!</v>
      </c>
      <c r="I25" s="1178">
        <f t="shared" si="1"/>
        <v>0</v>
      </c>
      <c r="J25" s="1178">
        <f>TableA6!I25/TableA2!$C25</f>
        <v>0</v>
      </c>
      <c r="K25" s="1178">
        <f>TableA6!J25/TableA2!$C25</f>
        <v>0</v>
      </c>
    </row>
    <row r="26" spans="1:11" ht="17.25" hidden="1" customHeight="1" x14ac:dyDescent="0.2">
      <c r="A26" s="1051" t="s">
        <v>45</v>
      </c>
      <c r="B26" s="1705"/>
      <c r="C26" s="1033"/>
      <c r="D26" s="1033"/>
      <c r="E26" s="1035"/>
      <c r="F26" s="1033"/>
      <c r="G26" s="1042"/>
      <c r="H26" s="1178" t="e">
        <f>#REF!/TableA2!C26</f>
        <v>#REF!</v>
      </c>
      <c r="I26" s="1178">
        <f t="shared" si="1"/>
        <v>0</v>
      </c>
      <c r="J26" s="1178">
        <f>TableA6!I26/TableA2!$C26</f>
        <v>0</v>
      </c>
      <c r="K26" s="1178">
        <f>TableA6!J26/TableA2!$C26</f>
        <v>0</v>
      </c>
    </row>
    <row r="27" spans="1:11" ht="17.25" hidden="1" customHeight="1" x14ac:dyDescent="0.2">
      <c r="A27" s="1052" t="s">
        <v>46</v>
      </c>
      <c r="B27" s="1705"/>
      <c r="C27" s="1033"/>
      <c r="D27" s="1033"/>
      <c r="E27" s="1036"/>
      <c r="F27" s="1033"/>
      <c r="G27" s="1042"/>
      <c r="H27" s="1178" t="e">
        <f>#REF!/TableA2!C27</f>
        <v>#REF!</v>
      </c>
      <c r="I27" s="1178">
        <f t="shared" si="1"/>
        <v>0</v>
      </c>
      <c r="J27" s="1178">
        <f>TableA6!I27/TableA2!$C27</f>
        <v>0</v>
      </c>
      <c r="K27" s="1178">
        <f>TableA6!J27/TableA2!$C27</f>
        <v>0</v>
      </c>
    </row>
    <row r="28" spans="1:11" hidden="1" x14ac:dyDescent="0.2">
      <c r="A28" s="1051" t="s">
        <v>47</v>
      </c>
      <c r="B28" s="1705"/>
      <c r="C28" s="1033"/>
      <c r="D28" s="1033"/>
      <c r="E28" s="1035"/>
      <c r="F28" s="1033"/>
      <c r="G28" s="1042"/>
      <c r="H28" s="1178" t="e">
        <f>#REF!/TableA2!C28</f>
        <v>#REF!</v>
      </c>
      <c r="I28" s="1178">
        <f t="shared" si="1"/>
        <v>0</v>
      </c>
      <c r="J28" s="1178">
        <f>TableA6!I28/TableA2!$C28</f>
        <v>0</v>
      </c>
      <c r="K28" s="1178">
        <f>TableA6!J28/TableA2!$C28</f>
        <v>0</v>
      </c>
    </row>
    <row r="29" spans="1:11" ht="17.25" hidden="1" customHeight="1" x14ac:dyDescent="0.2">
      <c r="A29" s="1051" t="s">
        <v>48</v>
      </c>
      <c r="B29" s="1705"/>
      <c r="C29" s="1033"/>
      <c r="D29" s="1033"/>
      <c r="E29" s="1035"/>
      <c r="F29" s="1033"/>
      <c r="G29" s="1042"/>
      <c r="H29" s="1178" t="e">
        <f>#REF!/TableA2!C29</f>
        <v>#REF!</v>
      </c>
      <c r="I29" s="1178">
        <f t="shared" si="1"/>
        <v>0</v>
      </c>
      <c r="J29" s="1178">
        <f>TableA6!I29/TableA2!$C29</f>
        <v>0</v>
      </c>
      <c r="K29" s="1178">
        <f>TableA6!J29/TableA2!$C29</f>
        <v>0</v>
      </c>
    </row>
    <row r="30" spans="1:11" ht="17.25" customHeight="1" x14ac:dyDescent="0.2">
      <c r="A30" s="1051" t="s">
        <v>49</v>
      </c>
      <c r="B30" s="1705">
        <f>+TableA7!C30*(TableA7!M30-TableA7!O30)/TableA7!M30</f>
        <v>46.799572185855702</v>
      </c>
      <c r="C30" s="1033">
        <f>+TableA7!$C30*(TableA7!$M30-$C$8-TableA7!$O30)/TableA7!$M30</f>
        <v>41.788958417235847</v>
      </c>
      <c r="D30" s="1033">
        <f>+TableA7!$C30*(TableA7!$M30-$D$8-TableA7!$O30)/TableA7!$M30</f>
        <v>51.81018595447555</v>
      </c>
      <c r="E30" s="1035">
        <f>+TableA7!$C30*(TableA7!$M30-TableA7!I30-TableA7!$O30)/TableA7!$M30</f>
        <v>30.396164106584788</v>
      </c>
      <c r="F30" s="1033">
        <f>+'Table E3'!W30</f>
        <v>46.326891096516782</v>
      </c>
      <c r="G30" s="1042">
        <f>+'Table E3'!Y30</f>
        <v>47.054092772422806</v>
      </c>
      <c r="H30" s="1178" t="e">
        <f>#REF!/TableA2!C30</f>
        <v>#REF!</v>
      </c>
      <c r="I30" s="1178">
        <f t="shared" si="1"/>
        <v>1.4731795298014214</v>
      </c>
      <c r="J30" s="1178">
        <f>TableA6!I30/TableA2!$C30</f>
        <v>1.1684081444524146</v>
      </c>
      <c r="K30" s="1178">
        <f>TableA6!J30/TableA2!$C30</f>
        <v>0.30477138534900672</v>
      </c>
    </row>
    <row r="31" spans="1:11" ht="17.25" hidden="1" customHeight="1" x14ac:dyDescent="0.2">
      <c r="A31" s="1051" t="s">
        <v>50</v>
      </c>
      <c r="B31" s="1705"/>
      <c r="C31" s="1033"/>
      <c r="D31" s="1033"/>
      <c r="E31" s="1035"/>
      <c r="F31" s="1033"/>
      <c r="G31" s="1042"/>
      <c r="H31" s="1178" t="e">
        <f>#REF!/TableA2!C31</f>
        <v>#REF!</v>
      </c>
      <c r="I31" s="1178">
        <f t="shared" si="1"/>
        <v>0</v>
      </c>
      <c r="J31" s="1178">
        <f>TableA6!I31/TableA2!$C31</f>
        <v>0</v>
      </c>
      <c r="K31" s="1178">
        <f>TableA6!J31/TableA2!$C31</f>
        <v>0</v>
      </c>
    </row>
    <row r="32" spans="1:11" ht="17.25" customHeight="1" x14ac:dyDescent="0.2">
      <c r="A32" s="1051" t="s">
        <v>51</v>
      </c>
      <c r="B32" s="1705">
        <f>+TableA7!C32*(TableA7!M32-TableA7!O32)/TableA7!M32</f>
        <v>57.35336428752008</v>
      </c>
      <c r="C32" s="1033">
        <f>+TableA7!$C32*(TableA7!$M32-$C$8-TableA7!$O32)/TableA7!$M32</f>
        <v>22.383544888763851</v>
      </c>
      <c r="D32" s="1033">
        <f>+TableA7!$C32*(TableA7!$M32-$D$8-TableA7!$O32)/TableA7!$M32</f>
        <v>92.323183686276295</v>
      </c>
      <c r="E32" s="1035">
        <f>+TableA7!$C32*(TableA7!$M32-TableA7!I32-TableA7!$O32)/TableA7!$M32</f>
        <v>47.613801918891284</v>
      </c>
      <c r="F32" s="1033">
        <f>+'Table E3'!W32</f>
        <v>69.573728168815393</v>
      </c>
      <c r="G32" s="1042">
        <f>+'Table E3'!Y32</f>
        <v>50.773168351437974</v>
      </c>
      <c r="H32" s="1178" t="e">
        <f>#REF!/TableA2!C32</f>
        <v>#REF!</v>
      </c>
      <c r="I32" s="1178">
        <f t="shared" si="1"/>
        <v>0.12533101803891036</v>
      </c>
      <c r="J32" s="1178">
        <f>TableA6!I32/TableA2!$C32</f>
        <v>8.7982667359788116E-2</v>
      </c>
      <c r="K32" s="1178">
        <f>TableA6!J32/TableA2!$C32</f>
        <v>3.7348350679122254E-2</v>
      </c>
    </row>
    <row r="33" spans="1:11" ht="17.25" hidden="1" customHeight="1" x14ac:dyDescent="0.2">
      <c r="A33" s="1051" t="s">
        <v>52</v>
      </c>
      <c r="B33" s="1705"/>
      <c r="C33" s="1033"/>
      <c r="D33" s="1033"/>
      <c r="E33" s="1035"/>
      <c r="F33" s="1033"/>
      <c r="G33" s="1042"/>
      <c r="H33" s="1178" t="e">
        <f>#REF!/TableA2!C33</f>
        <v>#REF!</v>
      </c>
      <c r="I33" s="1178">
        <f t="shared" si="1"/>
        <v>0</v>
      </c>
      <c r="J33" s="1178">
        <f>TableA6!I33/TableA2!$C33</f>
        <v>0</v>
      </c>
      <c r="K33" s="1178">
        <f>TableA6!J33/TableA2!$C33</f>
        <v>0</v>
      </c>
    </row>
    <row r="34" spans="1:11" ht="17.25" hidden="1" customHeight="1" x14ac:dyDescent="0.2">
      <c r="A34" s="1051" t="s">
        <v>53</v>
      </c>
      <c r="B34" s="1705"/>
      <c r="C34" s="1033"/>
      <c r="D34" s="1033"/>
      <c r="E34" s="1035"/>
      <c r="F34" s="1033"/>
      <c r="G34" s="1042"/>
      <c r="H34" s="1178" t="e">
        <f>#REF!/TableA2!C34</f>
        <v>#REF!</v>
      </c>
      <c r="I34" s="1178">
        <f t="shared" si="1"/>
        <v>0</v>
      </c>
      <c r="J34" s="1178">
        <f>TableA6!I34/TableA2!$C34</f>
        <v>0</v>
      </c>
      <c r="K34" s="1178">
        <f>TableA6!J34/TableA2!$C34</f>
        <v>0</v>
      </c>
    </row>
    <row r="35" spans="1:11" ht="17.25" hidden="1" customHeight="1" x14ac:dyDescent="0.2">
      <c r="A35" s="1051" t="s">
        <v>54</v>
      </c>
      <c r="B35" s="1705"/>
      <c r="C35" s="1033"/>
      <c r="D35" s="1033"/>
      <c r="E35" s="1035"/>
      <c r="F35" s="1033"/>
      <c r="G35" s="1042"/>
      <c r="H35" s="1178" t="e">
        <f>#REF!/TableA2!C35</f>
        <v>#REF!</v>
      </c>
      <c r="I35" s="1178">
        <f t="shared" si="1"/>
        <v>0</v>
      </c>
      <c r="J35" s="1178">
        <f>TableA6!I35/TableA2!$C35</f>
        <v>0</v>
      </c>
      <c r="K35" s="1178">
        <f>TableA6!J35/TableA2!$C35</f>
        <v>0</v>
      </c>
    </row>
    <row r="36" spans="1:11" ht="17.25" hidden="1" customHeight="1" x14ac:dyDescent="0.2">
      <c r="A36" s="1051" t="s">
        <v>55</v>
      </c>
      <c r="B36" s="1705"/>
      <c r="C36" s="1033"/>
      <c r="D36" s="1033"/>
      <c r="E36" s="1035"/>
      <c r="F36" s="1033"/>
      <c r="G36" s="1042"/>
      <c r="H36" s="1178" t="e">
        <f>#REF!/TableA2!C36</f>
        <v>#REF!</v>
      </c>
      <c r="I36" s="1178">
        <f t="shared" si="1"/>
        <v>0</v>
      </c>
      <c r="J36" s="1178">
        <f>TableA6!I36/TableA2!$C36</f>
        <v>0</v>
      </c>
      <c r="K36" s="1178">
        <f>TableA6!J36/TableA2!$C36</f>
        <v>0</v>
      </c>
    </row>
    <row r="37" spans="1:11" ht="17.25" hidden="1" customHeight="1" x14ac:dyDescent="0.2">
      <c r="A37" s="1051" t="s">
        <v>56</v>
      </c>
      <c r="B37" s="1705"/>
      <c r="C37" s="1033"/>
      <c r="D37" s="1033"/>
      <c r="E37" s="1035"/>
      <c r="F37" s="1033"/>
      <c r="G37" s="1042"/>
      <c r="H37" s="1178" t="e">
        <f>#REF!/TableA2!C37</f>
        <v>#REF!</v>
      </c>
      <c r="I37" s="1178">
        <f t="shared" si="1"/>
        <v>0</v>
      </c>
      <c r="J37" s="1178">
        <f>TableA6!I37/TableA2!$C37</f>
        <v>0</v>
      </c>
      <c r="K37" s="1178">
        <f>TableA6!J37/TableA2!$C37</f>
        <v>0</v>
      </c>
    </row>
    <row r="38" spans="1:11" ht="17.25" hidden="1" customHeight="1" x14ac:dyDescent="0.2">
      <c r="A38" s="1051" t="s">
        <v>57</v>
      </c>
      <c r="B38" s="1705"/>
      <c r="C38" s="1033"/>
      <c r="D38" s="1033"/>
      <c r="E38" s="1035"/>
      <c r="F38" s="1033"/>
      <c r="G38" s="1042"/>
      <c r="H38" s="1178" t="e">
        <f>#REF!/TableA2!C38</f>
        <v>#REF!</v>
      </c>
      <c r="I38" s="1178">
        <f t="shared" si="1"/>
        <v>0</v>
      </c>
      <c r="J38" s="1178">
        <f>TableA6!I38/TableA2!$C38</f>
        <v>0</v>
      </c>
      <c r="K38" s="1178">
        <f>TableA6!J38/TableA2!$C38</f>
        <v>0</v>
      </c>
    </row>
    <row r="39" spans="1:11" ht="17.25" hidden="1" customHeight="1" x14ac:dyDescent="0.2">
      <c r="A39" s="1051" t="s">
        <v>58</v>
      </c>
      <c r="B39" s="1705"/>
      <c r="C39" s="1033"/>
      <c r="D39" s="1033"/>
      <c r="E39" s="1035"/>
      <c r="F39" s="1033"/>
      <c r="G39" s="1042"/>
      <c r="H39" s="1178" t="e">
        <f>#REF!/TableA2!C39</f>
        <v>#REF!</v>
      </c>
      <c r="I39" s="1178">
        <f t="shared" si="1"/>
        <v>0</v>
      </c>
      <c r="J39" s="1178">
        <f>TableA6!I39/TableA2!$C39</f>
        <v>0</v>
      </c>
      <c r="K39" s="1178">
        <f>TableA6!J39/TableA2!$C39</f>
        <v>0</v>
      </c>
    </row>
    <row r="40" spans="1:11" ht="17.25" hidden="1" customHeight="1" x14ac:dyDescent="0.2">
      <c r="A40" s="1051" t="s">
        <v>59</v>
      </c>
      <c r="B40" s="1705"/>
      <c r="C40" s="1033"/>
      <c r="D40" s="1033"/>
      <c r="E40" s="1035"/>
      <c r="F40" s="1033"/>
      <c r="G40" s="1042"/>
      <c r="H40" s="1178" t="e">
        <f>#REF!/TableA2!C40</f>
        <v>#REF!</v>
      </c>
      <c r="I40" s="1178">
        <f t="shared" si="1"/>
        <v>0</v>
      </c>
      <c r="J40" s="1178">
        <f>TableA6!I40/TableA2!$C40</f>
        <v>0</v>
      </c>
      <c r="K40" s="1178">
        <f>TableA6!J40/TableA2!$C40</f>
        <v>0</v>
      </c>
    </row>
    <row r="41" spans="1:11" ht="17.25" customHeight="1" x14ac:dyDescent="0.2">
      <c r="A41" s="1052" t="s">
        <v>60</v>
      </c>
      <c r="B41" s="1705">
        <f>+TableA7!C41*(TableA7!M41-TableA7!O41)/TableA7!M41</f>
        <v>58.152724672949248</v>
      </c>
      <c r="C41" s="1033">
        <f>+TableA7!$C41*(TableA7!$M41-$C$8-TableA7!$O41)/TableA7!$M41</f>
        <v>49.653832136470946</v>
      </c>
      <c r="D41" s="1033">
        <f>+TableA7!$C41*(TableA7!$M41-$D$8-TableA7!$O41)/TableA7!$M41</f>
        <v>66.651617209427556</v>
      </c>
      <c r="E41" s="1036">
        <f>+TableA7!$C41*(TableA7!$M41-TableA7!I41-TableA7!$O41)/TableA7!$M41</f>
        <v>58.152724672949248</v>
      </c>
      <c r="F41" s="1033">
        <f>+'Table E3'!W41</f>
        <v>57.497610601930624</v>
      </c>
      <c r="G41" s="1042">
        <f>+'Table E3'!Y41</f>
        <v>58.505478403497733</v>
      </c>
      <c r="H41" s="1178" t="e">
        <f>#REF!/TableA2!C41</f>
        <v>#REF!</v>
      </c>
      <c r="I41" s="1178">
        <f t="shared" si="1"/>
        <v>0</v>
      </c>
      <c r="J41" s="1178">
        <f>TableA6!I41/TableA2!$C41</f>
        <v>0</v>
      </c>
      <c r="K41" s="1178">
        <f>TableA6!J41/TableA2!$C41</f>
        <v>0</v>
      </c>
    </row>
    <row r="42" spans="1:11" ht="17.25" hidden="1" customHeight="1" x14ac:dyDescent="0.2">
      <c r="A42" s="1051" t="s">
        <v>61</v>
      </c>
      <c r="B42" s="1705"/>
      <c r="C42" s="1033"/>
      <c r="D42" s="1033"/>
      <c r="E42" s="1035"/>
      <c r="F42" s="1033"/>
      <c r="G42" s="1042"/>
      <c r="H42" s="1178" t="e">
        <f>#REF!/TableA2!C42</f>
        <v>#REF!</v>
      </c>
      <c r="I42" s="1178">
        <f t="shared" si="1"/>
        <v>0</v>
      </c>
      <c r="J42" s="1178">
        <f>TableA6!I42/TableA2!$C42</f>
        <v>0</v>
      </c>
      <c r="K42" s="1178">
        <f>TableA6!J42/TableA2!$C42</f>
        <v>0</v>
      </c>
    </row>
    <row r="43" spans="1:11" ht="17.25" hidden="1" customHeight="1" x14ac:dyDescent="0.2">
      <c r="A43" s="1051" t="s">
        <v>62</v>
      </c>
      <c r="B43" s="1705"/>
      <c r="C43" s="1033"/>
      <c r="D43" s="1033"/>
      <c r="E43" s="1035"/>
      <c r="F43" s="1033"/>
      <c r="G43" s="1042"/>
      <c r="H43" s="1178" t="e">
        <f>#REF!/TableA2!C43</f>
        <v>#REF!</v>
      </c>
      <c r="I43" s="1178">
        <f t="shared" si="1"/>
        <v>0</v>
      </c>
      <c r="J43" s="1178">
        <f>TableA6!I43/TableA2!$C43</f>
        <v>0</v>
      </c>
      <c r="K43" s="1178">
        <f>TableA6!J43/TableA2!$C43</f>
        <v>0</v>
      </c>
    </row>
    <row r="44" spans="1:11" ht="17.25" hidden="1" customHeight="1" x14ac:dyDescent="0.2">
      <c r="A44" s="1051" t="s">
        <v>63</v>
      </c>
      <c r="B44" s="1705"/>
      <c r="C44" s="1033"/>
      <c r="D44" s="1033"/>
      <c r="E44" s="1035"/>
      <c r="F44" s="1033"/>
      <c r="G44" s="1042"/>
      <c r="H44" s="1178" t="e">
        <f>#REF!/TableA2!C44</f>
        <v>#REF!</v>
      </c>
      <c r="I44" s="1178">
        <f t="shared" si="1"/>
        <v>0</v>
      </c>
      <c r="J44" s="1178">
        <f>TableA6!I44/TableA2!$C44</f>
        <v>0</v>
      </c>
      <c r="K44" s="1178">
        <f>TableA6!J44/TableA2!$C44</f>
        <v>0</v>
      </c>
    </row>
    <row r="45" spans="1:11" ht="40" hidden="1" customHeight="1" x14ac:dyDescent="0.2">
      <c r="A45" s="1053" t="s">
        <v>64</v>
      </c>
      <c r="B45" s="1705"/>
      <c r="C45" s="1033"/>
      <c r="D45" s="1033"/>
      <c r="E45" s="1037"/>
      <c r="F45" s="1033"/>
      <c r="G45" s="1042"/>
      <c r="H45" s="266" t="e">
        <f>#REF!/TableA2!C45</f>
        <v>#REF!</v>
      </c>
      <c r="I45" s="266">
        <f>J45+K45</f>
        <v>0</v>
      </c>
      <c r="J45" s="266">
        <f>TableA6!I45/TableA2!$C45</f>
        <v>0</v>
      </c>
      <c r="K45" s="266">
        <f>TableA6!J45/TableA2!$C45</f>
        <v>0</v>
      </c>
    </row>
    <row r="46" spans="1:11" ht="17.25" hidden="1" customHeight="1" x14ac:dyDescent="0.2">
      <c r="A46" s="1051" t="s">
        <v>65</v>
      </c>
      <c r="B46" s="1705"/>
      <c r="C46" s="1033"/>
      <c r="D46" s="1033"/>
      <c r="E46" s="1035"/>
      <c r="F46" s="1033"/>
      <c r="G46" s="1042"/>
      <c r="H46" s="1178" t="e">
        <f>#REF!/TableA2!C46</f>
        <v>#REF!</v>
      </c>
      <c r="I46" s="1178">
        <f t="shared" si="1"/>
        <v>0</v>
      </c>
      <c r="J46" s="1178">
        <f>TableA6!I46/TableA2!$C46</f>
        <v>0</v>
      </c>
      <c r="K46" s="1178">
        <f>TableA6!J46/TableA2!$C46</f>
        <v>0</v>
      </c>
    </row>
    <row r="47" spans="1:11" ht="17.25" hidden="1" customHeight="1" x14ac:dyDescent="0.2">
      <c r="A47" s="1051" t="s">
        <v>66</v>
      </c>
      <c r="B47" s="1705"/>
      <c r="C47" s="1033"/>
      <c r="D47" s="1033"/>
      <c r="E47" s="1035"/>
      <c r="F47" s="1033"/>
      <c r="G47" s="1042"/>
      <c r="H47" s="1178" t="e">
        <f>#REF!/TableA2!C47</f>
        <v>#REF!</v>
      </c>
      <c r="I47" s="1178">
        <f t="shared" si="1"/>
        <v>0</v>
      </c>
      <c r="J47" s="1178">
        <f>TableA6!I47/TableA2!$C47</f>
        <v>0</v>
      </c>
      <c r="K47" s="1178">
        <f>TableA6!J47/TableA2!$C47</f>
        <v>0</v>
      </c>
    </row>
    <row r="48" spans="1:11" ht="17.25" hidden="1" customHeight="1" x14ac:dyDescent="0.2">
      <c r="A48" s="1051" t="s">
        <v>67</v>
      </c>
      <c r="B48" s="1705"/>
      <c r="C48" s="1033"/>
      <c r="D48" s="1033"/>
      <c r="E48" s="1035"/>
      <c r="F48" s="1033"/>
      <c r="G48" s="1042"/>
      <c r="H48" s="1178" t="e">
        <f>#REF!/TableA2!C48</f>
        <v>#REF!</v>
      </c>
      <c r="I48" s="1178">
        <f t="shared" si="1"/>
        <v>0</v>
      </c>
      <c r="J48" s="1178">
        <f>TableA6!I48/TableA2!$C48</f>
        <v>0</v>
      </c>
      <c r="K48" s="1178">
        <f>TableA6!J48/TableA2!$C48</f>
        <v>0</v>
      </c>
    </row>
    <row r="49" spans="1:11" ht="17.25" hidden="1" customHeight="1" x14ac:dyDescent="0.2">
      <c r="A49" s="1051" t="s">
        <v>68</v>
      </c>
      <c r="B49" s="1705"/>
      <c r="C49" s="1033"/>
      <c r="D49" s="1033"/>
      <c r="E49" s="1035"/>
      <c r="F49" s="1033"/>
      <c r="G49" s="1042"/>
      <c r="H49" s="1178" t="e">
        <f>#REF!/TableA2!C49</f>
        <v>#REF!</v>
      </c>
      <c r="I49" s="1178">
        <f t="shared" si="1"/>
        <v>0</v>
      </c>
      <c r="J49" s="1178">
        <f>TableA6!I49/TableA2!$C49</f>
        <v>0</v>
      </c>
      <c r="K49" s="1178">
        <f>TableA6!J49/TableA2!$C49</f>
        <v>0</v>
      </c>
    </row>
    <row r="50" spans="1:11" ht="17.25" hidden="1" customHeight="1" x14ac:dyDescent="0.2">
      <c r="A50" s="1051" t="s">
        <v>69</v>
      </c>
      <c r="B50" s="1705"/>
      <c r="C50" s="1033"/>
      <c r="D50" s="1033"/>
      <c r="E50" s="1035"/>
      <c r="F50" s="1033"/>
      <c r="G50" s="1042"/>
      <c r="H50" s="1178" t="e">
        <f>#REF!/TableA2!C50</f>
        <v>#REF!</v>
      </c>
      <c r="I50" s="1178">
        <f t="shared" si="1"/>
        <v>0</v>
      </c>
      <c r="J50" s="1178">
        <f>TableA6!I50/TableA2!$C50</f>
        <v>0</v>
      </c>
      <c r="K50" s="1178">
        <f>TableA6!J50/TableA2!$C50</f>
        <v>0</v>
      </c>
    </row>
    <row r="51" spans="1:11" ht="17.25" hidden="1" customHeight="1" x14ac:dyDescent="0.2">
      <c r="A51" s="1051" t="s">
        <v>70</v>
      </c>
      <c r="B51" s="1705"/>
      <c r="C51" s="1033"/>
      <c r="D51" s="1033"/>
      <c r="E51" s="1035"/>
      <c r="F51" s="1033"/>
      <c r="G51" s="1042"/>
      <c r="H51" s="1178" t="e">
        <f>#REF!/TableA2!C51</f>
        <v>#REF!</v>
      </c>
      <c r="I51" s="1178">
        <f t="shared" si="1"/>
        <v>0</v>
      </c>
      <c r="J51" s="1178">
        <f>TableA6!I51/TableA2!$C51</f>
        <v>0</v>
      </c>
      <c r="K51" s="1178">
        <f>TableA6!J51/TableA2!$C51</f>
        <v>0</v>
      </c>
    </row>
    <row r="52" spans="1:11" ht="17.25" hidden="1" customHeight="1" x14ac:dyDescent="0.2">
      <c r="A52" s="1051" t="s">
        <v>71</v>
      </c>
      <c r="B52" s="1705"/>
      <c r="C52" s="1033"/>
      <c r="D52" s="1033"/>
      <c r="E52" s="1035"/>
      <c r="F52" s="1033"/>
      <c r="G52" s="1042"/>
      <c r="H52" s="1178" t="e">
        <f>#REF!/TableA2!C52</f>
        <v>#REF!</v>
      </c>
      <c r="I52" s="1178">
        <f t="shared" si="1"/>
        <v>0</v>
      </c>
      <c r="J52" s="1178">
        <f>TableA6!I52/TableA2!$C52</f>
        <v>0</v>
      </c>
      <c r="K52" s="1178">
        <f>TableA6!J52/TableA2!$C52</f>
        <v>0</v>
      </c>
    </row>
    <row r="53" spans="1:11" ht="40" customHeight="1" x14ac:dyDescent="0.2">
      <c r="A53" s="1054" t="s">
        <v>72</v>
      </c>
      <c r="B53" s="1705">
        <f t="shared" ref="B53:G53" si="2">SUM(B54:B89)</f>
        <v>334.72013422680857</v>
      </c>
      <c r="C53" s="1033">
        <f t="shared" si="2"/>
        <v>292.6030771853965</v>
      </c>
      <c r="D53" s="1033">
        <f t="shared" si="2"/>
        <v>376.83719126822052</v>
      </c>
      <c r="E53" s="1038">
        <f t="shared" si="2"/>
        <v>264.13397529375129</v>
      </c>
      <c r="F53" s="1033">
        <f t="shared" si="2"/>
        <v>358.90301534859918</v>
      </c>
      <c r="G53" s="1042">
        <f t="shared" si="2"/>
        <v>316.44823296202827</v>
      </c>
      <c r="H53" s="266" t="e">
        <f>#REF!/TableA2!C53</f>
        <v>#REF!</v>
      </c>
      <c r="I53" s="266">
        <f>TableA6!D53/TableA2!C53</f>
        <v>0.59411815848754679</v>
      </c>
      <c r="J53" s="266">
        <f>TableA6!I53/TableA2!$C53</f>
        <v>0.1253592019677329</v>
      </c>
      <c r="K53" s="266">
        <f>TableA6!J53/TableA2!$C53</f>
        <v>0.57918768418334599</v>
      </c>
    </row>
    <row r="54" spans="1:11" x14ac:dyDescent="0.2">
      <c r="A54" s="1051" t="s">
        <v>73</v>
      </c>
      <c r="B54" s="1705">
        <f>+TableA7!C54*(TableA7!M54-TableA7!O54)/TableA7!M54</f>
        <v>0.97359327582033484</v>
      </c>
      <c r="C54" s="1033">
        <f>+TableA7!$C54*(TableA7!$M54-$C$8-TableA7!$O54)/TableA7!$M54</f>
        <v>0.88195437582033476</v>
      </c>
      <c r="D54" s="1033">
        <f>+TableA7!$C54*(TableA7!$M54-$D$8-TableA7!$O54)/TableA7!$M54</f>
        <v>1.0652321758203349</v>
      </c>
      <c r="E54" s="1035">
        <f>+TableA7!$C54*(TableA7!$M54-TableA7!I54-TableA7!$O54)/TableA7!$M54</f>
        <v>0.97359327582033484</v>
      </c>
      <c r="F54" s="1033">
        <f>+'Table E3'!V54*('Table E3'!$Z$53/'Table E3'!$V$53)</f>
        <v>6.0039330110801849E-2</v>
      </c>
      <c r="G54" s="1042">
        <f>+'Table E3'!V54*(1+'Table E3'!$AB$53/'Table E3'!$V$53)</f>
        <v>0.94126440576067216</v>
      </c>
      <c r="H54" s="1210" t="e">
        <f>#REF!/TableA2!C54</f>
        <v>#REF!</v>
      </c>
      <c r="I54" s="1210">
        <f>TableA6!D54/TableA2!C54</f>
        <v>0</v>
      </c>
      <c r="J54" s="1210">
        <f>TableA6!I54/TableA2!$C54</f>
        <v>0</v>
      </c>
      <c r="K54" s="1210">
        <f>TableA6!J54/TableA2!$C54</f>
        <v>2.171958577610551</v>
      </c>
    </row>
    <row r="55" spans="1:11" x14ac:dyDescent="0.2">
      <c r="A55" s="1051" t="s">
        <v>74</v>
      </c>
      <c r="B55" s="1705">
        <f>+TableA7!C55*(TableA7!M55-TableA7!O55)/TableA7!M55</f>
        <v>0.21683698740995791</v>
      </c>
      <c r="C55" s="1033">
        <f>+TableA7!$C55*(TableA7!$M55-$C$8-TableA7!$O55)/TableA7!$M55</f>
        <v>0.20816460468995793</v>
      </c>
      <c r="D55" s="1033">
        <f>+TableA7!$C55*(TableA7!$M55-$D$8-TableA7!$O55)/TableA7!$M55</f>
        <v>0.22550937012995792</v>
      </c>
      <c r="E55" s="1035">
        <f>+TableA7!$C55*(TableA7!$M55-TableA7!I55-TableA7!$O55)/TableA7!$M55</f>
        <v>0.16695722103851954</v>
      </c>
      <c r="F55" s="1033">
        <f>+'Table E3'!V55*(1+'Table E3'!$Z$53/'Table E3'!$V$53)</f>
        <v>0.23020884174653275</v>
      </c>
      <c r="G55" s="1042">
        <f>+'Table E3'!V55*(1+'Table E3'!$AB$53/'Table E3'!$V$53)</f>
        <v>0.20963675815180224</v>
      </c>
      <c r="H55" s="1178" t="e">
        <f>#REF!/TableA2!C55</f>
        <v>#REF!</v>
      </c>
      <c r="I55" s="1178">
        <f>TableA6!D55/TableA2!C55</f>
        <v>2.5882039102567727</v>
      </c>
      <c r="J55" s="1178">
        <f>TableA6!I55/TableA2!$C55</f>
        <v>0</v>
      </c>
      <c r="K55" s="1178">
        <f>TableA6!J55/TableA2!$C55</f>
        <v>2.5609602213968543</v>
      </c>
    </row>
    <row r="56" spans="1:11" x14ac:dyDescent="0.2">
      <c r="A56" s="1051" t="str">
        <f>+TableA1!A56</f>
        <v>Antigua and Barbuda</v>
      </c>
      <c r="B56" s="1705">
        <f>+TableA7!C56*(TableA7!M56-TableA7!O56)/TableA7!M56</f>
        <v>0.79166765632839264</v>
      </c>
      <c r="C56" s="1033">
        <f>+TableA7!$C56*(TableA7!$M56-$C$8-TableA7!$O56)/TableA7!$M56</f>
        <v>0.7747079843283925</v>
      </c>
      <c r="D56" s="1033">
        <f>+TableA7!$C56*(TableA7!$M56-$D$8-TableA7!$O56)/TableA7!$M56</f>
        <v>0.80862732832839257</v>
      </c>
      <c r="E56" s="1035">
        <f>+TableA7!$C56*(TableA7!$M56-TableA7!I56-TableA7!$O56)/TableA7!$M56</f>
        <v>0.75458855555453441</v>
      </c>
      <c r="F56" s="1033">
        <f>+'Table E3'!V56*(1+'Table E3'!$Z$53/'Table E3'!$V$53)</f>
        <v>0.8404880384497625</v>
      </c>
      <c r="G56" s="1042">
        <f>+'Table E3'!V56*(1+'Table E3'!$AB$53/'Table E3'!$V$53)</f>
        <v>0.76537975826303939</v>
      </c>
      <c r="H56" s="1178" t="e">
        <f>#REF!/TableA2!C56</f>
        <v>#REF!</v>
      </c>
      <c r="I56" s="1178">
        <f>TableA6!D56/TableA2!C56</f>
        <v>0.98383950752326899</v>
      </c>
      <c r="J56" s="1178">
        <f>TableA6!I56/TableA2!$C56</f>
        <v>0</v>
      </c>
      <c r="K56" s="1178">
        <f>TableA6!J56/TableA2!$C56</f>
        <v>7.7351530408344944</v>
      </c>
    </row>
    <row r="57" spans="1:11" x14ac:dyDescent="0.2">
      <c r="A57" s="1051" t="s">
        <v>76</v>
      </c>
      <c r="B57" s="1705">
        <f>+TableA7!C57*(TableA7!M57-TableA7!O57)/TableA7!M57</f>
        <v>0.86572413769996781</v>
      </c>
      <c r="C57" s="1033">
        <f>+TableA7!$C57*(TableA7!$M57-$C$8-TableA7!$O57)/TableA7!$M57</f>
        <v>0.78423795769996785</v>
      </c>
      <c r="D57" s="1033">
        <f>+TableA7!$C57*(TableA7!$M57-$D$8-TableA7!$O57)/TableA7!$M57</f>
        <v>0.947210317699968</v>
      </c>
      <c r="E57" s="1035">
        <f>+TableA7!$C57*(TableA7!$M57-TableA7!I57-TableA7!$O57)/TableA7!$M57</f>
        <v>0.86572413769996781</v>
      </c>
      <c r="F57" s="1033">
        <f>+'Table E3'!V57*(1+'Table E3'!$Z$53/'Table E3'!$V$53)</f>
        <v>0.91911141817852504</v>
      </c>
      <c r="G57" s="1042">
        <f>+'Table E3'!V57*(1+'Table E3'!$AB$53/'Table E3'!$V$53)</f>
        <v>0.83697714051920613</v>
      </c>
      <c r="H57" s="1178" t="e">
        <f>#REF!/TableA2!C57</f>
        <v>#REF!</v>
      </c>
      <c r="I57" s="1178">
        <f>TableA6!D57/TableA2!C57</f>
        <v>0</v>
      </c>
      <c r="J57" s="1178">
        <f>TableA6!I57/TableA2!$C57</f>
        <v>0</v>
      </c>
      <c r="K57" s="1178">
        <f>TableA6!J57/TableA2!$C57</f>
        <v>2.0073413382474254</v>
      </c>
    </row>
    <row r="58" spans="1:11" x14ac:dyDescent="0.2">
      <c r="A58" s="1051" t="s">
        <v>152</v>
      </c>
      <c r="B58" s="1705">
        <f>+TableA7!C58*(TableA7!M58-TableA7!O58)/TableA7!M58</f>
        <v>7.3311788434424807</v>
      </c>
      <c r="C58" s="1033">
        <f>+TableA7!$C58*(TableA7!$M58-$C$8-TableA7!$O58)/TableA7!$M58</f>
        <v>7.2425700634424794</v>
      </c>
      <c r="D58" s="1033">
        <f>+TableA7!$C58*(TableA7!$M58-$D$8-TableA7!$O58)/TableA7!$M58</f>
        <v>7.4197876234424802</v>
      </c>
      <c r="E58" s="1035">
        <f>+TableA7!$C58*(TableA7!$M58-TableA7!I58-TableA7!$O58)/TableA7!$M58</f>
        <v>6.8691027029276475</v>
      </c>
      <c r="F58" s="1033">
        <f>+'Table E3'!V58*(1+'Table E3'!$Z$53/'Table E3'!$V$53)</f>
        <v>7.7832763235857128</v>
      </c>
      <c r="G58" s="1042">
        <f>+'Table E3'!V58*(1+'Table E3'!$AB$53/'Table E3'!$V$53)</f>
        <v>7.0877417387499699</v>
      </c>
      <c r="H58" s="1178" t="e">
        <f>#REF!/TableA2!C58</f>
        <v>#REF!</v>
      </c>
      <c r="I58" s="1178">
        <f>TableA6!D58/TableA2!C58</f>
        <v>2.3466553002047297</v>
      </c>
      <c r="J58" s="1178">
        <f>TableA6!I58/TableA2!$C58</f>
        <v>11.090152854335686</v>
      </c>
      <c r="K58" s="1178">
        <f>TableA6!J58/TableA2!$C58</f>
        <v>2.493548736246979</v>
      </c>
    </row>
    <row r="59" spans="1:11" x14ac:dyDescent="0.2">
      <c r="A59" s="1051" t="s">
        <v>78</v>
      </c>
      <c r="B59" s="1705">
        <f>+TableA7!C59*(TableA7!M59-TableA7!O59)/TableA7!M59</f>
        <v>7.9601858461284136</v>
      </c>
      <c r="C59" s="1033">
        <f>+TableA7!$C59*(TableA7!$M59-$C$8-TableA7!$O59)/TableA7!$M59</f>
        <v>6.1381289314738483</v>
      </c>
      <c r="D59" s="1033">
        <f>+TableA7!$C59*(TableA7!$M59-$D$8-TableA7!$O59)/TableA7!$M59</f>
        <v>9.7822427607829798</v>
      </c>
      <c r="E59" s="1035">
        <f>+TableA7!$C59*(TableA7!$M59-TableA7!I59-TableA7!$O59)/TableA7!$M59</f>
        <v>7.6455254289008225</v>
      </c>
      <c r="F59" s="1033">
        <f>+'Table E3'!V59*(1+'Table E3'!$Z$53/'Table E3'!$V$53)</f>
        <v>8.4510727879638985</v>
      </c>
      <c r="G59" s="1042">
        <f>+'Table E3'!V59*(1+'Table E3'!$AB$53/'Table E3'!$V$53)</f>
        <v>7.6958621082169989</v>
      </c>
      <c r="H59" s="1178" t="e">
        <f>#REF!/TableA2!C59</f>
        <v>#REF!</v>
      </c>
      <c r="I59" s="1178">
        <f>TableA6!D59/TableA2!C59</f>
        <v>7.7712823684907076E-2</v>
      </c>
      <c r="J59" s="1178">
        <f>TableA6!I59/TableA2!$C59</f>
        <v>9.6292997742348937E-2</v>
      </c>
      <c r="K59" s="1178">
        <f>TableA6!J59/TableA2!$C59</f>
        <v>0.81859172082117837</v>
      </c>
    </row>
    <row r="60" spans="1:11" x14ac:dyDescent="0.2">
      <c r="A60" s="1051" t="str">
        <f>+TableA1!A60</f>
        <v>Barbados</v>
      </c>
      <c r="B60" s="1705">
        <f>+TableA7!C60*(TableA7!M60-TableA7!O60)/TableA7!M60</f>
        <v>4.6272367930221323</v>
      </c>
      <c r="C60" s="1033">
        <f>+TableA7!$C60*(TableA7!$M60-$C$8-TableA7!$O60)/TableA7!$M60</f>
        <v>4.5651488530221318</v>
      </c>
      <c r="D60" s="1033">
        <f>+TableA7!$C60*(TableA7!$M60-$D$8-TableA7!$O60)/TableA7!$M60</f>
        <v>4.6893247330221328</v>
      </c>
      <c r="E60" s="1035">
        <f>+TableA7!$C60*(TableA7!$M60-TableA7!I60-TableA7!$O60)/TableA7!$M60</f>
        <v>3.6985317254110956</v>
      </c>
      <c r="F60" s="1033">
        <f>+'Table E3'!V60*(1+'Table E3'!$Z$53/'Table E3'!$V$53)</f>
        <v>4.912588185864303</v>
      </c>
      <c r="G60" s="1042">
        <f>+'Table E3'!V60*(1+'Table E3'!$AB$53/'Table E3'!$V$53)</f>
        <v>4.4735860430301955</v>
      </c>
      <c r="H60" s="1178" t="e">
        <f>#REF!/TableA2!C60</f>
        <v>#REF!</v>
      </c>
      <c r="I60" s="1178">
        <f>TableA6!D60/TableA2!C60</f>
        <v>6.7310540569548074</v>
      </c>
      <c r="J60" s="1178">
        <f>TableA6!I60/TableA2!$C60</f>
        <v>4.65234739282762</v>
      </c>
      <c r="K60" s="1178">
        <f>TableA6!J60/TableA2!$C60</f>
        <v>3.1691441921362671</v>
      </c>
    </row>
    <row r="61" spans="1:11" x14ac:dyDescent="0.2">
      <c r="A61" s="1051" t="s">
        <v>80</v>
      </c>
      <c r="B61" s="1705">
        <f>+TableA7!C61*(TableA7!M61-TableA7!O61)/TableA7!M61</f>
        <v>0.89802440091367575</v>
      </c>
      <c r="C61" s="1033">
        <f>+TableA7!$C61*(TableA7!$M61-$C$8-TableA7!$O61)/TableA7!$M61</f>
        <v>0.87392312091367574</v>
      </c>
      <c r="D61" s="1033">
        <f>+TableA7!$C61*(TableA7!$M61-$D$8-TableA7!$O61)/TableA7!$M61</f>
        <v>0.92212568091367575</v>
      </c>
      <c r="E61" s="1035">
        <f>+TableA7!$C61*(TableA7!$M61-TableA7!I61-TableA7!$O61)/TableA7!$M61</f>
        <v>0.88771833992046922</v>
      </c>
      <c r="F61" s="1033">
        <f>+'Table E3'!V61*(1+'Table E3'!$Z$53/'Table E3'!$V$53)</f>
        <v>0.95340356672455473</v>
      </c>
      <c r="G61" s="1042">
        <f>+'Table E3'!V61*(1+'Table E3'!$AB$53/'Table E3'!$V$53)</f>
        <v>0.8682048500924332</v>
      </c>
      <c r="H61" s="1178" t="e">
        <f>#REF!/TableA2!C61</f>
        <v>#REF!</v>
      </c>
      <c r="I61" s="1178">
        <f>TableA6!D61/TableA2!C61</f>
        <v>0.19242660335646011</v>
      </c>
      <c r="J61" s="1178">
        <f>TableA6!I61/TableA2!$C61</f>
        <v>0.52273449757673773</v>
      </c>
      <c r="K61" s="1178">
        <f>TableA6!J61/TableA2!$C61</f>
        <v>5.8907579015650278</v>
      </c>
    </row>
    <row r="62" spans="1:11" x14ac:dyDescent="0.2">
      <c r="A62" s="1051" t="s">
        <v>81</v>
      </c>
      <c r="B62" s="1705">
        <f>+TableA7!C62*(TableA7!M62-TableA7!O62)/TableA7!M62</f>
        <v>23.950680817428665</v>
      </c>
      <c r="C62" s="1033">
        <f>+TableA7!$C62*(TableA7!$M62-$C$8-TableA7!$O62)/TableA7!$M62</f>
        <v>23.392884217428666</v>
      </c>
      <c r="D62" s="1033">
        <f>+TableA7!$C62*(TableA7!$M62-$D$8-TableA7!$O62)/TableA7!$M62</f>
        <v>24.508477417428661</v>
      </c>
      <c r="E62" s="1035">
        <f>+TableA7!$C62*(TableA7!$M62-TableA7!I62-TableA7!$O62)/TableA7!$M62</f>
        <v>14.483938071045625</v>
      </c>
      <c r="F62" s="1033">
        <f>+'Table E3'!V62*(1+'Table E3'!$Z$53/'Table E3'!$V$53)</f>
        <v>25.427665989459999</v>
      </c>
      <c r="G62" s="1042">
        <f>+'Table E3'!V62*(1+'Table E3'!$AB$53/'Table E3'!$V$53)</f>
        <v>23.155381109411792</v>
      </c>
      <c r="H62" s="1178" t="e">
        <f>#REF!/TableA2!C62</f>
        <v>#REF!</v>
      </c>
      <c r="I62" s="1178">
        <f>TableA6!D62/TableA2!C62</f>
        <v>7.6372538589736259</v>
      </c>
      <c r="J62" s="1178">
        <f>TableA6!I62/TableA2!$C62</f>
        <v>1.6319218643375801</v>
      </c>
      <c r="K62" s="1178">
        <f>TableA6!J62/TableA2!$C62</f>
        <v>1.3040578882868976</v>
      </c>
    </row>
    <row r="63" spans="1:11" x14ac:dyDescent="0.2">
      <c r="A63" s="1051" t="s">
        <v>82</v>
      </c>
      <c r="B63" s="1705">
        <f>+TableA7!C63*(TableA7!M63-TableA7!O63)/TableA7!M63</f>
        <v>0.13857833606997838</v>
      </c>
      <c r="C63" s="1033">
        <f>+TableA7!$C63*(TableA7!$M63-$C$8-TableA7!$O63)/TableA7!$M63</f>
        <v>0.12553467206997837</v>
      </c>
      <c r="D63" s="1033">
        <f>+TableA7!$C63*(TableA7!$M63-$D$8-TableA7!$O63)/TableA7!$M63</f>
        <v>0.15162200006997839</v>
      </c>
      <c r="E63" s="1035">
        <f>+TableA7!$C63*(TableA7!$M63-TableA7!I63-TableA7!$O63)/TableA7!$M63</f>
        <v>0.13857833606997838</v>
      </c>
      <c r="F63" s="1033">
        <f>+'Table E3'!V63*(1+'Table E3'!$Z$53/'Table E3'!$V$53)</f>
        <v>0.14712415358140338</v>
      </c>
      <c r="G63" s="1042">
        <f>+'Table E3'!V63*(1+'Table E3'!$AB$53/'Table E3'!$V$53)</f>
        <v>0.13397674202536489</v>
      </c>
      <c r="H63" s="1178" t="e">
        <f>#REF!/TableA2!C63</f>
        <v>#REF!</v>
      </c>
      <c r="I63" s="1178">
        <f>TableA6!D63/TableA2!C63</f>
        <v>0</v>
      </c>
      <c r="J63" s="1178">
        <f>TableA6!I63/TableA2!$C63</f>
        <v>0</v>
      </c>
      <c r="K63" s="1178">
        <f>TableA6!J63/TableA2!$C63</f>
        <v>2.2408844651324529</v>
      </c>
    </row>
    <row r="64" spans="1:11" x14ac:dyDescent="0.2">
      <c r="A64" s="1051" t="s">
        <v>153</v>
      </c>
      <c r="B64" s="1705">
        <f>+TableA7!C64*(TableA7!M64-TableA7!O64)/TableA7!M64</f>
        <v>29.046851153404386</v>
      </c>
      <c r="C64" s="1033">
        <f>+TableA7!$C64*(TableA7!$M64-$C$8-TableA7!$O64)/TableA7!$M64</f>
        <v>29.017516193404386</v>
      </c>
      <c r="D64" s="1033">
        <f>+TableA7!$C64*(TableA7!$M64-$D$8-TableA7!$O64)/TableA7!$M64</f>
        <v>29.076186113404386</v>
      </c>
      <c r="E64" s="1035">
        <f>+TableA7!$C64*(TableA7!$M64-TableA7!I64-TableA7!$O64)/TableA7!$M64</f>
        <v>17.552775316099005</v>
      </c>
      <c r="F64" s="1033">
        <f>+'Table E3'!V64*(1+'Table E3'!$Z$53/'Table E3'!$V$53)</f>
        <v>30.838105806030391</v>
      </c>
      <c r="G64" s="1042">
        <f>+'Table E3'!V64*(1+'Table E3'!$AB$53/'Table E3'!$V$53)</f>
        <v>28.082329417374996</v>
      </c>
      <c r="H64" s="1178" t="e">
        <f>#REF!/TableA2!C64</f>
        <v>#REF!</v>
      </c>
      <c r="I64" s="1178">
        <f>TableA6!D64/TableA2!C64</f>
        <v>176.31979477004302</v>
      </c>
      <c r="J64" s="1178">
        <f>TableA6!I64/TableA2!$C64</f>
        <v>0</v>
      </c>
      <c r="K64" s="1178">
        <f>TableA6!J64/TableA2!$C64</f>
        <v>203.02408818842605</v>
      </c>
    </row>
    <row r="65" spans="1:19" x14ac:dyDescent="0.2">
      <c r="A65" s="1051" t="s">
        <v>84</v>
      </c>
      <c r="B65" s="1705">
        <f>+TableA7!C65*(TableA7!M65-TableA7!O65)/TableA7!M65</f>
        <v>22.241009225666581</v>
      </c>
      <c r="C65" s="1033">
        <f>+TableA7!$C65*(TableA7!$M65-$C$8-TableA7!$O65)/TableA7!$M65</f>
        <v>21.986059025666584</v>
      </c>
      <c r="D65" s="1033">
        <f>+TableA7!$C65*(TableA7!$M65-$D$8-TableA7!$O65)/TableA7!$M65</f>
        <v>22.495959425666584</v>
      </c>
      <c r="E65" s="1035">
        <f>+TableA7!$C65*(TableA7!$M65-TableA7!I65-TableA7!$O65)/TableA7!$M65</f>
        <v>13.498503818382835</v>
      </c>
      <c r="F65" s="1033">
        <f>+'Table E3'!V65*(1+'Table E3'!$Z$53/'Table E3'!$V$53)</f>
        <v>23.612562756346065</v>
      </c>
      <c r="G65" s="1042">
        <f>+'Table E3'!V65*(1+'Table E3'!$AB$53/'Table E3'!$V$53)</f>
        <v>21.502480401454555</v>
      </c>
      <c r="H65" s="1178" t="e">
        <f>#REF!/TableA2!C65</f>
        <v>#REF!</v>
      </c>
      <c r="I65" s="1178">
        <f>TableA6!D65/TableA2!C65</f>
        <v>15.430964295292515</v>
      </c>
      <c r="J65" s="1178">
        <f>TableA6!I65/TableA2!$C65</f>
        <v>2.876389513296298</v>
      </c>
      <c r="K65" s="1178">
        <f>TableA6!J65/TableA2!$C65</f>
        <v>1.6922088373792077</v>
      </c>
      <c r="L65" s="954"/>
      <c r="M65" s="954"/>
      <c r="N65" s="954"/>
      <c r="O65" s="954"/>
      <c r="P65" s="954"/>
      <c r="Q65" s="954"/>
      <c r="R65" s="954"/>
      <c r="S65" s="954"/>
    </row>
    <row r="66" spans="1:19" x14ac:dyDescent="0.2">
      <c r="A66" s="1051" t="s">
        <v>85</v>
      </c>
      <c r="B66" s="1705">
        <f>+TableA7!C66*(TableA7!M66-TableA7!O66)/TableA7!M66</f>
        <v>11.0354105348083</v>
      </c>
      <c r="C66" s="1033">
        <f>+TableA7!$C66*(TableA7!$M66-$C$8-TableA7!$O66)/TableA7!$M66</f>
        <v>10.790914734808299</v>
      </c>
      <c r="D66" s="1033">
        <f>+TableA7!$C66*(TableA7!$M66-$D$8-TableA7!$O66)/TableA7!$M66</f>
        <v>11.279906334808299</v>
      </c>
      <c r="E66" s="1035">
        <f>+TableA7!$C66*(TableA7!$M66-TableA7!I66-TableA7!$O66)/TableA7!$M66</f>
        <v>6.5428972170987114</v>
      </c>
      <c r="F66" s="1033">
        <f>+'Table E3'!V66*(1+'Table E3'!$Z$53/'Table E3'!$V$53)</f>
        <v>11.71593973777482</v>
      </c>
      <c r="G66" s="1042">
        <f>+'Table E3'!V66*(1+'Table E3'!$AB$53/'Table E3'!$V$53)</f>
        <v>10.668971733210943</v>
      </c>
      <c r="H66" s="1178" t="e">
        <f>#REF!/TableA2!C66</f>
        <v>#REF!</v>
      </c>
      <c r="I66" s="1178">
        <f>TableA6!D66/TableA2!C66</f>
        <v>8.2685714559076864</v>
      </c>
      <c r="J66" s="1178">
        <f>TableA6!I66/TableA2!$C66</f>
        <v>1.3268676411786671</v>
      </c>
      <c r="K66" s="1178">
        <f>TableA6!J66/TableA2!$C66</f>
        <v>8.6936233491982904</v>
      </c>
      <c r="L66" s="954"/>
      <c r="M66" s="954"/>
      <c r="N66" s="954"/>
      <c r="O66" s="954"/>
      <c r="P66" s="954"/>
      <c r="Q66" s="954"/>
      <c r="R66" s="954"/>
      <c r="S66" s="954"/>
    </row>
    <row r="67" spans="1:19" ht="17.25" customHeight="1" x14ac:dyDescent="0.2">
      <c r="A67" s="1051" t="str">
        <f>+TableA1!A67</f>
        <v>Cyprus</v>
      </c>
      <c r="B67" s="1705">
        <f>+TableA7!C67*(TableA7!M67-TableA7!O67)/TableA7!M67</f>
        <v>4.220454615709551</v>
      </c>
      <c r="C67" s="1033">
        <f>+TableA7!$C67*(TableA7!$M67-$C$8-TableA7!$O67)/TableA7!$M67</f>
        <v>3.222295215709551</v>
      </c>
      <c r="D67" s="1033">
        <f>+TableA7!$C67*(TableA7!$M67-$D$8-TableA7!$O67)/TableA7!$M67</f>
        <v>5.2186140157095515</v>
      </c>
      <c r="E67" s="1035">
        <f>+TableA7!$C67*(TableA7!$M67-TableA7!I67-TableA7!$O67)/TableA7!$M67</f>
        <v>2.7173512847218815</v>
      </c>
      <c r="F67" s="1033">
        <f>+'Table E3'!V67*(1+'Table E3'!$Z$53/'Table E3'!$V$53)</f>
        <v>4.4807206571699725</v>
      </c>
      <c r="G67" s="1042">
        <f>+'Table E3'!Y67</f>
        <v>4.0686579251234694</v>
      </c>
      <c r="H67" s="1178" t="e">
        <f>#REF!/TableA2!C67</f>
        <v>#REF!</v>
      </c>
      <c r="I67" s="1178">
        <f>TableA6!D67/TableA2!C67</f>
        <v>0.67764377006763776</v>
      </c>
      <c r="J67" s="1178">
        <f>TableA6!I67/TableA2!$C67</f>
        <v>1.0088176835559211E-2</v>
      </c>
      <c r="K67" s="1178">
        <f>TableA6!J67/TableA2!$C67</f>
        <v>0.28675503536078822</v>
      </c>
      <c r="L67" s="954"/>
      <c r="M67" s="954"/>
      <c r="N67" s="954"/>
      <c r="O67" s="954"/>
      <c r="P67" s="954"/>
      <c r="Q67" s="954"/>
      <c r="R67" s="954"/>
      <c r="S67" s="954"/>
    </row>
    <row r="68" spans="1:19" x14ac:dyDescent="0.2">
      <c r="A68" s="1051" t="s">
        <v>87</v>
      </c>
      <c r="B68" s="1705">
        <f>+TableA7!C68*(TableA7!M68-TableA7!O68)/TableA7!M68</f>
        <v>4.9132386020923855</v>
      </c>
      <c r="C68" s="1033">
        <f>+TableA7!$C68*(TableA7!$M68-$C$8-TableA7!$O68)/TableA7!$M68</f>
        <v>4.685965202092385</v>
      </c>
      <c r="D68" s="1033">
        <f>+TableA7!$C68*(TableA7!$M68-$D$8-TableA7!$O68)/TableA7!$M68</f>
        <v>5.1405120020923842</v>
      </c>
      <c r="E68" s="1035">
        <f>+TableA7!$C68*(TableA7!$M68-TableA7!I68-TableA7!$O68)/TableA7!$M68</f>
        <v>3.9137779209739483</v>
      </c>
      <c r="F68" s="1033">
        <f>+'Table E3'!V68*(1+'Table E3'!$Z$53/'Table E3'!$V$53)</f>
        <v>5.2162270898627083</v>
      </c>
      <c r="G68" s="1042">
        <f>+'Table E3'!V68*(1+'Table E3'!$AB$53/'Table E3'!$V$53)</f>
        <v>4.7500909548314407</v>
      </c>
      <c r="H68" s="1178" t="e">
        <f>#REF!/TableA2!C68</f>
        <v>#REF!</v>
      </c>
      <c r="I68" s="1178">
        <f>TableA6!D68/TableA2!C68</f>
        <v>1.978926290992683</v>
      </c>
      <c r="J68" s="1178">
        <f>TableA6!I68/TableA2!$C68</f>
        <v>0</v>
      </c>
      <c r="K68" s="1178">
        <f>TableA6!J68/TableA2!$C68</f>
        <v>2.3866849643048886</v>
      </c>
      <c r="L68" s="954"/>
      <c r="M68" s="954"/>
      <c r="N68" s="954"/>
      <c r="O68" s="954"/>
      <c r="P68" s="954"/>
      <c r="Q68" s="954"/>
      <c r="R68" s="954"/>
      <c r="S68" s="954"/>
    </row>
    <row r="69" spans="1:19" x14ac:dyDescent="0.2">
      <c r="A69" s="1051" t="str">
        <f>+TableA1!A69</f>
        <v>Grenada</v>
      </c>
      <c r="B69" s="1705">
        <f>+TableA7!C69*(TableA7!M69-TableA7!O69)/TableA7!M69</f>
        <v>0.3661170868907983</v>
      </c>
      <c r="C69" s="1033">
        <f>+TableA7!$C69*(TableA7!$M69-$C$8-TableA7!$O69)/TableA7!$M69</f>
        <v>0.35281381825079833</v>
      </c>
      <c r="D69" s="1033">
        <f>+TableA7!$C69*(TableA7!$M69-$D$8-TableA7!$O69)/TableA7!$M69</f>
        <v>0.37942035553079828</v>
      </c>
      <c r="E69" s="1035">
        <f>+TableA7!$C69*(TableA7!$M69-TableA7!I69-TableA7!$O69)/TableA7!$M69</f>
        <v>0.3587880578691775</v>
      </c>
      <c r="F69" s="1033">
        <f>+'Table E3'!V69*(1+'Table E3'!$Z$53/'Table E3'!$V$53)</f>
        <v>0.38869471266632616</v>
      </c>
      <c r="G69" s="1042">
        <f>+'Table E3'!V69*(1+'Table E3'!$AB$53/'Table E3'!$V$53)</f>
        <v>0.35395990378089875</v>
      </c>
      <c r="H69" s="1178" t="e">
        <f>#REF!/TableA2!C69</f>
        <v>#REF!</v>
      </c>
      <c r="I69" s="1178">
        <f>TableA6!D69/TableA2!C69</f>
        <v>0.2479137382682656</v>
      </c>
      <c r="J69" s="1178">
        <f>TableA6!I69/TableA2!$C69</f>
        <v>0</v>
      </c>
      <c r="K69" s="1178">
        <f>TableA6!J69/TableA2!$C69</f>
        <v>4.929247734116557</v>
      </c>
      <c r="L69" s="954"/>
      <c r="M69" s="954"/>
      <c r="N69" s="954"/>
      <c r="O69" s="954"/>
      <c r="P69" s="954"/>
      <c r="Q69" s="954"/>
      <c r="R69" s="954"/>
      <c r="S69" s="954"/>
    </row>
    <row r="70" spans="1:19" x14ac:dyDescent="0.2">
      <c r="A70" s="1051" t="s">
        <v>89</v>
      </c>
      <c r="B70" s="1705">
        <f>+TableA7!C70*(TableA7!M70-TableA7!O70)/TableA7!M70</f>
        <v>1.6236441277636195</v>
      </c>
      <c r="C70" s="1033">
        <f>+TableA7!$C70*(TableA7!$M70-$C$8-TableA7!$O70)/TableA7!$M70</f>
        <v>1.4708189077636196</v>
      </c>
      <c r="D70" s="1033">
        <f>+TableA7!$C70*(TableA7!$M70-$D$8-TableA7!$O70)/TableA7!$M70</f>
        <v>1.7764693477636198</v>
      </c>
      <c r="E70" s="1035">
        <f>+TableA7!$C70*(TableA7!$M70-TableA7!I70-TableA7!$O70)/TableA7!$M70</f>
        <v>1.6236441277636195</v>
      </c>
      <c r="F70" s="1033">
        <f>+'Table E3'!V70*(1+'Table E3'!$Z$53/'Table E3'!$V$53)</f>
        <v>1.7237706469069729</v>
      </c>
      <c r="G70" s="1042">
        <f>+'Table E3'!V70*(1+'Table E3'!$AB$53/'Table E3'!$V$53)</f>
        <v>1.5697298482248909</v>
      </c>
      <c r="H70" s="1178" t="e">
        <f>#REF!/TableA2!C70</f>
        <v>#REF!</v>
      </c>
      <c r="I70" s="1178">
        <f>TableA6!D70/TableA2!C70</f>
        <v>0</v>
      </c>
      <c r="J70" s="1178">
        <f>TableA6!I70/TableA2!$C70</f>
        <v>0</v>
      </c>
      <c r="K70" s="1178">
        <f>TableA6!J70/TableA2!$C70</f>
        <v>4.416005410082767</v>
      </c>
      <c r="L70" s="954"/>
      <c r="M70" s="954"/>
      <c r="N70" s="954"/>
      <c r="O70" s="954"/>
      <c r="P70" s="954"/>
      <c r="Q70" s="954"/>
      <c r="R70" s="954"/>
      <c r="S70" s="954"/>
    </row>
    <row r="71" spans="1:19" x14ac:dyDescent="0.2">
      <c r="A71" s="1051" t="s">
        <v>90</v>
      </c>
      <c r="B71" s="1705">
        <f>+TableA7!C71*(TableA7!M71-TableA7!O71)/TableA7!M71</f>
        <v>0.8691836075751681</v>
      </c>
      <c r="C71" s="1033">
        <f>+TableA7!$C71*(TableA7!$M71-$C$8-TableA7!$O71)/TableA7!$M71</f>
        <v>0.78737144757516808</v>
      </c>
      <c r="D71" s="1033">
        <f>+TableA7!$C71*(TableA7!$M71-$D$8-TableA7!$O71)/TableA7!$M71</f>
        <v>0.95099576757516813</v>
      </c>
      <c r="E71" s="1035">
        <f>+TableA7!$C71*(TableA7!$M71-TableA7!I71-TableA7!$O71)/TableA7!$M71</f>
        <v>0.8691836075751681</v>
      </c>
      <c r="F71" s="1033">
        <f>+'Table E3'!V71*(1+'Table E3'!$Z$53/'Table E3'!$V$53)</f>
        <v>0.92278422586018294</v>
      </c>
      <c r="G71" s="1042">
        <f>+'Table E3'!V71*(1+'Table E3'!$AB$53/'Table E3'!$V$53)</f>
        <v>0.84032173619092909</v>
      </c>
      <c r="H71" s="1178" t="e">
        <f>#REF!/TableA2!C71</f>
        <v>#REF!</v>
      </c>
      <c r="I71" s="1178">
        <f>TableA6!D71/TableA2!C71</f>
        <v>0</v>
      </c>
      <c r="J71" s="1178">
        <f>TableA6!I71/TableA2!$C71</f>
        <v>4.2739569276131757</v>
      </c>
      <c r="K71" s="1178">
        <f>TableA6!J71/TableA2!$C71</f>
        <v>4.2739569276131757</v>
      </c>
      <c r="L71" s="954"/>
      <c r="M71" s="954"/>
      <c r="N71" s="954"/>
      <c r="O71" s="954"/>
      <c r="P71" s="954"/>
      <c r="Q71" s="954"/>
      <c r="R71" s="954"/>
      <c r="S71" s="954"/>
    </row>
    <row r="72" spans="1:19" ht="17.25" customHeight="1" x14ac:dyDescent="0.2">
      <c r="A72" s="1051" t="s">
        <v>91</v>
      </c>
      <c r="B72" s="1705">
        <f>+TableA7!C72*(TableA7!M72-TableA7!O72)/TableA7!M72</f>
        <v>39.035168909870336</v>
      </c>
      <c r="C72" s="1033">
        <f>+TableA7!$C72*(TableA7!$M72-$C$8-TableA7!$O72)/TableA7!$M72</f>
        <v>28.420912106730032</v>
      </c>
      <c r="D72" s="1033">
        <f>+TableA7!$C72*(TableA7!$M72-$D$8-TableA7!$O72)/TableA7!$M72</f>
        <v>49.649425713010643</v>
      </c>
      <c r="E72" s="1035">
        <f>+TableA7!$C72*(TableA7!$M72-TableA7!I72-TableA7!$O72)/TableA7!$M72</f>
        <v>34.744773670310515</v>
      </c>
      <c r="F72" s="1033">
        <f>+'Table E3'!V72*(1+'Table E3'!$Z$53/'Table E3'!$V$53)</f>
        <v>41.442380884640698</v>
      </c>
      <c r="G72" s="1042">
        <f>+'Table E3'!V72*(1+'Table E3'!$AB$53/'Table E3'!$V$53)</f>
        <v>37.73897784653245</v>
      </c>
      <c r="H72" s="1178" t="e">
        <f>#REF!/TableA2!C72</f>
        <v>#REF!</v>
      </c>
      <c r="I72" s="1178">
        <f>TableA6!D72/TableA2!C72</f>
        <v>0.18189477545245697</v>
      </c>
      <c r="J72" s="1178">
        <f>TableA6!I72/TableA2!$C72</f>
        <v>0</v>
      </c>
      <c r="K72" s="1178">
        <f>TableA6!J72/TableA2!$C72</f>
        <v>0.26079690122761051</v>
      </c>
      <c r="L72" s="954"/>
      <c r="M72" s="954"/>
      <c r="N72" s="954"/>
      <c r="O72" s="954"/>
      <c r="P72" s="954"/>
      <c r="Q72" s="954"/>
      <c r="R72" s="954"/>
      <c r="S72" s="954"/>
    </row>
    <row r="73" spans="1:19" x14ac:dyDescent="0.2">
      <c r="A73" s="1051" t="s">
        <v>92</v>
      </c>
      <c r="B73" s="1705">
        <f>+TableA7!C73*(TableA7!M73-TableA7!O73)/TableA7!M73</f>
        <v>3.0545895810023347</v>
      </c>
      <c r="C73" s="1033">
        <f>+TableA7!$C73*(TableA7!$M73-$C$8-TableA7!$O73)/TableA7!$M73</f>
        <v>2.8331949810023342</v>
      </c>
      <c r="D73" s="1033">
        <f>+TableA7!$C73*(TableA7!$M73-$D$8-TableA7!$O73)/TableA7!$M73</f>
        <v>3.2759841810023347</v>
      </c>
      <c r="E73" s="1035">
        <f>+TableA7!$C73*(TableA7!$M73-TableA7!I73-TableA7!$O73)/TableA7!$M73</f>
        <v>2.7736165458972586</v>
      </c>
      <c r="F73" s="1033">
        <f>+'Table E3'!V73*(1+'Table E3'!$Z$53/'Table E3'!$V$53)</f>
        <v>3.2429593209764405</v>
      </c>
      <c r="G73" s="1042">
        <f>+'Table E3'!V73*(1+'Table E3'!$AB$53/'Table E3'!$V$53)</f>
        <v>2.9531597210162768</v>
      </c>
      <c r="H73" s="1178" t="e">
        <f>#REF!/TableA2!C73</f>
        <v>#REF!</v>
      </c>
      <c r="I73" s="1178">
        <f>TableA6!D73/TableA2!C73</f>
        <v>0.57109733388837935</v>
      </c>
      <c r="J73" s="1178">
        <f>TableA6!I73/TableA2!$C73</f>
        <v>0</v>
      </c>
      <c r="K73" s="1178">
        <f>TableA6!J73/TableA2!$C73</f>
        <v>2.2040664276187067</v>
      </c>
      <c r="L73" s="954"/>
      <c r="M73" s="954"/>
      <c r="N73" s="954"/>
      <c r="O73" s="954"/>
      <c r="P73" s="954"/>
      <c r="Q73" s="954"/>
      <c r="R73" s="954"/>
      <c r="S73" s="954"/>
    </row>
    <row r="74" spans="1:19" x14ac:dyDescent="0.2">
      <c r="A74" s="1051" t="s">
        <v>93</v>
      </c>
      <c r="B74" s="1705">
        <f>+TableA7!C74*(TableA7!M74-TableA7!O74)/TableA7!M74</f>
        <v>7.9265912025883249</v>
      </c>
      <c r="C74" s="1033">
        <f>+TableA7!$C74*(TableA7!$M74-$C$8-TableA7!$O74)/TableA7!$M74</f>
        <v>5.1872200917883573</v>
      </c>
      <c r="D74" s="1033">
        <f>+TableA7!$C74*(TableA7!$M74-$D$8-TableA7!$O74)/TableA7!$M74</f>
        <v>10.665962313388293</v>
      </c>
      <c r="E74" s="1035">
        <f>+TableA7!$C74*(TableA7!$M74-TableA7!I74-TableA7!$O74)/TableA7!$M74</f>
        <v>7.8994837911786737</v>
      </c>
      <c r="F74" s="1033">
        <f>+'Table E3'!V74*(1+'Table E3'!$Z$53/'Table E3'!$V$53)</f>
        <v>8.4154064375380386</v>
      </c>
      <c r="G74" s="1042">
        <f>+'Table E3'!V74*(1+'Table E3'!$AB$53/'Table E3'!$V$53)</f>
        <v>7.663382999153864</v>
      </c>
      <c r="H74" s="1178" t="e">
        <f>#REF!/TableA2!C74</f>
        <v>#REF!</v>
      </c>
      <c r="I74" s="1178">
        <f>TableA6!D74/TableA2!C74</f>
        <v>4.4529691819596828E-3</v>
      </c>
      <c r="J74" s="1178">
        <f>TableA6!I74/TableA2!$C74</f>
        <v>0</v>
      </c>
      <c r="K74" s="1178">
        <f>TableA6!J74/TableA2!$C74</f>
        <v>0.71639470578797615</v>
      </c>
      <c r="L74" s="954"/>
      <c r="M74" s="954"/>
      <c r="N74" s="954"/>
      <c r="O74" s="954"/>
      <c r="P74" s="954"/>
      <c r="Q74" s="954"/>
      <c r="R74" s="954"/>
      <c r="S74" s="954"/>
    </row>
    <row r="75" spans="1:19" x14ac:dyDescent="0.2">
      <c r="A75" s="1051" t="s">
        <v>94</v>
      </c>
      <c r="B75" s="1705">
        <f>+TableA7!C75*(TableA7!M75-TableA7!O75)/TableA7!M75</f>
        <v>-1.5976646471228474E-2</v>
      </c>
      <c r="C75" s="1033">
        <f>+TableA7!$C75*(TableA7!$M75-$C$8-TableA7!$O75)/TableA7!$M75</f>
        <v>-0.54128864647122854</v>
      </c>
      <c r="D75" s="1033">
        <f>+TableA7!$C75*(TableA7!$M75-$D$8-TableA7!$O75)/TableA7!$M75</f>
        <v>0.50933535352877168</v>
      </c>
      <c r="E75" s="1035">
        <f>+TableA7!$C75*(TableA7!$M75-TableA7!I75-TableA7!$O75)/TableA7!$M75</f>
        <v>-1.5976646471228474E-2</v>
      </c>
      <c r="F75" s="1033">
        <f>+'Table E3'!V75*(1+'Table E3'!$Z$53/'Table E3'!$V$53)</f>
        <v>-1.6961890695251589E-2</v>
      </c>
      <c r="G75" s="1042">
        <f>+'Table E3'!V75*(1+'Table E3'!$AB$53/'Table E3'!$V$53)</f>
        <v>-1.5446130350600742E-2</v>
      </c>
      <c r="H75" s="1178" t="e">
        <f>#REF!/TableA2!C75</f>
        <v>#REF!</v>
      </c>
      <c r="I75" s="1178">
        <f>TableA6!D75/TableA2!C75</f>
        <v>0</v>
      </c>
      <c r="J75" s="1178">
        <f>TableA6!I75/TableA2!$C75</f>
        <v>0.41564747945609143</v>
      </c>
      <c r="K75" s="1178">
        <f>TableA6!J75/TableA2!$C75</f>
        <v>0.41564747945609143</v>
      </c>
      <c r="L75" s="954"/>
      <c r="M75" s="954"/>
      <c r="N75" s="954"/>
      <c r="O75" s="954"/>
      <c r="P75" s="954"/>
      <c r="Q75" s="954"/>
      <c r="R75" s="954"/>
      <c r="S75" s="954"/>
    </row>
    <row r="76" spans="1:19" x14ac:dyDescent="0.2">
      <c r="A76" s="1051" t="s">
        <v>95</v>
      </c>
      <c r="B76" s="1705">
        <f>+TableA7!C76*(TableA7!M76-TableA7!O76)/TableA7!M76</f>
        <v>9.0073525686775824</v>
      </c>
      <c r="C76" s="1033">
        <f>+TableA7!$C76*(TableA7!$M76-$C$8-TableA7!$O76)/TableA7!$M76</f>
        <v>7.3195306514867831</v>
      </c>
      <c r="D76" s="1033">
        <f>+TableA7!$C76*(TableA7!$M76-$D$8-TableA7!$O76)/TableA7!$M76</f>
        <v>10.695174485868378</v>
      </c>
      <c r="E76" s="1035">
        <f>+TableA7!$C76*(TableA7!$M76-TableA7!I76-TableA7!$O76)/TableA7!$M76</f>
        <v>8.6665521274017614</v>
      </c>
      <c r="F76" s="1033">
        <f>+'Table E3'!V76*(1+'Table E3'!$Z$53/'Table E3'!$V$53)</f>
        <v>9.5628159513098687</v>
      </c>
      <c r="G76" s="1042">
        <f>+'Table E3'!V76*(1+'Table E3'!$AB$53/'Table E3'!$V$53)</f>
        <v>8.7082569011063509</v>
      </c>
      <c r="H76" s="1178" t="e">
        <f>#REF!/TableA2!C76</f>
        <v>#REF!</v>
      </c>
      <c r="I76" s="1178">
        <f>TableA6!D76/TableA2!C76</f>
        <v>9.0862784167046753E-2</v>
      </c>
      <c r="J76" s="1178">
        <f>TableA6!I76/TableA2!$C76</f>
        <v>0</v>
      </c>
      <c r="K76" s="1178">
        <f>TableA6!J76/TableA2!$C76</f>
        <v>0.40789704226304274</v>
      </c>
      <c r="L76" s="954"/>
      <c r="M76" s="954"/>
      <c r="N76" s="954"/>
      <c r="O76" s="954"/>
      <c r="P76" s="954"/>
      <c r="Q76" s="954"/>
      <c r="R76" s="954"/>
      <c r="S76" s="954"/>
    </row>
    <row r="77" spans="1:19" s="25" customFormat="1" ht="17.25" customHeight="1" x14ac:dyDescent="0.2">
      <c r="A77" s="1051" t="s">
        <v>96</v>
      </c>
      <c r="B77" s="1705">
        <f>+TableA7!C77*(TableA7!M77-TableA7!O77)/TableA7!M77</f>
        <v>12.327426958163088</v>
      </c>
      <c r="C77" s="1033">
        <f>+TableA7!$C77*(TableA7!$M77-$C$8-TableA7!$O77)/TableA7!$M77</f>
        <v>11.832738358163089</v>
      </c>
      <c r="D77" s="1033">
        <f>+TableA7!$C77*(TableA7!$M77-$D$8-TableA7!$O77)/TableA7!$M77</f>
        <v>12.822115558163087</v>
      </c>
      <c r="E77" s="1035">
        <f>+TableA7!$C77*(TableA7!$M77-TableA7!I77-TableA7!$O77)/TableA7!$M77</f>
        <v>7.8019948379603576</v>
      </c>
      <c r="F77" s="1033">
        <f>+'Table E3'!W77</f>
        <v>12.682687701191263</v>
      </c>
      <c r="G77" s="1042">
        <f>+'Table E3'!Y77</f>
        <v>12.136132711917149</v>
      </c>
      <c r="H77" s="1105" t="e">
        <f>#REF!/TableA2!C77</f>
        <v>#REF!</v>
      </c>
      <c r="I77" s="1178">
        <f>TableA6!D77/TableA2!C77</f>
        <v>4.1166189277279255</v>
      </c>
      <c r="J77" s="1105">
        <f>TableA6!I77/TableA2!$C77</f>
        <v>0.10949868880580196</v>
      </c>
      <c r="K77" s="1105">
        <f>TableA6!J77/TableA2!$C77</f>
        <v>4.568009059959997</v>
      </c>
      <c r="L77" s="1109"/>
      <c r="M77" s="1109"/>
      <c r="N77" s="1109"/>
      <c r="O77" s="1109"/>
      <c r="P77" s="1109"/>
      <c r="Q77" s="1109"/>
      <c r="R77" s="1109"/>
      <c r="S77" s="1109"/>
    </row>
    <row r="78" spans="1:19" x14ac:dyDescent="0.2">
      <c r="A78" s="1051" t="s">
        <v>97</v>
      </c>
      <c r="B78" s="1705">
        <f>+TableA7!C78*(TableA7!M78-TableA7!O78)/TableA7!M78</f>
        <v>-5.7402704296166882E-3</v>
      </c>
      <c r="C78" s="1033">
        <f>+TableA7!$C78*(TableA7!$M78-$C$8-TableA7!$O78)/TableA7!$M78</f>
        <v>-2.0767776349616695E-2</v>
      </c>
      <c r="D78" s="1033">
        <f>+TableA7!$C78*(TableA7!$M78-$D$8-TableA7!$O78)/TableA7!$M78</f>
        <v>9.2872354903833134E-3</v>
      </c>
      <c r="E78" s="1035">
        <f>+TableA7!$C78*(TableA7!$M78-TableA7!I78-TableA7!$O78)/TableA7!$M78</f>
        <v>-5.7402704296166882E-3</v>
      </c>
      <c r="F78" s="1033">
        <f>+'Table E3'!V78*(1+'Table E3'!$Z$53/'Table E3'!$V$53)</f>
        <v>-6.0942601292257367E-3</v>
      </c>
      <c r="G78" s="1042">
        <f>+'Table E3'!V78*(1+'Table E3'!$AB$53/'Table E3'!$V$53)</f>
        <v>-5.5496605913656618E-3</v>
      </c>
      <c r="H78" s="1178" t="e">
        <f>#REF!/TableA2!C78</f>
        <v>#REF!</v>
      </c>
      <c r="I78" s="1178">
        <f>TableA6!D78/TableA2!C78</f>
        <v>0</v>
      </c>
      <c r="J78" s="1178">
        <f>TableA6!I78/TableA2!$C78</f>
        <v>5.773884167235698</v>
      </c>
      <c r="K78" s="1178">
        <f>TableA6!J78/TableA2!$C78</f>
        <v>-2.2838462712650887</v>
      </c>
      <c r="L78" s="954"/>
      <c r="M78" s="954"/>
      <c r="N78" s="954"/>
      <c r="O78" s="954"/>
      <c r="P78" s="954"/>
      <c r="Q78" s="954"/>
      <c r="R78" s="954"/>
      <c r="S78" s="954"/>
    </row>
    <row r="79" spans="1:19" x14ac:dyDescent="0.2">
      <c r="A79" s="1051" t="str">
        <f>+TableA1!A79</f>
        <v>Monaco</v>
      </c>
      <c r="B79" s="1705">
        <f>+TableA7!C79*(TableA7!M79-TableA7!O79)/TableA7!M79</f>
        <v>1.9877049751420814</v>
      </c>
      <c r="C79" s="1033">
        <f>+TableA7!$C79*(TableA7!$M79-$C$8-TableA7!$O79)/TableA7!$M79</f>
        <v>1.8006129751420816</v>
      </c>
      <c r="D79" s="1033">
        <f>+TableA7!$C79*(TableA7!$M79-$D$8-TableA7!$O79)/TableA7!$M79</f>
        <v>2.1747969751420819</v>
      </c>
      <c r="E79" s="1035">
        <f>+TableA7!$C79*(TableA7!$M79-TableA7!I79-TableA7!$O79)/TableA7!$M79</f>
        <v>1.9877049751420814</v>
      </c>
      <c r="F79" s="1033">
        <f>+'Table E3'!V79*(1+'Table E3'!$Z$53/'Table E3'!$V$53)</f>
        <v>2.1102823163474054</v>
      </c>
      <c r="G79" s="1042">
        <f>+'Table E3'!V79*(1+'Table E3'!$AB$53/'Table E3'!$V$53)</f>
        <v>1.9217017914161376</v>
      </c>
      <c r="H79" s="1178" t="e">
        <f>#REF!/TableA2!C79</f>
        <v>#REF!</v>
      </c>
      <c r="I79" s="1178">
        <f>TableA6!D79/TableA2!C79</f>
        <v>0</v>
      </c>
      <c r="J79" s="1178">
        <f>TableA6!I79/TableA2!$C79</f>
        <v>0</v>
      </c>
      <c r="K79" s="1178">
        <f>TableA6!J79/TableA2!$C79</f>
        <v>0</v>
      </c>
      <c r="L79" s="954"/>
      <c r="M79" s="954"/>
      <c r="N79" s="954"/>
      <c r="O79" s="1814"/>
      <c r="P79" s="1851"/>
      <c r="Q79" s="954"/>
      <c r="R79" s="954"/>
      <c r="S79" s="1848"/>
    </row>
    <row r="80" spans="1:19" x14ac:dyDescent="0.2">
      <c r="A80" s="1051" t="s">
        <v>99</v>
      </c>
      <c r="B80" s="1705">
        <f>+TableA7!C80*(TableA7!M80-TableA7!O80)/TableA7!M80</f>
        <v>0.27916658691983243</v>
      </c>
      <c r="C80" s="1033">
        <f>+TableA7!$C80*(TableA7!$M80-$C$8-TableA7!$O80)/TableA7!$M80</f>
        <v>0.25326368691983242</v>
      </c>
      <c r="D80" s="1033">
        <f>+TableA7!$C80*(TableA7!$M80-$D$8-TableA7!$O80)/TableA7!$M80</f>
        <v>0.30506948691983243</v>
      </c>
      <c r="E80" s="1035">
        <f>+TableA7!$C80*(TableA7!$M80-TableA7!I80-TableA7!$O80)/TableA7!$M80</f>
        <v>0.27757858548701697</v>
      </c>
      <c r="F80" s="1033">
        <f>+'Table E3'!V80*(1+'Table E3'!$Z$53/'Table E3'!$V$53)</f>
        <v>0.29638216891310687</v>
      </c>
      <c r="G80" s="1042">
        <f>+'Table E3'!V80*(1+'Table E3'!$AB$53/'Table E3'!$V$53)</f>
        <v>0.26989665815422309</v>
      </c>
      <c r="H80" s="1178" t="e">
        <f>#REF!/TableA2!C80</f>
        <v>#REF!</v>
      </c>
      <c r="I80" s="1178">
        <f>TableA6!D80/TableA2!C80</f>
        <v>2.7587669518353539E-2</v>
      </c>
      <c r="J80" s="1178">
        <f>TableA6!I80/TableA2!$C80</f>
        <v>0</v>
      </c>
      <c r="K80" s="1178">
        <f>TableA6!J80/TableA2!$C80</f>
        <v>2.1061608509370675</v>
      </c>
      <c r="L80" s="954"/>
      <c r="M80" s="954"/>
      <c r="N80" s="954"/>
      <c r="O80" s="954"/>
      <c r="P80" s="954"/>
      <c r="Q80" s="954"/>
      <c r="R80" s="954"/>
      <c r="S80" s="954"/>
    </row>
    <row r="81" spans="1:17" x14ac:dyDescent="0.2">
      <c r="A81" s="1051" t="s">
        <v>100</v>
      </c>
      <c r="B81" s="1705">
        <f>+TableA7!C81*(TableA7!M81-TableA7!O81)/TableA7!M81</f>
        <v>7.2698575780768468</v>
      </c>
      <c r="C81" s="1033">
        <f>+TableA7!$C81*(TableA7!$M81-$C$8-TableA7!$O81)/TableA7!$M81</f>
        <v>7.1852157512816941</v>
      </c>
      <c r="D81" s="1033">
        <f>+TableA7!$C81*(TableA7!$M81-$D$8-TableA7!$O81)/TableA7!$M81</f>
        <v>7.3544994048720005</v>
      </c>
      <c r="E81" s="1035">
        <f>+TableA7!$C81*(TableA7!$M81-TableA7!I81-TableA7!$O81)/TableA7!$M81</f>
        <v>6.9461612245343192</v>
      </c>
      <c r="F81" s="1033">
        <f>+'Table E3'!V81*'Table E3'!$Z$53/'Table E3'!$V$53</f>
        <v>0.44831593420866744</v>
      </c>
      <c r="G81" s="1042">
        <f>+'Table E3'!V81*(1+'Table E3'!$AB$53/'Table E3'!$V$53)</f>
        <v>7.0284566904260259</v>
      </c>
      <c r="H81" s="1178" t="e">
        <f>#REF!/TableA2!C81</f>
        <v>#REF!</v>
      </c>
      <c r="I81" s="1178">
        <f>TableA6!D81/TableA2!C81</f>
        <v>1.7209382714135832</v>
      </c>
      <c r="J81" s="1178">
        <f>TableA6!I81/TableA2!$C81</f>
        <v>0</v>
      </c>
      <c r="K81" s="1178">
        <f>TableA6!J81/TableA2!$C81</f>
        <v>19.347816111710308</v>
      </c>
      <c r="L81" s="954"/>
      <c r="M81" s="954"/>
      <c r="N81" s="954"/>
      <c r="O81" s="954"/>
      <c r="P81" s="954"/>
      <c r="Q81" s="954"/>
    </row>
    <row r="82" spans="1:17" x14ac:dyDescent="0.2">
      <c r="A82" s="1051" t="str">
        <f>+TableA1!A82</f>
        <v>Seychelles</v>
      </c>
      <c r="B82" s="1705">
        <f>+TableA7!C82*(TableA7!M82-TableA7!O82)/TableA7!M82</f>
        <v>0.79067591979762308</v>
      </c>
      <c r="C82" s="1033">
        <f>+TableA7!$C82*(TableA7!$M82-$C$8-TableA7!$O82)/TableA7!$M82</f>
        <v>0.7725777388894135</v>
      </c>
      <c r="D82" s="1033">
        <f>+TableA7!$C82*(TableA7!$M82-$D$8-TableA7!$O82)/TableA7!$M82</f>
        <v>0.80877410070583278</v>
      </c>
      <c r="E82" s="1035">
        <f>+TableA7!$C82*(TableA7!$M82-TableA7!I82-TableA7!$O82)/TableA7!$M82</f>
        <v>0.78441679276216836</v>
      </c>
      <c r="F82" s="1033">
        <f>+'Table E3'!V82*'Table E3'!$Z$53/'Table E3'!$V$53</f>
        <v>4.8759223937113266E-2</v>
      </c>
      <c r="G82" s="1042">
        <f>+'Table E3'!V82*(1+'Table E3'!$AB$53/'Table E3'!$V$53)</f>
        <v>0.76442095306225455</v>
      </c>
      <c r="H82" s="1178" t="e">
        <f>#REF!/TableA2!C82</f>
        <v>#REF!</v>
      </c>
      <c r="I82" s="1178">
        <f>TableA6!D82/TableA2!C82</f>
        <v>0.1556292966812485</v>
      </c>
      <c r="J82" s="1178">
        <f>TableA6!I82/TableA2!$C82</f>
        <v>0</v>
      </c>
      <c r="K82" s="1178">
        <f>TableA6!J82/TableA2!$C82</f>
        <v>10.570874760866056</v>
      </c>
      <c r="L82" s="954"/>
      <c r="M82" s="954"/>
      <c r="N82" s="954"/>
      <c r="O82" s="954"/>
      <c r="P82" s="954"/>
      <c r="Q82" s="954"/>
    </row>
    <row r="83" spans="1:17" ht="17.25" customHeight="1" x14ac:dyDescent="0.2">
      <c r="A83" s="1051" t="s">
        <v>102</v>
      </c>
      <c r="B83" s="1705">
        <f>+TableA7!C83*(TableA7!M83-TableA7!O83)/TableA7!M83</f>
        <v>70.416271670151048</v>
      </c>
      <c r="C83" s="1033">
        <f>+TableA7!$C83*(TableA7!$M83-$C$8-TableA7!$O83)/TableA7!$M83</f>
        <v>51.793238750151041</v>
      </c>
      <c r="D83" s="1033">
        <f>+TableA7!$C83*(TableA7!$M83-$D$8-TableA7!$O83)/TableA7!$M83</f>
        <v>89.039304590151048</v>
      </c>
      <c r="E83" s="1035">
        <f>+TableA7!$C83*(TableA7!$M83-TableA7!I83-TableA7!$O83)/TableA7!$M83</f>
        <v>48.205663246527891</v>
      </c>
      <c r="F83" s="1033">
        <f>+'Table E3'!W83</f>
        <v>88.248598372685763</v>
      </c>
      <c r="G83" s="1042">
        <f>+'Table E3'!Y83</f>
        <v>60.814249599555424</v>
      </c>
      <c r="H83" s="1178" t="e">
        <f>#REF!/TableA2!C83</f>
        <v>#REF!</v>
      </c>
      <c r="I83" s="1178">
        <f>TableA6!D83/TableA2!C83</f>
        <v>0.5366888322415323</v>
      </c>
      <c r="J83" s="1178">
        <f>TableA6!I83/TableA2!$C83</f>
        <v>0.15643459965113188</v>
      </c>
      <c r="K83" s="1178">
        <f>TableA6!J83/TableA2!$C83</f>
        <v>0.1945074374074523</v>
      </c>
      <c r="L83" s="954"/>
      <c r="M83" s="954"/>
      <c r="N83" s="954"/>
      <c r="O83" s="954"/>
      <c r="P83" s="954"/>
      <c r="Q83" s="954"/>
    </row>
    <row r="84" spans="1:17" x14ac:dyDescent="0.2">
      <c r="A84" s="1051" t="str">
        <f>+TableA1!A84</f>
        <v>St. Kitts and Nevis</v>
      </c>
      <c r="B84" s="1705">
        <f>+TableA7!C84*(TableA7!M84-TableA7!O84)/TableA7!M84</f>
        <v>0.43731622619230615</v>
      </c>
      <c r="C84" s="1033">
        <f>+TableA7!$C84*(TableA7!$M84-$C$8-TableA7!$O84)/TableA7!$M84</f>
        <v>0.4240434077923062</v>
      </c>
      <c r="D84" s="1033">
        <f>+TableA7!$C84*(TableA7!$M84-$D$8-TableA7!$O84)/TableA7!$M84</f>
        <v>0.45058904459230614</v>
      </c>
      <c r="E84" s="1035">
        <f>+TableA7!$C84*(TableA7!$M84-TableA7!I84-TableA7!$O84)/TableA7!$M84</f>
        <v>0.43454338212685995</v>
      </c>
      <c r="F84" s="1033">
        <f>+'Table E3'!V84*(1+'Table E3'!$Z$53/'Table E3'!$V$53)</f>
        <v>0.46428454439997541</v>
      </c>
      <c r="G84" s="1042">
        <f>+'Table E3'!V84*(1+'Table E3'!$AB$53/'Table E3'!$V$53)</f>
        <v>0.42279482408048419</v>
      </c>
      <c r="H84" s="1178" t="e">
        <f>#REF!/TableA2!C84</f>
        <v>#REF!</v>
      </c>
      <c r="I84" s="1178">
        <f>TableA6!D84/TableA2!C84</f>
        <v>9.4010163617608E-2</v>
      </c>
      <c r="J84" s="1105">
        <f>TableA6!I84/TableA2!$C84</f>
        <v>3.059194412415891</v>
      </c>
      <c r="K84" s="1178">
        <f>TableA6!J84/TableA2!$C84</f>
        <v>3.059194412415891</v>
      </c>
      <c r="L84" s="954"/>
      <c r="M84" s="954"/>
      <c r="N84" s="954"/>
      <c r="O84" s="954"/>
      <c r="P84" s="954"/>
      <c r="Q84" s="954"/>
    </row>
    <row r="85" spans="1:17" x14ac:dyDescent="0.2">
      <c r="A85" s="1051" t="str">
        <f>+TableA1!A85</f>
        <v>St. Lucia</v>
      </c>
      <c r="B85" s="1705">
        <f>+TableA7!C85*(TableA7!M85-TableA7!O85)/TableA7!M85</f>
        <v>0.92654576830210822</v>
      </c>
      <c r="C85" s="1033">
        <f>+TableA7!$C85*(TableA7!$M85-$C$8-TableA7!$O85)/TableA7!$M85</f>
        <v>0.90580382830210815</v>
      </c>
      <c r="D85" s="1033">
        <f>+TableA7!$C85*(TableA7!$M85-$D$8-TableA7!$O85)/TableA7!$M85</f>
        <v>0.94728770830210818</v>
      </c>
      <c r="E85" s="1035">
        <f>+TableA7!$C85*(TableA7!$M85-TableA7!I85-TableA7!$O85)/TableA7!$M85</f>
        <v>0.89292753233799371</v>
      </c>
      <c r="F85" s="1033">
        <f>+'Table E3'!V85*(1+'Table E3'!$Z$53/'Table E3'!$V$53)</f>
        <v>0.98368378335154905</v>
      </c>
      <c r="G85" s="1042">
        <f>+'Table E3'!V85*(1+'Table E3'!$AB$53/'Table E3'!$V$53)</f>
        <v>0.89577914481394771</v>
      </c>
      <c r="H85" s="1178" t="e">
        <f>#REF!/TableA2!C85</f>
        <v>#REF!</v>
      </c>
      <c r="I85" s="1178">
        <f>TableA6!D85/TableA2!C85</f>
        <v>0.72935348303251801</v>
      </c>
      <c r="J85" s="1178">
        <f>TableA6!I85/TableA2!$C85</f>
        <v>0</v>
      </c>
      <c r="K85" s="1178">
        <f>TableA6!J85/TableA2!$C85</f>
        <v>7.5986581217109093</v>
      </c>
      <c r="L85" s="954"/>
      <c r="M85" s="954"/>
      <c r="N85" s="954"/>
      <c r="O85" s="954"/>
      <c r="P85" s="954"/>
      <c r="Q85" s="954"/>
    </row>
    <row r="86" spans="1:17" x14ac:dyDescent="0.2">
      <c r="A86" s="1051" t="str">
        <f>+TableA1!A86</f>
        <v>St. Vincent and the Grenadines</v>
      </c>
      <c r="B86" s="1705">
        <f>+TableA7!C86*(TableA7!M86-TableA7!O86)/TableA7!M86</f>
        <v>0.37416665279599109</v>
      </c>
      <c r="C86" s="1033">
        <f>+TableA7!$C86*(TableA7!$M86-$C$8-TableA7!$O86)/TableA7!$M86</f>
        <v>0.36086196287599115</v>
      </c>
      <c r="D86" s="1033">
        <f>+TableA7!$C86*(TableA7!$M86-$D$8-TableA7!$O86)/TableA7!$M86</f>
        <v>0.3874713427159911</v>
      </c>
      <c r="E86" s="1035">
        <f>+TableA7!$C86*(TableA7!$M86-TableA7!I86-TableA7!$O86)/TableA7!$M86</f>
        <v>0.36630723351622663</v>
      </c>
      <c r="F86" s="1033">
        <f>+'Table E3'!V86*(1+'Table E3'!$Z$53/'Table E3'!$V$53)</f>
        <v>0.3972406773826378</v>
      </c>
      <c r="G86" s="1042">
        <f>+'Table E3'!V86*'Table E3'!$AB$53/'Table E3'!$V$53</f>
        <v>-1.2424474777425153E-2</v>
      </c>
      <c r="H86" s="1178" t="e">
        <f>#REF!/TableA2!C86</f>
        <v>#REF!</v>
      </c>
      <c r="I86" s="1178">
        <f>TableA6!D86/TableA2!C86</f>
        <v>0.26582646398827259</v>
      </c>
      <c r="J86" s="1178">
        <f>TableA6!I86/TableA2!$C86</f>
        <v>0</v>
      </c>
      <c r="K86" s="1178">
        <f>TableA6!J86/TableA2!$C86</f>
        <v>5.0219795332999517</v>
      </c>
      <c r="L86" s="954"/>
      <c r="M86" s="954"/>
      <c r="N86" s="954"/>
      <c r="O86" s="954"/>
      <c r="P86" s="954"/>
      <c r="Q86" s="954"/>
    </row>
    <row r="87" spans="1:17" x14ac:dyDescent="0.2">
      <c r="A87" s="1051" t="str">
        <f>+TableA1!A87</f>
        <v>Turks and Caicos</v>
      </c>
      <c r="B87" s="1705">
        <f>+TableA7!C87*(TableA7!M87-TableA7!O87)/TableA7!M87</f>
        <v>0.24501896552426217</v>
      </c>
      <c r="C87" s="1033">
        <f>+TableA7!$C87*(TableA7!$M87-$C$8-TableA7!$O87)/TableA7!$M87</f>
        <v>0.22441922552426216</v>
      </c>
      <c r="D87" s="1033">
        <f>+TableA7!$C87*(TableA7!$M87-$D$8-TableA7!$O87)/TableA7!$M87</f>
        <v>0.2656187055242622</v>
      </c>
      <c r="E87" s="1035">
        <f>+TableA7!$C87*(TableA7!$M87-TableA7!I87-TableA7!$O87)/TableA7!$M87</f>
        <v>0.23455367214374623</v>
      </c>
      <c r="F87" s="1033">
        <f>+'Table E3'!V87*(1+'Table E3'!$Z$53/'Table E3'!$V$53)</f>
        <v>0.26012873971834055</v>
      </c>
      <c r="G87" s="1042">
        <f>+'Table E3'!V87*(1+'Table E3'!$AB$53/'Table E3'!$V$53)</f>
        <v>0.23688293326591225</v>
      </c>
      <c r="H87" s="1178" t="e">
        <f>#REF!/TableA2!C87</f>
        <v>#REF!</v>
      </c>
      <c r="I87" s="1178">
        <f>TableA6!D87/TableA2!C87</f>
        <v>0.22861366314488285</v>
      </c>
      <c r="J87" s="1178">
        <f>TableA6!I87/TableA2!$C87</f>
        <v>0</v>
      </c>
      <c r="K87" s="1178">
        <f>TableA6!J87/TableA2!$C87</f>
        <v>0</v>
      </c>
      <c r="L87" s="954"/>
      <c r="M87" s="954"/>
      <c r="N87" s="954"/>
      <c r="O87" s="954"/>
      <c r="P87" s="954"/>
      <c r="Q87" s="954"/>
    </row>
    <row r="88" spans="1:17" ht="17.25" customHeight="1" x14ac:dyDescent="0.2">
      <c r="A88" s="1051" t="str">
        <f>+TableA1!A88</f>
        <v>Panama</v>
      </c>
      <c r="B88" s="1705">
        <f>+TableA7!C88*(TableA7!M88-TableA7!O88)/TableA7!M88</f>
        <v>16.911318951094543</v>
      </c>
      <c r="C88" s="1033">
        <f>+TableA7!$C88*(TableA7!$M88-$C$8-TableA7!$O88)/TableA7!$M88</f>
        <v>16.020623331602199</v>
      </c>
      <c r="D88" s="1033">
        <f>+TableA7!$C88*(TableA7!$M88-$D$8-TableA7!$O88)/TableA7!$M88</f>
        <v>17.802014570586888</v>
      </c>
      <c r="E88" s="1035">
        <f>+TableA7!$C88*(TableA7!$M88-TableA7!I88-TableA7!$O88)/TableA7!$M88</f>
        <v>16.895172867215656</v>
      </c>
      <c r="F88" s="1033">
        <f>+'Table E3'!W88</f>
        <v>19.596307885945098</v>
      </c>
      <c r="G88" s="1042">
        <f>+'Table E3'!Y88</f>
        <v>15.465555678482705</v>
      </c>
      <c r="H88" s="1178" t="e">
        <f>#REF!/TableA2!C88</f>
        <v>#REF!</v>
      </c>
      <c r="I88" s="1178">
        <f>TableA6!D88/TableA2!C88</f>
        <v>8.1573745132373331E-3</v>
      </c>
      <c r="J88" s="1178">
        <f>TableA6!I88/TableA2!$C88</f>
        <v>0</v>
      </c>
      <c r="K88" s="1178">
        <f>TableA6!J88/TableA2!$C88</f>
        <v>1.3958379286306488</v>
      </c>
      <c r="L88" s="954"/>
      <c r="M88" s="954"/>
      <c r="N88" s="954"/>
      <c r="O88" s="954"/>
      <c r="P88" s="954"/>
      <c r="Q88" s="954"/>
    </row>
    <row r="89" spans="1:17" ht="17.25" customHeight="1" x14ac:dyDescent="0.2">
      <c r="A89" s="1051" t="s">
        <v>108</v>
      </c>
      <c r="B89" s="1706">
        <f>+TableA7!$C89*(TableA7!$M89-TableA7!$O89)/TableA7!$M89</f>
        <v>41.683062581236257</v>
      </c>
      <c r="C89" s="1033">
        <f>+TableA7!$C89*(TableA7!$M89-$C$8-TableA7!$O89)/TableA7!$M89</f>
        <v>40.529867434405602</v>
      </c>
      <c r="D89" s="1033">
        <f>+TableA7!$C89*(TableA7!$M89-$D$8-TableA7!$O89)/TableA7!$M89</f>
        <v>42.836257728066919</v>
      </c>
      <c r="E89" s="1035">
        <f>+TableA7!$C89*(TableA7!$M89-TableA7!I89-TableA7!$O89)/TableA7!$M89</f>
        <v>41.683062581236257</v>
      </c>
      <c r="F89" s="1033">
        <f>+'Table E3'!W89</f>
        <v>42.102053288594817</v>
      </c>
      <c r="G89" s="1042">
        <f>+'Table E3'!Y89</f>
        <v>41.457452200350886</v>
      </c>
      <c r="H89" s="1178" t="e">
        <f>#REF!/TableA2!C89</f>
        <v>#REF!</v>
      </c>
      <c r="I89" s="1178">
        <f>TableA6!D89/TableA2!C89</f>
        <v>0</v>
      </c>
      <c r="J89" s="1178">
        <f>TableA6!I89/TableA2!$C89</f>
        <v>0</v>
      </c>
      <c r="K89" s="1178">
        <f>TableA6!J89/TableA2!$C89</f>
        <v>0</v>
      </c>
      <c r="L89" s="954"/>
      <c r="M89" s="954"/>
      <c r="N89" s="1450"/>
      <c r="O89" s="954"/>
      <c r="P89" s="954"/>
      <c r="Q89" s="954"/>
    </row>
    <row r="90" spans="1:17" ht="40" customHeight="1" x14ac:dyDescent="0.2">
      <c r="A90" s="1055" t="s">
        <v>155</v>
      </c>
      <c r="B90" s="913"/>
      <c r="C90" s="1039"/>
      <c r="D90" s="1039"/>
      <c r="E90" s="1040"/>
      <c r="F90" s="1039"/>
      <c r="G90" s="1043"/>
      <c r="H90" s="1490" t="e">
        <f>#REF!/TableA2!C90</f>
        <v>#REF!</v>
      </c>
      <c r="I90" s="1490">
        <f>TableA6!D90/TableA2!C90</f>
        <v>0</v>
      </c>
      <c r="J90" s="1490">
        <f>TableA6!I90/TableA2!$C90</f>
        <v>0</v>
      </c>
      <c r="K90" s="1490">
        <f>TableA6!J90/TableA2!$C90</f>
        <v>0</v>
      </c>
      <c r="L90" s="954"/>
      <c r="M90" s="954"/>
      <c r="N90" s="954"/>
      <c r="O90" s="954"/>
      <c r="P90" s="954"/>
      <c r="Q90" s="954"/>
    </row>
    <row r="91" spans="1:17" ht="40" customHeight="1" thickBot="1" x14ac:dyDescent="0.25">
      <c r="A91" s="1056" t="s">
        <v>110</v>
      </c>
      <c r="B91" s="1031">
        <f t="shared" ref="B91:G91" si="3">+B53+B9</f>
        <v>616.46162984891726</v>
      </c>
      <c r="C91" s="1030">
        <f t="shared" si="3"/>
        <v>506.2177260563052</v>
      </c>
      <c r="D91" s="1030">
        <f t="shared" si="3"/>
        <v>734.91819017225066</v>
      </c>
      <c r="E91" s="1030">
        <f t="shared" si="3"/>
        <v>507.16493159723916</v>
      </c>
      <c r="F91" s="1030">
        <f t="shared" si="3"/>
        <v>663.47785704083071</v>
      </c>
      <c r="G91" s="1044">
        <f t="shared" si="3"/>
        <v>585.89484993099381</v>
      </c>
      <c r="H91" s="892" t="e">
        <f>#REF!/TableA2!C91</f>
        <v>#REF!</v>
      </c>
      <c r="I91" s="892">
        <f>TableA6!D91/TableA2!C91</f>
        <v>1.3664706276192731E-2</v>
      </c>
      <c r="J91" s="892">
        <f>TableA6!I91/TableA2!$C91</f>
        <v>6.323340074442599E-3</v>
      </c>
      <c r="K91" s="892">
        <f>TableA6!J91/TableA2!$C91</f>
        <v>8.8911378929233814E-3</v>
      </c>
      <c r="L91" s="954"/>
      <c r="M91" s="954"/>
      <c r="N91" s="954"/>
      <c r="O91" s="954"/>
      <c r="P91" s="954"/>
      <c r="Q91" s="954"/>
    </row>
    <row r="92" spans="1:17" s="2" customFormat="1" x14ac:dyDescent="0.2">
      <c r="A92" s="1057"/>
      <c r="C92" s="954"/>
      <c r="D92" s="954"/>
      <c r="E92" s="954"/>
      <c r="F92" s="954"/>
      <c r="G92" s="954"/>
      <c r="H92" s="954"/>
      <c r="I92" s="954"/>
      <c r="J92" s="954"/>
      <c r="K92" s="954"/>
    </row>
    <row r="93" spans="1:17" s="2" customFormat="1" x14ac:dyDescent="0.2">
      <c r="A93" s="1057"/>
      <c r="C93" s="954"/>
      <c r="D93" s="954"/>
      <c r="E93" s="954"/>
      <c r="F93" s="954"/>
      <c r="G93" s="954"/>
      <c r="H93" s="954"/>
      <c r="I93" s="954"/>
      <c r="J93" s="954"/>
      <c r="K93" s="954"/>
    </row>
    <row r="94" spans="1:17" s="2" customFormat="1" x14ac:dyDescent="0.2">
      <c r="A94" s="1058" t="s">
        <v>166</v>
      </c>
      <c r="B94" s="314"/>
      <c r="C94" s="172"/>
      <c r="D94" s="172"/>
      <c r="E94" s="172"/>
      <c r="F94" s="172"/>
      <c r="G94" s="172"/>
      <c r="H94" s="172"/>
      <c r="I94" s="172"/>
      <c r="J94" s="172"/>
      <c r="K94" s="172"/>
    </row>
    <row r="95" spans="1:17" s="2" customFormat="1" x14ac:dyDescent="0.2">
      <c r="A95" s="1059"/>
      <c r="B95" s="394"/>
      <c r="C95" s="1003"/>
      <c r="D95" s="1003"/>
      <c r="E95" s="1003"/>
      <c r="F95" s="1003"/>
      <c r="G95" s="1003"/>
      <c r="H95" s="954"/>
      <c r="I95" s="954"/>
      <c r="J95" s="954"/>
      <c r="K95" s="954"/>
    </row>
    <row r="96" spans="1:17" s="2" customFormat="1" x14ac:dyDescent="0.2">
      <c r="A96" s="1057"/>
      <c r="C96" s="954"/>
      <c r="D96" s="954"/>
      <c r="E96" s="954"/>
      <c r="F96" s="954"/>
      <c r="G96" s="954"/>
      <c r="H96" s="954"/>
      <c r="I96" s="954"/>
      <c r="J96" s="954"/>
      <c r="K96" s="954"/>
    </row>
    <row r="97" spans="1:11" s="2" customFormat="1" x14ac:dyDescent="0.2">
      <c r="A97" s="1057"/>
      <c r="C97" s="954"/>
      <c r="D97" s="954"/>
      <c r="E97" s="954"/>
      <c r="F97" s="954"/>
      <c r="G97" s="954"/>
      <c r="H97" s="954"/>
      <c r="I97" s="954"/>
      <c r="J97" s="954"/>
      <c r="K97" s="954"/>
    </row>
    <row r="99" spans="1:11" s="2" customFormat="1" x14ac:dyDescent="0.2">
      <c r="A99" s="1057"/>
      <c r="C99" s="954"/>
      <c r="D99" s="954"/>
      <c r="E99" s="954"/>
      <c r="F99" s="954"/>
      <c r="G99" s="954"/>
      <c r="H99" s="954"/>
      <c r="I99" s="954"/>
      <c r="J99" s="954"/>
      <c r="K99" s="954"/>
    </row>
  </sheetData>
  <mergeCells count="3">
    <mergeCell ref="A3:G3"/>
    <mergeCell ref="C6:G6"/>
    <mergeCell ref="B6:B8"/>
  </mergeCells>
  <pageMargins left="0.7" right="0.7" top="0.75" bottom="0.75" header="0.3" footer="0.3"/>
  <pageSetup scale="50" fitToHeight="2" orientation="portrait" horizontalDpi="4294967292" verticalDpi="429496729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G94"/>
  <sheetViews>
    <sheetView topLeftCell="B1" workbookViewId="0">
      <pane xSplit="1" ySplit="6" topLeftCell="C74" activePane="bottomRight" state="frozen"/>
      <selection pane="topRight" activeCell="H9" sqref="H9"/>
      <selection pane="bottomLeft" activeCell="H9" sqref="H9"/>
      <selection pane="bottomRight" activeCell="C5" sqref="C5:K5"/>
    </sheetView>
  </sheetViews>
  <sheetFormatPr baseColWidth="10" defaultColWidth="8.83203125" defaultRowHeight="16" x14ac:dyDescent="0.2"/>
  <cols>
    <col min="1" max="1" width="0" hidden="1" customWidth="1"/>
    <col min="2" max="2" width="32" customWidth="1"/>
    <col min="15" max="15" width="9.5" bestFit="1" customWidth="1"/>
  </cols>
  <sheetData>
    <row r="1" spans="2:33" hidden="1" x14ac:dyDescent="0.2">
      <c r="C1">
        <v>2</v>
      </c>
      <c r="D1">
        <v>3</v>
      </c>
      <c r="E1">
        <v>4</v>
      </c>
      <c r="F1">
        <v>5</v>
      </c>
      <c r="G1">
        <v>6</v>
      </c>
      <c r="H1">
        <v>7</v>
      </c>
      <c r="I1">
        <v>8</v>
      </c>
      <c r="J1">
        <v>9</v>
      </c>
      <c r="K1">
        <v>10</v>
      </c>
      <c r="L1">
        <v>11</v>
      </c>
      <c r="M1">
        <v>12</v>
      </c>
      <c r="N1">
        <v>13</v>
      </c>
      <c r="O1">
        <v>14</v>
      </c>
      <c r="P1">
        <v>15</v>
      </c>
      <c r="Q1">
        <v>16</v>
      </c>
      <c r="R1">
        <v>17</v>
      </c>
    </row>
    <row r="2" spans="2:33" ht="17" thickBot="1" x14ac:dyDescent="0.25"/>
    <row r="3" spans="2:33" ht="40" customHeight="1" thickTop="1" x14ac:dyDescent="0.2">
      <c r="B3" s="1951" t="s">
        <v>907</v>
      </c>
      <c r="C3" s="1952"/>
      <c r="D3" s="1952"/>
      <c r="E3" s="1952"/>
      <c r="F3" s="1952"/>
      <c r="G3" s="1952"/>
      <c r="H3" s="1952"/>
      <c r="I3" s="1952"/>
      <c r="J3" s="1952"/>
      <c r="K3" s="1952"/>
      <c r="L3" s="1952"/>
      <c r="M3" s="1952"/>
      <c r="N3" s="1952"/>
      <c r="O3" s="1952"/>
      <c r="P3" s="1952"/>
      <c r="Q3" s="1952"/>
      <c r="R3" s="1953"/>
    </row>
    <row r="4" spans="2:33" ht="20" x14ac:dyDescent="0.2">
      <c r="B4" s="4"/>
      <c r="C4" s="620"/>
      <c r="D4" s="620"/>
      <c r="E4" s="620"/>
      <c r="F4" s="620"/>
      <c r="G4" s="620"/>
      <c r="H4" s="620"/>
      <c r="I4" s="528"/>
      <c r="J4" s="528"/>
      <c r="K4" s="528"/>
      <c r="L4" s="528"/>
      <c r="M4" s="528"/>
      <c r="N4" s="528"/>
      <c r="O4" s="528"/>
      <c r="P4" s="528"/>
      <c r="Q4" s="528"/>
      <c r="R4" s="701"/>
    </row>
    <row r="5" spans="2:33" ht="21" thickBot="1" x14ac:dyDescent="0.25">
      <c r="B5" s="4"/>
      <c r="C5" s="705" t="s">
        <v>1</v>
      </c>
      <c r="D5" s="705" t="s">
        <v>2</v>
      </c>
      <c r="E5" s="705" t="s">
        <v>3</v>
      </c>
      <c r="F5" s="705" t="s">
        <v>4</v>
      </c>
      <c r="G5" s="705" t="s">
        <v>5</v>
      </c>
      <c r="H5" s="705" t="s">
        <v>6</v>
      </c>
      <c r="I5" s="705" t="s">
        <v>7</v>
      </c>
      <c r="J5" s="705" t="s">
        <v>8</v>
      </c>
      <c r="K5" s="705" t="s">
        <v>9</v>
      </c>
      <c r="L5" s="705" t="s">
        <v>10</v>
      </c>
      <c r="M5" s="705" t="s">
        <v>11</v>
      </c>
      <c r="N5" s="705" t="s">
        <v>12</v>
      </c>
      <c r="O5" s="705" t="s">
        <v>13</v>
      </c>
      <c r="P5" s="705" t="s">
        <v>177</v>
      </c>
      <c r="Q5" s="705" t="s">
        <v>178</v>
      </c>
      <c r="R5" s="706" t="s">
        <v>179</v>
      </c>
      <c r="U5" s="160"/>
      <c r="V5" s="160"/>
      <c r="W5" s="160"/>
      <c r="X5" s="160"/>
      <c r="Y5" s="160"/>
      <c r="Z5" s="160"/>
      <c r="AA5" s="160"/>
      <c r="AB5" s="160"/>
      <c r="AC5" s="160"/>
      <c r="AD5" s="160"/>
      <c r="AE5" s="160"/>
      <c r="AF5" s="160"/>
      <c r="AG5" s="160"/>
    </row>
    <row r="6" spans="2:33" ht="28" customHeight="1" x14ac:dyDescent="0.2">
      <c r="B6" s="1868"/>
      <c r="C6" s="1808">
        <v>2003</v>
      </c>
      <c r="D6" s="1809">
        <v>2004</v>
      </c>
      <c r="E6" s="1809">
        <v>2005</v>
      </c>
      <c r="F6" s="1809">
        <v>2006</v>
      </c>
      <c r="G6" s="1809">
        <v>2007</v>
      </c>
      <c r="H6" s="1809">
        <v>2008</v>
      </c>
      <c r="I6" s="1809">
        <v>2009</v>
      </c>
      <c r="J6" s="1809">
        <v>2010</v>
      </c>
      <c r="K6" s="1809">
        <v>2011</v>
      </c>
      <c r="L6" s="1809">
        <v>2012</v>
      </c>
      <c r="M6" s="1809">
        <v>2013</v>
      </c>
      <c r="N6" s="1809">
        <v>2014</v>
      </c>
      <c r="O6" s="1809">
        <v>2015</v>
      </c>
      <c r="P6" s="1809">
        <v>2016</v>
      </c>
      <c r="Q6" s="1809">
        <v>2017</v>
      </c>
      <c r="R6" s="1839">
        <v>2018</v>
      </c>
    </row>
    <row r="7" spans="2:33" x14ac:dyDescent="0.2">
      <c r="B7" s="622" t="s">
        <v>28</v>
      </c>
      <c r="C7" s="554"/>
      <c r="D7" s="517"/>
      <c r="E7" s="517"/>
      <c r="F7" s="517"/>
      <c r="G7" s="517"/>
      <c r="H7" s="517"/>
      <c r="I7" s="517"/>
      <c r="J7" s="517"/>
      <c r="K7" s="517"/>
      <c r="L7" s="517"/>
      <c r="M7" s="517"/>
      <c r="N7" s="517"/>
      <c r="O7" s="517"/>
      <c r="P7" s="517"/>
      <c r="Q7" s="517"/>
      <c r="R7" s="702"/>
    </row>
    <row r="8" spans="2:33" x14ac:dyDescent="0.2">
      <c r="B8" s="1149" t="s">
        <v>29</v>
      </c>
      <c r="C8" s="1177">
        <v>0.3</v>
      </c>
      <c r="D8" s="1178">
        <v>0.3</v>
      </c>
      <c r="E8" s="1178">
        <v>0.3</v>
      </c>
      <c r="F8" s="1178">
        <v>0.3</v>
      </c>
      <c r="G8" s="1178">
        <v>0.3</v>
      </c>
      <c r="H8" s="1178">
        <v>0.3</v>
      </c>
      <c r="I8" s="1178">
        <v>0.3</v>
      </c>
      <c r="J8" s="1178">
        <v>0.3</v>
      </c>
      <c r="K8" s="1178">
        <v>0.3</v>
      </c>
      <c r="L8" s="1178">
        <v>0.3</v>
      </c>
      <c r="M8" s="1178">
        <v>0.3</v>
      </c>
      <c r="N8" s="1178">
        <v>0.3</v>
      </c>
      <c r="O8" s="1178">
        <v>0.3</v>
      </c>
      <c r="P8" s="1178">
        <v>0.3</v>
      </c>
      <c r="Q8" s="1178">
        <v>0.3</v>
      </c>
      <c r="R8" s="1158">
        <v>0.3</v>
      </c>
    </row>
    <row r="9" spans="2:33" x14ac:dyDescent="0.2">
      <c r="B9" s="1149" t="s">
        <v>30</v>
      </c>
      <c r="C9" s="1177">
        <v>0.34</v>
      </c>
      <c r="D9" s="1178">
        <v>0.34</v>
      </c>
      <c r="E9" s="1178">
        <v>0.25</v>
      </c>
      <c r="F9" s="1178">
        <v>0.25</v>
      </c>
      <c r="G9" s="1178">
        <v>0.25</v>
      </c>
      <c r="H9" s="1178">
        <v>0.25</v>
      </c>
      <c r="I9" s="1178">
        <v>0.25</v>
      </c>
      <c r="J9" s="1178">
        <v>0.25</v>
      </c>
      <c r="K9" s="1178">
        <v>0.25</v>
      </c>
      <c r="L9" s="1178">
        <v>0.25</v>
      </c>
      <c r="M9" s="1178">
        <v>0.25</v>
      </c>
      <c r="N9" s="1178">
        <v>0.25</v>
      </c>
      <c r="O9" s="1178">
        <v>0.25</v>
      </c>
      <c r="P9" s="1178">
        <v>0.25</v>
      </c>
      <c r="Q9" s="1178">
        <v>0.25</v>
      </c>
      <c r="R9" s="1158">
        <v>0.25</v>
      </c>
    </row>
    <row r="10" spans="2:33" x14ac:dyDescent="0.2">
      <c r="B10" s="1149" t="s">
        <v>31</v>
      </c>
      <c r="C10" s="1177">
        <v>0.33990000000000004</v>
      </c>
      <c r="D10" s="1178">
        <v>0.33990000000000004</v>
      </c>
      <c r="E10" s="1178">
        <v>0.33990000000000004</v>
      </c>
      <c r="F10" s="1178">
        <v>0.33990000000000004</v>
      </c>
      <c r="G10" s="1178">
        <v>0.33990000000000004</v>
      </c>
      <c r="H10" s="1178">
        <v>0.33990000000000004</v>
      </c>
      <c r="I10" s="1178">
        <v>0.33990000000000004</v>
      </c>
      <c r="J10" s="1178">
        <v>0.33990000000000004</v>
      </c>
      <c r="K10" s="1178">
        <v>0.33990000000000004</v>
      </c>
      <c r="L10" s="1178">
        <v>0.33990000000000004</v>
      </c>
      <c r="M10" s="1178">
        <v>0.33990000000000004</v>
      </c>
      <c r="N10" s="1178">
        <v>0.33990000000000004</v>
      </c>
      <c r="O10" s="1178">
        <v>0.33990000000000004</v>
      </c>
      <c r="P10" s="1178">
        <v>0.33990000000000004</v>
      </c>
      <c r="Q10" s="1178">
        <v>0.33990000000000004</v>
      </c>
      <c r="R10" s="1158">
        <v>0.28999999999999998</v>
      </c>
    </row>
    <row r="11" spans="2:33" x14ac:dyDescent="0.2">
      <c r="B11" s="1149" t="s">
        <v>32</v>
      </c>
      <c r="C11" s="1177">
        <v>0.36599999999999999</v>
      </c>
      <c r="D11" s="1178">
        <v>0.36099999999999999</v>
      </c>
      <c r="E11" s="1178">
        <v>0.36099999999999999</v>
      </c>
      <c r="F11" s="1178">
        <v>0.36099999999999999</v>
      </c>
      <c r="G11" s="1178">
        <v>0.36099999999999999</v>
      </c>
      <c r="H11" s="1178">
        <v>0.33500000000000002</v>
      </c>
      <c r="I11" s="1178">
        <v>0.33</v>
      </c>
      <c r="J11" s="1178">
        <v>0.31</v>
      </c>
      <c r="K11" s="1178">
        <v>0.28000000000000003</v>
      </c>
      <c r="L11" s="1178">
        <v>0.26</v>
      </c>
      <c r="M11" s="1178">
        <v>0.26</v>
      </c>
      <c r="N11" s="1178">
        <v>0.26500000000000001</v>
      </c>
      <c r="O11" s="1178">
        <v>0.26500000000000001</v>
      </c>
      <c r="P11" s="1178">
        <v>0.26500000000000001</v>
      </c>
      <c r="Q11" s="1178">
        <v>0.26500000000000001</v>
      </c>
      <c r="R11" s="1158">
        <v>0.26500000000000001</v>
      </c>
    </row>
    <row r="12" spans="2:33" x14ac:dyDescent="0.2">
      <c r="B12" s="1149" t="s">
        <v>33</v>
      </c>
      <c r="C12" s="1177">
        <v>0.16500000000000001</v>
      </c>
      <c r="D12" s="1178">
        <v>0.17</v>
      </c>
      <c r="E12" s="1178">
        <v>0.17</v>
      </c>
      <c r="F12" s="1178">
        <v>0.17</v>
      </c>
      <c r="G12" s="1178">
        <v>0.17</v>
      </c>
      <c r="H12" s="1178">
        <v>0.17</v>
      </c>
      <c r="I12" s="1178">
        <v>0.17</v>
      </c>
      <c r="J12" s="1178">
        <v>0.17</v>
      </c>
      <c r="K12" s="1178">
        <v>0.2</v>
      </c>
      <c r="L12" s="1178">
        <v>0.185</v>
      </c>
      <c r="M12" s="1178">
        <v>0.2</v>
      </c>
      <c r="N12" s="1178">
        <v>0.2</v>
      </c>
      <c r="O12" s="1178">
        <v>0.24</v>
      </c>
      <c r="P12" s="1178">
        <v>0.24</v>
      </c>
      <c r="Q12" s="1178">
        <v>0.255</v>
      </c>
      <c r="R12" s="1158">
        <v>0.26</v>
      </c>
    </row>
    <row r="13" spans="2:33" x14ac:dyDescent="0.2">
      <c r="B13" s="1149" t="s">
        <v>34</v>
      </c>
      <c r="C13" s="1177">
        <v>0.31</v>
      </c>
      <c r="D13" s="1178">
        <v>0.28000000000000003</v>
      </c>
      <c r="E13" s="1178">
        <v>0.26</v>
      </c>
      <c r="F13" s="1178">
        <v>0.24</v>
      </c>
      <c r="G13" s="1178">
        <v>0.24</v>
      </c>
      <c r="H13" s="1178">
        <v>0.21</v>
      </c>
      <c r="I13" s="1178">
        <v>0.2</v>
      </c>
      <c r="J13" s="1178">
        <v>0.19</v>
      </c>
      <c r="K13" s="1178">
        <v>0.19</v>
      </c>
      <c r="L13" s="1178">
        <v>0.19</v>
      </c>
      <c r="M13" s="1178">
        <v>0.19</v>
      </c>
      <c r="N13" s="1178">
        <v>0.19</v>
      </c>
      <c r="O13" s="1178">
        <v>0.19</v>
      </c>
      <c r="P13" s="1178">
        <v>0.19</v>
      </c>
      <c r="Q13" s="1178">
        <v>0.19</v>
      </c>
      <c r="R13" s="1158">
        <v>0.19</v>
      </c>
    </row>
    <row r="14" spans="2:33" x14ac:dyDescent="0.2">
      <c r="B14" s="1149" t="s">
        <v>35</v>
      </c>
      <c r="C14" s="1177">
        <v>0.3</v>
      </c>
      <c r="D14" s="1178">
        <v>0.3</v>
      </c>
      <c r="E14" s="1178">
        <v>0.28000000000000003</v>
      </c>
      <c r="F14" s="1178">
        <v>0.28000000000000003</v>
      </c>
      <c r="G14" s="1178">
        <v>0.25</v>
      </c>
      <c r="H14" s="1178">
        <v>0.25</v>
      </c>
      <c r="I14" s="1178">
        <v>0.25</v>
      </c>
      <c r="J14" s="1178">
        <v>0.25</v>
      </c>
      <c r="K14" s="1178">
        <v>0.25</v>
      </c>
      <c r="L14" s="1178">
        <v>0.25</v>
      </c>
      <c r="M14" s="1178">
        <v>0.25</v>
      </c>
      <c r="N14" s="1178">
        <v>0.245</v>
      </c>
      <c r="O14" s="1178">
        <v>0.22</v>
      </c>
      <c r="P14" s="1178">
        <v>0.22</v>
      </c>
      <c r="Q14" s="1178">
        <v>0.22</v>
      </c>
      <c r="R14" s="1158">
        <v>0.22</v>
      </c>
    </row>
    <row r="15" spans="2:33" x14ac:dyDescent="0.2">
      <c r="B15" s="1088" t="s">
        <v>36</v>
      </c>
      <c r="C15" s="1177">
        <v>0.26</v>
      </c>
      <c r="D15" s="1178">
        <v>0.26</v>
      </c>
      <c r="E15" s="1178">
        <v>0.24</v>
      </c>
      <c r="F15" s="1178">
        <v>0.23</v>
      </c>
      <c r="G15" s="1178">
        <v>0.22</v>
      </c>
      <c r="H15" s="1178">
        <v>0.21</v>
      </c>
      <c r="I15" s="1178">
        <v>0.21</v>
      </c>
      <c r="J15" s="1178">
        <v>0.21</v>
      </c>
      <c r="K15" s="1178">
        <v>0.21</v>
      </c>
      <c r="L15" s="1178">
        <v>0.21</v>
      </c>
      <c r="M15" s="1178">
        <v>0.21</v>
      </c>
      <c r="N15" s="1178">
        <v>0.21</v>
      </c>
      <c r="O15" s="1178">
        <v>0.2</v>
      </c>
      <c r="P15" s="1178">
        <v>0.2</v>
      </c>
      <c r="Q15" s="1178">
        <v>0.2</v>
      </c>
      <c r="R15" s="1158">
        <v>0.2</v>
      </c>
    </row>
    <row r="16" spans="2:33" x14ac:dyDescent="0.2">
      <c r="B16" s="1149" t="s">
        <v>37</v>
      </c>
      <c r="C16" s="1177">
        <v>0.28999999999999998</v>
      </c>
      <c r="D16" s="1178">
        <v>0.28999999999999998</v>
      </c>
      <c r="E16" s="1178">
        <v>0.26</v>
      </c>
      <c r="F16" s="1178">
        <v>0.26</v>
      </c>
      <c r="G16" s="1178">
        <v>0.26</v>
      </c>
      <c r="H16" s="1178">
        <v>0.26</v>
      </c>
      <c r="I16" s="1178">
        <v>0.26</v>
      </c>
      <c r="J16" s="1178">
        <v>0.26</v>
      </c>
      <c r="K16" s="1178">
        <v>0.26</v>
      </c>
      <c r="L16" s="1178">
        <v>0.245</v>
      </c>
      <c r="M16" s="1178">
        <v>0.245</v>
      </c>
      <c r="N16" s="1178">
        <v>0.2</v>
      </c>
      <c r="O16" s="1178">
        <v>0.2</v>
      </c>
      <c r="P16" s="1178">
        <v>0.2</v>
      </c>
      <c r="Q16" s="1178">
        <v>0.2</v>
      </c>
      <c r="R16" s="1158">
        <v>0.2</v>
      </c>
    </row>
    <row r="17" spans="1:18" x14ac:dyDescent="0.2">
      <c r="B17" s="1088" t="s">
        <v>38</v>
      </c>
      <c r="C17" s="1177">
        <v>0.34329999999999999</v>
      </c>
      <c r="D17" s="1178">
        <v>0.34329999999999999</v>
      </c>
      <c r="E17" s="1178">
        <v>0.33829999999999999</v>
      </c>
      <c r="F17" s="1178">
        <v>0.33329999999999999</v>
      </c>
      <c r="G17" s="1178">
        <v>0.33329999999999999</v>
      </c>
      <c r="H17" s="1178">
        <v>0.33329999999999999</v>
      </c>
      <c r="I17" s="1178">
        <v>0.33329999999999999</v>
      </c>
      <c r="J17" s="1178">
        <v>0.33329999999999999</v>
      </c>
      <c r="K17" s="1178">
        <v>0.33329999999999999</v>
      </c>
      <c r="L17" s="1178">
        <v>0.33329999999999999</v>
      </c>
      <c r="M17" s="1178">
        <v>0.33329999999999999</v>
      </c>
      <c r="N17" s="1178">
        <v>0.33329999999999999</v>
      </c>
      <c r="O17" s="1178">
        <v>0.33329999999999999</v>
      </c>
      <c r="P17" s="1178">
        <v>0.33299999999999996</v>
      </c>
      <c r="Q17" s="1178">
        <v>0.33329999999999999</v>
      </c>
      <c r="R17" s="1158">
        <v>0.33</v>
      </c>
    </row>
    <row r="18" spans="1:18" x14ac:dyDescent="0.2">
      <c r="B18" s="1149" t="s">
        <v>39</v>
      </c>
      <c r="C18" s="1177">
        <v>0.39579999999999999</v>
      </c>
      <c r="D18" s="1178">
        <v>0.38290000000000002</v>
      </c>
      <c r="E18" s="1178">
        <v>0.3831</v>
      </c>
      <c r="F18" s="1178">
        <v>0.38340000000000002</v>
      </c>
      <c r="G18" s="1178">
        <v>0.3836</v>
      </c>
      <c r="H18" s="1178">
        <v>0.29510000000000003</v>
      </c>
      <c r="I18" s="1178">
        <v>0.2944</v>
      </c>
      <c r="J18" s="1178">
        <v>0.29410000000000003</v>
      </c>
      <c r="K18" s="1178">
        <v>0.29370000000000002</v>
      </c>
      <c r="L18" s="1178">
        <v>0.29480000000000001</v>
      </c>
      <c r="M18" s="1178">
        <v>0.29549999999999998</v>
      </c>
      <c r="N18" s="1178">
        <v>0.29580000000000001</v>
      </c>
      <c r="O18" s="1178">
        <v>0.29719999999999996</v>
      </c>
      <c r="P18" s="1178">
        <v>0.29719999999999996</v>
      </c>
      <c r="Q18" s="1178">
        <v>0.2979</v>
      </c>
      <c r="R18" s="1158">
        <v>0.3</v>
      </c>
    </row>
    <row r="19" spans="1:18" x14ac:dyDescent="0.2">
      <c r="B19" s="1149" t="s">
        <v>40</v>
      </c>
      <c r="C19" s="1177">
        <v>0.35</v>
      </c>
      <c r="D19" s="1178">
        <v>0.35</v>
      </c>
      <c r="E19" s="1178">
        <v>0.32</v>
      </c>
      <c r="F19" s="1178">
        <v>0.28999999999999998</v>
      </c>
      <c r="G19" s="1178">
        <v>0.25</v>
      </c>
      <c r="H19" s="1178">
        <v>0.25</v>
      </c>
      <c r="I19" s="1178">
        <v>0.25</v>
      </c>
      <c r="J19" s="1178">
        <v>0.24</v>
      </c>
      <c r="K19" s="1178">
        <v>0.2</v>
      </c>
      <c r="L19" s="1178">
        <v>0.2</v>
      </c>
      <c r="M19" s="1178">
        <v>0.26</v>
      </c>
      <c r="N19" s="1178">
        <v>0.26</v>
      </c>
      <c r="O19" s="1178">
        <v>0.28999999999999998</v>
      </c>
      <c r="P19" s="1178">
        <v>0.28999999999999998</v>
      </c>
      <c r="Q19" s="1178">
        <v>0.28999999999999998</v>
      </c>
      <c r="R19" s="1158">
        <v>0.28999999999999998</v>
      </c>
    </row>
    <row r="20" spans="1:18" x14ac:dyDescent="0.2">
      <c r="B20" s="1149" t="s">
        <v>41</v>
      </c>
      <c r="C20" s="1177">
        <v>0.18</v>
      </c>
      <c r="D20" s="1178">
        <v>0.16</v>
      </c>
      <c r="E20" s="1178">
        <v>0.16</v>
      </c>
      <c r="F20" s="1178">
        <v>0.16</v>
      </c>
      <c r="G20" s="1178">
        <v>0.16</v>
      </c>
      <c r="H20" s="1178">
        <v>0.16</v>
      </c>
      <c r="I20" s="1178">
        <v>0.16</v>
      </c>
      <c r="J20" s="1178">
        <v>0.19</v>
      </c>
      <c r="K20" s="1178">
        <v>0.19</v>
      </c>
      <c r="L20" s="1178">
        <v>0.19</v>
      </c>
      <c r="M20" s="1178">
        <v>0.19</v>
      </c>
      <c r="N20" s="1178">
        <v>0.19</v>
      </c>
      <c r="O20" s="1178">
        <v>0.19</v>
      </c>
      <c r="P20" s="1178">
        <v>0.19</v>
      </c>
      <c r="Q20" s="1178">
        <v>0.09</v>
      </c>
      <c r="R20" s="1158">
        <v>0.09</v>
      </c>
    </row>
    <row r="21" spans="1:18" x14ac:dyDescent="0.2">
      <c r="B21" s="1149" t="s">
        <v>42</v>
      </c>
      <c r="C21" s="1177">
        <v>0.18</v>
      </c>
      <c r="D21" s="1178">
        <v>0.18</v>
      </c>
      <c r="E21" s="1178">
        <v>0.18</v>
      </c>
      <c r="F21" s="1178">
        <v>0.18</v>
      </c>
      <c r="G21" s="1178">
        <v>0.18</v>
      </c>
      <c r="H21" s="1178">
        <v>0.15</v>
      </c>
      <c r="I21" s="1178">
        <v>0.15</v>
      </c>
      <c r="J21" s="1178">
        <v>0.18</v>
      </c>
      <c r="K21" s="1178">
        <v>0.2</v>
      </c>
      <c r="L21" s="1178">
        <v>0.2</v>
      </c>
      <c r="M21" s="1178">
        <v>0.2</v>
      </c>
      <c r="N21" s="1178">
        <v>0.2</v>
      </c>
      <c r="O21" s="1178">
        <v>0.2</v>
      </c>
      <c r="P21" s="1178">
        <v>0.2</v>
      </c>
      <c r="Q21" s="1178">
        <v>0.2</v>
      </c>
      <c r="R21" s="1158">
        <v>0.2</v>
      </c>
    </row>
    <row r="22" spans="1:18" x14ac:dyDescent="0.2">
      <c r="B22" s="1149" t="s">
        <v>43</v>
      </c>
      <c r="C22" s="1177">
        <v>0.125</v>
      </c>
      <c r="D22" s="1178">
        <v>0.125</v>
      </c>
      <c r="E22" s="1178">
        <v>0.125</v>
      </c>
      <c r="F22" s="1178">
        <v>0.125</v>
      </c>
      <c r="G22" s="1178">
        <v>0.125</v>
      </c>
      <c r="H22" s="1178">
        <v>0.125</v>
      </c>
      <c r="I22" s="1178">
        <v>0.125</v>
      </c>
      <c r="J22" s="1178">
        <v>0.125</v>
      </c>
      <c r="K22" s="1178">
        <v>0.125</v>
      </c>
      <c r="L22" s="1178">
        <v>0.125</v>
      </c>
      <c r="M22" s="1178">
        <v>0.125</v>
      </c>
      <c r="N22" s="1178">
        <v>0.125</v>
      </c>
      <c r="O22" s="1178">
        <v>0.125</v>
      </c>
      <c r="P22" s="1178">
        <v>0.125</v>
      </c>
      <c r="Q22" s="1178">
        <v>0.125</v>
      </c>
      <c r="R22" s="1158">
        <v>0.125</v>
      </c>
    </row>
    <row r="23" spans="1:18" x14ac:dyDescent="0.2">
      <c r="B23" s="1149" t="s">
        <v>44</v>
      </c>
      <c r="C23" s="1177">
        <v>0.36</v>
      </c>
      <c r="D23" s="1178">
        <v>0.35</v>
      </c>
      <c r="E23" s="1178">
        <v>0.34</v>
      </c>
      <c r="F23" s="1178">
        <v>0.31</v>
      </c>
      <c r="G23" s="1178">
        <v>0.28999999999999998</v>
      </c>
      <c r="H23" s="1178">
        <v>0.27</v>
      </c>
      <c r="I23" s="1178">
        <v>0.26</v>
      </c>
      <c r="J23" s="1178">
        <v>0.25</v>
      </c>
      <c r="K23" s="1178">
        <v>0.24</v>
      </c>
      <c r="L23" s="1178">
        <v>0.25</v>
      </c>
      <c r="M23" s="1178">
        <v>0.25</v>
      </c>
      <c r="N23" s="1178">
        <v>0.26500000000000001</v>
      </c>
      <c r="O23" s="1178">
        <v>0.25</v>
      </c>
      <c r="P23" s="1178">
        <v>0.25</v>
      </c>
      <c r="Q23" s="1178">
        <v>0.24</v>
      </c>
      <c r="R23" s="1158">
        <v>0.23</v>
      </c>
    </row>
    <row r="24" spans="1:18" x14ac:dyDescent="0.2">
      <c r="B24" s="1149" t="s">
        <v>45</v>
      </c>
      <c r="C24" s="1177">
        <v>0.38250000000000001</v>
      </c>
      <c r="D24" s="1178">
        <v>0.3725</v>
      </c>
      <c r="E24" s="1178">
        <v>0.3725</v>
      </c>
      <c r="F24" s="1178">
        <v>0.3725</v>
      </c>
      <c r="G24" s="1178">
        <v>0.3725</v>
      </c>
      <c r="H24" s="1178">
        <v>0.314</v>
      </c>
      <c r="I24" s="1178">
        <v>0.314</v>
      </c>
      <c r="J24" s="1178">
        <v>0.314</v>
      </c>
      <c r="K24" s="1178">
        <v>0.314</v>
      </c>
      <c r="L24" s="1178">
        <v>0.314</v>
      </c>
      <c r="M24" s="1178">
        <v>0.314</v>
      </c>
      <c r="N24" s="1178">
        <v>0.314</v>
      </c>
      <c r="O24" s="1178">
        <v>0.314</v>
      </c>
      <c r="P24" s="1178">
        <v>0.314</v>
      </c>
      <c r="Q24" s="1178">
        <v>0.24</v>
      </c>
      <c r="R24" s="1158">
        <v>0.24</v>
      </c>
    </row>
    <row r="25" spans="1:18" x14ac:dyDescent="0.2">
      <c r="B25" s="1149" t="s">
        <v>46</v>
      </c>
      <c r="C25" s="1177">
        <v>0.42</v>
      </c>
      <c r="D25" s="1178">
        <v>0.42</v>
      </c>
      <c r="E25" s="1178">
        <v>0.40689999999999998</v>
      </c>
      <c r="F25" s="1178">
        <v>0.40689999999999998</v>
      </c>
      <c r="G25" s="1178">
        <v>0.40689999999999998</v>
      </c>
      <c r="H25" s="1178">
        <v>0.40689999999999998</v>
      </c>
      <c r="I25" s="1178">
        <v>0.40689999999999998</v>
      </c>
      <c r="J25" s="1178">
        <v>0.40689999999999998</v>
      </c>
      <c r="K25" s="1178">
        <v>0.40689999999999998</v>
      </c>
      <c r="L25" s="1178">
        <v>0.38009999999999999</v>
      </c>
      <c r="M25" s="1178">
        <v>0.38009999999999999</v>
      </c>
      <c r="N25" s="1178">
        <v>0.35639999999999999</v>
      </c>
      <c r="O25" s="1178">
        <v>0.33860000000000001</v>
      </c>
      <c r="P25" s="1178">
        <v>0.30859999999999999</v>
      </c>
      <c r="Q25" s="1178">
        <v>0.30859999999999999</v>
      </c>
      <c r="R25" s="1158">
        <v>0.30859999999999999</v>
      </c>
    </row>
    <row r="26" spans="1:18" x14ac:dyDescent="0.2">
      <c r="A26" t="s">
        <v>637</v>
      </c>
      <c r="B26" s="1149" t="s">
        <v>47</v>
      </c>
      <c r="C26" s="1177">
        <v>0.29699999999999999</v>
      </c>
      <c r="D26" s="1178">
        <v>0.29699999999999999</v>
      </c>
      <c r="E26" s="1178">
        <v>0.27500000000000002</v>
      </c>
      <c r="F26" s="1178">
        <v>0.27500000000000002</v>
      </c>
      <c r="G26" s="1178">
        <v>0.27500000000000002</v>
      </c>
      <c r="H26" s="1178">
        <v>0.27500000000000002</v>
      </c>
      <c r="I26" s="1178">
        <v>0.24199999999999999</v>
      </c>
      <c r="J26" s="1178">
        <v>0.24199999999999999</v>
      </c>
      <c r="K26" s="1178">
        <v>0.22</v>
      </c>
      <c r="L26" s="1178">
        <v>0.24199999999999999</v>
      </c>
      <c r="M26" s="1178">
        <v>0.24199999999999999</v>
      </c>
      <c r="N26" s="1178">
        <v>0.24199999999999999</v>
      </c>
      <c r="O26" s="1178">
        <v>0.24199999999999999</v>
      </c>
      <c r="P26" s="1178">
        <v>0.24199999999999999</v>
      </c>
      <c r="Q26" s="1178">
        <v>0.22</v>
      </c>
      <c r="R26" s="1158">
        <v>0.25</v>
      </c>
    </row>
    <row r="27" spans="1:18" x14ac:dyDescent="0.2">
      <c r="B27" s="1148" t="s">
        <v>48</v>
      </c>
      <c r="C27" s="1177">
        <v>0.19</v>
      </c>
      <c r="D27" s="1178">
        <v>0.15</v>
      </c>
      <c r="E27" s="1178">
        <v>0.15</v>
      </c>
      <c r="F27" s="1178">
        <v>0.15</v>
      </c>
      <c r="G27" s="1178">
        <v>0.15</v>
      </c>
      <c r="H27" s="1178">
        <v>0.15</v>
      </c>
      <c r="I27" s="1178">
        <v>0.15</v>
      </c>
      <c r="J27" s="1178">
        <v>0.15</v>
      </c>
      <c r="K27" s="1178">
        <v>0.15</v>
      </c>
      <c r="L27" s="1178">
        <v>0.15</v>
      </c>
      <c r="M27" s="1178">
        <v>0.15</v>
      </c>
      <c r="N27" s="1178">
        <v>0.15</v>
      </c>
      <c r="O27" s="1178">
        <v>0.15</v>
      </c>
      <c r="P27" s="1178">
        <v>0.15</v>
      </c>
      <c r="Q27" s="1178">
        <v>0.15</v>
      </c>
      <c r="R27" s="1158">
        <v>0.2</v>
      </c>
    </row>
    <row r="28" spans="1:18" x14ac:dyDescent="0.2">
      <c r="B28" s="1148" t="s">
        <v>49</v>
      </c>
      <c r="C28" s="1177">
        <v>0.30380000000000001</v>
      </c>
      <c r="D28" s="1178">
        <v>0.30380000000000001</v>
      </c>
      <c r="E28" s="1178">
        <v>0.30380000000000001</v>
      </c>
      <c r="F28" s="1178">
        <v>0.29630000000000001</v>
      </c>
      <c r="G28" s="1178">
        <v>0.29630000000000001</v>
      </c>
      <c r="H28" s="1178">
        <v>0.29630000000000001</v>
      </c>
      <c r="I28" s="1178">
        <v>0.28589999999999999</v>
      </c>
      <c r="J28" s="1178">
        <v>0.28589999999999999</v>
      </c>
      <c r="K28" s="1178">
        <v>0.28800000000000003</v>
      </c>
      <c r="L28" s="1178">
        <v>0.28800000000000003</v>
      </c>
      <c r="M28" s="1178">
        <v>0.29220000000000002</v>
      </c>
      <c r="N28" s="1178">
        <v>0.29220000000000002</v>
      </c>
      <c r="O28" s="1178">
        <v>0.29220000000000002</v>
      </c>
      <c r="P28" s="1178">
        <v>0.29220000000000002</v>
      </c>
      <c r="Q28" s="1178">
        <v>0.27079999999999999</v>
      </c>
      <c r="R28" s="1158">
        <v>0.2601</v>
      </c>
    </row>
    <row r="29" spans="1:18" x14ac:dyDescent="0.2">
      <c r="B29" s="1148" t="s">
        <v>50</v>
      </c>
      <c r="C29" s="1177">
        <v>0.34</v>
      </c>
      <c r="D29" s="1178">
        <v>0.33</v>
      </c>
      <c r="E29" s="1178">
        <v>0.3</v>
      </c>
      <c r="F29" s="1178">
        <v>0.28999999999999998</v>
      </c>
      <c r="G29" s="1178">
        <v>0.28000000000000003</v>
      </c>
      <c r="H29" s="1178">
        <v>0.28000000000000003</v>
      </c>
      <c r="I29" s="1178">
        <v>0.28000000000000003</v>
      </c>
      <c r="J29" s="1178">
        <v>0.3</v>
      </c>
      <c r="K29" s="1178">
        <v>0.3</v>
      </c>
      <c r="L29" s="1178">
        <v>0.3</v>
      </c>
      <c r="M29" s="1178">
        <v>0.3</v>
      </c>
      <c r="N29" s="1178">
        <v>0.3</v>
      </c>
      <c r="O29" s="1178">
        <v>0.3</v>
      </c>
      <c r="P29" s="1178">
        <v>0.3</v>
      </c>
      <c r="Q29" s="1178">
        <v>0.3</v>
      </c>
      <c r="R29" s="1158">
        <v>0.3</v>
      </c>
    </row>
    <row r="30" spans="1:18" x14ac:dyDescent="0.2">
      <c r="B30" s="1148" t="s">
        <v>51</v>
      </c>
      <c r="C30" s="1177">
        <v>0.33</v>
      </c>
      <c r="D30" s="1178">
        <v>0.34499999999999997</v>
      </c>
      <c r="E30" s="1178">
        <v>0.315</v>
      </c>
      <c r="F30" s="1178">
        <v>0.29600000000000004</v>
      </c>
      <c r="G30" s="1178">
        <v>0.255</v>
      </c>
      <c r="H30" s="1178">
        <v>0.255</v>
      </c>
      <c r="I30" s="1178">
        <v>0.255</v>
      </c>
      <c r="J30" s="1178">
        <v>0.255</v>
      </c>
      <c r="K30" s="1178">
        <v>0.25</v>
      </c>
      <c r="L30" s="1178">
        <v>0.25</v>
      </c>
      <c r="M30" s="1178">
        <v>0.25</v>
      </c>
      <c r="N30" s="1178">
        <v>0.25</v>
      </c>
      <c r="O30" s="1178">
        <v>0.25</v>
      </c>
      <c r="P30" s="1178">
        <v>0.25</v>
      </c>
      <c r="Q30" s="1178">
        <v>0.25</v>
      </c>
      <c r="R30" s="1158">
        <v>0.25</v>
      </c>
    </row>
    <row r="31" spans="1:18" x14ac:dyDescent="0.2">
      <c r="B31" s="1148" t="s">
        <v>52</v>
      </c>
      <c r="C31" s="1177">
        <v>0.33</v>
      </c>
      <c r="D31" s="1178">
        <v>0.33</v>
      </c>
      <c r="E31" s="1178">
        <v>0.33</v>
      </c>
      <c r="F31" s="1178">
        <v>0.33</v>
      </c>
      <c r="G31" s="1178">
        <v>0.33</v>
      </c>
      <c r="H31" s="1178">
        <v>0.3</v>
      </c>
      <c r="I31" s="1178">
        <v>0.3</v>
      </c>
      <c r="J31" s="1178">
        <v>0.3</v>
      </c>
      <c r="K31" s="1178">
        <v>0.28000000000000003</v>
      </c>
      <c r="L31" s="1178">
        <v>0.28000000000000003</v>
      </c>
      <c r="M31" s="1178">
        <v>0.28000000000000003</v>
      </c>
      <c r="N31" s="1178">
        <v>0.28000000000000003</v>
      </c>
      <c r="O31" s="1178">
        <v>0.28000000000000003</v>
      </c>
      <c r="P31" s="1178">
        <v>0.28000000000000003</v>
      </c>
      <c r="Q31" s="1178">
        <v>0.28000000000000003</v>
      </c>
      <c r="R31" s="1158">
        <v>0.28000000000000003</v>
      </c>
    </row>
    <row r="32" spans="1:18" x14ac:dyDescent="0.2">
      <c r="B32" s="1148" t="s">
        <v>53</v>
      </c>
      <c r="C32" s="1177">
        <v>0.28000000000000003</v>
      </c>
      <c r="D32" s="1178">
        <v>0.28000000000000003</v>
      </c>
      <c r="E32" s="1178">
        <v>0.28000000000000003</v>
      </c>
      <c r="F32" s="1178">
        <v>0.28000000000000003</v>
      </c>
      <c r="G32" s="1178">
        <v>0.28000000000000003</v>
      </c>
      <c r="H32" s="1178">
        <v>0.28000000000000003</v>
      </c>
      <c r="I32" s="1178">
        <v>0.28000000000000003</v>
      </c>
      <c r="J32" s="1178">
        <v>0.28000000000000003</v>
      </c>
      <c r="K32" s="1178">
        <v>0.28000000000000003</v>
      </c>
      <c r="L32" s="1178">
        <v>0.28000000000000003</v>
      </c>
      <c r="M32" s="1178">
        <v>0.28000000000000003</v>
      </c>
      <c r="N32" s="1178">
        <v>0.27</v>
      </c>
      <c r="O32" s="1178">
        <v>0.27</v>
      </c>
      <c r="P32" s="1178">
        <v>0.25</v>
      </c>
      <c r="Q32" s="1178">
        <v>0.24</v>
      </c>
      <c r="R32" s="1158">
        <v>0.23</v>
      </c>
    </row>
    <row r="33" spans="2:18" x14ac:dyDescent="0.2">
      <c r="B33" s="1148" t="s">
        <v>54</v>
      </c>
      <c r="C33" s="1177">
        <v>0.27</v>
      </c>
      <c r="D33" s="1178">
        <v>0.19</v>
      </c>
      <c r="E33" s="1178">
        <v>0.19</v>
      </c>
      <c r="F33" s="1178">
        <v>0.19</v>
      </c>
      <c r="G33" s="1178">
        <v>0.19</v>
      </c>
      <c r="H33" s="1178">
        <v>0.19</v>
      </c>
      <c r="I33" s="1178">
        <v>0.19</v>
      </c>
      <c r="J33" s="1178">
        <v>0.19</v>
      </c>
      <c r="K33" s="1178">
        <v>0.19</v>
      </c>
      <c r="L33" s="1178">
        <v>0.19</v>
      </c>
      <c r="M33" s="1178">
        <v>0.19</v>
      </c>
      <c r="N33" s="1178">
        <v>0.19</v>
      </c>
      <c r="O33" s="1178">
        <v>0.19</v>
      </c>
      <c r="P33" s="1178">
        <v>0.19</v>
      </c>
      <c r="Q33" s="1178">
        <v>0.19</v>
      </c>
      <c r="R33" s="1158">
        <v>0.19</v>
      </c>
    </row>
    <row r="34" spans="2:18" x14ac:dyDescent="0.2">
      <c r="B34" s="1148" t="s">
        <v>55</v>
      </c>
      <c r="C34" s="1177">
        <v>0.25</v>
      </c>
      <c r="D34" s="1178">
        <v>0.27500000000000002</v>
      </c>
      <c r="E34" s="1178">
        <v>0.27500000000000002</v>
      </c>
      <c r="F34" s="1178">
        <v>0.27500000000000002</v>
      </c>
      <c r="G34" s="1178">
        <v>0.25</v>
      </c>
      <c r="H34" s="1178">
        <v>0.25</v>
      </c>
      <c r="I34" s="1178">
        <v>0.25</v>
      </c>
      <c r="J34" s="1178">
        <v>0.25</v>
      </c>
      <c r="K34" s="1178">
        <v>0.25</v>
      </c>
      <c r="L34" s="1178">
        <v>0.25</v>
      </c>
      <c r="M34" s="1178">
        <v>0.25</v>
      </c>
      <c r="N34" s="1178">
        <v>0.23</v>
      </c>
      <c r="O34" s="1178">
        <v>0.21</v>
      </c>
      <c r="P34" s="1178">
        <v>0.21</v>
      </c>
      <c r="Q34" s="1178">
        <v>0.21</v>
      </c>
      <c r="R34" s="1158">
        <v>0.21</v>
      </c>
    </row>
    <row r="35" spans="2:18" x14ac:dyDescent="0.2">
      <c r="B35" s="1148" t="s">
        <v>56</v>
      </c>
      <c r="C35" s="1177">
        <v>0.25</v>
      </c>
      <c r="D35" s="1178">
        <v>0.19</v>
      </c>
      <c r="E35" s="1178">
        <v>0.19</v>
      </c>
      <c r="F35" s="1178">
        <v>0.19</v>
      </c>
      <c r="G35" s="1178">
        <v>0.19</v>
      </c>
      <c r="H35" s="1178">
        <v>0.19</v>
      </c>
      <c r="I35" s="1178">
        <v>0.19</v>
      </c>
      <c r="J35" s="1178">
        <v>0.19</v>
      </c>
      <c r="K35" s="1178">
        <v>0.19</v>
      </c>
      <c r="L35" s="1178">
        <v>0.19</v>
      </c>
      <c r="M35" s="1178">
        <v>0.23</v>
      </c>
      <c r="N35" s="1178">
        <v>0.22</v>
      </c>
      <c r="O35" s="1178">
        <v>0.22</v>
      </c>
      <c r="P35" s="1178">
        <v>0.22</v>
      </c>
      <c r="Q35" s="1178">
        <v>0.21</v>
      </c>
      <c r="R35" s="1158">
        <v>0.21</v>
      </c>
    </row>
    <row r="36" spans="2:18" x14ac:dyDescent="0.2">
      <c r="B36" s="1148" t="s">
        <v>57</v>
      </c>
      <c r="C36" s="1177">
        <v>0.35</v>
      </c>
      <c r="D36" s="1178">
        <v>0.25</v>
      </c>
      <c r="E36" s="1178">
        <v>0.25</v>
      </c>
      <c r="F36" s="1178">
        <v>0.25</v>
      </c>
      <c r="G36" s="1178">
        <v>0.23</v>
      </c>
      <c r="H36" s="1178">
        <v>0.22</v>
      </c>
      <c r="I36" s="1178">
        <v>0.21</v>
      </c>
      <c r="J36" s="1178">
        <v>0.2</v>
      </c>
      <c r="K36" s="1178">
        <v>0.2</v>
      </c>
      <c r="L36" s="1178">
        <v>0.18</v>
      </c>
      <c r="M36" s="1178">
        <v>0.17</v>
      </c>
      <c r="N36" s="1178">
        <v>0.17</v>
      </c>
      <c r="O36" s="1178">
        <v>0.17</v>
      </c>
      <c r="P36" s="1178">
        <v>0.17</v>
      </c>
      <c r="Q36" s="1178">
        <v>0.19</v>
      </c>
      <c r="R36" s="1158">
        <v>0.19</v>
      </c>
    </row>
    <row r="37" spans="2:18" x14ac:dyDescent="0.2">
      <c r="B37" s="1148" t="s">
        <v>58</v>
      </c>
      <c r="C37" s="1177">
        <v>0.35</v>
      </c>
      <c r="D37" s="1178">
        <v>0.35</v>
      </c>
      <c r="E37" s="1178">
        <v>0.35</v>
      </c>
      <c r="F37" s="1178">
        <v>0.35</v>
      </c>
      <c r="G37" s="1178">
        <v>0.32500000000000001</v>
      </c>
      <c r="H37" s="1178">
        <v>0.3</v>
      </c>
      <c r="I37" s="1178">
        <v>0.3</v>
      </c>
      <c r="J37" s="1178">
        <v>0.3</v>
      </c>
      <c r="K37" s="1178">
        <v>0.3</v>
      </c>
      <c r="L37" s="1178">
        <v>0.3</v>
      </c>
      <c r="M37" s="1178">
        <v>0.3</v>
      </c>
      <c r="N37" s="1178">
        <v>0.3</v>
      </c>
      <c r="O37" s="1178">
        <v>0.28000000000000003</v>
      </c>
      <c r="P37" s="1178">
        <v>0.25</v>
      </c>
      <c r="Q37" s="1178">
        <v>0.25</v>
      </c>
      <c r="R37" s="1158">
        <v>0.25</v>
      </c>
    </row>
    <row r="38" spans="2:18" x14ac:dyDescent="0.2">
      <c r="B38" s="1074" t="s">
        <v>59</v>
      </c>
      <c r="C38" s="1177">
        <v>0.28000000000000003</v>
      </c>
      <c r="D38" s="1178">
        <v>0.28000000000000003</v>
      </c>
      <c r="E38" s="1178">
        <v>0.28000000000000003</v>
      </c>
      <c r="F38" s="1178">
        <v>0.28000000000000003</v>
      </c>
      <c r="G38" s="1178">
        <v>0.28000000000000003</v>
      </c>
      <c r="H38" s="1178">
        <v>0.28000000000000003</v>
      </c>
      <c r="I38" s="1178">
        <v>0.26300000000000001</v>
      </c>
      <c r="J38" s="1178">
        <v>0.26300000000000001</v>
      </c>
      <c r="K38" s="1178">
        <v>0.26300000000000001</v>
      </c>
      <c r="L38" s="1178">
        <v>0.26300000000000001</v>
      </c>
      <c r="M38" s="1178">
        <v>0.22</v>
      </c>
      <c r="N38" s="1178">
        <v>0.22</v>
      </c>
      <c r="O38" s="1178">
        <v>0.22</v>
      </c>
      <c r="P38" s="1178">
        <v>0.22</v>
      </c>
      <c r="Q38" s="1178">
        <v>0.22</v>
      </c>
      <c r="R38" s="1158">
        <v>0.22</v>
      </c>
    </row>
    <row r="39" spans="2:18" x14ac:dyDescent="0.2">
      <c r="B39" s="1148" t="s">
        <v>60</v>
      </c>
      <c r="C39" s="1177">
        <v>0.25</v>
      </c>
      <c r="D39" s="1178">
        <v>0.24100000000000002</v>
      </c>
      <c r="E39" s="1178">
        <v>0.21989999999999998</v>
      </c>
      <c r="F39" s="1178">
        <v>0.21299999999999999</v>
      </c>
      <c r="G39" s="1178">
        <v>0.20629999999999998</v>
      </c>
      <c r="H39" s="1178">
        <v>0.192</v>
      </c>
      <c r="I39" s="1178">
        <v>0.18960000000000002</v>
      </c>
      <c r="J39" s="1178">
        <v>0.1875</v>
      </c>
      <c r="K39" s="1178">
        <v>0.18309999999999998</v>
      </c>
      <c r="L39" s="1178">
        <v>0.18059999999999998</v>
      </c>
      <c r="M39" s="1178">
        <v>0.18010000000000001</v>
      </c>
      <c r="N39" s="1178">
        <v>0.17920000000000003</v>
      </c>
      <c r="O39" s="1178">
        <v>0.17920000000000003</v>
      </c>
      <c r="P39" s="1178">
        <v>0.17920000000000003</v>
      </c>
      <c r="Q39" s="1178">
        <v>0.1777</v>
      </c>
      <c r="R39" s="1158">
        <v>0.18</v>
      </c>
    </row>
    <row r="40" spans="2:18" x14ac:dyDescent="0.2">
      <c r="B40" s="1148" t="s">
        <v>61</v>
      </c>
      <c r="C40" s="1177">
        <v>0.3</v>
      </c>
      <c r="D40" s="1178">
        <v>0.33</v>
      </c>
      <c r="E40" s="1178">
        <v>0.3</v>
      </c>
      <c r="F40" s="1178">
        <v>0.2</v>
      </c>
      <c r="G40" s="1178">
        <v>0.2</v>
      </c>
      <c r="H40" s="1178">
        <v>0.2</v>
      </c>
      <c r="I40" s="1178">
        <v>0.2</v>
      </c>
      <c r="J40" s="1178">
        <v>0.2</v>
      </c>
      <c r="K40" s="1178">
        <v>0.2</v>
      </c>
      <c r="L40" s="1178">
        <v>0.2</v>
      </c>
      <c r="M40" s="1178">
        <v>0.2</v>
      </c>
      <c r="N40" s="1178">
        <v>0.2</v>
      </c>
      <c r="O40" s="1178">
        <v>0.2</v>
      </c>
      <c r="P40" s="1178">
        <v>0.2</v>
      </c>
      <c r="Q40" s="1178">
        <v>0.2</v>
      </c>
      <c r="R40" s="1158">
        <v>0.22</v>
      </c>
    </row>
    <row r="41" spans="2:18" x14ac:dyDescent="0.2">
      <c r="B41" s="1148" t="s">
        <v>62</v>
      </c>
      <c r="C41" s="1177">
        <v>0.3</v>
      </c>
      <c r="D41" s="1178">
        <v>0.3</v>
      </c>
      <c r="E41" s="1178">
        <v>0.3</v>
      </c>
      <c r="F41" s="1178">
        <v>0.3</v>
      </c>
      <c r="G41" s="1178">
        <v>0.3</v>
      </c>
      <c r="H41" s="1178">
        <v>0.3</v>
      </c>
      <c r="I41" s="1178">
        <v>0.28000000000000003</v>
      </c>
      <c r="J41" s="1178">
        <v>0.28000000000000003</v>
      </c>
      <c r="K41" s="1178">
        <v>0.26</v>
      </c>
      <c r="L41" s="1178">
        <v>0.24</v>
      </c>
      <c r="M41" s="1178">
        <v>0.23</v>
      </c>
      <c r="N41" s="1178">
        <v>0.21</v>
      </c>
      <c r="O41" s="1178">
        <v>0.2</v>
      </c>
      <c r="P41" s="1178">
        <v>0.2</v>
      </c>
      <c r="Q41" s="1178">
        <v>0.19</v>
      </c>
      <c r="R41" s="1158">
        <v>0.19</v>
      </c>
    </row>
    <row r="42" spans="2:18" x14ac:dyDescent="0.2">
      <c r="B42" s="1148" t="s">
        <v>63</v>
      </c>
      <c r="C42" s="1707">
        <v>0.39322499999999999</v>
      </c>
      <c r="D42" s="1212">
        <v>0.39316000000000001</v>
      </c>
      <c r="E42" s="1212">
        <v>0.39289999999999997</v>
      </c>
      <c r="F42" s="1212">
        <v>0.39302999999999999</v>
      </c>
      <c r="G42" s="1212">
        <v>0.39270499999999997</v>
      </c>
      <c r="H42" s="1212">
        <v>0.39250999999999997</v>
      </c>
      <c r="I42" s="1212">
        <v>0.39159999999999995</v>
      </c>
      <c r="J42" s="1212">
        <v>0.39205499999999999</v>
      </c>
      <c r="K42" s="1212">
        <v>0.39192500000000002</v>
      </c>
      <c r="L42" s="1212">
        <v>0.39134000000000002</v>
      </c>
      <c r="M42" s="1212">
        <v>0.39049500000000004</v>
      </c>
      <c r="N42" s="1212">
        <v>0.39075499999999996</v>
      </c>
      <c r="O42" s="1212">
        <v>0.38997500000000002</v>
      </c>
      <c r="P42" s="1212">
        <v>0.38923934000000004</v>
      </c>
      <c r="Q42" s="1212">
        <v>0.38923934000000004</v>
      </c>
      <c r="R42" s="1158">
        <v>0.23923934000000002</v>
      </c>
    </row>
    <row r="43" spans="2:18" ht="17" x14ac:dyDescent="0.2">
      <c r="B43" s="7" t="s">
        <v>64</v>
      </c>
      <c r="C43" s="1177"/>
      <c r="D43" s="1178"/>
      <c r="E43" s="1178"/>
      <c r="F43" s="1178"/>
      <c r="G43" s="1178"/>
      <c r="H43" s="1178"/>
      <c r="I43" s="1178"/>
      <c r="J43" s="1178"/>
      <c r="K43" s="1178"/>
      <c r="L43" s="1178"/>
      <c r="M43" s="1178"/>
      <c r="N43" s="1178"/>
      <c r="O43" s="1178"/>
      <c r="P43" s="1178"/>
      <c r="Q43" s="1178"/>
      <c r="R43" s="1158"/>
    </row>
    <row r="44" spans="2:18" x14ac:dyDescent="0.2">
      <c r="B44" s="1149" t="s">
        <v>65</v>
      </c>
      <c r="C44" s="1177">
        <v>0.34</v>
      </c>
      <c r="D44" s="1178">
        <v>0.34</v>
      </c>
      <c r="E44" s="1178">
        <v>0.34</v>
      </c>
      <c r="F44" s="1178">
        <v>0.34</v>
      </c>
      <c r="G44" s="1178">
        <v>0.34</v>
      </c>
      <c r="H44" s="1178">
        <v>0.34</v>
      </c>
      <c r="I44" s="1178">
        <v>0.34</v>
      </c>
      <c r="J44" s="1178">
        <v>0.34</v>
      </c>
      <c r="K44" s="1178">
        <v>0.34</v>
      </c>
      <c r="L44" s="1178">
        <v>0.34</v>
      </c>
      <c r="M44" s="1178">
        <v>0.34</v>
      </c>
      <c r="N44" s="1178">
        <v>0.34</v>
      </c>
      <c r="O44" s="1178">
        <v>0.34</v>
      </c>
      <c r="P44" s="1178">
        <v>0.34</v>
      </c>
      <c r="Q44" s="1178">
        <v>0.34</v>
      </c>
      <c r="R44" s="1158">
        <v>0.34</v>
      </c>
    </row>
    <row r="45" spans="2:18" x14ac:dyDescent="0.2">
      <c r="B45" s="1148" t="s">
        <v>66</v>
      </c>
      <c r="C45" s="1177">
        <v>0.33</v>
      </c>
      <c r="D45" s="1178">
        <v>0.33</v>
      </c>
      <c r="E45" s="1178">
        <v>0.33</v>
      </c>
      <c r="F45" s="1178">
        <v>0.33</v>
      </c>
      <c r="G45" s="1178">
        <v>0.33</v>
      </c>
      <c r="H45" s="1178">
        <v>0.25</v>
      </c>
      <c r="I45" s="1178">
        <v>0.25</v>
      </c>
      <c r="J45" s="1178">
        <v>0.25</v>
      </c>
      <c r="K45" s="1178">
        <v>0.25</v>
      </c>
      <c r="L45" s="1178">
        <v>0.25</v>
      </c>
      <c r="M45" s="1178">
        <v>0.25</v>
      </c>
      <c r="N45" s="1178">
        <v>0.25</v>
      </c>
      <c r="O45" s="1178">
        <v>0.25</v>
      </c>
      <c r="P45" s="1178">
        <v>0.25</v>
      </c>
      <c r="Q45" s="1178">
        <v>0.25</v>
      </c>
      <c r="R45" s="1158">
        <v>0.25</v>
      </c>
    </row>
    <row r="46" spans="2:18" x14ac:dyDescent="0.2">
      <c r="B46" s="1148" t="s">
        <v>67</v>
      </c>
      <c r="C46" s="1177">
        <v>0.35</v>
      </c>
      <c r="D46" s="1178">
        <v>0.35</v>
      </c>
      <c r="E46" s="1178">
        <v>0.35</v>
      </c>
      <c r="F46" s="1178">
        <v>0.35</v>
      </c>
      <c r="G46" s="1178">
        <v>0.34</v>
      </c>
      <c r="H46" s="1178">
        <v>0.33</v>
      </c>
      <c r="I46" s="1178">
        <v>0.33</v>
      </c>
      <c r="J46" s="1178">
        <v>0.33</v>
      </c>
      <c r="K46" s="1178">
        <v>0.33</v>
      </c>
      <c r="L46" s="1178">
        <v>0.33</v>
      </c>
      <c r="M46" s="1178">
        <v>0.25</v>
      </c>
      <c r="N46" s="1178">
        <v>0.25</v>
      </c>
      <c r="O46" s="1178">
        <v>0.25</v>
      </c>
      <c r="P46" s="1178">
        <v>0.25</v>
      </c>
      <c r="Q46" s="1178">
        <v>0.34</v>
      </c>
      <c r="R46" s="1158">
        <v>0.33</v>
      </c>
    </row>
    <row r="47" spans="2:18" x14ac:dyDescent="0.2">
      <c r="B47" s="1148" t="s">
        <v>68</v>
      </c>
      <c r="C47" s="1177">
        <v>0.36</v>
      </c>
      <c r="D47" s="1178">
        <v>0.3</v>
      </c>
      <c r="E47" s="1178">
        <v>0.3</v>
      </c>
      <c r="F47" s="1178">
        <v>0.3</v>
      </c>
      <c r="G47" s="1178">
        <v>0.3</v>
      </c>
      <c r="H47" s="1178">
        <v>0.3</v>
      </c>
      <c r="I47" s="1178">
        <v>0.3</v>
      </c>
      <c r="J47" s="1178">
        <v>0.3</v>
      </c>
      <c r="K47" s="1178">
        <v>0.3</v>
      </c>
      <c r="L47" s="1178">
        <v>0.3</v>
      </c>
      <c r="M47" s="1178">
        <v>0.3</v>
      </c>
      <c r="N47" s="1178">
        <v>0.3</v>
      </c>
      <c r="O47" s="1178">
        <v>0.3</v>
      </c>
      <c r="P47" s="1178">
        <v>0.3</v>
      </c>
      <c r="Q47" s="1178">
        <v>0.3</v>
      </c>
      <c r="R47" s="1158">
        <v>0.3</v>
      </c>
    </row>
    <row r="48" spans="2:18" x14ac:dyDescent="0.2">
      <c r="B48" s="1148" t="s">
        <v>69</v>
      </c>
      <c r="C48" s="1177">
        <v>0.36749999999999999</v>
      </c>
      <c r="D48" s="1178">
        <v>0.35880000000000001</v>
      </c>
      <c r="E48" s="1178">
        <v>0.36590000000000006</v>
      </c>
      <c r="F48" s="1178">
        <v>0.33659999999999995</v>
      </c>
      <c r="G48" s="1178">
        <v>0.33990000000000004</v>
      </c>
      <c r="H48" s="1178">
        <v>0.33990000000000004</v>
      </c>
      <c r="I48" s="1178">
        <v>0.33990000000000004</v>
      </c>
      <c r="J48" s="1178">
        <v>0.33990000000000004</v>
      </c>
      <c r="K48" s="1178">
        <v>0.32439999999999997</v>
      </c>
      <c r="L48" s="1178">
        <v>0.32450000000000001</v>
      </c>
      <c r="M48" s="1178">
        <v>0.33990000000000004</v>
      </c>
      <c r="N48" s="1178">
        <v>0.33990000000000004</v>
      </c>
      <c r="O48" s="1178">
        <v>0.34610000000000002</v>
      </c>
      <c r="P48" s="1178">
        <v>0.34610000000000002</v>
      </c>
      <c r="Q48" s="1178">
        <v>0.34610000000000002</v>
      </c>
      <c r="R48" s="1158">
        <v>0.35</v>
      </c>
    </row>
    <row r="49" spans="2:18" x14ac:dyDescent="0.2">
      <c r="B49" s="1148" t="s">
        <v>70</v>
      </c>
      <c r="C49" s="1177">
        <v>0.24</v>
      </c>
      <c r="D49" s="1178">
        <v>0.24</v>
      </c>
      <c r="E49" s="1178">
        <v>0.24</v>
      </c>
      <c r="F49" s="1178">
        <v>0.24</v>
      </c>
      <c r="G49" s="1178">
        <v>0.24</v>
      </c>
      <c r="H49" s="1178">
        <v>0.24</v>
      </c>
      <c r="I49" s="1178">
        <v>0.2</v>
      </c>
      <c r="J49" s="1178">
        <v>0.2</v>
      </c>
      <c r="K49" s="1178">
        <v>0.2</v>
      </c>
      <c r="L49" s="1178">
        <v>0.2</v>
      </c>
      <c r="M49" s="1178">
        <v>0.2</v>
      </c>
      <c r="N49" s="1178">
        <v>0.2</v>
      </c>
      <c r="O49" s="1178">
        <v>0.2</v>
      </c>
      <c r="P49" s="1178">
        <v>0.2</v>
      </c>
      <c r="Q49" s="1178">
        <v>0.2</v>
      </c>
      <c r="R49" s="1158">
        <v>0.2</v>
      </c>
    </row>
    <row r="50" spans="2:18" x14ac:dyDescent="0.2">
      <c r="B50" s="1148" t="s">
        <v>71</v>
      </c>
      <c r="C50" s="1177">
        <v>0.37780000000000002</v>
      </c>
      <c r="D50" s="1178">
        <v>0.37780000000000002</v>
      </c>
      <c r="E50" s="1178">
        <v>0.37780000000000002</v>
      </c>
      <c r="F50" s="1178">
        <v>0.36890000000000001</v>
      </c>
      <c r="G50" s="1178">
        <v>0.36890000000000001</v>
      </c>
      <c r="H50" s="1178">
        <v>0.34549999999999997</v>
      </c>
      <c r="I50" s="1178">
        <v>0.34549999999999997</v>
      </c>
      <c r="J50" s="1178">
        <v>0.34549999999999997</v>
      </c>
      <c r="K50" s="1178">
        <v>0.34549999999999997</v>
      </c>
      <c r="L50" s="1178">
        <v>0.34549999999999997</v>
      </c>
      <c r="M50" s="1178">
        <v>0.28000000000000003</v>
      </c>
      <c r="N50" s="1178">
        <v>0.28000000000000003</v>
      </c>
      <c r="O50" s="1178">
        <v>0.28000000000000003</v>
      </c>
      <c r="P50" s="1178">
        <v>0.28000000000000003</v>
      </c>
      <c r="Q50" s="1178">
        <v>0.28000000000000003</v>
      </c>
      <c r="R50" s="1158">
        <v>0.28000000000000003</v>
      </c>
    </row>
    <row r="51" spans="2:18" ht="17" x14ac:dyDescent="0.2">
      <c r="B51" s="7" t="s">
        <v>72</v>
      </c>
      <c r="C51" s="1177"/>
      <c r="D51" s="1178"/>
      <c r="E51" s="1178"/>
      <c r="F51" s="1178"/>
      <c r="G51" s="1178"/>
      <c r="H51" s="1178"/>
      <c r="I51" s="1178"/>
      <c r="J51" s="1178"/>
      <c r="K51" s="1178"/>
      <c r="L51" s="1178"/>
      <c r="M51" s="1178"/>
      <c r="N51" s="1178"/>
      <c r="O51" s="1178"/>
      <c r="P51" s="1178"/>
      <c r="Q51" s="1178"/>
      <c r="R51" s="1158"/>
    </row>
    <row r="52" spans="2:18" x14ac:dyDescent="0.2">
      <c r="B52" s="1148" t="s">
        <v>73</v>
      </c>
      <c r="C52" s="1177">
        <v>0</v>
      </c>
      <c r="D52" s="1178">
        <v>0</v>
      </c>
      <c r="E52" s="1178">
        <v>0</v>
      </c>
      <c r="F52" s="1178">
        <v>0</v>
      </c>
      <c r="G52" s="1178">
        <v>0</v>
      </c>
      <c r="H52" s="1178">
        <v>0</v>
      </c>
      <c r="I52" s="1178">
        <v>0</v>
      </c>
      <c r="J52" s="1178">
        <v>0</v>
      </c>
      <c r="K52" s="1178">
        <v>0</v>
      </c>
      <c r="L52" s="1178">
        <v>0</v>
      </c>
      <c r="M52" s="1178">
        <v>0</v>
      </c>
      <c r="N52" s="1178">
        <v>0</v>
      </c>
      <c r="O52" s="1178">
        <v>0</v>
      </c>
      <c r="P52" s="1178">
        <v>0</v>
      </c>
      <c r="Q52" s="1178">
        <v>0.1</v>
      </c>
      <c r="R52" s="1158">
        <v>0.1</v>
      </c>
    </row>
    <row r="53" spans="2:18" x14ac:dyDescent="0.2">
      <c r="B53" s="1148" t="s">
        <v>74</v>
      </c>
      <c r="C53" s="1177">
        <v>0</v>
      </c>
      <c r="D53" s="1178">
        <v>0</v>
      </c>
      <c r="E53" s="1178">
        <v>0</v>
      </c>
      <c r="F53" s="1178">
        <v>0</v>
      </c>
      <c r="G53" s="1178">
        <v>0</v>
      </c>
      <c r="H53" s="1178">
        <v>0</v>
      </c>
      <c r="I53" s="1178">
        <v>0</v>
      </c>
      <c r="J53" s="1178">
        <v>0</v>
      </c>
      <c r="K53" s="1178">
        <v>0</v>
      </c>
      <c r="L53" s="1178">
        <v>0</v>
      </c>
      <c r="M53" s="1178">
        <v>0</v>
      </c>
      <c r="N53" s="1178">
        <v>0</v>
      </c>
      <c r="O53" s="1178">
        <v>0</v>
      </c>
      <c r="P53" s="1178">
        <v>0</v>
      </c>
      <c r="Q53" s="1178">
        <v>0</v>
      </c>
      <c r="R53" s="1158">
        <v>0</v>
      </c>
    </row>
    <row r="54" spans="2:18" x14ac:dyDescent="0.2">
      <c r="B54" s="1148" t="s">
        <v>75</v>
      </c>
      <c r="C54" s="1177">
        <v>0</v>
      </c>
      <c r="D54" s="1178">
        <v>0</v>
      </c>
      <c r="E54" s="1178">
        <v>0</v>
      </c>
      <c r="F54" s="1178">
        <v>0</v>
      </c>
      <c r="G54" s="1178">
        <v>0</v>
      </c>
      <c r="H54" s="1178">
        <v>0</v>
      </c>
      <c r="I54" s="1178">
        <v>0</v>
      </c>
      <c r="J54" s="1178">
        <v>0</v>
      </c>
      <c r="K54" s="1178">
        <v>0</v>
      </c>
      <c r="L54" s="1178">
        <v>0</v>
      </c>
      <c r="M54" s="1178">
        <v>0</v>
      </c>
      <c r="N54" s="1178">
        <v>0</v>
      </c>
      <c r="O54" s="1178">
        <v>0</v>
      </c>
      <c r="P54" s="1178">
        <v>0</v>
      </c>
      <c r="Q54" s="1178">
        <v>0.25</v>
      </c>
      <c r="R54" s="1158">
        <v>0.25</v>
      </c>
    </row>
    <row r="55" spans="2:18" x14ac:dyDescent="0.2">
      <c r="B55" s="1148" t="s">
        <v>76</v>
      </c>
      <c r="C55" s="1177">
        <v>0</v>
      </c>
      <c r="D55" s="1178">
        <v>0</v>
      </c>
      <c r="E55" s="1178">
        <v>0.35</v>
      </c>
      <c r="F55" s="1178">
        <v>0.35</v>
      </c>
      <c r="G55" s="1178">
        <v>0.28000000000000003</v>
      </c>
      <c r="H55" s="1178">
        <v>0.28000000000000003</v>
      </c>
      <c r="I55" s="1178">
        <v>0.28000000000000003</v>
      </c>
      <c r="J55" s="1178">
        <v>0.28000000000000003</v>
      </c>
      <c r="K55" s="1178">
        <v>0.28000000000000003</v>
      </c>
      <c r="L55" s="1178">
        <v>0.28000000000000003</v>
      </c>
      <c r="M55" s="1178">
        <v>0.28000000000000003</v>
      </c>
      <c r="N55" s="1178">
        <v>0.28000000000000003</v>
      </c>
      <c r="O55" s="1178">
        <v>0.25</v>
      </c>
      <c r="P55" s="1178">
        <v>0.25</v>
      </c>
      <c r="Q55" s="1178">
        <v>0.25</v>
      </c>
      <c r="R55" s="1158">
        <v>0.25</v>
      </c>
    </row>
    <row r="56" spans="2:18" x14ac:dyDescent="0.2">
      <c r="B56" s="1148" t="s">
        <v>152</v>
      </c>
      <c r="C56" s="1177">
        <v>0</v>
      </c>
      <c r="D56" s="1178">
        <v>0</v>
      </c>
      <c r="E56" s="1178">
        <v>0</v>
      </c>
      <c r="F56" s="1178">
        <v>0</v>
      </c>
      <c r="G56" s="1178">
        <v>0</v>
      </c>
      <c r="H56" s="1178">
        <v>0</v>
      </c>
      <c r="I56" s="1178">
        <v>0</v>
      </c>
      <c r="J56" s="1178">
        <v>0</v>
      </c>
      <c r="K56" s="1178">
        <v>0</v>
      </c>
      <c r="L56" s="1178">
        <v>0</v>
      </c>
      <c r="M56" s="1178">
        <v>0</v>
      </c>
      <c r="N56" s="1178">
        <v>0</v>
      </c>
      <c r="O56" s="1178">
        <v>0</v>
      </c>
      <c r="P56" s="1178">
        <v>0</v>
      </c>
      <c r="Q56" s="1178">
        <v>0</v>
      </c>
      <c r="R56" s="1158">
        <v>0</v>
      </c>
    </row>
    <row r="57" spans="2:18" x14ac:dyDescent="0.2">
      <c r="B57" s="1148" t="s">
        <v>78</v>
      </c>
      <c r="C57" s="1177">
        <v>0</v>
      </c>
      <c r="D57" s="1178">
        <v>0</v>
      </c>
      <c r="E57" s="1178">
        <v>0</v>
      </c>
      <c r="F57" s="1178">
        <v>0</v>
      </c>
      <c r="G57" s="1178">
        <v>0</v>
      </c>
      <c r="H57" s="1178">
        <v>0</v>
      </c>
      <c r="I57" s="1178">
        <v>0</v>
      </c>
      <c r="J57" s="1178">
        <v>0</v>
      </c>
      <c r="K57" s="1178">
        <v>0</v>
      </c>
      <c r="L57" s="1178">
        <v>0</v>
      </c>
      <c r="M57" s="1178">
        <v>0</v>
      </c>
      <c r="N57" s="1178">
        <v>0</v>
      </c>
      <c r="O57" s="1178">
        <v>0</v>
      </c>
      <c r="P57" s="1178">
        <v>0</v>
      </c>
      <c r="Q57" s="1178">
        <v>0</v>
      </c>
      <c r="R57" s="1158">
        <v>0</v>
      </c>
    </row>
    <row r="58" spans="2:18" x14ac:dyDescent="0.2">
      <c r="B58" s="1148" t="s">
        <v>79</v>
      </c>
      <c r="C58" s="1177">
        <v>0.36</v>
      </c>
      <c r="D58" s="1178">
        <v>0.33</v>
      </c>
      <c r="E58" s="1178">
        <v>0.3</v>
      </c>
      <c r="F58" s="1178">
        <v>0.25</v>
      </c>
      <c r="G58" s="1178">
        <v>0.25</v>
      </c>
      <c r="H58" s="1178">
        <v>0.25</v>
      </c>
      <c r="I58" s="1178">
        <v>0.25</v>
      </c>
      <c r="J58" s="1178">
        <v>0.25</v>
      </c>
      <c r="K58" s="1178">
        <v>0.25</v>
      </c>
      <c r="L58" s="1178">
        <v>0.25</v>
      </c>
      <c r="M58" s="1178">
        <v>0.25</v>
      </c>
      <c r="N58" s="1178">
        <v>0.25</v>
      </c>
      <c r="O58" s="1178">
        <v>0.25</v>
      </c>
      <c r="P58" s="1178">
        <v>0.25</v>
      </c>
      <c r="Q58" s="1178">
        <v>0.25</v>
      </c>
      <c r="R58" s="1158">
        <v>0.25</v>
      </c>
    </row>
    <row r="59" spans="2:18" x14ac:dyDescent="0.2">
      <c r="B59" s="1148" t="s">
        <v>80</v>
      </c>
      <c r="C59" s="1177">
        <v>0</v>
      </c>
      <c r="D59" s="1178">
        <v>0</v>
      </c>
      <c r="E59" s="1178">
        <v>0</v>
      </c>
      <c r="F59" s="1178">
        <v>0</v>
      </c>
      <c r="G59" s="1178">
        <v>0</v>
      </c>
      <c r="H59" s="1178">
        <v>0</v>
      </c>
      <c r="I59" s="1178">
        <v>0</v>
      </c>
      <c r="J59" s="1178">
        <v>0</v>
      </c>
      <c r="K59" s="1178">
        <v>0</v>
      </c>
      <c r="L59" s="1178">
        <v>0</v>
      </c>
      <c r="M59" s="1178">
        <v>0</v>
      </c>
      <c r="N59" s="1178">
        <v>0</v>
      </c>
      <c r="O59" s="1178">
        <v>0</v>
      </c>
      <c r="P59" s="1178">
        <v>0</v>
      </c>
      <c r="Q59" s="1178">
        <v>0</v>
      </c>
      <c r="R59" s="1158">
        <v>0</v>
      </c>
    </row>
    <row r="60" spans="2:18" x14ac:dyDescent="0.2">
      <c r="B60" s="1148" t="s">
        <v>81</v>
      </c>
      <c r="C60" s="1177">
        <v>0</v>
      </c>
      <c r="D60" s="1178">
        <v>0</v>
      </c>
      <c r="E60" s="1178">
        <v>0</v>
      </c>
      <c r="F60" s="1178">
        <v>0</v>
      </c>
      <c r="G60" s="1178">
        <v>0</v>
      </c>
      <c r="H60" s="1178">
        <v>0</v>
      </c>
      <c r="I60" s="1178">
        <v>0</v>
      </c>
      <c r="J60" s="1178">
        <v>0</v>
      </c>
      <c r="K60" s="1178">
        <v>0</v>
      </c>
      <c r="L60" s="1178">
        <v>0</v>
      </c>
      <c r="M60" s="1178">
        <v>0</v>
      </c>
      <c r="N60" s="1178">
        <v>0</v>
      </c>
      <c r="O60" s="1178">
        <v>0</v>
      </c>
      <c r="P60" s="1178">
        <v>0</v>
      </c>
      <c r="Q60" s="1178">
        <v>0</v>
      </c>
      <c r="R60" s="1158">
        <v>0</v>
      </c>
    </row>
    <row r="61" spans="2:18" x14ac:dyDescent="0.2">
      <c r="B61" s="1148" t="s">
        <v>82</v>
      </c>
      <c r="C61" s="1177">
        <v>0</v>
      </c>
      <c r="D61" s="1178">
        <v>0</v>
      </c>
      <c r="E61" s="1178">
        <v>0</v>
      </c>
      <c r="F61" s="1178">
        <v>0</v>
      </c>
      <c r="G61" s="1178">
        <v>0</v>
      </c>
      <c r="H61" s="1178">
        <v>0</v>
      </c>
      <c r="I61" s="1178">
        <v>0</v>
      </c>
      <c r="J61" s="1178">
        <v>0</v>
      </c>
      <c r="K61" s="1178">
        <v>0</v>
      </c>
      <c r="L61" s="1178">
        <v>0</v>
      </c>
      <c r="M61" s="1178">
        <v>0</v>
      </c>
      <c r="N61" s="1178">
        <v>0</v>
      </c>
      <c r="O61" s="1178">
        <v>0</v>
      </c>
      <c r="P61" s="1178">
        <v>0</v>
      </c>
      <c r="Q61" s="1178">
        <v>0</v>
      </c>
      <c r="R61" s="1158">
        <v>0</v>
      </c>
    </row>
    <row r="62" spans="2:18" x14ac:dyDescent="0.2">
      <c r="B62" s="1148" t="s">
        <v>153</v>
      </c>
      <c r="C62" s="1177">
        <v>0</v>
      </c>
      <c r="D62" s="1178">
        <v>0</v>
      </c>
      <c r="E62" s="1178">
        <v>0</v>
      </c>
      <c r="F62" s="1178">
        <v>0</v>
      </c>
      <c r="G62" s="1178">
        <v>0</v>
      </c>
      <c r="H62" s="1178">
        <v>0</v>
      </c>
      <c r="I62" s="1178">
        <v>0</v>
      </c>
      <c r="J62" s="1178">
        <v>0</v>
      </c>
      <c r="K62" s="1178">
        <v>0</v>
      </c>
      <c r="L62" s="1178">
        <v>0</v>
      </c>
      <c r="M62" s="1178">
        <v>0</v>
      </c>
      <c r="N62" s="1178">
        <v>0</v>
      </c>
      <c r="O62" s="1178">
        <v>0</v>
      </c>
      <c r="P62" s="1178">
        <v>0</v>
      </c>
      <c r="Q62" s="1178">
        <v>0</v>
      </c>
      <c r="R62" s="1158">
        <v>0</v>
      </c>
    </row>
    <row r="63" spans="2:18" x14ac:dyDescent="0.2">
      <c r="B63" s="113" t="s">
        <v>84</v>
      </c>
      <c r="C63" s="1177">
        <v>0</v>
      </c>
      <c r="D63" s="1178">
        <v>0</v>
      </c>
      <c r="E63" s="1178">
        <v>0</v>
      </c>
      <c r="F63" s="1178">
        <v>0</v>
      </c>
      <c r="G63" s="1178">
        <v>0</v>
      </c>
      <c r="H63" s="1178">
        <v>0</v>
      </c>
      <c r="I63" s="1178">
        <v>0</v>
      </c>
      <c r="J63" s="1178">
        <v>0</v>
      </c>
      <c r="K63" s="1178">
        <v>0</v>
      </c>
      <c r="L63" s="1178">
        <v>0</v>
      </c>
      <c r="M63" s="1178">
        <v>0</v>
      </c>
      <c r="N63" s="1178">
        <v>0</v>
      </c>
      <c r="O63" s="1178">
        <v>0</v>
      </c>
      <c r="P63" s="1178">
        <v>0</v>
      </c>
      <c r="Q63" s="1178">
        <v>0</v>
      </c>
      <c r="R63" s="1158">
        <v>0</v>
      </c>
    </row>
    <row r="64" spans="2:18" x14ac:dyDescent="0.2">
      <c r="B64" s="1148" t="s">
        <v>85</v>
      </c>
      <c r="C64" s="1177">
        <v>0</v>
      </c>
      <c r="D64" s="1178">
        <v>0</v>
      </c>
      <c r="E64" s="1178">
        <v>0</v>
      </c>
      <c r="F64" s="1178">
        <v>0</v>
      </c>
      <c r="G64" s="1178">
        <v>0</v>
      </c>
      <c r="H64" s="1178">
        <v>0</v>
      </c>
      <c r="I64" s="1178">
        <v>0</v>
      </c>
      <c r="J64" s="1178">
        <v>0</v>
      </c>
      <c r="K64" s="1178">
        <v>0.34499999999999997</v>
      </c>
      <c r="L64" s="1178">
        <v>0.27500000000000002</v>
      </c>
      <c r="M64" s="1178">
        <v>0.27500000000000002</v>
      </c>
      <c r="N64" s="1178">
        <v>0.27500000000000002</v>
      </c>
      <c r="O64" s="1178">
        <v>0.22</v>
      </c>
      <c r="P64" s="1178">
        <v>0.22</v>
      </c>
      <c r="Q64" s="1178">
        <v>0.22</v>
      </c>
      <c r="R64" s="1158">
        <v>0.22</v>
      </c>
    </row>
    <row r="65" spans="1:18" x14ac:dyDescent="0.2">
      <c r="B65" s="1148" t="s">
        <v>86</v>
      </c>
      <c r="C65" s="1177">
        <v>0.15</v>
      </c>
      <c r="D65" s="1178">
        <v>0.15</v>
      </c>
      <c r="E65" s="1178">
        <v>0.1</v>
      </c>
      <c r="F65" s="1178">
        <v>0.1</v>
      </c>
      <c r="G65" s="1178">
        <v>0.1</v>
      </c>
      <c r="H65" s="1178">
        <v>0.1</v>
      </c>
      <c r="I65" s="1178">
        <v>0.1</v>
      </c>
      <c r="J65" s="1178">
        <v>0.1</v>
      </c>
      <c r="K65" s="1178">
        <v>0.1</v>
      </c>
      <c r="L65" s="1178">
        <v>0.1</v>
      </c>
      <c r="M65" s="1178">
        <v>0.125</v>
      </c>
      <c r="N65" s="1178">
        <v>0.125</v>
      </c>
      <c r="O65" s="1178">
        <v>0.125</v>
      </c>
      <c r="P65" s="1178">
        <v>0.125</v>
      </c>
      <c r="Q65" s="1178">
        <v>0.125</v>
      </c>
      <c r="R65" s="1158">
        <v>0.125</v>
      </c>
    </row>
    <row r="66" spans="1:18" x14ac:dyDescent="0.2">
      <c r="B66" s="1148" t="s">
        <v>87</v>
      </c>
      <c r="C66" s="1177">
        <v>0</v>
      </c>
      <c r="D66" s="1178">
        <v>0</v>
      </c>
      <c r="E66" s="1178">
        <v>0</v>
      </c>
      <c r="F66" s="1178">
        <v>0</v>
      </c>
      <c r="G66" s="1178">
        <v>0</v>
      </c>
      <c r="H66" s="1178">
        <v>0</v>
      </c>
      <c r="I66" s="1178">
        <v>0</v>
      </c>
      <c r="J66" s="1178">
        <v>0</v>
      </c>
      <c r="K66" s="1178">
        <v>0</v>
      </c>
      <c r="L66" s="1178">
        <v>0</v>
      </c>
      <c r="M66" s="1178">
        <v>0</v>
      </c>
      <c r="N66" s="1178">
        <v>0</v>
      </c>
      <c r="O66" s="1178">
        <v>0.2</v>
      </c>
      <c r="P66" s="1178">
        <v>0.2</v>
      </c>
      <c r="Q66" s="1178">
        <v>0.2</v>
      </c>
      <c r="R66" s="1158">
        <v>0.2</v>
      </c>
    </row>
    <row r="67" spans="1:18" x14ac:dyDescent="0.2">
      <c r="B67" s="1148" t="s">
        <v>88</v>
      </c>
      <c r="C67" s="1177">
        <v>0</v>
      </c>
      <c r="D67" s="1178">
        <v>0</v>
      </c>
      <c r="E67" s="1178">
        <v>0</v>
      </c>
      <c r="F67" s="1178">
        <v>0</v>
      </c>
      <c r="G67" s="1178">
        <v>0</v>
      </c>
      <c r="H67" s="1178">
        <v>0</v>
      </c>
      <c r="I67" s="1178">
        <v>0</v>
      </c>
      <c r="J67" s="1178">
        <v>0</v>
      </c>
      <c r="K67" s="1178">
        <v>0</v>
      </c>
      <c r="L67" s="1178">
        <v>0</v>
      </c>
      <c r="M67" s="1178">
        <v>0</v>
      </c>
      <c r="N67" s="1178">
        <v>0</v>
      </c>
      <c r="O67" s="1178">
        <v>0</v>
      </c>
      <c r="P67" s="1178">
        <v>0</v>
      </c>
      <c r="Q67" s="1178">
        <v>0.3</v>
      </c>
      <c r="R67" s="1158">
        <v>0.3</v>
      </c>
    </row>
    <row r="68" spans="1:18" x14ac:dyDescent="0.2">
      <c r="B68" s="1148" t="s">
        <v>89</v>
      </c>
      <c r="C68" s="1177">
        <v>0</v>
      </c>
      <c r="D68" s="1178">
        <v>0</v>
      </c>
      <c r="E68" s="1178">
        <v>0</v>
      </c>
      <c r="F68" s="1178">
        <v>0</v>
      </c>
      <c r="G68" s="1178">
        <v>0</v>
      </c>
      <c r="H68" s="1178">
        <v>0</v>
      </c>
      <c r="I68" s="1178">
        <v>0</v>
      </c>
      <c r="J68" s="1178">
        <v>0</v>
      </c>
      <c r="K68" s="1178">
        <v>0</v>
      </c>
      <c r="L68" s="1178">
        <v>0</v>
      </c>
      <c r="M68" s="1178">
        <v>0</v>
      </c>
      <c r="N68" s="1178">
        <v>0</v>
      </c>
      <c r="O68" s="1178">
        <v>0</v>
      </c>
      <c r="P68" s="1178">
        <v>0</v>
      </c>
      <c r="Q68" s="1178">
        <v>0</v>
      </c>
      <c r="R68" s="1158">
        <v>0</v>
      </c>
    </row>
    <row r="69" spans="1:18" x14ac:dyDescent="0.2">
      <c r="B69" s="1148" t="s">
        <v>90</v>
      </c>
      <c r="C69" s="1177">
        <v>0.35</v>
      </c>
      <c r="D69" s="1178">
        <v>0.35</v>
      </c>
      <c r="E69" s="1178">
        <v>0.35</v>
      </c>
      <c r="F69" s="1178">
        <v>0.35</v>
      </c>
      <c r="G69" s="1178">
        <v>0.35</v>
      </c>
      <c r="H69" s="1178">
        <v>0.33</v>
      </c>
      <c r="I69" s="1178">
        <v>0.27</v>
      </c>
      <c r="J69" s="1178">
        <v>0.22</v>
      </c>
      <c r="K69" s="1178">
        <v>0.1</v>
      </c>
      <c r="L69" s="1178">
        <v>0.1</v>
      </c>
      <c r="M69" s="1178">
        <v>0.1</v>
      </c>
      <c r="N69" s="1178">
        <v>0.1</v>
      </c>
      <c r="O69" s="1178">
        <v>0.1</v>
      </c>
      <c r="P69" s="1178">
        <v>0.1</v>
      </c>
      <c r="Q69" s="1178">
        <v>0.1</v>
      </c>
      <c r="R69" s="1158">
        <v>0.1</v>
      </c>
    </row>
    <row r="70" spans="1:18" x14ac:dyDescent="0.2">
      <c r="A70" t="s">
        <v>908</v>
      </c>
      <c r="B70" s="1148" t="s">
        <v>91</v>
      </c>
      <c r="C70" s="1177">
        <v>0.16</v>
      </c>
      <c r="D70" s="1178">
        <v>0.17499999999999999</v>
      </c>
      <c r="E70" s="1178">
        <v>0.17499999999999999</v>
      </c>
      <c r="F70" s="1178">
        <v>0.17499999999999999</v>
      </c>
      <c r="G70" s="1178">
        <v>0.17499999999999999</v>
      </c>
      <c r="H70" s="1178">
        <v>0.16500000000000001</v>
      </c>
      <c r="I70" s="1178">
        <v>0.16500000000000001</v>
      </c>
      <c r="J70" s="1178">
        <v>0.16500000000000001</v>
      </c>
      <c r="K70" s="1178">
        <v>0.16500000000000001</v>
      </c>
      <c r="L70" s="1178">
        <v>0.16500000000000001</v>
      </c>
      <c r="M70" s="1178">
        <v>0.16500000000000001</v>
      </c>
      <c r="N70" s="1178">
        <v>0.16500000000000001</v>
      </c>
      <c r="O70" s="1178">
        <v>0.16500000000000001</v>
      </c>
      <c r="P70" s="1178">
        <v>0.16500000000000001</v>
      </c>
      <c r="Q70" s="1178">
        <v>0.16500000000000001</v>
      </c>
      <c r="R70" s="1158">
        <v>0.16500000000000001</v>
      </c>
    </row>
    <row r="71" spans="1:18" x14ac:dyDescent="0.2">
      <c r="B71" s="1148" t="s">
        <v>92</v>
      </c>
      <c r="C71" s="1177">
        <v>0</v>
      </c>
      <c r="D71" s="1178">
        <v>0</v>
      </c>
      <c r="E71" s="1178">
        <v>0</v>
      </c>
      <c r="F71" s="1178">
        <v>0</v>
      </c>
      <c r="G71" s="1178">
        <v>0</v>
      </c>
      <c r="H71" s="1178">
        <v>0</v>
      </c>
      <c r="I71" s="1178">
        <v>0</v>
      </c>
      <c r="J71" s="1178">
        <v>0</v>
      </c>
      <c r="K71" s="1178">
        <v>0</v>
      </c>
      <c r="L71" s="1178">
        <v>0</v>
      </c>
      <c r="M71" s="1178">
        <v>0</v>
      </c>
      <c r="N71" s="1178">
        <v>0</v>
      </c>
      <c r="O71" s="1178">
        <v>0</v>
      </c>
      <c r="P71" s="1178">
        <v>0</v>
      </c>
      <c r="Q71" s="1178">
        <v>0</v>
      </c>
      <c r="R71" s="1158">
        <v>0</v>
      </c>
    </row>
    <row r="72" spans="1:18" x14ac:dyDescent="0.2">
      <c r="B72" s="1148" t="s">
        <v>93</v>
      </c>
      <c r="C72" s="1177">
        <v>0</v>
      </c>
      <c r="D72" s="1178">
        <v>0</v>
      </c>
      <c r="E72" s="1178">
        <v>0</v>
      </c>
      <c r="F72" s="1178">
        <v>0</v>
      </c>
      <c r="G72" s="1178">
        <v>0</v>
      </c>
      <c r="H72" s="1178">
        <v>0</v>
      </c>
      <c r="I72" s="1178">
        <v>0</v>
      </c>
      <c r="J72" s="1178">
        <v>0</v>
      </c>
      <c r="K72" s="1178">
        <v>0</v>
      </c>
      <c r="L72" s="1178">
        <v>0</v>
      </c>
      <c r="M72" s="1178">
        <v>0.15</v>
      </c>
      <c r="N72" s="1178">
        <v>0.15</v>
      </c>
      <c r="O72" s="1178">
        <v>0.15</v>
      </c>
      <c r="P72" s="1178">
        <v>0.15</v>
      </c>
      <c r="Q72" s="1178">
        <v>0.15</v>
      </c>
      <c r="R72" s="1158">
        <v>0.15</v>
      </c>
    </row>
    <row r="73" spans="1:18" x14ac:dyDescent="0.2">
      <c r="B73" s="1148" t="s">
        <v>94</v>
      </c>
      <c r="C73" s="1177">
        <v>0</v>
      </c>
      <c r="D73" s="1178">
        <v>0</v>
      </c>
      <c r="E73" s="1178">
        <v>0</v>
      </c>
      <c r="F73" s="1178">
        <v>0</v>
      </c>
      <c r="G73" s="1178">
        <v>0</v>
      </c>
      <c r="H73" s="1178">
        <v>0</v>
      </c>
      <c r="I73" s="1178">
        <v>0</v>
      </c>
      <c r="J73" s="1178">
        <v>0</v>
      </c>
      <c r="K73" s="1178">
        <v>0.125</v>
      </c>
      <c r="L73" s="1178">
        <v>0.125</v>
      </c>
      <c r="M73" s="1178">
        <v>0.125</v>
      </c>
      <c r="N73" s="1178">
        <v>0.125</v>
      </c>
      <c r="O73" s="1178">
        <v>0.125</v>
      </c>
      <c r="P73" s="1178">
        <v>0.125</v>
      </c>
      <c r="Q73" s="1178">
        <v>0.125</v>
      </c>
      <c r="R73" s="1158">
        <v>0.125</v>
      </c>
    </row>
    <row r="74" spans="1:18" x14ac:dyDescent="0.2">
      <c r="B74" s="1148" t="s">
        <v>95</v>
      </c>
      <c r="C74" s="1177">
        <v>0.15</v>
      </c>
      <c r="D74" s="1178">
        <v>0.12</v>
      </c>
      <c r="E74" s="1178">
        <v>0.12</v>
      </c>
      <c r="F74" s="1178">
        <v>0.12</v>
      </c>
      <c r="G74" s="1178">
        <v>0.12</v>
      </c>
      <c r="H74" s="1178">
        <v>0.12</v>
      </c>
      <c r="I74" s="1178">
        <v>0.12</v>
      </c>
      <c r="J74" s="1178">
        <v>0.12</v>
      </c>
      <c r="K74" s="1178">
        <v>0.12</v>
      </c>
      <c r="L74" s="1178">
        <v>0.12</v>
      </c>
      <c r="M74" s="1178">
        <v>0.12</v>
      </c>
      <c r="N74" s="1178">
        <v>0.12</v>
      </c>
      <c r="O74" s="1178">
        <v>0.12</v>
      </c>
      <c r="P74" s="1178">
        <v>0.12</v>
      </c>
      <c r="Q74" s="1178">
        <v>0.12</v>
      </c>
      <c r="R74" s="1158">
        <v>0.12</v>
      </c>
    </row>
    <row r="75" spans="1:18" x14ac:dyDescent="0.2">
      <c r="B75" s="1148" t="s">
        <v>96</v>
      </c>
      <c r="C75" s="1177">
        <v>0.35</v>
      </c>
      <c r="D75" s="1178">
        <v>0.35</v>
      </c>
      <c r="E75" s="1178">
        <v>0.35</v>
      </c>
      <c r="F75" s="1178">
        <v>0.35</v>
      </c>
      <c r="G75" s="1178">
        <v>0.35</v>
      </c>
      <c r="H75" s="1178">
        <v>0.35</v>
      </c>
      <c r="I75" s="1178">
        <v>0.35</v>
      </c>
      <c r="J75" s="1178">
        <v>0.35</v>
      </c>
      <c r="K75" s="1178">
        <v>0.35</v>
      </c>
      <c r="L75" s="1178">
        <v>0.35</v>
      </c>
      <c r="M75" s="1178">
        <v>0.35</v>
      </c>
      <c r="N75" s="1178">
        <v>0.35</v>
      </c>
      <c r="O75" s="1178">
        <v>0.35</v>
      </c>
      <c r="P75" s="1178">
        <v>0.35</v>
      </c>
      <c r="Q75" s="1178">
        <v>0.35</v>
      </c>
      <c r="R75" s="1158">
        <v>0.35</v>
      </c>
    </row>
    <row r="76" spans="1:18" x14ac:dyDescent="0.2">
      <c r="B76" s="1148" t="s">
        <v>97</v>
      </c>
      <c r="C76" s="1177">
        <v>0</v>
      </c>
      <c r="D76" s="1178">
        <v>0</v>
      </c>
      <c r="E76" s="1178">
        <v>0</v>
      </c>
      <c r="F76" s="1178">
        <v>0</v>
      </c>
      <c r="G76" s="1178">
        <v>0</v>
      </c>
      <c r="H76" s="1178">
        <v>0</v>
      </c>
      <c r="I76" s="1178">
        <v>0</v>
      </c>
      <c r="J76" s="1178">
        <v>0</v>
      </c>
      <c r="K76" s="1178">
        <v>0</v>
      </c>
      <c r="L76" s="1178">
        <v>0</v>
      </c>
      <c r="M76" s="1178">
        <v>0</v>
      </c>
      <c r="N76" s="1178">
        <v>0</v>
      </c>
      <c r="O76" s="1178">
        <v>0</v>
      </c>
      <c r="P76" s="1178">
        <v>0</v>
      </c>
      <c r="Q76" s="1178">
        <v>0</v>
      </c>
      <c r="R76" s="1158">
        <v>0</v>
      </c>
    </row>
    <row r="77" spans="1:18" x14ac:dyDescent="0.2">
      <c r="B77" s="1148" t="s">
        <v>98</v>
      </c>
      <c r="C77" s="1177">
        <v>0</v>
      </c>
      <c r="D77" s="1178">
        <v>0</v>
      </c>
      <c r="E77" s="1178">
        <v>0</v>
      </c>
      <c r="F77" s="1178">
        <v>0</v>
      </c>
      <c r="G77" s="1178">
        <v>0</v>
      </c>
      <c r="H77" s="1178">
        <v>0</v>
      </c>
      <c r="I77" s="1178">
        <v>0</v>
      </c>
      <c r="J77" s="1178">
        <v>0</v>
      </c>
      <c r="K77" s="1178">
        <v>0</v>
      </c>
      <c r="L77" s="1178">
        <v>0</v>
      </c>
      <c r="M77" s="1178">
        <v>0</v>
      </c>
      <c r="N77" s="1178">
        <v>0</v>
      </c>
      <c r="O77" s="1178">
        <v>0</v>
      </c>
      <c r="P77" s="1178">
        <v>0</v>
      </c>
      <c r="Q77" s="1178">
        <v>0.33329999999999999</v>
      </c>
      <c r="R77" s="1158">
        <v>0.33</v>
      </c>
    </row>
    <row r="78" spans="1:18" x14ac:dyDescent="0.2">
      <c r="A78" t="s">
        <v>909</v>
      </c>
      <c r="B78" s="1148" t="s">
        <v>99</v>
      </c>
      <c r="C78" s="1177"/>
      <c r="D78" s="1178"/>
      <c r="E78" s="1178"/>
      <c r="F78" s="1178"/>
      <c r="G78" s="1178"/>
      <c r="H78" s="1178"/>
      <c r="I78" s="1178"/>
      <c r="J78" s="1178"/>
      <c r="K78" s="1178"/>
      <c r="L78" s="1178"/>
      <c r="M78" s="1178"/>
      <c r="N78" s="1178"/>
      <c r="O78" s="1178"/>
      <c r="P78" s="1178"/>
      <c r="Q78" s="1178"/>
      <c r="R78" s="1158"/>
    </row>
    <row r="79" spans="1:18" x14ac:dyDescent="0.2">
      <c r="B79" s="1148" t="s">
        <v>100</v>
      </c>
      <c r="C79" s="1177">
        <v>0.25</v>
      </c>
      <c r="D79" s="1178">
        <v>0.25</v>
      </c>
      <c r="E79" s="1178">
        <v>0.25</v>
      </c>
      <c r="F79" s="1178">
        <v>0.25</v>
      </c>
      <c r="G79" s="1178">
        <v>0.22500000000000001</v>
      </c>
      <c r="H79" s="1178">
        <v>0.15</v>
      </c>
      <c r="I79" s="1178">
        <v>0.15</v>
      </c>
      <c r="J79" s="1178">
        <v>0.15</v>
      </c>
      <c r="K79" s="1178">
        <v>0.15</v>
      </c>
      <c r="L79" s="1178">
        <v>0.15</v>
      </c>
      <c r="M79" s="1178">
        <v>0.15</v>
      </c>
      <c r="N79" s="1178">
        <v>0.15</v>
      </c>
      <c r="O79" s="1178">
        <v>0.15</v>
      </c>
      <c r="P79" s="1178">
        <v>0.15</v>
      </c>
      <c r="Q79" s="1178">
        <v>0.15</v>
      </c>
      <c r="R79" s="1158">
        <v>0.15</v>
      </c>
    </row>
    <row r="80" spans="1:18" x14ac:dyDescent="0.2">
      <c r="B80" s="1148" t="s">
        <v>101</v>
      </c>
      <c r="C80" s="1177"/>
      <c r="D80" s="1178"/>
      <c r="E80" s="1178"/>
      <c r="F80" s="1178"/>
      <c r="G80" s="1178"/>
      <c r="H80" s="1178"/>
      <c r="I80" s="1178"/>
      <c r="J80" s="1178"/>
      <c r="K80" s="1178"/>
      <c r="L80" s="1178"/>
      <c r="M80" s="1178"/>
      <c r="N80" s="1178"/>
      <c r="O80" s="1178"/>
      <c r="P80" s="1178"/>
      <c r="Q80" s="1178"/>
      <c r="R80" s="1158"/>
    </row>
    <row r="81" spans="2:18" x14ac:dyDescent="0.2">
      <c r="B81" s="1148" t="s">
        <v>102</v>
      </c>
      <c r="C81" s="1177">
        <v>0.22</v>
      </c>
      <c r="D81" s="1178">
        <v>0.22</v>
      </c>
      <c r="E81" s="1178">
        <v>0.2</v>
      </c>
      <c r="F81" s="1178">
        <v>0.2</v>
      </c>
      <c r="G81" s="1178">
        <v>0.2</v>
      </c>
      <c r="H81" s="1178">
        <v>0.18</v>
      </c>
      <c r="I81" s="1178">
        <v>0.18</v>
      </c>
      <c r="J81" s="1178">
        <v>0.17</v>
      </c>
      <c r="K81" s="1178">
        <v>0.17</v>
      </c>
      <c r="L81" s="1178">
        <v>0.17</v>
      </c>
      <c r="M81" s="1178">
        <v>0.17</v>
      </c>
      <c r="N81" s="1178">
        <v>0.17</v>
      </c>
      <c r="O81" s="1178">
        <v>0.17</v>
      </c>
      <c r="P81" s="1178">
        <v>0.17</v>
      </c>
      <c r="Q81" s="1178">
        <v>0.17</v>
      </c>
      <c r="R81" s="1158">
        <v>0.17</v>
      </c>
    </row>
    <row r="82" spans="2:18" x14ac:dyDescent="0.2">
      <c r="B82" s="1148" t="s">
        <v>103</v>
      </c>
      <c r="C82" s="1177"/>
      <c r="D82" s="1178"/>
      <c r="E82" s="1178"/>
      <c r="F82" s="1178"/>
      <c r="G82" s="1178"/>
      <c r="H82" s="1178"/>
      <c r="I82" s="1178"/>
      <c r="J82" s="1178"/>
      <c r="K82" s="1178"/>
      <c r="L82" s="1178"/>
      <c r="M82" s="1178"/>
      <c r="N82" s="1178"/>
      <c r="O82" s="1178"/>
      <c r="P82" s="1178"/>
      <c r="Q82" s="1178"/>
      <c r="R82" s="1158"/>
    </row>
    <row r="83" spans="2:18" x14ac:dyDescent="0.2">
      <c r="B83" s="1148" t="s">
        <v>104</v>
      </c>
      <c r="C83" s="1177"/>
      <c r="D83" s="1178"/>
      <c r="E83" s="1178"/>
      <c r="F83" s="1178"/>
      <c r="G83" s="1178"/>
      <c r="H83" s="1178"/>
      <c r="I83" s="1178"/>
      <c r="J83" s="1178"/>
      <c r="K83" s="1178"/>
      <c r="L83" s="1178"/>
      <c r="M83" s="1178"/>
      <c r="N83" s="1178"/>
      <c r="O83" s="1178"/>
      <c r="P83" s="1178"/>
      <c r="Q83" s="1178"/>
      <c r="R83" s="1158"/>
    </row>
    <row r="84" spans="2:18" x14ac:dyDescent="0.2">
      <c r="B84" s="1148" t="s">
        <v>105</v>
      </c>
      <c r="C84" s="1177"/>
      <c r="D84" s="1178"/>
      <c r="E84" s="1178"/>
      <c r="F84" s="1178"/>
      <c r="G84" s="1178"/>
      <c r="H84" s="1178"/>
      <c r="I84" s="1178"/>
      <c r="J84" s="1178"/>
      <c r="K84" s="1178"/>
      <c r="L84" s="1178"/>
      <c r="M84" s="1178"/>
      <c r="N84" s="1178"/>
      <c r="O84" s="1178"/>
      <c r="P84" s="1178"/>
      <c r="Q84" s="1178"/>
      <c r="R84" s="1158"/>
    </row>
    <row r="85" spans="2:18" x14ac:dyDescent="0.2">
      <c r="B85" s="1148" t="s">
        <v>106</v>
      </c>
      <c r="C85" s="1177">
        <v>0</v>
      </c>
      <c r="D85" s="1178">
        <v>0</v>
      </c>
      <c r="E85" s="1178">
        <v>0</v>
      </c>
      <c r="F85" s="1178">
        <v>0</v>
      </c>
      <c r="G85" s="1178">
        <v>0</v>
      </c>
      <c r="H85" s="1178">
        <v>0</v>
      </c>
      <c r="I85" s="1178">
        <v>0</v>
      </c>
      <c r="J85" s="1178">
        <v>0</v>
      </c>
      <c r="K85" s="1178">
        <v>0</v>
      </c>
      <c r="L85" s="1178">
        <v>0</v>
      </c>
      <c r="M85" s="1178">
        <v>0</v>
      </c>
      <c r="N85" s="1178">
        <v>0</v>
      </c>
      <c r="O85" s="1178">
        <v>0</v>
      </c>
      <c r="P85" s="1178">
        <v>0</v>
      </c>
      <c r="Q85" s="1178">
        <v>0</v>
      </c>
      <c r="R85" s="1158">
        <v>0</v>
      </c>
    </row>
    <row r="86" spans="2:18" x14ac:dyDescent="0.2">
      <c r="B86" s="1148" t="s">
        <v>107</v>
      </c>
      <c r="C86" s="1177">
        <v>0.3</v>
      </c>
      <c r="D86" s="1178">
        <v>0.3</v>
      </c>
      <c r="E86" s="1178">
        <v>0.3</v>
      </c>
      <c r="F86" s="1178">
        <v>0.3</v>
      </c>
      <c r="G86" s="1178">
        <v>0.3</v>
      </c>
      <c r="H86" s="1178">
        <v>0.3</v>
      </c>
      <c r="I86" s="1178">
        <v>0.3</v>
      </c>
      <c r="J86" s="1178">
        <v>0.27500000000000002</v>
      </c>
      <c r="K86" s="1178">
        <v>0.25</v>
      </c>
      <c r="L86" s="1178">
        <v>0.25</v>
      </c>
      <c r="M86" s="1178">
        <v>0.25</v>
      </c>
      <c r="N86" s="1178">
        <v>0.25</v>
      </c>
      <c r="O86" s="1178">
        <v>0.25</v>
      </c>
      <c r="P86" s="1178">
        <v>0.25</v>
      </c>
      <c r="Q86" s="1178">
        <v>0.25</v>
      </c>
      <c r="R86" s="1158">
        <v>0.25</v>
      </c>
    </row>
    <row r="87" spans="2:18" x14ac:dyDescent="0.2">
      <c r="B87" s="1148" t="s">
        <v>108</v>
      </c>
      <c r="C87" s="1508"/>
      <c r="D87" s="1509"/>
      <c r="E87" s="1509"/>
      <c r="F87" s="1509"/>
      <c r="G87" s="1509"/>
      <c r="H87" s="1509"/>
      <c r="I87" s="1509"/>
      <c r="J87" s="1509"/>
      <c r="K87" s="1509"/>
      <c r="L87" s="1509"/>
      <c r="M87" s="1509"/>
      <c r="N87" s="1509"/>
      <c r="O87" s="1509"/>
      <c r="P87" s="1509"/>
      <c r="Q87" s="1509"/>
      <c r="R87" s="1345"/>
    </row>
    <row r="88" spans="2:18" x14ac:dyDescent="0.2">
      <c r="B88" s="1148"/>
      <c r="C88" s="1508"/>
      <c r="D88" s="1509"/>
      <c r="E88" s="1509"/>
      <c r="F88" s="1509"/>
      <c r="G88" s="1509"/>
      <c r="H88" s="1509"/>
      <c r="I88" s="1509"/>
      <c r="J88" s="1509"/>
      <c r="K88" s="1509"/>
      <c r="L88" s="1509"/>
      <c r="M88" s="1509"/>
      <c r="N88" s="1509"/>
      <c r="O88" s="1509"/>
      <c r="P88" s="1509"/>
      <c r="Q88" s="1509"/>
      <c r="R88" s="1345"/>
    </row>
    <row r="89" spans="2:18" x14ac:dyDescent="0.2">
      <c r="B89" s="1148" t="s">
        <v>910</v>
      </c>
      <c r="C89" s="1177">
        <v>0.26719999999999999</v>
      </c>
      <c r="D89" s="1178">
        <v>0.25600000000000001</v>
      </c>
      <c r="E89" s="1178">
        <v>0.24030000000000001</v>
      </c>
      <c r="F89" s="1178">
        <v>0.23699999999999999</v>
      </c>
      <c r="G89" s="1178">
        <v>0.22989999999999999</v>
      </c>
      <c r="H89" s="1178">
        <v>0.2195</v>
      </c>
      <c r="I89" s="1178">
        <v>0.21640000000000001</v>
      </c>
      <c r="J89" s="1178">
        <v>0.21460000000000001</v>
      </c>
      <c r="K89" s="1178">
        <v>0.20829999999999999</v>
      </c>
      <c r="L89" s="1178">
        <v>0.20440000000000003</v>
      </c>
      <c r="M89" s="1178">
        <v>0.20600000000000002</v>
      </c>
      <c r="N89" s="1178">
        <v>0.20420000000000002</v>
      </c>
      <c r="O89" s="1178">
        <v>0.20050000000000001</v>
      </c>
      <c r="P89" s="1178">
        <v>0.19969999999999999</v>
      </c>
      <c r="Q89" s="1178">
        <v>0.1953</v>
      </c>
      <c r="R89" s="1158">
        <v>0.1948</v>
      </c>
    </row>
    <row r="90" spans="2:18" x14ac:dyDescent="0.2">
      <c r="B90" s="1148" t="s">
        <v>911</v>
      </c>
      <c r="C90" s="1177">
        <v>0.3019</v>
      </c>
      <c r="D90" s="1178">
        <v>0.30349999999999999</v>
      </c>
      <c r="E90" s="1178">
        <v>0.2979</v>
      </c>
      <c r="F90" s="1178">
        <v>0.28989999999999999</v>
      </c>
      <c r="G90" s="1178">
        <v>0.28339999999999999</v>
      </c>
      <c r="H90" s="1178">
        <v>0.26239999999999997</v>
      </c>
      <c r="I90" s="1178">
        <v>0.25370000000000004</v>
      </c>
      <c r="J90" s="1178">
        <v>0.23719999999999999</v>
      </c>
      <c r="K90" s="1178">
        <v>0.2291</v>
      </c>
      <c r="L90" s="1178">
        <v>0.22719999999999999</v>
      </c>
      <c r="M90" s="1178">
        <v>0.2213</v>
      </c>
      <c r="N90" s="1178">
        <v>0.22</v>
      </c>
      <c r="O90" s="1178">
        <v>0.2198</v>
      </c>
      <c r="P90" s="1178">
        <v>0.21410000000000001</v>
      </c>
      <c r="Q90" s="1178">
        <v>0.2104</v>
      </c>
      <c r="R90" s="1158">
        <v>0.21210000000000001</v>
      </c>
    </row>
    <row r="91" spans="2:18" x14ac:dyDescent="0.2">
      <c r="B91" s="1148" t="s">
        <v>912</v>
      </c>
      <c r="C91" s="1177">
        <v>0.3236</v>
      </c>
      <c r="D91" s="1178">
        <v>0.3236</v>
      </c>
      <c r="E91" s="1178">
        <v>0.30790000000000001</v>
      </c>
      <c r="F91" s="1178">
        <v>0.30730000000000002</v>
      </c>
      <c r="G91" s="1178">
        <v>0.30519999999999997</v>
      </c>
      <c r="H91" s="1178">
        <v>0.28749999999999998</v>
      </c>
      <c r="I91" s="1178">
        <v>0.2883</v>
      </c>
      <c r="J91" s="1178">
        <v>0.28489999999999999</v>
      </c>
      <c r="K91" s="1178">
        <v>0.28639999999999999</v>
      </c>
      <c r="L91" s="1178">
        <v>0.29070000000000001</v>
      </c>
      <c r="M91" s="1178">
        <v>0.28370000000000001</v>
      </c>
      <c r="N91" s="1178">
        <v>0.27850000000000003</v>
      </c>
      <c r="O91" s="1178">
        <v>0.28170000000000001</v>
      </c>
      <c r="P91" s="1178">
        <v>0.28059999999999996</v>
      </c>
      <c r="Q91" s="1178">
        <v>0.28210000000000002</v>
      </c>
      <c r="R91" s="1158">
        <v>0.28260000000000002</v>
      </c>
    </row>
    <row r="92" spans="2:18" x14ac:dyDescent="0.2">
      <c r="B92" s="1148" t="s">
        <v>913</v>
      </c>
      <c r="C92" s="1177">
        <v>0.30809999999999998</v>
      </c>
      <c r="D92" s="1178">
        <v>0.30020000000000002</v>
      </c>
      <c r="E92" s="1178">
        <v>0.29680000000000001</v>
      </c>
      <c r="F92" s="1178">
        <v>0.29070000000000001</v>
      </c>
      <c r="G92" s="1178">
        <v>0.28300000000000003</v>
      </c>
      <c r="H92" s="1178">
        <v>0.27960000000000002</v>
      </c>
      <c r="I92" s="1178">
        <v>0.27960000000000002</v>
      </c>
      <c r="J92" s="1178">
        <v>0.2752</v>
      </c>
      <c r="K92" s="1178">
        <v>0.2888</v>
      </c>
      <c r="L92" s="1178">
        <v>0.28300000000000003</v>
      </c>
      <c r="M92" s="1178">
        <v>0.27960000000000002</v>
      </c>
      <c r="N92" s="1178">
        <v>0.27310000000000001</v>
      </c>
      <c r="O92" s="1178">
        <v>0.27160000000000001</v>
      </c>
      <c r="P92" s="1178">
        <v>0.27379999999999999</v>
      </c>
      <c r="Q92" s="1178">
        <v>0.27979999999999999</v>
      </c>
      <c r="R92" s="1158">
        <v>0.27949999999999997</v>
      </c>
    </row>
    <row r="93" spans="2:18" ht="17" thickBot="1" x14ac:dyDescent="0.25">
      <c r="B93" s="703" t="s">
        <v>914</v>
      </c>
      <c r="C93" s="282">
        <v>0.29420000000000002</v>
      </c>
      <c r="D93" s="283">
        <v>0.28949999999999998</v>
      </c>
      <c r="E93" s="283">
        <v>0.28000000000000003</v>
      </c>
      <c r="F93" s="283">
        <v>0.27550000000000002</v>
      </c>
      <c r="G93" s="283">
        <v>0.26960000000000001</v>
      </c>
      <c r="H93" s="283">
        <v>0.25659999999999999</v>
      </c>
      <c r="I93" s="283">
        <v>0.25319999999999998</v>
      </c>
      <c r="J93" s="283">
        <v>0.2465</v>
      </c>
      <c r="K93" s="283">
        <v>0.2452</v>
      </c>
      <c r="L93" s="283">
        <v>0.24379999999999999</v>
      </c>
      <c r="M93" s="283">
        <v>0.24149999999999999</v>
      </c>
      <c r="N93" s="283">
        <v>0.23850000000000002</v>
      </c>
      <c r="O93" s="283">
        <v>0.23739999999999997</v>
      </c>
      <c r="P93" s="787">
        <v>0.23579999999999998</v>
      </c>
      <c r="Q93" s="283">
        <v>0.2404</v>
      </c>
      <c r="R93" s="704">
        <v>0.24</v>
      </c>
    </row>
    <row r="94" spans="2:18" ht="32.25" customHeight="1" thickTop="1" x14ac:dyDescent="0.2"/>
  </sheetData>
  <mergeCells count="1">
    <mergeCell ref="B3:R3"/>
  </mergeCells>
  <phoneticPr fontId="37" type="noConversion"/>
  <pageMargins left="0.7" right="0.7" top="0.75" bottom="0.75" header="0.3" footer="0.3"/>
  <pageSetup paperSize="9" scale="47" fitToHeight="0" orientation="portrait"/>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P89"/>
  <sheetViews>
    <sheetView topLeftCell="B1" workbookViewId="0">
      <pane xSplit="1" ySplit="6" topLeftCell="L33" activePane="bottomRight" state="frozen"/>
      <selection pane="topRight" activeCell="H9" sqref="H9"/>
      <selection pane="bottomLeft" activeCell="H9" sqref="H9"/>
      <selection pane="bottomRight" activeCell="B3" sqref="B3:AN44"/>
    </sheetView>
  </sheetViews>
  <sheetFormatPr baseColWidth="10" defaultColWidth="8.83203125" defaultRowHeight="16" x14ac:dyDescent="0.2"/>
  <cols>
    <col min="1" max="1" width="9" hidden="1" customWidth="1"/>
    <col min="2" max="2" width="30.33203125" bestFit="1" customWidth="1"/>
  </cols>
  <sheetData>
    <row r="1" spans="2:42" hidden="1"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15</v>
      </c>
      <c r="AM1">
        <v>16</v>
      </c>
      <c r="AN1">
        <v>17</v>
      </c>
    </row>
    <row r="2" spans="2:42" ht="17" thickBot="1" x14ac:dyDescent="0.25"/>
    <row r="3" spans="2:42" ht="40" customHeight="1" thickTop="1" x14ac:dyDescent="0.2">
      <c r="B3" s="1951" t="s">
        <v>915</v>
      </c>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c r="AF3" s="1952"/>
      <c r="AG3" s="1952"/>
      <c r="AH3" s="1952"/>
      <c r="AI3" s="1952"/>
      <c r="AJ3" s="1952"/>
      <c r="AK3" s="1952"/>
      <c r="AL3" s="1952"/>
      <c r="AM3" s="1952"/>
      <c r="AN3" s="1953"/>
      <c r="AP3" t="s">
        <v>916</v>
      </c>
    </row>
    <row r="4" spans="2:42" ht="20" x14ac:dyDescent="0.2">
      <c r="B4" s="4"/>
      <c r="C4" s="620"/>
      <c r="D4" s="620"/>
      <c r="E4" s="620"/>
      <c r="F4" s="620"/>
      <c r="G4" s="620"/>
      <c r="H4" s="620"/>
      <c r="I4" s="528"/>
      <c r="J4" s="528"/>
      <c r="K4" s="528"/>
      <c r="L4" s="528"/>
      <c r="M4" s="528"/>
      <c r="N4" s="528"/>
      <c r="O4" s="528"/>
      <c r="P4" s="620"/>
      <c r="Q4" s="620"/>
      <c r="R4" s="620"/>
      <c r="S4" s="620"/>
      <c r="T4" s="620"/>
      <c r="U4" s="620"/>
      <c r="V4" s="528"/>
      <c r="W4" s="528"/>
      <c r="X4" s="528"/>
      <c r="Y4" s="528"/>
      <c r="Z4" s="528"/>
      <c r="AA4" s="528"/>
      <c r="AB4" s="528"/>
      <c r="AC4" s="528"/>
      <c r="AD4" s="528"/>
      <c r="AE4" s="528"/>
      <c r="AF4" s="528"/>
      <c r="AG4" s="528"/>
      <c r="AH4" s="528"/>
      <c r="AI4" s="528"/>
      <c r="AJ4" s="528"/>
      <c r="AK4" s="528"/>
      <c r="AL4" s="528"/>
      <c r="AM4" s="528"/>
      <c r="AN4" s="701"/>
      <c r="AO4" s="528"/>
    </row>
    <row r="5" spans="2:42" ht="21" thickBot="1" x14ac:dyDescent="0.25">
      <c r="B5" s="4"/>
      <c r="C5" s="160" t="s">
        <v>1</v>
      </c>
      <c r="D5" s="160" t="s">
        <v>2</v>
      </c>
      <c r="E5" s="160" t="s">
        <v>3</v>
      </c>
      <c r="F5" s="160" t="s">
        <v>4</v>
      </c>
      <c r="G5" s="160" t="s">
        <v>5</v>
      </c>
      <c r="H5" s="160" t="s">
        <v>6</v>
      </c>
      <c r="I5" s="160" t="s">
        <v>7</v>
      </c>
      <c r="J5" s="160" t="s">
        <v>8</v>
      </c>
      <c r="K5" s="160" t="s">
        <v>9</v>
      </c>
      <c r="L5" s="160" t="s">
        <v>10</v>
      </c>
      <c r="M5" s="160" t="s">
        <v>11</v>
      </c>
      <c r="N5" s="160" t="s">
        <v>12</v>
      </c>
      <c r="O5" s="160" t="s">
        <v>13</v>
      </c>
      <c r="P5" s="160" t="s">
        <v>177</v>
      </c>
      <c r="Q5" s="160" t="s">
        <v>178</v>
      </c>
      <c r="R5" s="160" t="s">
        <v>179</v>
      </c>
      <c r="S5" s="160" t="s">
        <v>619</v>
      </c>
      <c r="T5" s="160" t="s">
        <v>620</v>
      </c>
      <c r="U5" s="160" t="s">
        <v>621</v>
      </c>
      <c r="V5" s="160" t="s">
        <v>622</v>
      </c>
      <c r="W5" s="160" t="s">
        <v>623</v>
      </c>
      <c r="X5" s="160" t="s">
        <v>624</v>
      </c>
      <c r="Y5" s="160" t="s">
        <v>917</v>
      </c>
      <c r="Z5" s="160" t="s">
        <v>918</v>
      </c>
      <c r="AA5" s="160" t="s">
        <v>919</v>
      </c>
      <c r="AB5" s="160" t="s">
        <v>920</v>
      </c>
      <c r="AC5" s="160" t="s">
        <v>921</v>
      </c>
      <c r="AD5" s="160" t="s">
        <v>922</v>
      </c>
      <c r="AE5" s="160" t="s">
        <v>923</v>
      </c>
      <c r="AF5" s="160" t="s">
        <v>924</v>
      </c>
      <c r="AG5" s="160" t="s">
        <v>925</v>
      </c>
      <c r="AH5" s="160" t="s">
        <v>926</v>
      </c>
      <c r="AI5" s="160" t="s">
        <v>927</v>
      </c>
      <c r="AJ5" s="160" t="s">
        <v>928</v>
      </c>
      <c r="AK5" s="160" t="s">
        <v>929</v>
      </c>
      <c r="AL5" s="160" t="s">
        <v>930</v>
      </c>
      <c r="AM5" s="160" t="s">
        <v>931</v>
      </c>
      <c r="AN5" s="377" t="s">
        <v>932</v>
      </c>
      <c r="AO5" s="528"/>
    </row>
    <row r="6" spans="2:42" ht="20" x14ac:dyDescent="0.2">
      <c r="B6" s="1868"/>
      <c r="C6" s="1808">
        <v>1981</v>
      </c>
      <c r="D6" s="1809">
        <f>+C6+1</f>
        <v>1982</v>
      </c>
      <c r="E6" s="1809">
        <f t="shared" ref="E6:AK6" si="0">+D6+1</f>
        <v>1983</v>
      </c>
      <c r="F6" s="1809">
        <f t="shared" si="0"/>
        <v>1984</v>
      </c>
      <c r="G6" s="1809">
        <f t="shared" si="0"/>
        <v>1985</v>
      </c>
      <c r="H6" s="1809">
        <f t="shared" si="0"/>
        <v>1986</v>
      </c>
      <c r="I6" s="1809">
        <f t="shared" si="0"/>
        <v>1987</v>
      </c>
      <c r="J6" s="1809">
        <f t="shared" si="0"/>
        <v>1988</v>
      </c>
      <c r="K6" s="1809">
        <f t="shared" si="0"/>
        <v>1989</v>
      </c>
      <c r="L6" s="1809">
        <f t="shared" si="0"/>
        <v>1990</v>
      </c>
      <c r="M6" s="1809">
        <f t="shared" si="0"/>
        <v>1991</v>
      </c>
      <c r="N6" s="1809">
        <f t="shared" si="0"/>
        <v>1992</v>
      </c>
      <c r="O6" s="1809">
        <f t="shared" si="0"/>
        <v>1993</v>
      </c>
      <c r="P6" s="1809">
        <f t="shared" si="0"/>
        <v>1994</v>
      </c>
      <c r="Q6" s="1809">
        <f t="shared" si="0"/>
        <v>1995</v>
      </c>
      <c r="R6" s="1809">
        <f t="shared" si="0"/>
        <v>1996</v>
      </c>
      <c r="S6" s="1809">
        <f t="shared" si="0"/>
        <v>1997</v>
      </c>
      <c r="T6" s="1809">
        <f t="shared" si="0"/>
        <v>1998</v>
      </c>
      <c r="U6" s="1809">
        <f t="shared" si="0"/>
        <v>1999</v>
      </c>
      <c r="V6" s="1809">
        <f t="shared" si="0"/>
        <v>2000</v>
      </c>
      <c r="W6" s="1809">
        <f t="shared" si="0"/>
        <v>2001</v>
      </c>
      <c r="X6" s="1809">
        <f t="shared" si="0"/>
        <v>2002</v>
      </c>
      <c r="Y6" s="1809">
        <f t="shared" si="0"/>
        <v>2003</v>
      </c>
      <c r="Z6" s="1809">
        <f t="shared" si="0"/>
        <v>2004</v>
      </c>
      <c r="AA6" s="1809">
        <f t="shared" si="0"/>
        <v>2005</v>
      </c>
      <c r="AB6" s="1809">
        <f t="shared" si="0"/>
        <v>2006</v>
      </c>
      <c r="AC6" s="1809">
        <f t="shared" si="0"/>
        <v>2007</v>
      </c>
      <c r="AD6" s="1809">
        <f t="shared" si="0"/>
        <v>2008</v>
      </c>
      <c r="AE6" s="1809">
        <f t="shared" si="0"/>
        <v>2009</v>
      </c>
      <c r="AF6" s="1809">
        <f t="shared" si="0"/>
        <v>2010</v>
      </c>
      <c r="AG6" s="1809">
        <f t="shared" si="0"/>
        <v>2011</v>
      </c>
      <c r="AH6" s="1809">
        <f t="shared" si="0"/>
        <v>2012</v>
      </c>
      <c r="AI6" s="1809">
        <f t="shared" si="0"/>
        <v>2013</v>
      </c>
      <c r="AJ6" s="1809">
        <f t="shared" si="0"/>
        <v>2014</v>
      </c>
      <c r="AK6" s="1809">
        <f t="shared" si="0"/>
        <v>2015</v>
      </c>
      <c r="AL6" s="1809">
        <v>2016</v>
      </c>
      <c r="AM6" s="1809">
        <v>2017</v>
      </c>
      <c r="AN6" s="1839">
        <v>2018</v>
      </c>
      <c r="AO6" s="528"/>
    </row>
    <row r="7" spans="2:42" x14ac:dyDescent="0.2">
      <c r="B7" s="622" t="s">
        <v>28</v>
      </c>
      <c r="C7" s="521"/>
      <c r="D7" s="517"/>
      <c r="E7" s="517"/>
      <c r="F7" s="9"/>
      <c r="G7" s="516"/>
      <c r="H7" s="246"/>
      <c r="I7" s="528"/>
      <c r="J7" s="528"/>
      <c r="K7" s="528"/>
      <c r="L7" s="528"/>
      <c r="M7" s="528"/>
      <c r="N7" s="528"/>
      <c r="O7" s="528"/>
      <c r="P7" s="516"/>
      <c r="Q7" s="517"/>
      <c r="R7" s="517"/>
      <c r="S7" s="9"/>
      <c r="T7" s="516"/>
      <c r="U7" s="246"/>
      <c r="V7" s="528"/>
      <c r="W7" s="528"/>
      <c r="X7" s="528"/>
      <c r="Y7" s="528"/>
      <c r="Z7" s="528"/>
      <c r="AA7" s="528"/>
      <c r="AB7" s="528"/>
      <c r="AC7" s="528"/>
      <c r="AD7" s="528"/>
      <c r="AE7" s="528"/>
      <c r="AF7" s="528"/>
      <c r="AG7" s="528"/>
      <c r="AH7" s="528"/>
      <c r="AI7" s="528"/>
      <c r="AJ7" s="528"/>
      <c r="AK7" s="528"/>
      <c r="AL7" s="528"/>
      <c r="AM7" s="528"/>
      <c r="AN7" s="701"/>
      <c r="AO7" s="528"/>
    </row>
    <row r="8" spans="2:42" x14ac:dyDescent="0.2">
      <c r="B8" s="1149" t="s">
        <v>29</v>
      </c>
      <c r="C8" s="1177">
        <v>0.46</v>
      </c>
      <c r="D8" s="1178">
        <v>0.46</v>
      </c>
      <c r="E8" s="1178">
        <v>0.46</v>
      </c>
      <c r="F8" s="1178">
        <v>0.46</v>
      </c>
      <c r="G8" s="1178">
        <v>0.46</v>
      </c>
      <c r="H8" s="1178">
        <v>0.49</v>
      </c>
      <c r="I8" s="1178">
        <v>0.49</v>
      </c>
      <c r="J8" s="1178">
        <v>0.39</v>
      </c>
      <c r="K8" s="1178">
        <v>0.39</v>
      </c>
      <c r="L8" s="1178">
        <v>0.39</v>
      </c>
      <c r="M8" s="1178">
        <v>0.39</v>
      </c>
      <c r="N8" s="1178">
        <v>0.39</v>
      </c>
      <c r="O8" s="1178">
        <v>0.33</v>
      </c>
      <c r="P8" s="1178">
        <v>0.33</v>
      </c>
      <c r="Q8" s="1178">
        <v>0.36</v>
      </c>
      <c r="R8" s="1178">
        <v>0.36</v>
      </c>
      <c r="S8" s="1178">
        <v>0.36</v>
      </c>
      <c r="T8" s="1178">
        <v>0.36</v>
      </c>
      <c r="U8" s="1178">
        <v>0.36</v>
      </c>
      <c r="V8" s="1178">
        <v>0.34</v>
      </c>
      <c r="W8" s="1178">
        <v>0.3</v>
      </c>
      <c r="X8" s="1178">
        <v>0.3</v>
      </c>
      <c r="Y8" s="1178">
        <v>0.3</v>
      </c>
      <c r="Z8" s="1178">
        <v>0.3</v>
      </c>
      <c r="AA8" s="1178">
        <v>0.3</v>
      </c>
      <c r="AB8" s="1178">
        <v>0.3</v>
      </c>
      <c r="AC8" s="1178">
        <v>0.3</v>
      </c>
      <c r="AD8" s="1178">
        <v>0.3</v>
      </c>
      <c r="AE8" s="1178">
        <v>0.3</v>
      </c>
      <c r="AF8" s="1178">
        <v>0.3</v>
      </c>
      <c r="AG8" s="1178">
        <v>0.3</v>
      </c>
      <c r="AH8" s="1178">
        <v>0.3</v>
      </c>
      <c r="AI8" s="1178">
        <v>0.3</v>
      </c>
      <c r="AJ8" s="1178">
        <v>0.3</v>
      </c>
      <c r="AK8" s="1178">
        <v>0.3</v>
      </c>
      <c r="AL8" s="1178">
        <f>VLOOKUP($B8,TableF1a!$B$8:$R$42,AL$1,0)</f>
        <v>0.3</v>
      </c>
      <c r="AM8" s="1178">
        <f>VLOOKUP($B8,TableF1a!$B$8:$R$42,AM$1,0)</f>
        <v>0.3</v>
      </c>
      <c r="AN8" s="1158">
        <f>VLOOKUP($B8,TableF1a!$B$8:$R$42,AN$1,0)</f>
        <v>0.3</v>
      </c>
      <c r="AO8" s="528"/>
      <c r="AP8" s="789">
        <f>AL8-V8</f>
        <v>-4.0000000000000036E-2</v>
      </c>
    </row>
    <row r="9" spans="2:42" x14ac:dyDescent="0.2">
      <c r="B9" s="1149" t="s">
        <v>30</v>
      </c>
      <c r="C9" s="1177">
        <v>0.55000000000000004</v>
      </c>
      <c r="D9" s="1178">
        <v>0.55000000000000004</v>
      </c>
      <c r="E9" s="1178">
        <v>0.55000000000000004</v>
      </c>
      <c r="F9" s="1178">
        <v>0.55000000000000004</v>
      </c>
      <c r="G9" s="1178">
        <v>0.55000000000000004</v>
      </c>
      <c r="H9" s="1178">
        <v>0.55000000000000004</v>
      </c>
      <c r="I9" s="1178">
        <v>0.55000000000000004</v>
      </c>
      <c r="J9" s="1178">
        <v>0.55000000000000004</v>
      </c>
      <c r="K9" s="1178">
        <v>0.3</v>
      </c>
      <c r="L9" s="1178">
        <v>0.3</v>
      </c>
      <c r="M9" s="1178">
        <v>0.3</v>
      </c>
      <c r="N9" s="1178">
        <v>0.3</v>
      </c>
      <c r="O9" s="1178">
        <v>0.3</v>
      </c>
      <c r="P9" s="1178">
        <v>0.34</v>
      </c>
      <c r="Q9" s="1178">
        <v>0.34</v>
      </c>
      <c r="R9" s="1178">
        <v>0.34</v>
      </c>
      <c r="S9" s="1178">
        <v>0.34</v>
      </c>
      <c r="T9" s="1178">
        <v>0.34</v>
      </c>
      <c r="U9" s="1178">
        <v>0.34</v>
      </c>
      <c r="V9" s="1178">
        <v>0.34</v>
      </c>
      <c r="W9" s="1178">
        <v>0.34</v>
      </c>
      <c r="X9" s="1178">
        <v>0.34</v>
      </c>
      <c r="Y9" s="1178">
        <v>0.34</v>
      </c>
      <c r="Z9" s="1178">
        <v>0.34</v>
      </c>
      <c r="AA9" s="1178">
        <v>0.25</v>
      </c>
      <c r="AB9" s="1178">
        <v>0.25</v>
      </c>
      <c r="AC9" s="1178">
        <v>0.25</v>
      </c>
      <c r="AD9" s="1178">
        <v>0.25</v>
      </c>
      <c r="AE9" s="1178">
        <v>0.25</v>
      </c>
      <c r="AF9" s="1178">
        <v>0.25</v>
      </c>
      <c r="AG9" s="1178">
        <v>0.25</v>
      </c>
      <c r="AH9" s="1178">
        <v>0.25</v>
      </c>
      <c r="AI9" s="1178">
        <v>0.25</v>
      </c>
      <c r="AJ9" s="1178">
        <v>0.25</v>
      </c>
      <c r="AK9" s="1178">
        <v>0.25</v>
      </c>
      <c r="AL9" s="1178">
        <f>VLOOKUP($B9,TableF1a!$B$8:$R$42,AL$1,0)</f>
        <v>0.25</v>
      </c>
      <c r="AM9" s="1178">
        <f>VLOOKUP($B9,TableF1a!$B$8:$R$42,AM$1,0)</f>
        <v>0.25</v>
      </c>
      <c r="AN9" s="1158">
        <f>VLOOKUP($B9,TableF1a!$B$8:$R$42,AN$1,0)</f>
        <v>0.25</v>
      </c>
      <c r="AO9" s="528"/>
      <c r="AP9" s="789">
        <f t="shared" ref="AP9:AP44" si="1">AL9-V9</f>
        <v>-9.0000000000000024E-2</v>
      </c>
    </row>
    <row r="10" spans="2:42" x14ac:dyDescent="0.2">
      <c r="B10" s="1149" t="s">
        <v>31</v>
      </c>
      <c r="C10" s="1177">
        <v>0.48</v>
      </c>
      <c r="D10" s="1178">
        <v>0.48</v>
      </c>
      <c r="E10" s="1178">
        <v>0.45</v>
      </c>
      <c r="F10" s="1178">
        <v>0.45</v>
      </c>
      <c r="G10" s="1178">
        <v>0.45</v>
      </c>
      <c r="H10" s="1178">
        <v>0.45</v>
      </c>
      <c r="I10" s="1178">
        <v>0.43</v>
      </c>
      <c r="J10" s="1178">
        <v>0.43</v>
      </c>
      <c r="K10" s="1178">
        <v>0.43</v>
      </c>
      <c r="L10" s="1178">
        <v>0.41</v>
      </c>
      <c r="M10" s="1178">
        <v>0.39</v>
      </c>
      <c r="N10" s="1178">
        <v>0.39</v>
      </c>
      <c r="O10" s="1178">
        <v>0.4017</v>
      </c>
      <c r="P10" s="1178">
        <v>0.4017</v>
      </c>
      <c r="Q10" s="1178">
        <v>0.4017</v>
      </c>
      <c r="R10" s="1178">
        <v>0.4017</v>
      </c>
      <c r="S10" s="1178">
        <v>0.4017</v>
      </c>
      <c r="T10" s="1178">
        <v>0.4017</v>
      </c>
      <c r="U10" s="1178">
        <v>0.4017</v>
      </c>
      <c r="V10" s="1178">
        <v>0.40200000000000002</v>
      </c>
      <c r="W10" s="1178">
        <v>0.40200000000000002</v>
      </c>
      <c r="X10" s="1178">
        <v>0.4017</v>
      </c>
      <c r="Y10" s="1178">
        <v>0.33989999999999998</v>
      </c>
      <c r="Z10" s="1178">
        <v>0.33989999999999998</v>
      </c>
      <c r="AA10" s="1178">
        <v>0.33989999999999998</v>
      </c>
      <c r="AB10" s="1178">
        <v>0.33989999999999998</v>
      </c>
      <c r="AC10" s="1178">
        <v>0.33989999999999998</v>
      </c>
      <c r="AD10" s="1178">
        <v>0.33989999999999998</v>
      </c>
      <c r="AE10" s="1178">
        <v>0.33989999999999998</v>
      </c>
      <c r="AF10" s="1178">
        <v>0.33989999999999998</v>
      </c>
      <c r="AG10" s="1178">
        <v>0.33989999999999998</v>
      </c>
      <c r="AH10" s="1178">
        <v>0.33989999999999998</v>
      </c>
      <c r="AI10" s="1178">
        <v>0.33989999999999998</v>
      </c>
      <c r="AJ10" s="1178">
        <v>0.33989999999999998</v>
      </c>
      <c r="AK10" s="1178">
        <v>0.33989999999999998</v>
      </c>
      <c r="AL10" s="1178">
        <f>VLOOKUP($B10,TableF1a!$B$8:$R$42,AL$1,0)</f>
        <v>0.33990000000000004</v>
      </c>
      <c r="AM10" s="1178">
        <f>VLOOKUP($B10,TableF1a!$B$8:$R$42,AM$1,0)</f>
        <v>0.33990000000000004</v>
      </c>
      <c r="AN10" s="1158">
        <f>VLOOKUP($B10,TableF1a!$B$8:$R$42,AN$1,0)</f>
        <v>0.28999999999999998</v>
      </c>
      <c r="AP10" s="789">
        <f t="shared" si="1"/>
        <v>-6.2099999999999989E-2</v>
      </c>
    </row>
    <row r="11" spans="2:42" x14ac:dyDescent="0.2">
      <c r="B11" s="1149" t="s">
        <v>32</v>
      </c>
      <c r="C11" s="1177">
        <v>0.50919999999999999</v>
      </c>
      <c r="D11" s="1178">
        <v>0.49530000000000002</v>
      </c>
      <c r="E11" s="1178">
        <v>0.48270000000000002</v>
      </c>
      <c r="F11" s="1178">
        <v>0.4763</v>
      </c>
      <c r="G11" s="1178">
        <v>0.49430000000000002</v>
      </c>
      <c r="H11" s="1178">
        <v>0.49759999999999999</v>
      </c>
      <c r="I11" s="1178">
        <v>0.48580000000000001</v>
      </c>
      <c r="J11" s="1178">
        <v>0.41289999999999999</v>
      </c>
      <c r="K11" s="1178">
        <v>0.41339999999999999</v>
      </c>
      <c r="L11" s="1178">
        <v>0.41449999999999998</v>
      </c>
      <c r="M11" s="1178">
        <v>0.41810000000000003</v>
      </c>
      <c r="N11" s="1178">
        <v>0.42520000000000002</v>
      </c>
      <c r="O11" s="1178">
        <v>0.42559999999999998</v>
      </c>
      <c r="P11" s="1178">
        <v>0.42580000000000001</v>
      </c>
      <c r="Q11" s="1178">
        <v>0.42859999999999998</v>
      </c>
      <c r="R11" s="1178">
        <v>0.4294</v>
      </c>
      <c r="S11" s="1178">
        <v>0.4294</v>
      </c>
      <c r="T11" s="1178">
        <v>0.4294</v>
      </c>
      <c r="U11" s="1178">
        <v>0.42870000000000003</v>
      </c>
      <c r="V11" s="1178">
        <v>0.42430000000000001</v>
      </c>
      <c r="W11" s="1178">
        <v>0.40479999999999999</v>
      </c>
      <c r="X11" s="1178">
        <v>0.38019999999999998</v>
      </c>
      <c r="Y11" s="1178">
        <v>0.35870000000000002</v>
      </c>
      <c r="Z11" s="1178">
        <v>0.34379999999999999</v>
      </c>
      <c r="AA11" s="1178">
        <v>0.34179999999999999</v>
      </c>
      <c r="AB11" s="1178">
        <v>0.33929999999999999</v>
      </c>
      <c r="AC11" s="1178">
        <v>0.33950000000000002</v>
      </c>
      <c r="AD11" s="1178">
        <v>0.31430000000000002</v>
      </c>
      <c r="AE11" s="1178">
        <v>0.31019999999999998</v>
      </c>
      <c r="AF11" s="1178">
        <v>0.29360000000000003</v>
      </c>
      <c r="AG11" s="1178">
        <v>0.27639999999999998</v>
      </c>
      <c r="AH11" s="1178">
        <v>0.26140000000000002</v>
      </c>
      <c r="AI11" s="1178">
        <v>0.26140000000000002</v>
      </c>
      <c r="AJ11" s="1178">
        <v>0.26300000000000001</v>
      </c>
      <c r="AK11" s="1178">
        <v>0.26300000000000001</v>
      </c>
      <c r="AL11" s="1178">
        <f>VLOOKUP($B11,TableF1a!$B$8:$R$42,AL$1,0)</f>
        <v>0.26500000000000001</v>
      </c>
      <c r="AM11" s="1178">
        <f>VLOOKUP($B11,TableF1a!$B$8:$R$42,AM$1,0)</f>
        <v>0.26500000000000001</v>
      </c>
      <c r="AN11" s="1158">
        <f>VLOOKUP($B11,TableF1a!$B$8:$R$42,AN$1,0)</f>
        <v>0.26500000000000001</v>
      </c>
      <c r="AP11" s="789">
        <f t="shared" si="1"/>
        <v>-0.1593</v>
      </c>
    </row>
    <row r="12" spans="2:42" x14ac:dyDescent="0.2">
      <c r="B12" s="1149" t="s">
        <v>33</v>
      </c>
      <c r="C12" s="1177">
        <v>0</v>
      </c>
      <c r="D12" s="1178">
        <v>0</v>
      </c>
      <c r="E12" s="1178">
        <v>0</v>
      </c>
      <c r="F12" s="1178">
        <v>0</v>
      </c>
      <c r="G12" s="1178">
        <v>0</v>
      </c>
      <c r="H12" s="1178">
        <v>0</v>
      </c>
      <c r="I12" s="1178">
        <v>0</v>
      </c>
      <c r="J12" s="1178">
        <v>0</v>
      </c>
      <c r="K12" s="1178">
        <v>0</v>
      </c>
      <c r="L12" s="1178">
        <v>0</v>
      </c>
      <c r="M12" s="1178">
        <v>0</v>
      </c>
      <c r="N12" s="1178">
        <v>0</v>
      </c>
      <c r="O12" s="1178">
        <v>0</v>
      </c>
      <c r="P12" s="1178">
        <v>0</v>
      </c>
      <c r="Q12" s="1178">
        <v>0</v>
      </c>
      <c r="R12" s="1178">
        <v>0</v>
      </c>
      <c r="S12" s="1178">
        <v>0</v>
      </c>
      <c r="T12" s="1178">
        <v>0</v>
      </c>
      <c r="U12" s="1178">
        <v>0</v>
      </c>
      <c r="V12" s="1178">
        <v>0.15</v>
      </c>
      <c r="W12" s="1178">
        <v>0.15</v>
      </c>
      <c r="X12" s="1178">
        <v>0.15</v>
      </c>
      <c r="Y12" s="1178">
        <v>0.16</v>
      </c>
      <c r="Z12" s="1178">
        <v>0.16500000000000001</v>
      </c>
      <c r="AA12" s="1178">
        <v>0.17</v>
      </c>
      <c r="AB12" s="1178">
        <v>0.17</v>
      </c>
      <c r="AC12" s="1178">
        <v>0.17</v>
      </c>
      <c r="AD12" s="1178">
        <v>0.17</v>
      </c>
      <c r="AE12" s="1178">
        <v>0.17</v>
      </c>
      <c r="AF12" s="1178">
        <v>0.17</v>
      </c>
      <c r="AG12" s="1178">
        <v>0.2</v>
      </c>
      <c r="AH12" s="1178">
        <v>0.17</v>
      </c>
      <c r="AI12" s="1178">
        <v>0.2</v>
      </c>
      <c r="AJ12" s="1178">
        <v>0.21</v>
      </c>
      <c r="AK12" s="1178">
        <v>0.22500000000000001</v>
      </c>
      <c r="AL12" s="1178">
        <f>VLOOKUP($B12,TableF1a!$B$8:$R$42,AL$1,0)</f>
        <v>0.24</v>
      </c>
      <c r="AM12" s="1178">
        <f>VLOOKUP($B12,TableF1a!$B$8:$R$42,AM$1,0)</f>
        <v>0.255</v>
      </c>
      <c r="AN12" s="1158">
        <f>VLOOKUP($B12,TableF1a!$B$8:$R$42,AN$1,0)</f>
        <v>0.26</v>
      </c>
      <c r="AP12" s="789">
        <f t="shared" si="1"/>
        <v>0.09</v>
      </c>
    </row>
    <row r="13" spans="2:42" x14ac:dyDescent="0.2">
      <c r="B13" s="1149" t="s">
        <v>34</v>
      </c>
      <c r="C13" s="1177">
        <v>0</v>
      </c>
      <c r="D13" s="1178">
        <v>0</v>
      </c>
      <c r="E13" s="1178">
        <v>0</v>
      </c>
      <c r="F13" s="1178">
        <v>0</v>
      </c>
      <c r="G13" s="1178">
        <v>0</v>
      </c>
      <c r="H13" s="1178">
        <v>0</v>
      </c>
      <c r="I13" s="1178">
        <v>0</v>
      </c>
      <c r="J13" s="1178">
        <v>0</v>
      </c>
      <c r="K13" s="1178">
        <v>0</v>
      </c>
      <c r="L13" s="1178">
        <v>0</v>
      </c>
      <c r="M13" s="1178">
        <v>0</v>
      </c>
      <c r="N13" s="1178">
        <v>0</v>
      </c>
      <c r="O13" s="1178">
        <v>0.45</v>
      </c>
      <c r="P13" s="1178">
        <v>0.42</v>
      </c>
      <c r="Q13" s="1178">
        <v>0.41</v>
      </c>
      <c r="R13" s="1178">
        <v>0.39</v>
      </c>
      <c r="S13" s="1178">
        <v>0.39</v>
      </c>
      <c r="T13" s="1178">
        <v>0.35</v>
      </c>
      <c r="U13" s="1178">
        <v>0.35</v>
      </c>
      <c r="V13" s="1178">
        <v>0.31</v>
      </c>
      <c r="W13" s="1178">
        <v>0.31</v>
      </c>
      <c r="X13" s="1178">
        <v>0.31</v>
      </c>
      <c r="Y13" s="1178">
        <v>0.31</v>
      </c>
      <c r="Z13" s="1178">
        <v>0.28000000000000003</v>
      </c>
      <c r="AA13" s="1178">
        <v>0.26</v>
      </c>
      <c r="AB13" s="1178">
        <v>0.24</v>
      </c>
      <c r="AC13" s="1178">
        <v>0.24</v>
      </c>
      <c r="AD13" s="1178">
        <v>0.21</v>
      </c>
      <c r="AE13" s="1178">
        <v>0.2</v>
      </c>
      <c r="AF13" s="1178">
        <v>0.19</v>
      </c>
      <c r="AG13" s="1178">
        <v>0.19</v>
      </c>
      <c r="AH13" s="1178">
        <v>0.19</v>
      </c>
      <c r="AI13" s="1178">
        <v>0.19</v>
      </c>
      <c r="AJ13" s="1178">
        <v>0.19</v>
      </c>
      <c r="AK13" s="1178">
        <v>0.19</v>
      </c>
      <c r="AL13" s="1178">
        <f>VLOOKUP($B13,TableF1a!$B$8:$R$42,AL$1,0)</f>
        <v>0.19</v>
      </c>
      <c r="AM13" s="1178">
        <f>VLOOKUP($B13,TableF1a!$B$8:$R$42,AM$1,0)</f>
        <v>0.19</v>
      </c>
      <c r="AN13" s="1158">
        <f>VLOOKUP($B13,TableF1a!$B$8:$R$42,AN$1,0)</f>
        <v>0.19</v>
      </c>
      <c r="AP13" s="789">
        <f t="shared" si="1"/>
        <v>-0.12</v>
      </c>
    </row>
    <row r="14" spans="2:42" x14ac:dyDescent="0.2">
      <c r="B14" s="1149" t="s">
        <v>35</v>
      </c>
      <c r="C14" s="1177">
        <v>0.4</v>
      </c>
      <c r="D14" s="1178">
        <v>0.4</v>
      </c>
      <c r="E14" s="1178">
        <v>0.4</v>
      </c>
      <c r="F14" s="1178">
        <v>0.4</v>
      </c>
      <c r="G14" s="1178">
        <v>0.5</v>
      </c>
      <c r="H14" s="1178">
        <v>0.5</v>
      </c>
      <c r="I14" s="1178">
        <v>0.5</v>
      </c>
      <c r="J14" s="1178">
        <v>0.5</v>
      </c>
      <c r="K14" s="1178">
        <v>0.5</v>
      </c>
      <c r="L14" s="1178">
        <v>0.4</v>
      </c>
      <c r="M14" s="1178">
        <v>0.38</v>
      </c>
      <c r="N14" s="1178">
        <v>0.34</v>
      </c>
      <c r="O14" s="1178">
        <v>0.34</v>
      </c>
      <c r="P14" s="1178">
        <v>0.34</v>
      </c>
      <c r="Q14" s="1178">
        <v>0.34</v>
      </c>
      <c r="R14" s="1178">
        <v>0.34</v>
      </c>
      <c r="S14" s="1178">
        <v>0.34</v>
      </c>
      <c r="T14" s="1178">
        <v>0.34</v>
      </c>
      <c r="U14" s="1178">
        <v>0.32</v>
      </c>
      <c r="V14" s="1178">
        <v>0.32</v>
      </c>
      <c r="W14" s="1178">
        <v>0.3</v>
      </c>
      <c r="X14" s="1178">
        <v>0.3</v>
      </c>
      <c r="Y14" s="1178">
        <v>0.3</v>
      </c>
      <c r="Z14" s="1178">
        <v>0.3</v>
      </c>
      <c r="AA14" s="1178">
        <v>0.28000000000000003</v>
      </c>
      <c r="AB14" s="1178">
        <v>0.28000000000000003</v>
      </c>
      <c r="AC14" s="1178">
        <v>0.25</v>
      </c>
      <c r="AD14" s="1178">
        <v>0.25</v>
      </c>
      <c r="AE14" s="1178">
        <v>0.25</v>
      </c>
      <c r="AF14" s="1178">
        <v>0.25</v>
      </c>
      <c r="AG14" s="1178">
        <v>0.25</v>
      </c>
      <c r="AH14" s="1178">
        <v>0.25</v>
      </c>
      <c r="AI14" s="1178">
        <v>0.25</v>
      </c>
      <c r="AJ14" s="1178">
        <v>0.245</v>
      </c>
      <c r="AK14" s="1178">
        <v>0.23499999999999999</v>
      </c>
      <c r="AL14" s="1178">
        <f>VLOOKUP($B14,TableF1a!$B$8:$R$42,AL$1,0)</f>
        <v>0.22</v>
      </c>
      <c r="AM14" s="1178">
        <f>VLOOKUP($B14,TableF1a!$B$8:$R$42,AM$1,0)</f>
        <v>0.22</v>
      </c>
      <c r="AN14" s="1158">
        <f>VLOOKUP($B14,TableF1a!$B$8:$R$42,AN$1,0)</f>
        <v>0.22</v>
      </c>
      <c r="AP14" s="789">
        <f t="shared" si="1"/>
        <v>-0.1</v>
      </c>
    </row>
    <row r="15" spans="2:42" x14ac:dyDescent="0.2">
      <c r="B15" s="1088" t="s">
        <v>36</v>
      </c>
      <c r="C15" s="1177">
        <v>0</v>
      </c>
      <c r="D15" s="1178">
        <v>0</v>
      </c>
      <c r="E15" s="1178">
        <v>0</v>
      </c>
      <c r="F15" s="1178">
        <v>0</v>
      </c>
      <c r="G15" s="1178">
        <v>0</v>
      </c>
      <c r="H15" s="1178">
        <v>0</v>
      </c>
      <c r="I15" s="1178">
        <v>0</v>
      </c>
      <c r="J15" s="1178">
        <v>0</v>
      </c>
      <c r="K15" s="1178">
        <v>0</v>
      </c>
      <c r="L15" s="1178">
        <v>0</v>
      </c>
      <c r="M15" s="1178">
        <v>0</v>
      </c>
      <c r="N15" s="1178">
        <v>0</v>
      </c>
      <c r="O15" s="1178">
        <v>0</v>
      </c>
      <c r="P15" s="1178">
        <v>0</v>
      </c>
      <c r="Q15" s="1178">
        <v>0</v>
      </c>
      <c r="R15" s="1178">
        <v>0</v>
      </c>
      <c r="S15" s="1178">
        <v>0</v>
      </c>
      <c r="T15" s="1178">
        <v>0</v>
      </c>
      <c r="U15" s="1178">
        <v>0</v>
      </c>
      <c r="V15" s="1178">
        <v>0.26</v>
      </c>
      <c r="W15" s="1178">
        <v>0.26</v>
      </c>
      <c r="X15" s="1178">
        <v>0.26</v>
      </c>
      <c r="Y15" s="1178">
        <v>0.26</v>
      </c>
      <c r="Z15" s="1178">
        <v>0.26</v>
      </c>
      <c r="AA15" s="1178">
        <v>0.24</v>
      </c>
      <c r="AB15" s="1178">
        <v>0.23</v>
      </c>
      <c r="AC15" s="1178">
        <v>0.22</v>
      </c>
      <c r="AD15" s="1178">
        <v>0.21</v>
      </c>
      <c r="AE15" s="1178">
        <v>0.21</v>
      </c>
      <c r="AF15" s="1178">
        <v>0.21</v>
      </c>
      <c r="AG15" s="1178">
        <v>0.21</v>
      </c>
      <c r="AH15" s="1178">
        <v>0.21</v>
      </c>
      <c r="AI15" s="1178">
        <v>0.21</v>
      </c>
      <c r="AJ15" s="1178">
        <v>0.21</v>
      </c>
      <c r="AK15" s="1178">
        <v>0.2</v>
      </c>
      <c r="AL15" s="1178">
        <f>VLOOKUP($B15,TableF1a!$B$8:$R$42,AL$1,0)</f>
        <v>0.2</v>
      </c>
      <c r="AM15" s="1178">
        <f>VLOOKUP($B15,TableF1a!$B$8:$R$42,AM$1,0)</f>
        <v>0.2</v>
      </c>
      <c r="AN15" s="1158">
        <f>VLOOKUP($B15,TableF1a!$B$8:$R$42,AN$1,0)</f>
        <v>0.2</v>
      </c>
      <c r="AP15" s="789">
        <f t="shared" si="1"/>
        <v>-0.06</v>
      </c>
    </row>
    <row r="16" spans="2:42" x14ac:dyDescent="0.2">
      <c r="B16" s="1149" t="s">
        <v>37</v>
      </c>
      <c r="C16" s="1177">
        <v>0.61499999999999999</v>
      </c>
      <c r="D16" s="1178">
        <v>0.61750000000000005</v>
      </c>
      <c r="E16" s="1178">
        <v>0.61499999999999999</v>
      </c>
      <c r="F16" s="1178">
        <v>0.61750000000000005</v>
      </c>
      <c r="G16" s="1178">
        <v>0.61750000000000005</v>
      </c>
      <c r="H16" s="1178">
        <v>0.51500000000000001</v>
      </c>
      <c r="I16" s="1178">
        <v>0.51500000000000001</v>
      </c>
      <c r="J16" s="1178">
        <v>0.51500000000000001</v>
      </c>
      <c r="K16" s="1178">
        <v>0.52500000000000002</v>
      </c>
      <c r="L16" s="1178">
        <v>0.44500000000000001</v>
      </c>
      <c r="M16" s="1178">
        <v>0.42</v>
      </c>
      <c r="N16" s="1178">
        <v>0.39</v>
      </c>
      <c r="O16" s="1178">
        <v>0.25</v>
      </c>
      <c r="P16" s="1178">
        <v>0.25</v>
      </c>
      <c r="Q16" s="1178">
        <v>0.25</v>
      </c>
      <c r="R16" s="1178">
        <v>0.28000000000000003</v>
      </c>
      <c r="S16" s="1178">
        <v>0.28000000000000003</v>
      </c>
      <c r="T16" s="1178">
        <v>0.28000000000000003</v>
      </c>
      <c r="U16" s="1178">
        <v>0.28000000000000003</v>
      </c>
      <c r="V16" s="1178">
        <v>0.28999999999999998</v>
      </c>
      <c r="W16" s="1178">
        <v>0.28999999999999998</v>
      </c>
      <c r="X16" s="1178">
        <v>0.28999999999999998</v>
      </c>
      <c r="Y16" s="1178">
        <v>0.28999999999999998</v>
      </c>
      <c r="Z16" s="1178">
        <v>0.28999999999999998</v>
      </c>
      <c r="AA16" s="1178">
        <v>0.26</v>
      </c>
      <c r="AB16" s="1178">
        <v>0.26</v>
      </c>
      <c r="AC16" s="1178">
        <v>0.26</v>
      </c>
      <c r="AD16" s="1178">
        <v>0.26</v>
      </c>
      <c r="AE16" s="1178">
        <v>0.26</v>
      </c>
      <c r="AF16" s="1178">
        <v>0.26</v>
      </c>
      <c r="AG16" s="1178">
        <v>0.26</v>
      </c>
      <c r="AH16" s="1178">
        <v>0.245</v>
      </c>
      <c r="AI16" s="1178">
        <v>0.245</v>
      </c>
      <c r="AJ16" s="1178">
        <v>0.2</v>
      </c>
      <c r="AK16" s="1178">
        <v>0.2</v>
      </c>
      <c r="AL16" s="1178">
        <f>VLOOKUP($B16,TableF1a!$B$8:$R$42,AL$1,0)</f>
        <v>0.2</v>
      </c>
      <c r="AM16" s="1178">
        <f>VLOOKUP($B16,TableF1a!$B$8:$R$42,AM$1,0)</f>
        <v>0.2</v>
      </c>
      <c r="AN16" s="1158">
        <f>VLOOKUP($B16,TableF1a!$B$8:$R$42,AN$1,0)</f>
        <v>0.2</v>
      </c>
      <c r="AP16" s="789">
        <f t="shared" si="1"/>
        <v>-8.9999999999999969E-2</v>
      </c>
    </row>
    <row r="17" spans="1:42" x14ac:dyDescent="0.2">
      <c r="B17" s="1088" t="s">
        <v>38</v>
      </c>
      <c r="C17" s="1177">
        <v>0.5</v>
      </c>
      <c r="D17" s="1178">
        <v>0.5</v>
      </c>
      <c r="E17" s="1178">
        <v>0.5</v>
      </c>
      <c r="F17" s="1178">
        <v>0.5</v>
      </c>
      <c r="G17" s="1178">
        <v>0.5</v>
      </c>
      <c r="H17" s="1178">
        <v>0.45</v>
      </c>
      <c r="I17" s="1178">
        <v>0.45</v>
      </c>
      <c r="J17" s="1178">
        <v>0.42</v>
      </c>
      <c r="K17" s="1178">
        <v>0.42</v>
      </c>
      <c r="L17" s="1178">
        <v>0.42</v>
      </c>
      <c r="M17" s="1178">
        <v>0.42</v>
      </c>
      <c r="N17" s="1178">
        <v>0.34</v>
      </c>
      <c r="O17" s="1178">
        <v>0.33329999999999999</v>
      </c>
      <c r="P17" s="1178">
        <v>0.33329999999999999</v>
      </c>
      <c r="Q17" s="1178">
        <v>0.36659999999999998</v>
      </c>
      <c r="R17" s="1178">
        <v>0.36659999999999998</v>
      </c>
      <c r="S17" s="1178">
        <v>0.41660000000000003</v>
      </c>
      <c r="T17" s="1178">
        <v>0.41660000000000003</v>
      </c>
      <c r="U17" s="1178">
        <v>0.4</v>
      </c>
      <c r="V17" s="1178">
        <v>0.37759999999999999</v>
      </c>
      <c r="W17" s="1178">
        <v>0.36430000000000001</v>
      </c>
      <c r="X17" s="1178">
        <v>0.3543</v>
      </c>
      <c r="Y17" s="1178">
        <v>0.3543</v>
      </c>
      <c r="Z17" s="1178">
        <v>0.3543</v>
      </c>
      <c r="AA17" s="1178">
        <v>0.34949999999999998</v>
      </c>
      <c r="AB17" s="1178">
        <v>0.34429999999999999</v>
      </c>
      <c r="AC17" s="1178">
        <v>0.34429999999999999</v>
      </c>
      <c r="AD17" s="1178">
        <v>0.34429999999999999</v>
      </c>
      <c r="AE17" s="1178">
        <v>0.34429999999999999</v>
      </c>
      <c r="AF17" s="1178">
        <v>0.34429999999999999</v>
      </c>
      <c r="AG17" s="1178">
        <v>0.34429999999999999</v>
      </c>
      <c r="AH17" s="1178">
        <v>0.34429999999999999</v>
      </c>
      <c r="AI17" s="1178">
        <v>0.34429999999999999</v>
      </c>
      <c r="AJ17" s="1178">
        <v>0.34429999999999999</v>
      </c>
      <c r="AK17" s="1178">
        <v>0.34429999999999999</v>
      </c>
      <c r="AL17" s="1178">
        <f>VLOOKUP($B17,TableF1a!$B$8:$R$42,AL$1,0)</f>
        <v>0.33299999999999996</v>
      </c>
      <c r="AM17" s="1178">
        <f>VLOOKUP($B17,TableF1a!$B$8:$R$42,AM$1,0)</f>
        <v>0.33329999999999999</v>
      </c>
      <c r="AN17" s="1158">
        <f>VLOOKUP($B17,TableF1a!$B$8:$R$42,AN$1,0)</f>
        <v>0.33</v>
      </c>
      <c r="AP17" s="789">
        <f t="shared" si="1"/>
        <v>-4.4600000000000029E-2</v>
      </c>
    </row>
    <row r="18" spans="1:42" x14ac:dyDescent="0.2">
      <c r="B18" s="1149" t="s">
        <v>39</v>
      </c>
      <c r="C18" s="1177">
        <v>0.6</v>
      </c>
      <c r="D18" s="1178">
        <v>0.6</v>
      </c>
      <c r="E18" s="1178">
        <v>0.6</v>
      </c>
      <c r="F18" s="1178">
        <v>0.6</v>
      </c>
      <c r="G18" s="1178">
        <v>0.6</v>
      </c>
      <c r="H18" s="1178">
        <v>0.6</v>
      </c>
      <c r="I18" s="1178">
        <v>0.6</v>
      </c>
      <c r="J18" s="1178">
        <v>0.6</v>
      </c>
      <c r="K18" s="1178">
        <v>0.6</v>
      </c>
      <c r="L18" s="1178">
        <v>0.54545454500000001</v>
      </c>
      <c r="M18" s="1178">
        <v>0.5625</v>
      </c>
      <c r="N18" s="1178">
        <v>0.58152173900000004</v>
      </c>
      <c r="O18" s="1178">
        <v>0.56521739100000001</v>
      </c>
      <c r="P18" s="1178">
        <v>0.52173913000000005</v>
      </c>
      <c r="Q18" s="1178">
        <v>0.55108695699999999</v>
      </c>
      <c r="R18" s="1178">
        <v>0.55876068400000001</v>
      </c>
      <c r="S18" s="1178">
        <v>0.56799163200000002</v>
      </c>
      <c r="T18" s="1178">
        <v>0.56046025099999996</v>
      </c>
      <c r="U18" s="1178">
        <v>0.52033194999999999</v>
      </c>
      <c r="V18" s="1178">
        <v>0.52033194999999999</v>
      </c>
      <c r="W18" s="1178">
        <v>0.38901249999999998</v>
      </c>
      <c r="X18" s="1178">
        <v>0.38900414900000002</v>
      </c>
      <c r="Y18" s="1178">
        <v>0.40215767600000002</v>
      </c>
      <c r="Z18" s="1178">
        <v>0.38900414900000002</v>
      </c>
      <c r="AA18" s="1178">
        <v>0.38900414900000002</v>
      </c>
      <c r="AB18" s="1178">
        <v>0.38900414900000002</v>
      </c>
      <c r="AC18" s="1178">
        <v>0.38900414900000002</v>
      </c>
      <c r="AD18" s="1178">
        <v>0.30175000000000002</v>
      </c>
      <c r="AE18" s="1178">
        <v>0.30175000000000002</v>
      </c>
      <c r="AF18" s="1178">
        <v>0.30175000000000002</v>
      </c>
      <c r="AG18" s="1178">
        <v>0.30175000000000002</v>
      </c>
      <c r="AH18" s="1178">
        <v>0.30175000000000002</v>
      </c>
      <c r="AI18" s="1178">
        <v>0.30175000000000002</v>
      </c>
      <c r="AJ18" s="1178">
        <v>0.30180000000000001</v>
      </c>
      <c r="AK18" s="1178">
        <v>0.30180000000000001</v>
      </c>
      <c r="AL18" s="1178">
        <f>VLOOKUP($B18,TableF1a!$B$8:$R$42,AL$1,0)</f>
        <v>0.29719999999999996</v>
      </c>
      <c r="AM18" s="1178">
        <f>VLOOKUP($B18,TableF1a!$B$8:$R$42,AM$1,0)</f>
        <v>0.2979</v>
      </c>
      <c r="AN18" s="1158">
        <f>VLOOKUP($B18,TableF1a!$B$8:$R$42,AN$1,0)</f>
        <v>0.3</v>
      </c>
      <c r="AP18" s="789">
        <f t="shared" si="1"/>
        <v>-0.22313195000000002</v>
      </c>
    </row>
    <row r="19" spans="1:42" x14ac:dyDescent="0.2">
      <c r="B19" s="1149" t="s">
        <v>40</v>
      </c>
      <c r="C19" s="1177">
        <v>0.45</v>
      </c>
      <c r="D19" s="1178">
        <v>0.45</v>
      </c>
      <c r="E19" s="1178">
        <v>0.45</v>
      </c>
      <c r="F19" s="1178">
        <v>0.45</v>
      </c>
      <c r="G19" s="1178">
        <v>0.49</v>
      </c>
      <c r="H19" s="1178">
        <v>0.49</v>
      </c>
      <c r="I19" s="1178">
        <v>0.49</v>
      </c>
      <c r="J19" s="1178">
        <v>0.49</v>
      </c>
      <c r="K19" s="1178">
        <v>0.46</v>
      </c>
      <c r="L19" s="1178">
        <v>0.46</v>
      </c>
      <c r="M19" s="1178">
        <v>0.46</v>
      </c>
      <c r="N19" s="1178">
        <v>0.40500000000000003</v>
      </c>
      <c r="O19" s="1178">
        <v>0.35</v>
      </c>
      <c r="P19" s="1178">
        <v>0.35</v>
      </c>
      <c r="Q19" s="1178">
        <v>0.35</v>
      </c>
      <c r="R19" s="1178">
        <v>0.35</v>
      </c>
      <c r="S19" s="1178">
        <v>0.35</v>
      </c>
      <c r="T19" s="1178">
        <v>0.4</v>
      </c>
      <c r="U19" s="1178">
        <v>0.4</v>
      </c>
      <c r="V19" s="1178">
        <v>0.4</v>
      </c>
      <c r="W19" s="1178">
        <v>0.375</v>
      </c>
      <c r="X19" s="1178">
        <v>0.35</v>
      </c>
      <c r="Y19" s="1178">
        <v>0.35</v>
      </c>
      <c r="Z19" s="1178">
        <v>0.35</v>
      </c>
      <c r="AA19" s="1178">
        <v>0.32</v>
      </c>
      <c r="AB19" s="1178">
        <v>0.28999999999999998</v>
      </c>
      <c r="AC19" s="1178">
        <v>0.25</v>
      </c>
      <c r="AD19" s="1178">
        <v>0.25</v>
      </c>
      <c r="AE19" s="1178">
        <v>0.25</v>
      </c>
      <c r="AF19" s="1178">
        <v>0.24</v>
      </c>
      <c r="AG19" s="1178">
        <v>0.2</v>
      </c>
      <c r="AH19" s="1178">
        <v>0.2</v>
      </c>
      <c r="AI19" s="1178">
        <v>0.26</v>
      </c>
      <c r="AJ19" s="1178">
        <v>0.26</v>
      </c>
      <c r="AK19" s="1178">
        <v>0.26</v>
      </c>
      <c r="AL19" s="1178">
        <f>VLOOKUP($B19,TableF1a!$B$8:$R$42,AL$1,0)</f>
        <v>0.28999999999999998</v>
      </c>
      <c r="AM19" s="1178">
        <f>VLOOKUP($B19,TableF1a!$B$8:$R$42,AM$1,0)</f>
        <v>0.28999999999999998</v>
      </c>
      <c r="AN19" s="1158">
        <f>VLOOKUP($B19,TableF1a!$B$8:$R$42,AN$1,0)</f>
        <v>0.28999999999999998</v>
      </c>
      <c r="AP19" s="789">
        <f t="shared" si="1"/>
        <v>-0.11000000000000004</v>
      </c>
    </row>
    <row r="20" spans="1:42" x14ac:dyDescent="0.2">
      <c r="B20" s="1149" t="s">
        <v>41</v>
      </c>
      <c r="C20" s="1177">
        <v>0</v>
      </c>
      <c r="D20" s="1178">
        <v>0</v>
      </c>
      <c r="E20" s="1178">
        <v>0</v>
      </c>
      <c r="F20" s="1178">
        <v>0</v>
      </c>
      <c r="G20" s="1178">
        <v>0</v>
      </c>
      <c r="H20" s="1178">
        <v>0</v>
      </c>
      <c r="I20" s="1178">
        <v>0</v>
      </c>
      <c r="J20" s="1178">
        <v>0</v>
      </c>
      <c r="K20" s="1178">
        <v>0.5</v>
      </c>
      <c r="L20" s="1178">
        <v>0.4</v>
      </c>
      <c r="M20" s="1178">
        <v>0.4</v>
      </c>
      <c r="N20" s="1178">
        <v>0.4</v>
      </c>
      <c r="O20" s="1178">
        <v>0.4</v>
      </c>
      <c r="P20" s="1178">
        <v>0.36</v>
      </c>
      <c r="Q20" s="1178">
        <v>0.18</v>
      </c>
      <c r="R20" s="1178">
        <v>0.18</v>
      </c>
      <c r="S20" s="1178">
        <v>0.18</v>
      </c>
      <c r="T20" s="1178">
        <v>0.18</v>
      </c>
      <c r="U20" s="1178">
        <v>0.18</v>
      </c>
      <c r="V20" s="1178">
        <v>0.18</v>
      </c>
      <c r="W20" s="1178">
        <v>0.18</v>
      </c>
      <c r="X20" s="1178">
        <v>0.18</v>
      </c>
      <c r="Y20" s="1178">
        <v>0.18</v>
      </c>
      <c r="Z20" s="1178">
        <v>0.16</v>
      </c>
      <c r="AA20" s="1178">
        <v>0.16</v>
      </c>
      <c r="AB20" s="1178">
        <v>0.17330000000000001</v>
      </c>
      <c r="AC20" s="1178">
        <v>0.2</v>
      </c>
      <c r="AD20" s="1178">
        <v>0.2</v>
      </c>
      <c r="AE20" s="1178">
        <v>0.2</v>
      </c>
      <c r="AF20" s="1178">
        <v>0.19</v>
      </c>
      <c r="AG20" s="1178">
        <v>0.19</v>
      </c>
      <c r="AH20" s="1178">
        <v>0.19</v>
      </c>
      <c r="AI20" s="1178">
        <v>0.19</v>
      </c>
      <c r="AJ20" s="1178">
        <v>0.19</v>
      </c>
      <c r="AK20" s="1178">
        <v>0.19</v>
      </c>
      <c r="AL20" s="1178">
        <f>VLOOKUP($B20,TableF1a!$B$8:$R$42,AL$1,0)</f>
        <v>0.19</v>
      </c>
      <c r="AM20" s="1178">
        <f>VLOOKUP($B20,TableF1a!$B$8:$R$42,AM$1,0)</f>
        <v>0.09</v>
      </c>
      <c r="AN20" s="1158">
        <f>VLOOKUP($B20,TableF1a!$B$8:$R$42,AN$1,0)</f>
        <v>0.09</v>
      </c>
      <c r="AP20" s="789">
        <f t="shared" si="1"/>
        <v>1.0000000000000009E-2</v>
      </c>
    </row>
    <row r="21" spans="1:42" x14ac:dyDescent="0.2">
      <c r="B21" s="1149" t="s">
        <v>42</v>
      </c>
      <c r="C21" s="1177">
        <v>0</v>
      </c>
      <c r="D21" s="1178">
        <v>0</v>
      </c>
      <c r="E21" s="1178">
        <v>0</v>
      </c>
      <c r="F21" s="1178">
        <v>0</v>
      </c>
      <c r="G21" s="1178">
        <v>0</v>
      </c>
      <c r="H21" s="1178">
        <v>0</v>
      </c>
      <c r="I21" s="1178">
        <v>0</v>
      </c>
      <c r="J21" s="1178">
        <v>0</v>
      </c>
      <c r="K21" s="1178">
        <v>0</v>
      </c>
      <c r="L21" s="1178">
        <v>0</v>
      </c>
      <c r="M21" s="1178">
        <v>0</v>
      </c>
      <c r="N21" s="1178">
        <v>0</v>
      </c>
      <c r="O21" s="1178">
        <v>0</v>
      </c>
      <c r="P21" s="1178">
        <v>0</v>
      </c>
      <c r="Q21" s="1178">
        <v>0</v>
      </c>
      <c r="R21" s="1178">
        <v>0</v>
      </c>
      <c r="S21" s="1178">
        <v>0</v>
      </c>
      <c r="T21" s="1178">
        <v>0</v>
      </c>
      <c r="U21" s="1178">
        <v>0</v>
      </c>
      <c r="V21" s="1178">
        <v>0.3</v>
      </c>
      <c r="W21" s="1178">
        <v>0.3</v>
      </c>
      <c r="X21" s="1178">
        <v>0.18</v>
      </c>
      <c r="Y21" s="1178">
        <v>0.18</v>
      </c>
      <c r="Z21" s="1178">
        <v>0.18</v>
      </c>
      <c r="AA21" s="1178">
        <v>0.18</v>
      </c>
      <c r="AB21" s="1178">
        <v>0.18</v>
      </c>
      <c r="AC21" s="1178">
        <v>0.18</v>
      </c>
      <c r="AD21" s="1178">
        <v>0.15</v>
      </c>
      <c r="AE21" s="1178">
        <v>0.15</v>
      </c>
      <c r="AF21" s="1178">
        <v>0.18</v>
      </c>
      <c r="AG21" s="1178">
        <v>0.2</v>
      </c>
      <c r="AH21" s="1178">
        <v>0.2</v>
      </c>
      <c r="AI21" s="1178">
        <v>0.2</v>
      </c>
      <c r="AJ21" s="1178">
        <v>0.2</v>
      </c>
      <c r="AK21" s="1178">
        <v>0.2</v>
      </c>
      <c r="AL21" s="1178">
        <f>VLOOKUP($B21,TableF1a!$B$8:$R$42,AL$1,0)</f>
        <v>0.2</v>
      </c>
      <c r="AM21" s="1178">
        <f>VLOOKUP($B21,TableF1a!$B$8:$R$42,AM$1,0)</f>
        <v>0.2</v>
      </c>
      <c r="AN21" s="1158">
        <f>VLOOKUP($B21,TableF1a!$B$8:$R$42,AN$1,0)</f>
        <v>0.2</v>
      </c>
      <c r="AP21" s="789">
        <f t="shared" si="1"/>
        <v>-9.9999999999999978E-2</v>
      </c>
    </row>
    <row r="22" spans="1:42" x14ac:dyDescent="0.2">
      <c r="B22" s="1149" t="s">
        <v>43</v>
      </c>
      <c r="C22" s="1177">
        <v>0.45</v>
      </c>
      <c r="D22" s="1178">
        <v>0.5</v>
      </c>
      <c r="E22" s="1178">
        <v>0.5</v>
      </c>
      <c r="F22" s="1178">
        <v>0.5</v>
      </c>
      <c r="G22" s="1178">
        <v>0.5</v>
      </c>
      <c r="H22" s="1178">
        <v>0.5</v>
      </c>
      <c r="I22" s="1178">
        <v>0.5</v>
      </c>
      <c r="J22" s="1178">
        <v>0.47</v>
      </c>
      <c r="K22" s="1178">
        <v>0.43</v>
      </c>
      <c r="L22" s="1178">
        <v>0.43</v>
      </c>
      <c r="M22" s="1178">
        <v>0.4</v>
      </c>
      <c r="N22" s="1178">
        <v>0.4</v>
      </c>
      <c r="O22" s="1178">
        <v>0.4</v>
      </c>
      <c r="P22" s="1178">
        <v>0.4</v>
      </c>
      <c r="Q22" s="1178">
        <v>0.38</v>
      </c>
      <c r="R22" s="1178">
        <v>0.36</v>
      </c>
      <c r="S22" s="1178">
        <v>0.36</v>
      </c>
      <c r="T22" s="1178">
        <v>0.32</v>
      </c>
      <c r="U22" s="1178">
        <v>0.28000000000000003</v>
      </c>
      <c r="V22" s="1178">
        <v>0.24</v>
      </c>
      <c r="W22" s="1178">
        <v>0.2</v>
      </c>
      <c r="X22" s="1178">
        <v>0.16</v>
      </c>
      <c r="Y22" s="1178">
        <v>0.125</v>
      </c>
      <c r="Z22" s="1178">
        <v>0.125</v>
      </c>
      <c r="AA22" s="1178">
        <v>0.125</v>
      </c>
      <c r="AB22" s="1178">
        <v>0.125</v>
      </c>
      <c r="AC22" s="1178">
        <v>0.125</v>
      </c>
      <c r="AD22" s="1178">
        <v>0.125</v>
      </c>
      <c r="AE22" s="1178">
        <v>0.125</v>
      </c>
      <c r="AF22" s="1178">
        <v>0.125</v>
      </c>
      <c r="AG22" s="1178">
        <v>0.125</v>
      </c>
      <c r="AH22" s="1178">
        <v>0.125</v>
      </c>
      <c r="AI22" s="1178">
        <v>0.125</v>
      </c>
      <c r="AJ22" s="1178">
        <v>0.125</v>
      </c>
      <c r="AK22" s="1178">
        <v>0.125</v>
      </c>
      <c r="AL22" s="1178">
        <f>VLOOKUP($B22,TableF1a!$B$8:$R$42,AL$1,0)</f>
        <v>0.125</v>
      </c>
      <c r="AM22" s="1178">
        <f>VLOOKUP($B22,TableF1a!$B$8:$R$42,AM$1,0)</f>
        <v>0.125</v>
      </c>
      <c r="AN22" s="1158">
        <f>VLOOKUP($B22,TableF1a!$B$8:$R$42,AN$1,0)</f>
        <v>0.125</v>
      </c>
      <c r="AP22" s="789">
        <f t="shared" si="1"/>
        <v>-0.11499999999999999</v>
      </c>
    </row>
    <row r="23" spans="1:42" x14ac:dyDescent="0.2">
      <c r="B23" s="1149" t="s">
        <v>44</v>
      </c>
      <c r="C23" s="1177">
        <v>0</v>
      </c>
      <c r="D23" s="1178">
        <v>0</v>
      </c>
      <c r="E23" s="1178">
        <v>0</v>
      </c>
      <c r="F23" s="1178">
        <v>0</v>
      </c>
      <c r="G23" s="1178">
        <v>0</v>
      </c>
      <c r="H23" s="1178">
        <v>0</v>
      </c>
      <c r="I23" s="1178">
        <v>0</v>
      </c>
      <c r="J23" s="1178">
        <v>0</v>
      </c>
      <c r="K23" s="1178">
        <v>0</v>
      </c>
      <c r="L23" s="1178">
        <v>0</v>
      </c>
      <c r="M23" s="1178">
        <v>0</v>
      </c>
      <c r="N23" s="1178">
        <v>0</v>
      </c>
      <c r="O23" s="1178">
        <v>0</v>
      </c>
      <c r="P23" s="1178">
        <v>0</v>
      </c>
      <c r="Q23" s="1178">
        <v>0</v>
      </c>
      <c r="R23" s="1178">
        <v>0</v>
      </c>
      <c r="S23" s="1178">
        <v>0</v>
      </c>
      <c r="T23" s="1178">
        <v>0</v>
      </c>
      <c r="U23" s="1178">
        <v>0</v>
      </c>
      <c r="V23" s="1178">
        <v>0.36</v>
      </c>
      <c r="W23" s="1178">
        <v>0.36</v>
      </c>
      <c r="X23" s="1178">
        <v>0.36</v>
      </c>
      <c r="Y23" s="1178">
        <v>0.36</v>
      </c>
      <c r="Z23" s="1178">
        <v>0.35</v>
      </c>
      <c r="AA23" s="1178">
        <v>0.34</v>
      </c>
      <c r="AB23" s="1178">
        <v>0.31</v>
      </c>
      <c r="AC23" s="1178">
        <v>0.28999999999999998</v>
      </c>
      <c r="AD23" s="1178">
        <v>0.27</v>
      </c>
      <c r="AE23" s="1178">
        <v>0.26</v>
      </c>
      <c r="AF23" s="1178">
        <v>0.25</v>
      </c>
      <c r="AG23" s="1178">
        <v>0.24</v>
      </c>
      <c r="AH23" s="1178">
        <v>0.25</v>
      </c>
      <c r="AI23" s="1178">
        <v>0.25</v>
      </c>
      <c r="AJ23" s="1178">
        <v>0.26500000000000001</v>
      </c>
      <c r="AK23" s="1178">
        <v>0.26500000000000001</v>
      </c>
      <c r="AL23" s="1178">
        <f>VLOOKUP($B23,TableF1a!$B$8:$R$42,AL$1,0)</f>
        <v>0.25</v>
      </c>
      <c r="AM23" s="1178">
        <f>VLOOKUP($B23,TableF1a!$B$8:$R$42,AM$1,0)</f>
        <v>0.24</v>
      </c>
      <c r="AN23" s="1158">
        <f>VLOOKUP($B23,TableF1a!$B$8:$R$42,AN$1,0)</f>
        <v>0.23</v>
      </c>
      <c r="AP23" s="789">
        <f t="shared" si="1"/>
        <v>-0.10999999999999999</v>
      </c>
    </row>
    <row r="24" spans="1:42" x14ac:dyDescent="0.2">
      <c r="B24" s="1149" t="s">
        <v>45</v>
      </c>
      <c r="C24" s="1177">
        <v>0.36249999999999999</v>
      </c>
      <c r="D24" s="1178">
        <v>0.41339999999999999</v>
      </c>
      <c r="E24" s="1178">
        <v>0.46400000000000002</v>
      </c>
      <c r="F24" s="1178">
        <v>0.46400000000000002</v>
      </c>
      <c r="G24" s="1178">
        <v>0.46400000000000002</v>
      </c>
      <c r="H24" s="1178">
        <v>0.46400000000000002</v>
      </c>
      <c r="I24" s="1178">
        <v>0.46400000000000002</v>
      </c>
      <c r="J24" s="1178">
        <v>0.46400000000000002</v>
      </c>
      <c r="K24" s="1178">
        <v>0.46400000000000002</v>
      </c>
      <c r="L24" s="1178">
        <v>0.46400000000000002</v>
      </c>
      <c r="M24" s="1178">
        <v>0.47799999999999998</v>
      </c>
      <c r="N24" s="1178">
        <v>0.52200000000000002</v>
      </c>
      <c r="O24" s="1178">
        <v>0.52200000000000002</v>
      </c>
      <c r="P24" s="1178">
        <v>0.53200000000000003</v>
      </c>
      <c r="Q24" s="1178">
        <v>0.53200000000000003</v>
      </c>
      <c r="R24" s="1178">
        <v>0.53200000000000003</v>
      </c>
      <c r="S24" s="1178">
        <v>0.53200000000000003</v>
      </c>
      <c r="T24" s="1178">
        <v>0.37</v>
      </c>
      <c r="U24" s="1178">
        <v>0.37</v>
      </c>
      <c r="V24" s="1178">
        <v>0.37</v>
      </c>
      <c r="W24" s="1178">
        <v>0.36</v>
      </c>
      <c r="X24" s="1178">
        <v>0.36</v>
      </c>
      <c r="Y24" s="1178">
        <v>0.34</v>
      </c>
      <c r="Z24" s="1178">
        <v>0.33</v>
      </c>
      <c r="AA24" s="1178">
        <v>0.33</v>
      </c>
      <c r="AB24" s="1178">
        <v>0.33</v>
      </c>
      <c r="AC24" s="1178">
        <v>0.33</v>
      </c>
      <c r="AD24" s="1178">
        <v>0.27500000000000002</v>
      </c>
      <c r="AE24" s="1178">
        <v>0.27500000000000002</v>
      </c>
      <c r="AF24" s="1178">
        <v>0.27500000000000002</v>
      </c>
      <c r="AG24" s="1178">
        <v>0.27500000000000002</v>
      </c>
      <c r="AH24" s="1178">
        <v>0.27500000000000002</v>
      </c>
      <c r="AI24" s="1178">
        <v>0.27500000000000002</v>
      </c>
      <c r="AJ24" s="1178">
        <v>0.27500000000000002</v>
      </c>
      <c r="AK24" s="1178">
        <v>0.27500000000000002</v>
      </c>
      <c r="AL24" s="1178">
        <f>VLOOKUP($B24,TableF1a!$B$8:$R$42,AL$1,0)</f>
        <v>0.314</v>
      </c>
      <c r="AM24" s="1178">
        <f>VLOOKUP($B24,TableF1a!$B$8:$R$42,AM$1,0)</f>
        <v>0.24</v>
      </c>
      <c r="AN24" s="1158">
        <f>VLOOKUP($B24,TableF1a!$B$8:$R$42,AN$1,0)</f>
        <v>0.24</v>
      </c>
      <c r="AP24" s="789">
        <f t="shared" si="1"/>
        <v>-5.5999999999999994E-2</v>
      </c>
    </row>
    <row r="25" spans="1:42" x14ac:dyDescent="0.2">
      <c r="B25" s="1149" t="s">
        <v>46</v>
      </c>
      <c r="C25" s="1177">
        <v>0</v>
      </c>
      <c r="D25" s="1178">
        <v>0</v>
      </c>
      <c r="E25" s="1178">
        <v>0</v>
      </c>
      <c r="F25" s="1178">
        <v>0</v>
      </c>
      <c r="G25" s="1178">
        <v>0</v>
      </c>
      <c r="H25" s="1178">
        <v>0</v>
      </c>
      <c r="I25" s="1178">
        <v>0</v>
      </c>
      <c r="J25" s="1178">
        <v>0</v>
      </c>
      <c r="K25" s="1178">
        <v>0</v>
      </c>
      <c r="L25" s="1178">
        <v>0.49980000000000002</v>
      </c>
      <c r="M25" s="1178">
        <v>0.49980000000000002</v>
      </c>
      <c r="N25" s="1178">
        <v>0.49980000000000002</v>
      </c>
      <c r="O25" s="1178">
        <v>0.49980000000000002</v>
      </c>
      <c r="P25" s="1178">
        <v>0.49980000000000002</v>
      </c>
      <c r="Q25" s="1178">
        <v>0.49980000000000002</v>
      </c>
      <c r="R25" s="1178">
        <v>0.49980000000000002</v>
      </c>
      <c r="S25" s="1178">
        <v>0.49980000000000002</v>
      </c>
      <c r="T25" s="1178">
        <v>0.46360000000000001</v>
      </c>
      <c r="U25" s="1178">
        <v>0.40870000000000001</v>
      </c>
      <c r="V25" s="1178">
        <v>0.40870000000000001</v>
      </c>
      <c r="W25" s="1178">
        <v>0.40870000000000001</v>
      </c>
      <c r="X25" s="1178">
        <v>0.40870000000000001</v>
      </c>
      <c r="Y25" s="1178">
        <v>0.40870000000000001</v>
      </c>
      <c r="Z25" s="1178">
        <v>0.39539999999999997</v>
      </c>
      <c r="AA25" s="1178">
        <v>0.39539999999999997</v>
      </c>
      <c r="AB25" s="1178">
        <v>0.39539999999999997</v>
      </c>
      <c r="AC25" s="1178">
        <v>0.39539999999999997</v>
      </c>
      <c r="AD25" s="1178">
        <v>0.39539999999999997</v>
      </c>
      <c r="AE25" s="1178">
        <v>0.39539999999999997</v>
      </c>
      <c r="AF25" s="1178">
        <v>0.39539999999999997</v>
      </c>
      <c r="AG25" s="1178">
        <v>0.39539999999999997</v>
      </c>
      <c r="AH25" s="1178">
        <v>0.39539999999999997</v>
      </c>
      <c r="AI25" s="1178">
        <v>0.37</v>
      </c>
      <c r="AJ25" s="1178">
        <v>0.36990000000000001</v>
      </c>
      <c r="AK25" s="1178">
        <v>0.3211</v>
      </c>
      <c r="AL25" s="1178">
        <f>VLOOKUP($B25,TableF1a!$B$8:$R$42,AL$1,0)</f>
        <v>0.30859999999999999</v>
      </c>
      <c r="AM25" s="1178">
        <f>VLOOKUP($B25,TableF1a!$B$8:$R$42,AM$1,0)</f>
        <v>0.30859999999999999</v>
      </c>
      <c r="AN25" s="1158">
        <f>VLOOKUP($B25,TableF1a!$B$8:$R$42,AN$1,0)</f>
        <v>0.30859999999999999</v>
      </c>
      <c r="AP25" s="789">
        <f t="shared" si="1"/>
        <v>-0.10010000000000002</v>
      </c>
    </row>
    <row r="26" spans="1:42" x14ac:dyDescent="0.2">
      <c r="A26" t="s">
        <v>637</v>
      </c>
      <c r="B26" s="1149" t="s">
        <v>47</v>
      </c>
      <c r="C26" s="1177">
        <v>0</v>
      </c>
      <c r="D26" s="1178">
        <v>0</v>
      </c>
      <c r="E26" s="1178">
        <v>0</v>
      </c>
      <c r="F26" s="1178">
        <v>0</v>
      </c>
      <c r="G26" s="1178">
        <v>0</v>
      </c>
      <c r="H26" s="1178">
        <v>0</v>
      </c>
      <c r="I26" s="1178">
        <v>0</v>
      </c>
      <c r="J26" s="1178">
        <v>0</v>
      </c>
      <c r="K26" s="1178">
        <v>0</v>
      </c>
      <c r="L26" s="1178">
        <v>0</v>
      </c>
      <c r="M26" s="1178">
        <v>0</v>
      </c>
      <c r="N26" s="1178">
        <v>0</v>
      </c>
      <c r="O26" s="1178">
        <v>0</v>
      </c>
      <c r="P26" s="1178">
        <v>0</v>
      </c>
      <c r="Q26" s="1178">
        <v>0</v>
      </c>
      <c r="R26" s="1178">
        <v>0</v>
      </c>
      <c r="S26" s="1178">
        <v>0</v>
      </c>
      <c r="T26" s="1178">
        <v>0</v>
      </c>
      <c r="U26" s="1178">
        <v>0</v>
      </c>
      <c r="V26" s="1178">
        <v>0.308</v>
      </c>
      <c r="W26" s="1178">
        <v>0.308</v>
      </c>
      <c r="X26" s="1178">
        <v>0.29699999999999999</v>
      </c>
      <c r="Y26" s="1178">
        <v>0.29699999999999999</v>
      </c>
      <c r="Z26" s="1178">
        <v>0.29699999999999999</v>
      </c>
      <c r="AA26" s="1178">
        <v>0.27500000000000002</v>
      </c>
      <c r="AB26" s="1178">
        <v>0.27500000000000002</v>
      </c>
      <c r="AC26" s="1178">
        <v>0.27500000000000002</v>
      </c>
      <c r="AD26" s="1178">
        <v>0.27500000000000002</v>
      </c>
      <c r="AE26" s="1178">
        <v>0.24199999999999999</v>
      </c>
      <c r="AF26" s="1178">
        <v>0.24199999999999999</v>
      </c>
      <c r="AG26" s="1178">
        <v>0.24199999999999999</v>
      </c>
      <c r="AH26" s="1178">
        <v>0.24199999999999999</v>
      </c>
      <c r="AI26" s="1178">
        <v>0.24199999999999999</v>
      </c>
      <c r="AJ26" s="1178">
        <v>0.24199999999999999</v>
      </c>
      <c r="AK26" s="1178">
        <v>0.24199999999999999</v>
      </c>
      <c r="AL26" s="1178">
        <f>VLOOKUP($B26,TableF1a!$B$8:$R$42,AL$1,0)</f>
        <v>0.24199999999999999</v>
      </c>
      <c r="AM26" s="1178">
        <f>VLOOKUP($B26,TableF1a!$B$8:$R$42,AM$1,0)</f>
        <v>0.22</v>
      </c>
      <c r="AN26" s="1158">
        <f>VLOOKUP($B26,TableF1a!$B$8:$R$42,AN$1,0)</f>
        <v>0.25</v>
      </c>
      <c r="AP26" s="789">
        <f t="shared" si="1"/>
        <v>-6.6000000000000003E-2</v>
      </c>
    </row>
    <row r="27" spans="1:42" x14ac:dyDescent="0.2">
      <c r="B27" s="1148" t="s">
        <v>48</v>
      </c>
      <c r="C27" s="1177"/>
      <c r="D27" s="1178"/>
      <c r="E27" s="1178"/>
      <c r="F27" s="1178"/>
      <c r="G27" s="1178"/>
      <c r="H27" s="1178"/>
      <c r="I27" s="1178"/>
      <c r="J27" s="1178"/>
      <c r="K27" s="1178"/>
      <c r="L27" s="1178"/>
      <c r="M27" s="1178"/>
      <c r="N27" s="1178"/>
      <c r="O27" s="1178"/>
      <c r="P27" s="1178"/>
      <c r="Q27" s="1178"/>
      <c r="R27" s="1178"/>
      <c r="S27" s="1178"/>
      <c r="T27" s="1178"/>
      <c r="U27" s="1178"/>
      <c r="V27" s="1178"/>
      <c r="W27" s="1178"/>
      <c r="X27" s="1178"/>
      <c r="Y27" s="1178">
        <f>+TableF1a!C27</f>
        <v>0.19</v>
      </c>
      <c r="Z27" s="1178">
        <f>+TableF1a!D27</f>
        <v>0.15</v>
      </c>
      <c r="AA27" s="1178">
        <f>+TableF1a!E27</f>
        <v>0.15</v>
      </c>
      <c r="AB27" s="1178">
        <f>+TableF1a!F27</f>
        <v>0.15</v>
      </c>
      <c r="AC27" s="1178">
        <f>+TableF1a!G27</f>
        <v>0.15</v>
      </c>
      <c r="AD27" s="1178">
        <f>+TableF1a!H27</f>
        <v>0.15</v>
      </c>
      <c r="AE27" s="1178">
        <f>+TableF1a!I27</f>
        <v>0.15</v>
      </c>
      <c r="AF27" s="1178">
        <f>+TableF1a!J27</f>
        <v>0.15</v>
      </c>
      <c r="AG27" s="1178">
        <f>+TableF1a!K27</f>
        <v>0.15</v>
      </c>
      <c r="AH27" s="1178">
        <f>+TableF1a!L27</f>
        <v>0.15</v>
      </c>
      <c r="AI27" s="1178">
        <f>+TableF1a!M27</f>
        <v>0.15</v>
      </c>
      <c r="AJ27" s="1178">
        <f>+TableF1a!N27</f>
        <v>0.15</v>
      </c>
      <c r="AK27" s="1178">
        <f>+TableF1a!O27</f>
        <v>0.15</v>
      </c>
      <c r="AL27" s="1178">
        <f>VLOOKUP($B27,TableF1a!$B$8:$R$42,AL$1,0)</f>
        <v>0.15</v>
      </c>
      <c r="AM27" s="1178">
        <f>VLOOKUP($B27,TableF1a!$B$8:$R$42,AM$1,0)</f>
        <v>0.15</v>
      </c>
      <c r="AN27" s="1158">
        <f>VLOOKUP($B27,TableF1a!$B$8:$R$42,AN$1,0)</f>
        <v>0.2</v>
      </c>
      <c r="AP27" s="789">
        <f t="shared" si="1"/>
        <v>0.15</v>
      </c>
    </row>
    <row r="28" spans="1:42" x14ac:dyDescent="0.2">
      <c r="B28" s="1148" t="s">
        <v>49</v>
      </c>
      <c r="C28" s="1177">
        <v>0</v>
      </c>
      <c r="D28" s="1178">
        <v>0</v>
      </c>
      <c r="E28" s="1178">
        <v>0</v>
      </c>
      <c r="F28" s="1178">
        <v>0</v>
      </c>
      <c r="G28" s="1178">
        <v>0</v>
      </c>
      <c r="H28" s="1178">
        <v>0</v>
      </c>
      <c r="I28" s="1178">
        <v>0</v>
      </c>
      <c r="J28" s="1178">
        <v>0</v>
      </c>
      <c r="K28" s="1178">
        <v>0</v>
      </c>
      <c r="L28" s="1178">
        <v>0</v>
      </c>
      <c r="M28" s="1178">
        <v>0</v>
      </c>
      <c r="N28" s="1178">
        <v>0</v>
      </c>
      <c r="O28" s="1178">
        <v>0</v>
      </c>
      <c r="P28" s="1178">
        <v>0</v>
      </c>
      <c r="Q28" s="1178">
        <v>0</v>
      </c>
      <c r="R28" s="1178">
        <v>0</v>
      </c>
      <c r="S28" s="1178">
        <v>0</v>
      </c>
      <c r="T28" s="1178">
        <v>0</v>
      </c>
      <c r="U28" s="1178">
        <v>0</v>
      </c>
      <c r="V28" s="1178">
        <v>0.3745</v>
      </c>
      <c r="W28" s="1178">
        <v>0.3745</v>
      </c>
      <c r="X28" s="1178">
        <v>0.30380000000000001</v>
      </c>
      <c r="Y28" s="1178">
        <v>0.30380000000000001</v>
      </c>
      <c r="Z28" s="1178">
        <v>0.30380000000000001</v>
      </c>
      <c r="AA28" s="1178">
        <v>0.30380000000000001</v>
      </c>
      <c r="AB28" s="1178">
        <v>0.29630000000000001</v>
      </c>
      <c r="AC28" s="1178">
        <v>0.29630000000000001</v>
      </c>
      <c r="AD28" s="1178">
        <v>0.29630000000000001</v>
      </c>
      <c r="AE28" s="1178">
        <v>0.28589999999999999</v>
      </c>
      <c r="AF28" s="1178">
        <v>0.28589999999999999</v>
      </c>
      <c r="AG28" s="1178">
        <v>0.28799999999999998</v>
      </c>
      <c r="AH28" s="1178">
        <v>0.28799999999999998</v>
      </c>
      <c r="AI28" s="1178">
        <v>0.29220000000000002</v>
      </c>
      <c r="AJ28" s="1178">
        <v>0.29220000000000002</v>
      </c>
      <c r="AK28" s="1178">
        <v>0.29220000000000002</v>
      </c>
      <c r="AL28" s="1178">
        <f>VLOOKUP($B28,TableF1a!$B$8:$R$42,AL$1,0)</f>
        <v>0.29220000000000002</v>
      </c>
      <c r="AM28" s="1178">
        <f>VLOOKUP($B28,TableF1a!$B$8:$R$42,AM$1,0)</f>
        <v>0.27079999999999999</v>
      </c>
      <c r="AN28" s="1158">
        <f>VLOOKUP($B28,TableF1a!$B$8:$R$42,AN$1,0)</f>
        <v>0.2601</v>
      </c>
      <c r="AP28" s="789">
        <f t="shared" si="1"/>
        <v>-8.2299999999999984E-2</v>
      </c>
    </row>
    <row r="29" spans="1:42" x14ac:dyDescent="0.2">
      <c r="B29" s="1148" t="s">
        <v>50</v>
      </c>
      <c r="C29" s="1177">
        <v>0.42</v>
      </c>
      <c r="D29" s="1178">
        <v>0.42</v>
      </c>
      <c r="E29" s="1178">
        <v>0.42</v>
      </c>
      <c r="F29" s="1178">
        <v>0.42</v>
      </c>
      <c r="G29" s="1178">
        <v>0.42</v>
      </c>
      <c r="H29" s="1178">
        <v>0.42</v>
      </c>
      <c r="I29" s="1178">
        <v>0.40600000000000003</v>
      </c>
      <c r="J29" s="1178">
        <v>0.39200000000000002</v>
      </c>
      <c r="K29" s="1178">
        <v>0.37</v>
      </c>
      <c r="L29" s="1178">
        <v>0.36</v>
      </c>
      <c r="M29" s="1178">
        <v>0.35</v>
      </c>
      <c r="N29" s="1178">
        <v>0.35</v>
      </c>
      <c r="O29" s="1178">
        <v>0.34799999999999998</v>
      </c>
      <c r="P29" s="1178">
        <v>0.34</v>
      </c>
      <c r="Q29" s="1178">
        <v>0.34</v>
      </c>
      <c r="R29" s="1178">
        <v>0.34</v>
      </c>
      <c r="S29" s="1178">
        <v>0.34</v>
      </c>
      <c r="T29" s="1178">
        <v>0.34</v>
      </c>
      <c r="U29" s="1178">
        <v>0.35</v>
      </c>
      <c r="V29" s="1178">
        <v>0.35</v>
      </c>
      <c r="W29" s="1178">
        <v>0.35</v>
      </c>
      <c r="X29" s="1178">
        <v>0.35</v>
      </c>
      <c r="Y29" s="1178">
        <v>0.34</v>
      </c>
      <c r="Z29" s="1178">
        <v>0.33</v>
      </c>
      <c r="AA29" s="1178">
        <v>0.3</v>
      </c>
      <c r="AB29" s="1178">
        <v>0.28999999999999998</v>
      </c>
      <c r="AC29" s="1178">
        <v>0.28000000000000003</v>
      </c>
      <c r="AD29" s="1178">
        <v>0.28000000000000003</v>
      </c>
      <c r="AE29" s="1178">
        <v>0.28000000000000003</v>
      </c>
      <c r="AF29" s="1178">
        <v>0.3</v>
      </c>
      <c r="AG29" s="1178">
        <v>0.3</v>
      </c>
      <c r="AH29" s="1178">
        <v>0.3</v>
      </c>
      <c r="AI29" s="1178">
        <v>0.3</v>
      </c>
      <c r="AJ29" s="1178">
        <v>0.3</v>
      </c>
      <c r="AK29" s="1178">
        <v>0.3</v>
      </c>
      <c r="AL29" s="1178">
        <f>VLOOKUP($B29,TableF1a!$B$8:$R$42,AL$1,0)</f>
        <v>0.3</v>
      </c>
      <c r="AM29" s="1178">
        <f>VLOOKUP($B29,TableF1a!$B$8:$R$42,AM$1,0)</f>
        <v>0.3</v>
      </c>
      <c r="AN29" s="1158">
        <f>VLOOKUP($B29,TableF1a!$B$8:$R$42,AN$1,0)</f>
        <v>0.3</v>
      </c>
      <c r="AP29" s="789">
        <f t="shared" si="1"/>
        <v>-4.9999999999999989E-2</v>
      </c>
    </row>
    <row r="30" spans="1:42" x14ac:dyDescent="0.2">
      <c r="B30" s="1148" t="s">
        <v>51</v>
      </c>
      <c r="C30" s="1177">
        <v>0.48</v>
      </c>
      <c r="D30" s="1178">
        <v>0.48</v>
      </c>
      <c r="E30" s="1178">
        <v>0.48</v>
      </c>
      <c r="F30" s="1178">
        <v>0.43</v>
      </c>
      <c r="G30" s="1178">
        <v>0.43</v>
      </c>
      <c r="H30" s="1178">
        <v>0.42</v>
      </c>
      <c r="I30" s="1178">
        <v>0.42</v>
      </c>
      <c r="J30" s="1178">
        <v>0.42</v>
      </c>
      <c r="K30" s="1178">
        <v>0.35</v>
      </c>
      <c r="L30" s="1178">
        <v>0.35</v>
      </c>
      <c r="M30" s="1178">
        <v>0.35</v>
      </c>
      <c r="N30" s="1178">
        <v>0.35</v>
      </c>
      <c r="O30" s="1178">
        <v>0.35</v>
      </c>
      <c r="P30" s="1178">
        <v>0.35</v>
      </c>
      <c r="Q30" s="1178">
        <v>0.35</v>
      </c>
      <c r="R30" s="1178">
        <v>0.35</v>
      </c>
      <c r="S30" s="1178">
        <v>0.35</v>
      </c>
      <c r="T30" s="1178">
        <v>0.35</v>
      </c>
      <c r="U30" s="1178">
        <v>0.35</v>
      </c>
      <c r="V30" s="1178">
        <v>0.35</v>
      </c>
      <c r="W30" s="1178">
        <v>0.35</v>
      </c>
      <c r="X30" s="1178">
        <v>0.34499999999999997</v>
      </c>
      <c r="Y30" s="1178">
        <v>0.34499999999999997</v>
      </c>
      <c r="Z30" s="1178">
        <v>0.34499999999999997</v>
      </c>
      <c r="AA30" s="1178">
        <v>0.315</v>
      </c>
      <c r="AB30" s="1178">
        <v>0.29599999999999999</v>
      </c>
      <c r="AC30" s="1178">
        <v>0.255</v>
      </c>
      <c r="AD30" s="1178">
        <v>0.255</v>
      </c>
      <c r="AE30" s="1178">
        <v>0.255</v>
      </c>
      <c r="AF30" s="1178">
        <v>0.255</v>
      </c>
      <c r="AG30" s="1178">
        <v>0.25</v>
      </c>
      <c r="AH30" s="1178">
        <v>0.25</v>
      </c>
      <c r="AI30" s="1178">
        <v>0.25</v>
      </c>
      <c r="AJ30" s="1178">
        <v>0.25</v>
      </c>
      <c r="AK30" s="1178">
        <v>0.25</v>
      </c>
      <c r="AL30" s="1178">
        <f>VLOOKUP($B30,TableF1a!$B$8:$R$42,AL$1,0)</f>
        <v>0.25</v>
      </c>
      <c r="AM30" s="1178">
        <f>VLOOKUP($B30,TableF1a!$B$8:$R$42,AM$1,0)</f>
        <v>0.25</v>
      </c>
      <c r="AN30" s="1158">
        <f>VLOOKUP($B30,TableF1a!$B$8:$R$42,AN$1,0)</f>
        <v>0.25</v>
      </c>
      <c r="AP30" s="789">
        <f t="shared" si="1"/>
        <v>-9.9999999999999978E-2</v>
      </c>
    </row>
    <row r="31" spans="1:42" x14ac:dyDescent="0.2">
      <c r="B31" s="1148" t="s">
        <v>52</v>
      </c>
      <c r="C31" s="1177">
        <v>0.45</v>
      </c>
      <c r="D31" s="1178">
        <v>0.45</v>
      </c>
      <c r="E31" s="1178">
        <v>0.45</v>
      </c>
      <c r="F31" s="1178">
        <v>0.45</v>
      </c>
      <c r="G31" s="1178">
        <v>0.45</v>
      </c>
      <c r="H31" s="1178">
        <v>0.48</v>
      </c>
      <c r="I31" s="1178">
        <v>0.48</v>
      </c>
      <c r="J31" s="1178">
        <v>0.28000000000000003</v>
      </c>
      <c r="K31" s="1178">
        <v>0.33</v>
      </c>
      <c r="L31" s="1178">
        <v>0.33</v>
      </c>
      <c r="M31" s="1178">
        <v>0.33</v>
      </c>
      <c r="N31" s="1178">
        <v>0.33</v>
      </c>
      <c r="O31" s="1178">
        <v>0.33</v>
      </c>
      <c r="P31" s="1178">
        <v>0.33</v>
      </c>
      <c r="Q31" s="1178">
        <v>0.33</v>
      </c>
      <c r="R31" s="1178">
        <v>0.33</v>
      </c>
      <c r="S31" s="1178">
        <v>0.33</v>
      </c>
      <c r="T31" s="1178">
        <v>0.33</v>
      </c>
      <c r="U31" s="1178">
        <v>0.33</v>
      </c>
      <c r="V31" s="1178">
        <v>0.33</v>
      </c>
      <c r="W31" s="1178">
        <v>0.33</v>
      </c>
      <c r="X31" s="1178">
        <v>0.33</v>
      </c>
      <c r="Y31" s="1178">
        <v>0.33</v>
      </c>
      <c r="Z31" s="1178">
        <v>0.33</v>
      </c>
      <c r="AA31" s="1178">
        <v>0.33</v>
      </c>
      <c r="AB31" s="1178">
        <v>0.33</v>
      </c>
      <c r="AC31" s="1178">
        <v>0.33</v>
      </c>
      <c r="AD31" s="1178">
        <v>0.3</v>
      </c>
      <c r="AE31" s="1178">
        <v>0.3</v>
      </c>
      <c r="AF31" s="1178">
        <v>0.3</v>
      </c>
      <c r="AG31" s="1178">
        <v>0.28000000000000003</v>
      </c>
      <c r="AH31" s="1178">
        <v>0.28000000000000003</v>
      </c>
      <c r="AI31" s="1178">
        <v>0.28000000000000003</v>
      </c>
      <c r="AJ31" s="1178">
        <v>0.28000000000000003</v>
      </c>
      <c r="AK31" s="1178">
        <v>0.28000000000000003</v>
      </c>
      <c r="AL31" s="1178">
        <f>VLOOKUP($B31,TableF1a!$B$8:$R$42,AL$1,0)</f>
        <v>0.28000000000000003</v>
      </c>
      <c r="AM31" s="1178">
        <f>VLOOKUP($B31,TableF1a!$B$8:$R$42,AM$1,0)</f>
        <v>0.28000000000000003</v>
      </c>
      <c r="AN31" s="1158">
        <f>VLOOKUP($B31,TableF1a!$B$8:$R$42,AN$1,0)</f>
        <v>0.28000000000000003</v>
      </c>
      <c r="AP31" s="789">
        <f t="shared" si="1"/>
        <v>-4.9999999999999989E-2</v>
      </c>
    </row>
    <row r="32" spans="1:42" x14ac:dyDescent="0.2">
      <c r="B32" s="1148" t="s">
        <v>53</v>
      </c>
      <c r="C32" s="1177">
        <v>0.50800000000000001</v>
      </c>
      <c r="D32" s="1178">
        <v>0.50800000000000001</v>
      </c>
      <c r="E32" s="1178">
        <v>0.50800000000000001</v>
      </c>
      <c r="F32" s="1178">
        <v>0.50800000000000001</v>
      </c>
      <c r="G32" s="1178">
        <v>0.50800000000000001</v>
      </c>
      <c r="H32" s="1178">
        <v>0.50800000000000001</v>
      </c>
      <c r="I32" s="1178">
        <v>0.50800000000000001</v>
      </c>
      <c r="J32" s="1178">
        <v>0.50800000000000001</v>
      </c>
      <c r="K32" s="1178">
        <v>0.50800000000000001</v>
      </c>
      <c r="L32" s="1178">
        <v>0.50800000000000001</v>
      </c>
      <c r="M32" s="1178">
        <v>0.50800000000000001</v>
      </c>
      <c r="N32" s="1178">
        <v>0.28000000000000003</v>
      </c>
      <c r="O32" s="1178">
        <v>0.28000000000000003</v>
      </c>
      <c r="P32" s="1178">
        <v>0.28000000000000003</v>
      </c>
      <c r="Q32" s="1178">
        <v>0.28000000000000003</v>
      </c>
      <c r="R32" s="1178">
        <v>0.28000000000000003</v>
      </c>
      <c r="S32" s="1178">
        <v>0.28000000000000003</v>
      </c>
      <c r="T32" s="1178">
        <v>0.28000000000000003</v>
      </c>
      <c r="U32" s="1178">
        <v>0.28000000000000003</v>
      </c>
      <c r="V32" s="1178">
        <v>0.28000000000000003</v>
      </c>
      <c r="W32" s="1178">
        <v>0.28000000000000003</v>
      </c>
      <c r="X32" s="1178">
        <v>0.28000000000000003</v>
      </c>
      <c r="Y32" s="1178">
        <v>0.28000000000000003</v>
      </c>
      <c r="Z32" s="1178">
        <v>0.28000000000000003</v>
      </c>
      <c r="AA32" s="1178">
        <v>0.28000000000000003</v>
      </c>
      <c r="AB32" s="1178">
        <v>0.28000000000000003</v>
      </c>
      <c r="AC32" s="1178">
        <v>0.28000000000000003</v>
      </c>
      <c r="AD32" s="1178">
        <v>0.28000000000000003</v>
      </c>
      <c r="AE32" s="1178">
        <v>0.28000000000000003</v>
      </c>
      <c r="AF32" s="1178">
        <v>0.28000000000000003</v>
      </c>
      <c r="AG32" s="1178">
        <v>0.28000000000000003</v>
      </c>
      <c r="AH32" s="1178">
        <v>0.28000000000000003</v>
      </c>
      <c r="AI32" s="1178">
        <v>0.28000000000000003</v>
      </c>
      <c r="AJ32" s="1178">
        <v>0.27</v>
      </c>
      <c r="AK32" s="1178">
        <v>0.27</v>
      </c>
      <c r="AL32" s="1178">
        <f>VLOOKUP($B32,TableF1a!$B$8:$R$42,AL$1,0)</f>
        <v>0.25</v>
      </c>
      <c r="AM32" s="1178">
        <f>VLOOKUP($B32,TableF1a!$B$8:$R$42,AM$1,0)</f>
        <v>0.24</v>
      </c>
      <c r="AN32" s="1158">
        <f>VLOOKUP($B32,TableF1a!$B$8:$R$42,AN$1,0)</f>
        <v>0.23</v>
      </c>
      <c r="AP32" s="789">
        <f t="shared" si="1"/>
        <v>-3.0000000000000027E-2</v>
      </c>
    </row>
    <row r="33" spans="1:42" x14ac:dyDescent="0.2">
      <c r="B33" s="1148" t="s">
        <v>54</v>
      </c>
      <c r="C33" s="1177">
        <v>0</v>
      </c>
      <c r="D33" s="1178">
        <v>0</v>
      </c>
      <c r="E33" s="1178">
        <v>0</v>
      </c>
      <c r="F33" s="1178">
        <v>0</v>
      </c>
      <c r="G33" s="1178">
        <v>0</v>
      </c>
      <c r="H33" s="1178">
        <v>0</v>
      </c>
      <c r="I33" s="1178">
        <v>0</v>
      </c>
      <c r="J33" s="1178">
        <v>0</v>
      </c>
      <c r="K33" s="1178">
        <v>0</v>
      </c>
      <c r="L33" s="1178">
        <v>0</v>
      </c>
      <c r="M33" s="1178">
        <v>0</v>
      </c>
      <c r="N33" s="1178">
        <v>0.4</v>
      </c>
      <c r="O33" s="1178">
        <v>0.4</v>
      </c>
      <c r="P33" s="1178">
        <v>0.4</v>
      </c>
      <c r="Q33" s="1178">
        <v>0.4</v>
      </c>
      <c r="R33" s="1178">
        <v>0.4</v>
      </c>
      <c r="S33" s="1178">
        <v>0.38</v>
      </c>
      <c r="T33" s="1178">
        <v>0.36</v>
      </c>
      <c r="U33" s="1178">
        <v>0.34</v>
      </c>
      <c r="V33" s="1178">
        <v>0.3</v>
      </c>
      <c r="W33" s="1178">
        <v>0.28000000000000003</v>
      </c>
      <c r="X33" s="1178">
        <v>0.28000000000000003</v>
      </c>
      <c r="Y33" s="1178">
        <v>0.27</v>
      </c>
      <c r="Z33" s="1178">
        <v>0.19</v>
      </c>
      <c r="AA33" s="1178">
        <v>0.19</v>
      </c>
      <c r="AB33" s="1178">
        <v>0.19</v>
      </c>
      <c r="AC33" s="1178">
        <v>0.19</v>
      </c>
      <c r="AD33" s="1178">
        <v>0.19</v>
      </c>
      <c r="AE33" s="1178">
        <v>0.19</v>
      </c>
      <c r="AF33" s="1178">
        <v>0.19</v>
      </c>
      <c r="AG33" s="1178">
        <v>0.19</v>
      </c>
      <c r="AH33" s="1178">
        <v>0.19</v>
      </c>
      <c r="AI33" s="1178">
        <v>0.19</v>
      </c>
      <c r="AJ33" s="1178">
        <v>0.19</v>
      </c>
      <c r="AK33" s="1178">
        <v>0.19</v>
      </c>
      <c r="AL33" s="1178">
        <f>VLOOKUP($B33,TableF1a!$B$8:$R$42,AL$1,0)</f>
        <v>0.19</v>
      </c>
      <c r="AM33" s="1178">
        <f>VLOOKUP($B33,TableF1a!$B$8:$R$42,AM$1,0)</f>
        <v>0.19</v>
      </c>
      <c r="AN33" s="1158">
        <f>VLOOKUP($B33,TableF1a!$B$8:$R$42,AN$1,0)</f>
        <v>0.19</v>
      </c>
      <c r="AP33" s="789">
        <f t="shared" si="1"/>
        <v>-0.10999999999999999</v>
      </c>
    </row>
    <row r="34" spans="1:42" x14ac:dyDescent="0.2">
      <c r="B34" s="1148" t="s">
        <v>55</v>
      </c>
      <c r="C34" s="1177">
        <v>0.48959999999999998</v>
      </c>
      <c r="D34" s="1178">
        <v>0.50719999999999998</v>
      </c>
      <c r="E34" s="1178">
        <v>0.55120000000000002</v>
      </c>
      <c r="F34" s="1178">
        <v>0.55120000000000002</v>
      </c>
      <c r="G34" s="1178">
        <v>0.55120000000000002</v>
      </c>
      <c r="H34" s="1178">
        <v>0.50280000000000002</v>
      </c>
      <c r="I34" s="1178">
        <v>0.48080000000000001</v>
      </c>
      <c r="J34" s="1178">
        <v>0.48080000000000001</v>
      </c>
      <c r="K34" s="1178">
        <v>0.40150000000000002</v>
      </c>
      <c r="L34" s="1178">
        <v>0.40150000000000002</v>
      </c>
      <c r="M34" s="1178">
        <v>0.39600000000000002</v>
      </c>
      <c r="N34" s="1178">
        <v>0.39600000000000002</v>
      </c>
      <c r="O34" s="1178">
        <v>0.39600000000000002</v>
      </c>
      <c r="P34" s="1178">
        <v>0.39600000000000002</v>
      </c>
      <c r="Q34" s="1178">
        <v>0.39600000000000002</v>
      </c>
      <c r="R34" s="1178">
        <v>0.39600000000000002</v>
      </c>
      <c r="S34" s="1178">
        <v>0.374</v>
      </c>
      <c r="T34" s="1178">
        <v>0.374</v>
      </c>
      <c r="U34" s="1178">
        <v>0.374</v>
      </c>
      <c r="V34" s="1178">
        <v>0.35199999999999998</v>
      </c>
      <c r="W34" s="1178">
        <v>0.35199999999999998</v>
      </c>
      <c r="X34" s="1178">
        <v>0.33</v>
      </c>
      <c r="Y34" s="1178">
        <v>0.33</v>
      </c>
      <c r="Z34" s="1178">
        <v>0.27500000000000002</v>
      </c>
      <c r="AA34" s="1178">
        <v>0.27500000000000002</v>
      </c>
      <c r="AB34" s="1178">
        <v>0.27500000000000002</v>
      </c>
      <c r="AC34" s="1178">
        <v>0.26500000000000001</v>
      </c>
      <c r="AD34" s="1178">
        <v>0.26500000000000001</v>
      </c>
      <c r="AE34" s="1178">
        <v>0.26500000000000001</v>
      </c>
      <c r="AF34" s="1178">
        <v>0.26500000000000001</v>
      </c>
      <c r="AG34" s="1178">
        <v>0.26500000000000001</v>
      </c>
      <c r="AH34" s="1178">
        <v>0.315</v>
      </c>
      <c r="AI34" s="1178">
        <v>0.315</v>
      </c>
      <c r="AJ34" s="1178">
        <v>0.315</v>
      </c>
      <c r="AK34" s="1178">
        <v>0.29499999999999998</v>
      </c>
      <c r="AL34" s="1178">
        <f>VLOOKUP($B34,TableF1a!$B$8:$R$42,AL$1,0)</f>
        <v>0.21</v>
      </c>
      <c r="AM34" s="1178">
        <f>VLOOKUP($B34,TableF1a!$B$8:$R$42,AM$1,0)</f>
        <v>0.21</v>
      </c>
      <c r="AN34" s="1158">
        <f>VLOOKUP($B34,TableF1a!$B$8:$R$42,AN$1,0)</f>
        <v>0.21</v>
      </c>
      <c r="AP34" s="789">
        <f t="shared" si="1"/>
        <v>-0.14199999999999999</v>
      </c>
    </row>
    <row r="35" spans="1:42" x14ac:dyDescent="0.2">
      <c r="A35" t="s">
        <v>336</v>
      </c>
      <c r="B35" s="1148" t="s">
        <v>56</v>
      </c>
      <c r="C35" s="1177">
        <v>0</v>
      </c>
      <c r="D35" s="1178">
        <v>0</v>
      </c>
      <c r="E35" s="1178">
        <v>0</v>
      </c>
      <c r="F35" s="1178">
        <v>0</v>
      </c>
      <c r="G35" s="1178">
        <v>0</v>
      </c>
      <c r="H35" s="1178">
        <v>0</v>
      </c>
      <c r="I35" s="1178">
        <v>0</v>
      </c>
      <c r="J35" s="1178">
        <v>0</v>
      </c>
      <c r="K35" s="1178">
        <v>0</v>
      </c>
      <c r="L35" s="1178">
        <v>0</v>
      </c>
      <c r="M35" s="1178">
        <v>0</v>
      </c>
      <c r="N35" s="1178">
        <v>0</v>
      </c>
      <c r="O35" s="1178">
        <v>0.45</v>
      </c>
      <c r="P35" s="1178">
        <v>0.4</v>
      </c>
      <c r="Q35" s="1178">
        <v>0.4</v>
      </c>
      <c r="R35" s="1178">
        <v>0.4</v>
      </c>
      <c r="S35" s="1178">
        <v>0.4</v>
      </c>
      <c r="T35" s="1178">
        <v>0.4</v>
      </c>
      <c r="U35" s="1178">
        <v>0.4</v>
      </c>
      <c r="V35" s="1178">
        <v>0.28999999999999998</v>
      </c>
      <c r="W35" s="1178">
        <v>0.28999999999999998</v>
      </c>
      <c r="X35" s="1178">
        <v>0.25</v>
      </c>
      <c r="Y35" s="1178">
        <v>0.25</v>
      </c>
      <c r="Z35" s="1178">
        <v>0.19</v>
      </c>
      <c r="AA35" s="1178">
        <v>0.19</v>
      </c>
      <c r="AB35" s="1178">
        <v>0.19</v>
      </c>
      <c r="AC35" s="1178">
        <v>0.19</v>
      </c>
      <c r="AD35" s="1178">
        <v>0.19</v>
      </c>
      <c r="AE35" s="1178">
        <v>0.19</v>
      </c>
      <c r="AF35" s="1178">
        <v>0.19</v>
      </c>
      <c r="AG35" s="1178">
        <v>0.19</v>
      </c>
      <c r="AH35" s="1178">
        <v>0.19</v>
      </c>
      <c r="AI35" s="1178">
        <v>0.23</v>
      </c>
      <c r="AJ35" s="1178">
        <v>0.22</v>
      </c>
      <c r="AK35" s="1178">
        <v>0.22</v>
      </c>
      <c r="AL35" s="1178">
        <f>VLOOKUP($B35,TableF1a!$B$8:$R$42,AL$1,0)</f>
        <v>0.22</v>
      </c>
      <c r="AM35" s="1178">
        <f>VLOOKUP($B35,TableF1a!$B$8:$R$42,AM$1,0)</f>
        <v>0.21</v>
      </c>
      <c r="AN35" s="1158">
        <f>VLOOKUP($B35,TableF1a!$B$8:$R$42,AN$1,0)</f>
        <v>0.21</v>
      </c>
      <c r="AP35" s="789">
        <f t="shared" si="1"/>
        <v>-6.9999999999999979E-2</v>
      </c>
    </row>
    <row r="36" spans="1:42" x14ac:dyDescent="0.2">
      <c r="B36" s="1148" t="s">
        <v>57</v>
      </c>
      <c r="C36" s="1177">
        <v>0</v>
      </c>
      <c r="D36" s="1178">
        <v>0</v>
      </c>
      <c r="E36" s="1178">
        <v>0</v>
      </c>
      <c r="F36" s="1178">
        <v>0</v>
      </c>
      <c r="G36" s="1178">
        <v>0</v>
      </c>
      <c r="H36" s="1178">
        <v>0</v>
      </c>
      <c r="I36" s="1178">
        <v>0</v>
      </c>
      <c r="J36" s="1178">
        <v>0</v>
      </c>
      <c r="K36" s="1178">
        <v>0</v>
      </c>
      <c r="L36" s="1178">
        <v>0</v>
      </c>
      <c r="M36" s="1178">
        <v>0</v>
      </c>
      <c r="N36" s="1178">
        <v>0</v>
      </c>
      <c r="O36" s="1178">
        <v>0</v>
      </c>
      <c r="P36" s="1178">
        <v>0</v>
      </c>
      <c r="Q36" s="1178">
        <v>0</v>
      </c>
      <c r="R36" s="1178">
        <v>0</v>
      </c>
      <c r="S36" s="1178">
        <v>0</v>
      </c>
      <c r="T36" s="1178">
        <v>0</v>
      </c>
      <c r="U36" s="1178">
        <v>0</v>
      </c>
      <c r="V36" s="1178">
        <v>0.25</v>
      </c>
      <c r="W36" s="1178">
        <v>0.25</v>
      </c>
      <c r="X36" s="1178">
        <v>0.25</v>
      </c>
      <c r="Y36" s="1178">
        <v>0.25</v>
      </c>
      <c r="Z36" s="1178">
        <v>0.25</v>
      </c>
      <c r="AA36" s="1178">
        <v>0.25</v>
      </c>
      <c r="AB36" s="1178">
        <v>0.25</v>
      </c>
      <c r="AC36" s="1178">
        <v>0.23</v>
      </c>
      <c r="AD36" s="1178">
        <v>0.22</v>
      </c>
      <c r="AE36" s="1178">
        <v>0.21</v>
      </c>
      <c r="AF36" s="1178">
        <v>0.2</v>
      </c>
      <c r="AG36" s="1178">
        <v>0.2</v>
      </c>
      <c r="AH36" s="1178">
        <v>0.2</v>
      </c>
      <c r="AI36" s="1178">
        <v>0.17</v>
      </c>
      <c r="AJ36" s="1178">
        <v>0.17</v>
      </c>
      <c r="AK36" s="1178">
        <v>0.17</v>
      </c>
      <c r="AL36" s="1178">
        <f>VLOOKUP($B36,TableF1a!$B$8:$R$42,AL$1,0)</f>
        <v>0.17</v>
      </c>
      <c r="AM36" s="1178">
        <f>VLOOKUP($B36,TableF1a!$B$8:$R$42,AM$1,0)</f>
        <v>0.19</v>
      </c>
      <c r="AN36" s="1158">
        <f>VLOOKUP($B36,TableF1a!$B$8:$R$42,AN$1,0)</f>
        <v>0.19</v>
      </c>
      <c r="AP36" s="789">
        <f t="shared" si="1"/>
        <v>-7.9999999999999988E-2</v>
      </c>
    </row>
    <row r="37" spans="1:42" x14ac:dyDescent="0.2">
      <c r="B37" s="1148" t="s">
        <v>58</v>
      </c>
      <c r="C37" s="1177">
        <v>0.33</v>
      </c>
      <c r="D37" s="1178">
        <v>0.33</v>
      </c>
      <c r="E37" s="1178">
        <v>0.33</v>
      </c>
      <c r="F37" s="1178">
        <v>0.35</v>
      </c>
      <c r="G37" s="1178">
        <v>0.35</v>
      </c>
      <c r="H37" s="1178">
        <v>0.35</v>
      </c>
      <c r="I37" s="1178">
        <v>0.35</v>
      </c>
      <c r="J37" s="1178">
        <v>0.35</v>
      </c>
      <c r="K37" s="1178">
        <v>0.35</v>
      </c>
      <c r="L37" s="1178">
        <v>0.35</v>
      </c>
      <c r="M37" s="1178">
        <v>0.35</v>
      </c>
      <c r="N37" s="1178">
        <v>0.35</v>
      </c>
      <c r="O37" s="1178">
        <v>0.35</v>
      </c>
      <c r="P37" s="1178">
        <v>0.35</v>
      </c>
      <c r="Q37" s="1178">
        <v>0.35</v>
      </c>
      <c r="R37" s="1178">
        <v>0.35</v>
      </c>
      <c r="S37" s="1178">
        <v>0.35</v>
      </c>
      <c r="T37" s="1178">
        <v>0.35</v>
      </c>
      <c r="U37" s="1178">
        <v>0.35</v>
      </c>
      <c r="V37" s="1178">
        <v>0.35</v>
      </c>
      <c r="W37" s="1178">
        <v>0.35</v>
      </c>
      <c r="X37" s="1178">
        <v>0.35</v>
      </c>
      <c r="Y37" s="1178">
        <v>0.35</v>
      </c>
      <c r="Z37" s="1178">
        <v>0.35</v>
      </c>
      <c r="AA37" s="1178">
        <v>0.35</v>
      </c>
      <c r="AB37" s="1178">
        <v>0.35</v>
      </c>
      <c r="AC37" s="1178">
        <v>0.32500000000000001</v>
      </c>
      <c r="AD37" s="1178">
        <v>0.3</v>
      </c>
      <c r="AE37" s="1178">
        <v>0.3</v>
      </c>
      <c r="AF37" s="1178">
        <v>0.3</v>
      </c>
      <c r="AG37" s="1178">
        <v>0.3</v>
      </c>
      <c r="AH37" s="1178">
        <v>0.3</v>
      </c>
      <c r="AI37" s="1178">
        <v>0.3</v>
      </c>
      <c r="AJ37" s="1178">
        <v>0.3</v>
      </c>
      <c r="AK37" s="1178">
        <v>0.28000000000000003</v>
      </c>
      <c r="AL37" s="1178">
        <f>VLOOKUP($B37,TableF1a!$B$8:$R$42,AL$1,0)</f>
        <v>0.25</v>
      </c>
      <c r="AM37" s="1178">
        <f>VLOOKUP($B37,TableF1a!$B$8:$R$42,AM$1,0)</f>
        <v>0.25</v>
      </c>
      <c r="AN37" s="1158">
        <f>VLOOKUP($B37,TableF1a!$B$8:$R$42,AN$1,0)</f>
        <v>0.25</v>
      </c>
      <c r="AP37" s="789">
        <f t="shared" si="1"/>
        <v>-9.9999999999999978E-2</v>
      </c>
    </row>
    <row r="38" spans="1:42" x14ac:dyDescent="0.2">
      <c r="B38" s="1074" t="s">
        <v>59</v>
      </c>
      <c r="C38" s="1177">
        <v>0.57799999999999996</v>
      </c>
      <c r="D38" s="1178">
        <v>0.57799999999999996</v>
      </c>
      <c r="E38" s="1178">
        <v>0.58099999999999996</v>
      </c>
      <c r="F38" s="1178">
        <v>0.56599999999999995</v>
      </c>
      <c r="G38" s="1178">
        <v>0.56599999999999995</v>
      </c>
      <c r="H38" s="1178">
        <v>0.56599999999999995</v>
      </c>
      <c r="I38" s="1178">
        <v>0.56599999999999995</v>
      </c>
      <c r="J38" s="1178">
        <v>0.56599999999999995</v>
      </c>
      <c r="K38" s="1178">
        <v>0.60099999999999998</v>
      </c>
      <c r="L38" s="1178">
        <v>0.53</v>
      </c>
      <c r="M38" s="1178">
        <v>0.3</v>
      </c>
      <c r="N38" s="1178">
        <v>0.3</v>
      </c>
      <c r="O38" s="1178">
        <v>0.3</v>
      </c>
      <c r="P38" s="1178">
        <v>0.28000000000000003</v>
      </c>
      <c r="Q38" s="1178">
        <v>0.28000000000000003</v>
      </c>
      <c r="R38" s="1178">
        <v>0.28000000000000003</v>
      </c>
      <c r="S38" s="1178">
        <v>0.28000000000000003</v>
      </c>
      <c r="T38" s="1178">
        <v>0.28000000000000003</v>
      </c>
      <c r="U38" s="1178">
        <v>0.28000000000000003</v>
      </c>
      <c r="V38" s="1178">
        <v>0.28000000000000003</v>
      </c>
      <c r="W38" s="1178">
        <v>0.28000000000000003</v>
      </c>
      <c r="X38" s="1178">
        <v>0.28000000000000003</v>
      </c>
      <c r="Y38" s="1178">
        <v>0.28000000000000003</v>
      </c>
      <c r="Z38" s="1178">
        <v>0.28000000000000003</v>
      </c>
      <c r="AA38" s="1178">
        <v>0.28000000000000003</v>
      </c>
      <c r="AB38" s="1178">
        <v>0.28000000000000003</v>
      </c>
      <c r="AC38" s="1178">
        <v>0.28000000000000003</v>
      </c>
      <c r="AD38" s="1178">
        <v>0.28000000000000003</v>
      </c>
      <c r="AE38" s="1178">
        <v>0.26300000000000001</v>
      </c>
      <c r="AF38" s="1178">
        <v>0.26300000000000001</v>
      </c>
      <c r="AG38" s="1178">
        <v>0.26300000000000001</v>
      </c>
      <c r="AH38" s="1178">
        <v>0.26300000000000001</v>
      </c>
      <c r="AI38" s="1178">
        <v>0.22</v>
      </c>
      <c r="AJ38" s="1178">
        <v>0.22</v>
      </c>
      <c r="AK38" s="1178">
        <v>0.22</v>
      </c>
      <c r="AL38" s="1178">
        <f>VLOOKUP($B38,TableF1a!$B$8:$R$42,AL$1,0)</f>
        <v>0.22</v>
      </c>
      <c r="AM38" s="1178">
        <f>VLOOKUP($B38,TableF1a!$B$8:$R$42,AM$1,0)</f>
        <v>0.22</v>
      </c>
      <c r="AN38" s="1158">
        <f>VLOOKUP($B38,TableF1a!$B$8:$R$42,AN$1,0)</f>
        <v>0.22</v>
      </c>
      <c r="AP38" s="789">
        <f t="shared" si="1"/>
        <v>-6.0000000000000026E-2</v>
      </c>
    </row>
    <row r="39" spans="1:42" x14ac:dyDescent="0.2">
      <c r="B39" s="1148" t="s">
        <v>60</v>
      </c>
      <c r="C39" s="1177">
        <v>0.33048269600000002</v>
      </c>
      <c r="D39" s="1178">
        <v>0.33048269600000002</v>
      </c>
      <c r="E39" s="1178">
        <v>0.33048269600000002</v>
      </c>
      <c r="F39" s="1178">
        <v>0.32866120199999999</v>
      </c>
      <c r="G39" s="1178">
        <v>0.31866120199999998</v>
      </c>
      <c r="H39" s="1178">
        <v>0.31683970900000002</v>
      </c>
      <c r="I39" s="1178">
        <v>0.31687613799999997</v>
      </c>
      <c r="J39" s="1178">
        <v>0.30594717700000001</v>
      </c>
      <c r="K39" s="1178">
        <v>0.305965392</v>
      </c>
      <c r="L39" s="1178">
        <v>0.305965392</v>
      </c>
      <c r="M39" s="1178">
        <v>0.27721014700000002</v>
      </c>
      <c r="N39" s="1178">
        <v>0.280343593</v>
      </c>
      <c r="O39" s="1178">
        <v>0.28466785700000002</v>
      </c>
      <c r="P39" s="1178">
        <v>0.28466785700000002</v>
      </c>
      <c r="Q39" s="1178">
        <v>0.284692418</v>
      </c>
      <c r="R39" s="1178">
        <v>0.284692418</v>
      </c>
      <c r="S39" s="1178">
        <v>0.284692418</v>
      </c>
      <c r="T39" s="1178">
        <v>0.277984595</v>
      </c>
      <c r="U39" s="1178">
        <v>0.250941941</v>
      </c>
      <c r="V39" s="1178">
        <v>0.24925488500000001</v>
      </c>
      <c r="W39" s="1178">
        <v>0.246993622</v>
      </c>
      <c r="X39" s="1178">
        <v>0.24415352800000001</v>
      </c>
      <c r="Y39" s="1178">
        <v>0.240998239</v>
      </c>
      <c r="Z39" s="1178">
        <v>0.240998239</v>
      </c>
      <c r="AA39" s="1178">
        <v>0.2132</v>
      </c>
      <c r="AB39" s="1178">
        <v>0.2132</v>
      </c>
      <c r="AC39" s="1178">
        <v>0.213232795</v>
      </c>
      <c r="AD39" s="1178">
        <v>0.21174437800000001</v>
      </c>
      <c r="AE39" s="1178">
        <v>0.21174437800000001</v>
      </c>
      <c r="AF39" s="1178">
        <v>0.21174437800000001</v>
      </c>
      <c r="AG39" s="1178">
        <v>0.21174437800000001</v>
      </c>
      <c r="AH39" s="1178">
        <v>0.21174437800000001</v>
      </c>
      <c r="AI39" s="1178">
        <v>0.21148581299999999</v>
      </c>
      <c r="AJ39" s="1178">
        <v>0.21149999999999999</v>
      </c>
      <c r="AK39" s="1178">
        <v>0.21149999999999999</v>
      </c>
      <c r="AL39" s="1178">
        <f>VLOOKUP($B39,TableF1a!$B$8:$R$42,AL$1,0)</f>
        <v>0.17920000000000003</v>
      </c>
      <c r="AM39" s="1178">
        <f>VLOOKUP($B39,TableF1a!$B$8:$R$42,AM$1,0)</f>
        <v>0.1777</v>
      </c>
      <c r="AN39" s="1158">
        <f>VLOOKUP($B39,TableF1a!$B$8:$R$42,AN$1,0)</f>
        <v>0.18</v>
      </c>
      <c r="AP39" s="789">
        <f t="shared" si="1"/>
        <v>-7.0054884999999983E-2</v>
      </c>
    </row>
    <row r="40" spans="1:42" x14ac:dyDescent="0.2">
      <c r="B40" s="1148" t="s">
        <v>61</v>
      </c>
      <c r="C40" s="1177">
        <v>0</v>
      </c>
      <c r="D40" s="1178">
        <v>0</v>
      </c>
      <c r="E40" s="1178">
        <v>0</v>
      </c>
      <c r="F40" s="1178">
        <v>0</v>
      </c>
      <c r="G40" s="1178">
        <v>0</v>
      </c>
      <c r="H40" s="1178">
        <v>0</v>
      </c>
      <c r="I40" s="1178">
        <v>0</v>
      </c>
      <c r="J40" s="1178">
        <v>0</v>
      </c>
      <c r="K40" s="1178">
        <v>0</v>
      </c>
      <c r="L40" s="1178">
        <v>0</v>
      </c>
      <c r="M40" s="1178">
        <v>0</v>
      </c>
      <c r="N40" s="1178">
        <v>0</v>
      </c>
      <c r="O40" s="1178">
        <v>0</v>
      </c>
      <c r="P40" s="1178">
        <v>0</v>
      </c>
      <c r="Q40" s="1178">
        <v>0</v>
      </c>
      <c r="R40" s="1178">
        <v>0</v>
      </c>
      <c r="S40" s="1178">
        <v>0</v>
      </c>
      <c r="T40" s="1178">
        <v>0</v>
      </c>
      <c r="U40" s="1178">
        <v>0</v>
      </c>
      <c r="V40" s="1178">
        <v>0.33</v>
      </c>
      <c r="W40" s="1178">
        <v>0.33</v>
      </c>
      <c r="X40" s="1178">
        <v>0.33</v>
      </c>
      <c r="Y40" s="1178">
        <v>0.3</v>
      </c>
      <c r="Z40" s="1178">
        <v>0.33</v>
      </c>
      <c r="AA40" s="1178">
        <v>0.3</v>
      </c>
      <c r="AB40" s="1178">
        <v>0.2</v>
      </c>
      <c r="AC40" s="1178">
        <v>0.2</v>
      </c>
      <c r="AD40" s="1178">
        <v>0.2</v>
      </c>
      <c r="AE40" s="1178">
        <v>0.2</v>
      </c>
      <c r="AF40" s="1178">
        <v>0.2</v>
      </c>
      <c r="AG40" s="1178">
        <v>0.2</v>
      </c>
      <c r="AH40" s="1178">
        <v>0.2</v>
      </c>
      <c r="AI40" s="1178">
        <v>0.2</v>
      </c>
      <c r="AJ40" s="1178">
        <v>0.2</v>
      </c>
      <c r="AK40" s="1178">
        <v>0.2</v>
      </c>
      <c r="AL40" s="1178">
        <f>VLOOKUP($B40,TableF1a!$B$8:$R$42,AL$1,0)</f>
        <v>0.2</v>
      </c>
      <c r="AM40" s="1178">
        <f>VLOOKUP($B40,TableF1a!$B$8:$R$42,AM$1,0)</f>
        <v>0.2</v>
      </c>
      <c r="AN40" s="1158">
        <f>VLOOKUP($B40,TableF1a!$B$8:$R$42,AN$1,0)</f>
        <v>0.22</v>
      </c>
      <c r="AP40" s="789">
        <f t="shared" si="1"/>
        <v>-0.13</v>
      </c>
    </row>
    <row r="41" spans="1:42" x14ac:dyDescent="0.2">
      <c r="B41" s="1148" t="s">
        <v>62</v>
      </c>
      <c r="C41" s="1177">
        <v>0.52</v>
      </c>
      <c r="D41" s="1178">
        <v>0.52</v>
      </c>
      <c r="E41" s="1178">
        <v>0.5</v>
      </c>
      <c r="F41" s="1178">
        <v>0.45</v>
      </c>
      <c r="G41" s="1178">
        <v>0.4</v>
      </c>
      <c r="H41" s="1178">
        <v>0.35</v>
      </c>
      <c r="I41" s="1178">
        <v>0.35</v>
      </c>
      <c r="J41" s="1178">
        <v>0.35</v>
      </c>
      <c r="K41" s="1178">
        <v>0.35</v>
      </c>
      <c r="L41" s="1178">
        <v>0.34</v>
      </c>
      <c r="M41" s="1178">
        <v>0.33</v>
      </c>
      <c r="N41" s="1178">
        <v>0.33</v>
      </c>
      <c r="O41" s="1178">
        <v>0.33</v>
      </c>
      <c r="P41" s="1178">
        <v>0.33</v>
      </c>
      <c r="Q41" s="1178">
        <v>0.33</v>
      </c>
      <c r="R41" s="1178">
        <v>0.33</v>
      </c>
      <c r="S41" s="1178">
        <v>0.31</v>
      </c>
      <c r="T41" s="1178">
        <v>0.31</v>
      </c>
      <c r="U41" s="1178">
        <v>0.3</v>
      </c>
      <c r="V41" s="1178">
        <v>0.3</v>
      </c>
      <c r="W41" s="1178">
        <v>0.3</v>
      </c>
      <c r="X41" s="1178">
        <v>0.3</v>
      </c>
      <c r="Y41" s="1178">
        <v>0.3</v>
      </c>
      <c r="Z41" s="1178">
        <v>0.3</v>
      </c>
      <c r="AA41" s="1178">
        <v>0.3</v>
      </c>
      <c r="AB41" s="1178">
        <v>0.3</v>
      </c>
      <c r="AC41" s="1178">
        <v>0.3</v>
      </c>
      <c r="AD41" s="1178">
        <v>0.28000000000000003</v>
      </c>
      <c r="AE41" s="1178">
        <v>0.28000000000000003</v>
      </c>
      <c r="AF41" s="1178">
        <v>0.28000000000000003</v>
      </c>
      <c r="AG41" s="1178">
        <v>0.26</v>
      </c>
      <c r="AH41" s="1178">
        <v>0.24</v>
      </c>
      <c r="AI41" s="1178">
        <v>0.23</v>
      </c>
      <c r="AJ41" s="1178">
        <v>0.21</v>
      </c>
      <c r="AK41" s="1178">
        <v>0.2</v>
      </c>
      <c r="AL41" s="1178">
        <f>VLOOKUP($B41,TableF1a!$B$8:$R$42,AL$1,0)</f>
        <v>0.2</v>
      </c>
      <c r="AM41" s="1178">
        <f>VLOOKUP($B41,TableF1a!$B$8:$R$42,AM$1,0)</f>
        <v>0.19</v>
      </c>
      <c r="AN41" s="1158">
        <f>VLOOKUP($B41,TableF1a!$B$8:$R$42,AN$1,0)</f>
        <v>0.19</v>
      </c>
      <c r="AP41" s="789">
        <f t="shared" si="1"/>
        <v>-9.9999999999999978E-2</v>
      </c>
    </row>
    <row r="42" spans="1:42" x14ac:dyDescent="0.2">
      <c r="B42" s="1148" t="s">
        <v>63</v>
      </c>
      <c r="C42" s="1177">
        <v>0.49698999999999999</v>
      </c>
      <c r="D42" s="1178">
        <v>0.49698999999999999</v>
      </c>
      <c r="E42" s="1178">
        <v>0.49834000000000001</v>
      </c>
      <c r="F42" s="1178">
        <v>0.49785400000000002</v>
      </c>
      <c r="G42" s="1178">
        <v>0.49785400000000002</v>
      </c>
      <c r="H42" s="1178">
        <v>0.49823200000000001</v>
      </c>
      <c r="I42" s="1178">
        <v>0.44175999999999999</v>
      </c>
      <c r="J42" s="1178">
        <v>0.385936</v>
      </c>
      <c r="K42" s="1178">
        <v>0.38666200000000001</v>
      </c>
      <c r="L42" s="1178">
        <v>0.38652999999999998</v>
      </c>
      <c r="M42" s="1178">
        <v>0.38851000000000002</v>
      </c>
      <c r="N42" s="1178">
        <v>0.38864199999999999</v>
      </c>
      <c r="O42" s="1178">
        <v>0.39751500000000001</v>
      </c>
      <c r="P42" s="1178">
        <v>0.39686500000000002</v>
      </c>
      <c r="Q42" s="1178">
        <v>0.39608500000000002</v>
      </c>
      <c r="R42" s="1178">
        <v>0.39530500000000002</v>
      </c>
      <c r="S42" s="1178">
        <v>0.39452500000000001</v>
      </c>
      <c r="T42" s="1178">
        <v>0.394395</v>
      </c>
      <c r="U42" s="1178">
        <v>0.39394000000000001</v>
      </c>
      <c r="V42" s="1178">
        <v>0.39340000000000003</v>
      </c>
      <c r="W42" s="1178">
        <v>0.3926</v>
      </c>
      <c r="X42" s="1178">
        <v>0.39300000000000002</v>
      </c>
      <c r="Y42" s="1178">
        <v>0.39329999999999998</v>
      </c>
      <c r="Z42" s="1178">
        <v>0.39309500000000003</v>
      </c>
      <c r="AA42" s="1178">
        <v>0.39277000000000001</v>
      </c>
      <c r="AB42" s="1178">
        <v>0.39300000000000002</v>
      </c>
      <c r="AC42" s="1178">
        <v>0.39257500000000001</v>
      </c>
      <c r="AD42" s="1178">
        <v>0.39251000000000003</v>
      </c>
      <c r="AE42" s="1178">
        <v>0.39095000000000002</v>
      </c>
      <c r="AF42" s="1178">
        <v>0.39205499999999999</v>
      </c>
      <c r="AG42" s="1178">
        <v>0.39185999999999999</v>
      </c>
      <c r="AH42" s="1178">
        <v>0.39134000000000002</v>
      </c>
      <c r="AI42" s="1178">
        <v>0.39134000000000002</v>
      </c>
      <c r="AJ42" s="1178">
        <v>0.39079999999999998</v>
      </c>
      <c r="AK42" s="1178">
        <v>0.39</v>
      </c>
      <c r="AL42" s="1178">
        <f>VLOOKUP($B42,TableF1a!$B$8:$R$42,AL$1,0)</f>
        <v>0.38923934000000004</v>
      </c>
      <c r="AM42" s="1178">
        <f>VLOOKUP($B42,TableF1a!$B$8:$R$42,AM$1,0)</f>
        <v>0.38923934000000004</v>
      </c>
      <c r="AN42" s="1158">
        <f>VLOOKUP($B42,TableF1a!$B$8:$R$42,AN$1,0)</f>
        <v>0.23923934000000002</v>
      </c>
      <c r="AO42" s="528"/>
      <c r="AP42" s="789">
        <f t="shared" si="1"/>
        <v>-4.1606599999999827E-3</v>
      </c>
    </row>
    <row r="43" spans="1:42" x14ac:dyDescent="0.2">
      <c r="B43" s="1148" t="s">
        <v>933</v>
      </c>
      <c r="C43" s="1177">
        <f>AVERAGEIF(C7:C42,"&gt;0")</f>
        <v>0.47522727123809522</v>
      </c>
      <c r="D43" s="1178">
        <f t="shared" ref="D43:AK43" si="2">AVERAGEIF(D7:D42,"&gt;0")</f>
        <v>0.48032727123809527</v>
      </c>
      <c r="E43" s="1178">
        <f t="shared" si="2"/>
        <v>0.48193917600000008</v>
      </c>
      <c r="F43" s="1178">
        <f t="shared" si="2"/>
        <v>0.47711977152380947</v>
      </c>
      <c r="G43" s="1178">
        <f t="shared" si="2"/>
        <v>0.48178643819047628</v>
      </c>
      <c r="H43" s="1178">
        <f t="shared" si="2"/>
        <v>0.47230817661904761</v>
      </c>
      <c r="I43" s="1178">
        <f t="shared" si="2"/>
        <v>0.46639219704761914</v>
      </c>
      <c r="J43" s="1178">
        <f t="shared" si="2"/>
        <v>0.44193253223809525</v>
      </c>
      <c r="K43" s="1178">
        <f t="shared" si="2"/>
        <v>0.4266148814545454</v>
      </c>
      <c r="L43" s="1178">
        <f t="shared" si="2"/>
        <v>0.41046738856521736</v>
      </c>
      <c r="M43" s="1178">
        <f t="shared" si="2"/>
        <v>0.39557044117391305</v>
      </c>
      <c r="N43" s="1178">
        <f t="shared" si="2"/>
        <v>0.38077113883333341</v>
      </c>
      <c r="O43" s="1178">
        <f t="shared" si="2"/>
        <v>0.3763000095384616</v>
      </c>
      <c r="P43" s="1178">
        <f t="shared" si="2"/>
        <v>0.37084123026923077</v>
      </c>
      <c r="Q43" s="1178">
        <f t="shared" si="2"/>
        <v>0.3664063221153846</v>
      </c>
      <c r="R43" s="1178">
        <f t="shared" si="2"/>
        <v>0.36631761930769235</v>
      </c>
      <c r="S43" s="1178">
        <f t="shared" si="2"/>
        <v>0.36618111730769232</v>
      </c>
      <c r="T43" s="1178">
        <f t="shared" si="2"/>
        <v>0.35608230176923072</v>
      </c>
      <c r="U43" s="1178">
        <f t="shared" si="2"/>
        <v>0.34762745734615386</v>
      </c>
      <c r="V43" s="1178">
        <f t="shared" si="2"/>
        <v>0.32588490691176464</v>
      </c>
      <c r="W43" s="1178">
        <f t="shared" si="2"/>
        <v>0.3164090035882352</v>
      </c>
      <c r="X43" s="1178">
        <f t="shared" si="2"/>
        <v>0.30549581402941178</v>
      </c>
      <c r="Y43" s="1178">
        <f t="shared" si="2"/>
        <v>0.29739588328571431</v>
      </c>
      <c r="Z43" s="1178">
        <f t="shared" si="2"/>
        <v>0.28820849680000005</v>
      </c>
      <c r="AA43" s="1178">
        <f t="shared" si="2"/>
        <v>0.27786783282857153</v>
      </c>
      <c r="AB43" s="1178">
        <f t="shared" si="2"/>
        <v>0.27156297568571447</v>
      </c>
      <c r="AC43" s="1178">
        <f t="shared" si="2"/>
        <v>0.26643462697142867</v>
      </c>
      <c r="AD43" s="1178">
        <f t="shared" si="2"/>
        <v>0.25660583937142861</v>
      </c>
      <c r="AE43" s="1178">
        <f t="shared" si="2"/>
        <v>0.25386126794285713</v>
      </c>
      <c r="AF43" s="1178">
        <f t="shared" si="2"/>
        <v>0.25341855365714283</v>
      </c>
      <c r="AG43" s="1178">
        <f t="shared" si="2"/>
        <v>0.25169583937142859</v>
      </c>
      <c r="AH43" s="1178">
        <f t="shared" si="2"/>
        <v>0.25110955365714288</v>
      </c>
      <c r="AI43" s="1178">
        <f t="shared" si="2"/>
        <v>0.25183930894285717</v>
      </c>
      <c r="AJ43" s="1178">
        <f t="shared" si="2"/>
        <v>0.25001142857142866</v>
      </c>
      <c r="AK43" s="1178">
        <f t="shared" si="2"/>
        <v>0.24702285714285724</v>
      </c>
      <c r="AL43" s="1178">
        <f t="shared" ref="AL43" si="3">AVERAGEIF(AL7:AL42,"&gt;0")</f>
        <v>0.24300969542857145</v>
      </c>
      <c r="AM43" s="1178">
        <f t="shared" ref="AM43" si="4">AVERAGEIF(AM7:AM42,"&gt;0")</f>
        <v>0.23664112400000004</v>
      </c>
      <c r="AN43" s="1158">
        <f t="shared" ref="AN43" si="5">AVERAGEIF(AN7:AN42,"&gt;0")</f>
        <v>0.23308398114285717</v>
      </c>
      <c r="AO43" s="528"/>
      <c r="AP43" s="789">
        <f t="shared" si="1"/>
        <v>-8.2875211483193184E-2</v>
      </c>
    </row>
    <row r="44" spans="1:42" ht="40" customHeight="1" thickBot="1" x14ac:dyDescent="0.25">
      <c r="B44" s="788" t="s">
        <v>914</v>
      </c>
      <c r="C44" s="283">
        <f>+C43*(SUM($Y$43:$AN$43)/SUM(TableF1a!$C$93:$R$93))</f>
        <v>0.48011815410961156</v>
      </c>
      <c r="D44" s="283">
        <f>+D43*(SUM($Y$43:$AN$43)/SUM(TableF1a!$C$93:$R$93))</f>
        <v>0.48527064163327532</v>
      </c>
      <c r="E44" s="283">
        <f>+E43*(SUM($Y$43:$AN$43)/SUM(TableF1a!$C$93:$R$93))</f>
        <v>0.4868991355891672</v>
      </c>
      <c r="F44" s="283">
        <f>+F43*(SUM($Y$43:$AN$43)/SUM(TableF1a!$C$93:$R$93))</f>
        <v>0.48203013138621403</v>
      </c>
      <c r="G44" s="283">
        <f>+G43*(SUM($Y$43:$AN$43)/SUM(TableF1a!$C$93:$R$93))</f>
        <v>0.48674482585231166</v>
      </c>
      <c r="H44" s="283">
        <f>+H43*(SUM($Y$43:$AN$43)/SUM(TableF1a!$C$93:$R$93))</f>
        <v>0.47716901712823184</v>
      </c>
      <c r="I44" s="283">
        <f>+I43*(SUM($Y$43:$AN$43)/SUM(TableF1a!$C$93:$R$93))</f>
        <v>0.47119215223959765</v>
      </c>
      <c r="J44" s="283">
        <f>+J43*(SUM($Y$43:$AN$43)/SUM(TableF1a!$C$93:$R$93))</f>
        <v>0.44648075659958447</v>
      </c>
      <c r="K44" s="283">
        <f>+K43*(SUM($Y$43:$AN$43)/SUM(TableF1a!$C$93:$R$93))</f>
        <v>0.43100546158898101</v>
      </c>
      <c r="L44" s="283">
        <f>+L43*(SUM($Y$43:$AN$43)/SUM(TableF1a!$C$93:$R$93))</f>
        <v>0.41469178401041029</v>
      </c>
      <c r="M44" s="283">
        <f>+M43*(SUM($Y$43:$AN$43)/SUM(TableF1a!$C$93:$R$93))</f>
        <v>0.3996415221330829</v>
      </c>
      <c r="N44" s="283">
        <f>+N43*(SUM($Y$43:$AN$43)/SUM(TableF1a!$C$93:$R$93))</f>
        <v>0.38468991023724697</v>
      </c>
      <c r="O44" s="283">
        <f>+O43*(SUM($Y$43:$AN$43)/SUM(TableF1a!$C$93:$R$93))</f>
        <v>0.38017276554930302</v>
      </c>
      <c r="P44" s="283">
        <f>+P43*(SUM($Y$43:$AN$43)/SUM(TableF1a!$C$93:$R$93))</f>
        <v>0.37465780631809797</v>
      </c>
      <c r="Q44" s="283">
        <f>+Q43*(SUM($Y$43:$AN$43)/SUM(TableF1a!$C$93:$R$93))</f>
        <v>0.37017725554725744</v>
      </c>
      <c r="R44" s="283">
        <f>+R43*(SUM($Y$43:$AN$43)/SUM(TableF1a!$C$93:$R$93))</f>
        <v>0.37008763983942444</v>
      </c>
      <c r="S44" s="283">
        <f>+S43*(SUM($Y$43:$AN$43)/SUM(TableF1a!$C$93:$R$93))</f>
        <v>0.36994973300570771</v>
      </c>
      <c r="T44" s="283">
        <f>+T43*(SUM($Y$43:$AN$43)/SUM(TableF1a!$C$93:$R$93))</f>
        <v>0.35974698377713826</v>
      </c>
      <c r="U44" s="283">
        <f>+U43*(SUM($Y$43:$AN$43)/SUM(TableF1a!$C$93:$R$93))</f>
        <v>0.35120512487431066</v>
      </c>
      <c r="V44" s="283">
        <f>+V43*(SUM($Y$43:$AN$43)/SUM(TableF1a!$C$93:$R$93))</f>
        <v>0.32923880725748345</v>
      </c>
      <c r="W44" s="283">
        <f>+W43*(SUM($Y$43:$AN$43)/SUM(TableF1a!$C$93:$R$93))</f>
        <v>0.31966538105161507</v>
      </c>
      <c r="X44" s="283">
        <f>+X43*(SUM($Y$43:$AN$43)/SUM(TableF1a!$C$93:$R$93))</f>
        <v>0.30863987653294561</v>
      </c>
      <c r="Y44" s="283">
        <f>+TableF1a!C93</f>
        <v>0.29420000000000002</v>
      </c>
      <c r="Z44" s="283">
        <f>+TableF1a!D93</f>
        <v>0.28949999999999998</v>
      </c>
      <c r="AA44" s="283">
        <f>+TableF1a!E93</f>
        <v>0.28000000000000003</v>
      </c>
      <c r="AB44" s="283">
        <f>+TableF1a!F93</f>
        <v>0.27550000000000002</v>
      </c>
      <c r="AC44" s="283">
        <f>+TableF1a!G93</f>
        <v>0.26960000000000001</v>
      </c>
      <c r="AD44" s="283">
        <f>+TableF1a!H93</f>
        <v>0.25659999999999999</v>
      </c>
      <c r="AE44" s="283">
        <f>+TableF1a!I93</f>
        <v>0.25319999999999998</v>
      </c>
      <c r="AF44" s="283">
        <f>+TableF1a!J93</f>
        <v>0.2465</v>
      </c>
      <c r="AG44" s="283">
        <f>+TableF1a!K93</f>
        <v>0.2452</v>
      </c>
      <c r="AH44" s="283">
        <f>+TableF1a!L93</f>
        <v>0.24379999999999999</v>
      </c>
      <c r="AI44" s="283">
        <f>+TableF1a!M93</f>
        <v>0.24149999999999999</v>
      </c>
      <c r="AJ44" s="283">
        <f>+TableF1a!N93</f>
        <v>0.23850000000000002</v>
      </c>
      <c r="AK44" s="283">
        <f>+TableF1a!O93</f>
        <v>0.23739999999999997</v>
      </c>
      <c r="AL44" s="283">
        <f>+TableF1a!P93</f>
        <v>0.23579999999999998</v>
      </c>
      <c r="AM44" s="787">
        <f>+TableF1a!Q93</f>
        <v>0.2404</v>
      </c>
      <c r="AN44" s="668">
        <f>+TableF1a!R93</f>
        <v>0.24</v>
      </c>
      <c r="AO44" s="528"/>
      <c r="AP44" s="789">
        <f t="shared" si="1"/>
        <v>-9.3438807257483464E-2</v>
      </c>
    </row>
    <row r="45" spans="1:42" ht="17" thickTop="1" x14ac:dyDescent="0.2">
      <c r="B45" s="1708"/>
      <c r="C45" s="1709"/>
      <c r="D45" s="1709"/>
      <c r="E45" s="1709"/>
      <c r="F45" s="1709"/>
      <c r="G45" s="1709"/>
      <c r="H45" s="1709"/>
      <c r="I45" s="1709"/>
      <c r="J45" s="1709"/>
      <c r="K45" s="1709"/>
      <c r="L45" s="1709"/>
      <c r="M45" s="1709"/>
      <c r="N45" s="1709"/>
      <c r="O45" s="1196"/>
      <c r="P45" s="1709"/>
      <c r="Q45" s="1709"/>
      <c r="R45" s="1709"/>
      <c r="S45" s="1709"/>
      <c r="T45" s="1709"/>
      <c r="U45" s="1709"/>
      <c r="V45" s="1709"/>
      <c r="W45" s="1709"/>
      <c r="X45" s="1709"/>
      <c r="Y45" s="1709"/>
      <c r="Z45" s="1709"/>
      <c r="AA45" s="1709"/>
      <c r="AB45" s="1196"/>
      <c r="AC45" s="528"/>
      <c r="AD45" s="528"/>
      <c r="AE45" s="528"/>
      <c r="AF45" s="528"/>
      <c r="AG45" s="528"/>
      <c r="AH45" s="528"/>
      <c r="AI45" s="528"/>
      <c r="AJ45" s="528"/>
      <c r="AK45" s="528"/>
      <c r="AL45" s="528"/>
      <c r="AM45" s="528"/>
      <c r="AN45" s="528"/>
      <c r="AO45" s="528"/>
    </row>
    <row r="46" spans="1:42" x14ac:dyDescent="0.2">
      <c r="B46" s="790" t="s">
        <v>65</v>
      </c>
      <c r="C46" s="1709"/>
      <c r="D46" s="1709"/>
      <c r="E46" s="1709"/>
      <c r="F46" s="1709"/>
      <c r="G46" s="1709"/>
      <c r="H46" s="1709"/>
      <c r="I46" s="1709"/>
      <c r="J46" s="1709"/>
      <c r="K46" s="1709"/>
      <c r="L46" s="1709"/>
      <c r="M46" s="1709"/>
      <c r="N46" s="1709"/>
      <c r="O46" s="1196"/>
      <c r="P46" s="1709"/>
      <c r="Q46" s="1709"/>
      <c r="R46" s="1709"/>
      <c r="S46" s="1709"/>
      <c r="T46" s="1709"/>
      <c r="U46" s="1709"/>
      <c r="V46" s="789">
        <v>0.37</v>
      </c>
      <c r="W46" s="789">
        <v>0.35</v>
      </c>
      <c r="X46" s="789">
        <v>0.34</v>
      </c>
      <c r="Y46" s="789">
        <v>0.34</v>
      </c>
      <c r="Z46" s="789">
        <v>0.34</v>
      </c>
      <c r="AA46" s="789">
        <v>0.34</v>
      </c>
      <c r="AB46" s="789">
        <v>0.34</v>
      </c>
      <c r="AC46" s="789">
        <v>0.34</v>
      </c>
      <c r="AD46" s="789">
        <v>0.34</v>
      </c>
      <c r="AE46" s="789">
        <v>0.34</v>
      </c>
      <c r="AF46" s="789">
        <v>0.34</v>
      </c>
      <c r="AG46" s="789">
        <v>0.34</v>
      </c>
      <c r="AH46" s="789">
        <v>0.34</v>
      </c>
      <c r="AI46" s="789">
        <v>0.34</v>
      </c>
      <c r="AJ46" s="789">
        <v>0.34</v>
      </c>
      <c r="AK46" s="789">
        <v>0.34</v>
      </c>
      <c r="AL46" s="789">
        <v>0.34</v>
      </c>
      <c r="AM46" s="789">
        <v>0.34</v>
      </c>
      <c r="AN46" s="789">
        <v>0.34</v>
      </c>
      <c r="AO46" s="528"/>
    </row>
    <row r="47" spans="1:42" x14ac:dyDescent="0.2">
      <c r="B47" s="790" t="s">
        <v>66</v>
      </c>
      <c r="C47" s="1709"/>
      <c r="D47" s="1709"/>
      <c r="E47" s="1709"/>
      <c r="F47" s="1709"/>
      <c r="G47" s="1709"/>
      <c r="H47" s="1709"/>
      <c r="I47" s="1709"/>
      <c r="J47" s="1709"/>
      <c r="K47" s="1709"/>
      <c r="L47" s="1709"/>
      <c r="M47" s="1709"/>
      <c r="N47" s="1709"/>
      <c r="O47" s="1196"/>
      <c r="P47" s="1709"/>
      <c r="Q47" s="1709"/>
      <c r="R47" s="1709"/>
      <c r="S47" s="1709"/>
      <c r="T47" s="1709"/>
      <c r="U47" s="1709"/>
      <c r="V47" s="789">
        <v>0.33</v>
      </c>
      <c r="W47" s="789">
        <v>0.33</v>
      </c>
      <c r="X47" s="789">
        <v>0.33</v>
      </c>
      <c r="Y47" s="789">
        <v>0.33</v>
      </c>
      <c r="Z47" s="789">
        <v>0.33</v>
      </c>
      <c r="AA47" s="789">
        <v>0.33</v>
      </c>
      <c r="AB47" s="789">
        <v>0.33</v>
      </c>
      <c r="AC47" s="789">
        <v>0.33</v>
      </c>
      <c r="AD47" s="789">
        <v>0.25</v>
      </c>
      <c r="AE47" s="789">
        <v>0.25</v>
      </c>
      <c r="AF47" s="789">
        <v>0.25</v>
      </c>
      <c r="AG47" s="789">
        <v>0.25</v>
      </c>
      <c r="AH47" s="789">
        <v>0.25</v>
      </c>
      <c r="AI47" s="789">
        <v>0.25</v>
      </c>
      <c r="AJ47" s="789">
        <v>0.25</v>
      </c>
      <c r="AK47" s="789">
        <v>0.25</v>
      </c>
      <c r="AL47" s="789">
        <v>0.25</v>
      </c>
      <c r="AM47" s="789">
        <v>0.25</v>
      </c>
      <c r="AN47" s="789">
        <v>0.25</v>
      </c>
      <c r="AO47" s="528"/>
    </row>
    <row r="48" spans="1:42" x14ac:dyDescent="0.2">
      <c r="B48" s="790" t="s">
        <v>934</v>
      </c>
      <c r="C48" s="1709"/>
      <c r="D48" s="1709"/>
      <c r="E48" s="1709"/>
      <c r="F48" s="1709"/>
      <c r="G48" s="1709"/>
      <c r="H48" s="1709"/>
      <c r="I48" s="1709"/>
      <c r="J48" s="1709"/>
      <c r="K48" s="1709"/>
      <c r="L48" s="1709"/>
      <c r="M48" s="1709"/>
      <c r="N48" s="1709"/>
      <c r="O48" s="1196"/>
      <c r="P48" s="1709"/>
      <c r="Q48" s="1709"/>
      <c r="R48" s="1709"/>
      <c r="S48" s="1709"/>
      <c r="T48" s="1709"/>
      <c r="U48" s="1709"/>
      <c r="V48" s="1637">
        <f t="shared" ref="V48:AN48" si="6">(V8+V11+V17+V18+V25+V29+V41+V30)/8</f>
        <v>0.38386649374999998</v>
      </c>
      <c r="W48" s="1637">
        <f t="shared" si="6"/>
        <v>0.3583515625</v>
      </c>
      <c r="X48" s="1637">
        <f t="shared" si="6"/>
        <v>0.35340051862499999</v>
      </c>
      <c r="Y48" s="1637">
        <f t="shared" si="6"/>
        <v>0.35110720949999996</v>
      </c>
      <c r="Z48" s="1637">
        <f t="shared" si="6"/>
        <v>0.34468801862499998</v>
      </c>
      <c r="AA48" s="1637">
        <f t="shared" si="6"/>
        <v>0.33633801862499996</v>
      </c>
      <c r="AB48" s="1637">
        <f t="shared" si="6"/>
        <v>0.33175051862499993</v>
      </c>
      <c r="AC48" s="1637">
        <f t="shared" si="6"/>
        <v>0.32540051862499997</v>
      </c>
      <c r="AD48" s="1637">
        <f t="shared" si="6"/>
        <v>0.30884374999999997</v>
      </c>
      <c r="AE48" s="1637">
        <f t="shared" si="6"/>
        <v>0.30833124999999995</v>
      </c>
      <c r="AF48" s="1637">
        <f t="shared" si="6"/>
        <v>0.30875624999999995</v>
      </c>
      <c r="AG48" s="1637">
        <f t="shared" si="6"/>
        <v>0.30348125000000004</v>
      </c>
      <c r="AH48" s="1637">
        <f t="shared" si="6"/>
        <v>0.29910625000000002</v>
      </c>
      <c r="AI48" s="1637">
        <f t="shared" si="6"/>
        <v>0.29468125000000001</v>
      </c>
      <c r="AJ48" s="1637">
        <f t="shared" si="6"/>
        <v>0.29237500000000005</v>
      </c>
      <c r="AK48" s="1637">
        <f t="shared" si="6"/>
        <v>0.28502500000000003</v>
      </c>
      <c r="AL48" s="1637">
        <f t="shared" si="6"/>
        <v>0.281725</v>
      </c>
      <c r="AM48" s="1637">
        <f t="shared" si="6"/>
        <v>0.28059999999999996</v>
      </c>
      <c r="AN48" s="1637">
        <f t="shared" si="6"/>
        <v>0.28044999999999998</v>
      </c>
      <c r="AO48" s="528"/>
    </row>
    <row r="49" spans="2:41" x14ac:dyDescent="0.2">
      <c r="B49" s="790" t="s">
        <v>935</v>
      </c>
      <c r="C49" s="1709"/>
      <c r="D49" s="1709"/>
      <c r="E49" s="1709"/>
      <c r="F49" s="1709"/>
      <c r="G49" s="1709"/>
      <c r="H49" s="1709"/>
      <c r="I49" s="1709"/>
      <c r="J49" s="1709"/>
      <c r="K49" s="1709"/>
      <c r="L49" s="1709"/>
      <c r="M49" s="1709"/>
      <c r="N49" s="1709"/>
      <c r="O49" s="1196"/>
      <c r="P49" s="1709"/>
      <c r="Q49" s="1709"/>
      <c r="R49" s="1709"/>
      <c r="S49" s="1709"/>
      <c r="T49" s="1709"/>
      <c r="U49" s="1709"/>
      <c r="V49" s="1637">
        <f>(V8+V11+V17+V18+V25+V29+V41+V30+V46+V47)/10</f>
        <v>0.37709319499999999</v>
      </c>
      <c r="W49" s="1637">
        <f t="shared" ref="W49:AN49" si="7">(W8+W11+W17+W18+W25+W29+W41+W30+W46+W47)/10</f>
        <v>0.35468125</v>
      </c>
      <c r="X49" s="1637">
        <f t="shared" si="7"/>
        <v>0.3497204149</v>
      </c>
      <c r="Y49" s="1637">
        <f t="shared" si="7"/>
        <v>0.34788576759999995</v>
      </c>
      <c r="Z49" s="1637">
        <f t="shared" si="7"/>
        <v>0.34275041489999997</v>
      </c>
      <c r="AA49" s="1637">
        <f t="shared" si="7"/>
        <v>0.33607041489999995</v>
      </c>
      <c r="AB49" s="1637">
        <f t="shared" si="7"/>
        <v>0.33240041489999994</v>
      </c>
      <c r="AC49" s="1637">
        <f t="shared" si="7"/>
        <v>0.32732041489999997</v>
      </c>
      <c r="AD49" s="1637">
        <f t="shared" si="7"/>
        <v>0.30607499999999999</v>
      </c>
      <c r="AE49" s="1637">
        <f t="shared" si="7"/>
        <v>0.30566499999999996</v>
      </c>
      <c r="AF49" s="1637">
        <f t="shared" si="7"/>
        <v>0.30600499999999997</v>
      </c>
      <c r="AG49" s="1637">
        <f t="shared" si="7"/>
        <v>0.30178500000000003</v>
      </c>
      <c r="AH49" s="1637">
        <f t="shared" si="7"/>
        <v>0.29828500000000002</v>
      </c>
      <c r="AI49" s="1637">
        <f t="shared" si="7"/>
        <v>0.29474499999999998</v>
      </c>
      <c r="AJ49" s="1637">
        <f t="shared" si="7"/>
        <v>0.29290000000000005</v>
      </c>
      <c r="AK49" s="1637">
        <f t="shared" si="7"/>
        <v>0.28702</v>
      </c>
      <c r="AL49" s="1637">
        <f t="shared" si="7"/>
        <v>0.28437999999999997</v>
      </c>
      <c r="AM49" s="1637">
        <f t="shared" si="7"/>
        <v>0.28347999999999995</v>
      </c>
      <c r="AN49" s="1637">
        <f t="shared" si="7"/>
        <v>0.28335999999999995</v>
      </c>
      <c r="AO49" s="528"/>
    </row>
    <row r="50" spans="2:41" x14ac:dyDescent="0.2">
      <c r="B50" s="1832"/>
      <c r="C50" s="1709"/>
      <c r="D50" s="1709"/>
      <c r="E50" s="1709"/>
      <c r="F50" s="1709"/>
      <c r="G50" s="1709"/>
      <c r="H50" s="1709"/>
      <c r="I50" s="1709"/>
      <c r="J50" s="1709"/>
      <c r="K50" s="1709"/>
      <c r="L50" s="1709"/>
      <c r="M50" s="1709"/>
      <c r="N50" s="1709"/>
      <c r="O50" s="1196"/>
      <c r="P50" s="1709"/>
      <c r="Q50" s="1709"/>
      <c r="R50" s="1709"/>
      <c r="S50" s="1709"/>
      <c r="T50" s="1709"/>
      <c r="U50" s="1709"/>
      <c r="V50" s="1709"/>
      <c r="W50" s="1709"/>
      <c r="X50" s="1709"/>
      <c r="Y50" s="1709"/>
      <c r="Z50" s="1709"/>
      <c r="AA50" s="1709"/>
      <c r="AB50" s="1196"/>
      <c r="AC50" s="528"/>
      <c r="AD50" s="528"/>
      <c r="AE50" s="528"/>
      <c r="AF50" s="528"/>
      <c r="AG50" s="528"/>
      <c r="AH50" s="528"/>
      <c r="AI50" s="528"/>
      <c r="AJ50" s="528"/>
      <c r="AK50" s="528"/>
      <c r="AL50" s="528"/>
      <c r="AM50" s="528"/>
      <c r="AN50" s="528"/>
      <c r="AO50" s="528"/>
    </row>
    <row r="51" spans="2:41" x14ac:dyDescent="0.2">
      <c r="B51" s="1027"/>
      <c r="C51" s="1709"/>
      <c r="D51" s="1709"/>
      <c r="E51" s="1709"/>
      <c r="F51" s="1709"/>
      <c r="G51" s="1709"/>
      <c r="H51" s="1709"/>
      <c r="I51" s="1709"/>
      <c r="J51" s="1709"/>
      <c r="K51" s="1709"/>
      <c r="L51" s="1709"/>
      <c r="M51" s="1709"/>
      <c r="N51" s="1709"/>
      <c r="O51" s="1196"/>
      <c r="P51" s="1709"/>
      <c r="Q51" s="1709"/>
      <c r="R51" s="1709"/>
      <c r="S51" s="1709"/>
      <c r="T51" s="1709"/>
      <c r="U51" s="1709"/>
      <c r="V51" s="1709"/>
      <c r="W51" s="1709"/>
      <c r="X51" s="1709"/>
      <c r="Y51" s="1709"/>
      <c r="Z51" s="1709"/>
      <c r="AA51" s="1709"/>
      <c r="AB51" s="1196"/>
      <c r="AC51" s="528"/>
      <c r="AD51" s="528"/>
      <c r="AE51" s="528"/>
      <c r="AF51" s="528"/>
      <c r="AG51" s="528"/>
      <c r="AH51" s="528"/>
      <c r="AI51" s="528"/>
      <c r="AJ51" s="528"/>
      <c r="AK51" s="528"/>
      <c r="AL51" s="528"/>
      <c r="AM51" s="528"/>
      <c r="AN51" s="528"/>
      <c r="AO51" s="528"/>
    </row>
    <row r="52" spans="2:41" x14ac:dyDescent="0.2">
      <c r="B52" s="1027"/>
      <c r="C52" s="1709"/>
      <c r="D52" s="1709"/>
      <c r="E52" s="1709"/>
      <c r="F52" s="1709"/>
      <c r="G52" s="1709"/>
      <c r="H52" s="1709"/>
      <c r="I52" s="1709"/>
      <c r="J52" s="1709"/>
      <c r="K52" s="1709"/>
      <c r="L52" s="1709"/>
      <c r="M52" s="1709"/>
      <c r="N52" s="1709"/>
      <c r="O52" s="1196"/>
      <c r="P52" s="1709"/>
      <c r="Q52" s="1709"/>
      <c r="R52" s="1709"/>
      <c r="S52" s="1709"/>
      <c r="T52" s="1709"/>
      <c r="U52" s="1709"/>
      <c r="V52" s="1709"/>
      <c r="W52" s="1709"/>
      <c r="X52" s="1709"/>
      <c r="Y52" s="1709"/>
      <c r="Z52" s="1709"/>
      <c r="AA52" s="1709"/>
      <c r="AB52" s="1196"/>
      <c r="AC52" s="528"/>
      <c r="AD52" s="528"/>
      <c r="AE52" s="528"/>
      <c r="AF52" s="528"/>
      <c r="AG52" s="528"/>
      <c r="AH52" s="528"/>
      <c r="AI52" s="528"/>
      <c r="AJ52" s="528"/>
      <c r="AK52" s="528"/>
      <c r="AL52" s="528"/>
      <c r="AM52" s="528"/>
      <c r="AN52" s="528"/>
      <c r="AO52" s="528"/>
    </row>
    <row r="53" spans="2:41" x14ac:dyDescent="0.2">
      <c r="B53" s="1027"/>
      <c r="C53" s="1709"/>
      <c r="D53" s="1709"/>
      <c r="E53" s="1709"/>
      <c r="F53" s="1709"/>
      <c r="G53" s="1709"/>
      <c r="H53" s="1709"/>
      <c r="I53" s="1709"/>
      <c r="J53" s="1709"/>
      <c r="K53" s="1709"/>
      <c r="L53" s="1709"/>
      <c r="M53" s="1709"/>
      <c r="N53" s="1709"/>
      <c r="O53" s="1196"/>
      <c r="P53" s="1709"/>
      <c r="Q53" s="1709"/>
      <c r="R53" s="1709"/>
      <c r="S53" s="1709"/>
      <c r="T53" s="1709"/>
      <c r="U53" s="1709"/>
      <c r="V53" s="1709"/>
      <c r="W53" s="1709"/>
      <c r="X53" s="1709"/>
      <c r="Y53" s="1709"/>
      <c r="Z53" s="1709"/>
      <c r="AA53" s="1709"/>
      <c r="AB53" s="1196"/>
      <c r="AC53" s="528"/>
      <c r="AD53" s="528"/>
      <c r="AE53" s="528"/>
      <c r="AF53" s="528"/>
      <c r="AG53" s="528"/>
      <c r="AH53" s="528"/>
      <c r="AI53" s="528"/>
      <c r="AJ53" s="528"/>
      <c r="AK53" s="528"/>
      <c r="AL53" s="528"/>
      <c r="AM53" s="528"/>
      <c r="AN53" s="528"/>
      <c r="AO53" s="528"/>
    </row>
    <row r="54" spans="2:41" x14ac:dyDescent="0.2">
      <c r="B54" s="1027"/>
      <c r="C54" s="1709"/>
      <c r="D54" s="1709"/>
      <c r="E54" s="1709"/>
      <c r="F54" s="1709"/>
      <c r="G54" s="1709"/>
      <c r="H54" s="1709"/>
      <c r="I54" s="1709"/>
      <c r="J54" s="1709"/>
      <c r="K54" s="1709"/>
      <c r="L54" s="1709"/>
      <c r="M54" s="1709"/>
      <c r="N54" s="1709"/>
      <c r="O54" s="1196"/>
      <c r="P54" s="1709"/>
      <c r="Q54" s="1709"/>
      <c r="R54" s="1709"/>
      <c r="S54" s="1709"/>
      <c r="T54" s="1709"/>
      <c r="U54" s="1709"/>
      <c r="V54" s="1709"/>
      <c r="W54" s="1709"/>
      <c r="X54" s="1709"/>
      <c r="Y54" s="1709"/>
      <c r="Z54" s="1709"/>
      <c r="AA54" s="1709"/>
      <c r="AB54" s="1196"/>
      <c r="AC54" s="528"/>
      <c r="AD54" s="528"/>
      <c r="AE54" s="528"/>
      <c r="AF54" s="528"/>
      <c r="AG54" s="528"/>
      <c r="AH54" s="528"/>
      <c r="AI54" s="528"/>
      <c r="AJ54" s="528"/>
      <c r="AK54" s="528"/>
      <c r="AL54" s="528"/>
      <c r="AM54" s="528"/>
      <c r="AN54" s="528"/>
      <c r="AO54" s="528"/>
    </row>
    <row r="55" spans="2:41" x14ac:dyDescent="0.2">
      <c r="B55" s="1027"/>
      <c r="C55" s="1709"/>
      <c r="D55" s="1709"/>
      <c r="E55" s="1709"/>
      <c r="F55" s="1709"/>
      <c r="G55" s="1709"/>
      <c r="H55" s="1709"/>
      <c r="I55" s="1709"/>
      <c r="J55" s="1709"/>
      <c r="K55" s="1709"/>
      <c r="L55" s="1709"/>
      <c r="M55" s="1709"/>
      <c r="N55" s="1709"/>
      <c r="O55" s="1196"/>
      <c r="P55" s="1709"/>
      <c r="Q55" s="1709"/>
      <c r="R55" s="1709"/>
      <c r="S55" s="1709"/>
      <c r="T55" s="1709"/>
      <c r="U55" s="1709"/>
      <c r="V55" s="1709"/>
      <c r="W55" s="1709"/>
      <c r="X55" s="1709"/>
      <c r="Y55" s="1709"/>
      <c r="Z55" s="1709"/>
      <c r="AA55" s="1709"/>
      <c r="AB55" s="1196"/>
      <c r="AC55" s="528"/>
      <c r="AD55" s="528"/>
      <c r="AE55" s="528"/>
      <c r="AF55" s="528"/>
      <c r="AG55" s="528"/>
      <c r="AH55" s="528"/>
      <c r="AI55" s="528"/>
      <c r="AJ55" s="528"/>
      <c r="AK55" s="528"/>
      <c r="AL55" s="528"/>
      <c r="AM55" s="528"/>
      <c r="AN55" s="528"/>
      <c r="AO55" s="528"/>
    </row>
    <row r="56" spans="2:41" x14ac:dyDescent="0.2">
      <c r="B56" s="1027"/>
      <c r="C56" s="1709"/>
      <c r="D56" s="1709"/>
      <c r="E56" s="1709"/>
      <c r="F56" s="1709"/>
      <c r="G56" s="1709"/>
      <c r="H56" s="1709"/>
      <c r="I56" s="1709"/>
      <c r="J56" s="1709"/>
      <c r="K56" s="1709"/>
      <c r="L56" s="1709"/>
      <c r="M56" s="1709"/>
      <c r="N56" s="1709"/>
      <c r="O56" s="1196"/>
      <c r="P56" s="1709"/>
      <c r="Q56" s="1709"/>
      <c r="R56" s="1709"/>
      <c r="S56" s="1709"/>
      <c r="T56" s="1709"/>
      <c r="U56" s="1709"/>
      <c r="V56" s="1709"/>
      <c r="W56" s="1709"/>
      <c r="X56" s="1709"/>
      <c r="Y56" s="1709"/>
      <c r="Z56" s="1709"/>
      <c r="AA56" s="1709"/>
      <c r="AB56" s="1196"/>
      <c r="AC56" s="528"/>
      <c r="AD56" s="528"/>
      <c r="AE56" s="528"/>
      <c r="AF56" s="528"/>
      <c r="AG56" s="528"/>
      <c r="AH56" s="528"/>
      <c r="AI56" s="528"/>
      <c r="AJ56" s="528"/>
      <c r="AK56" s="528"/>
      <c r="AL56" s="528"/>
      <c r="AM56" s="528"/>
      <c r="AN56" s="528"/>
      <c r="AO56" s="528"/>
    </row>
    <row r="57" spans="2:41" x14ac:dyDescent="0.2">
      <c r="B57" s="1027"/>
      <c r="C57" s="1709"/>
      <c r="D57" s="1709"/>
      <c r="E57" s="1709"/>
      <c r="F57" s="1709"/>
      <c r="G57" s="1709"/>
      <c r="H57" s="1709"/>
      <c r="I57" s="1709"/>
      <c r="J57" s="1709"/>
      <c r="K57" s="1709"/>
      <c r="L57" s="1709"/>
      <c r="M57" s="1709"/>
      <c r="N57" s="1709"/>
      <c r="O57" s="1196"/>
      <c r="P57" s="1709"/>
      <c r="Q57" s="1709"/>
      <c r="R57" s="1709"/>
      <c r="S57" s="1709"/>
      <c r="T57" s="1709"/>
      <c r="U57" s="1709"/>
      <c r="V57" s="1709"/>
      <c r="W57" s="1709"/>
      <c r="X57" s="1709"/>
      <c r="Y57" s="1709"/>
      <c r="Z57" s="1709"/>
      <c r="AA57" s="1709"/>
      <c r="AB57" s="1196"/>
      <c r="AC57" s="528"/>
      <c r="AD57" s="528"/>
      <c r="AE57" s="528"/>
      <c r="AF57" s="528"/>
      <c r="AG57" s="528"/>
      <c r="AH57" s="528"/>
      <c r="AI57" s="528"/>
      <c r="AJ57" s="528"/>
      <c r="AK57" s="528"/>
      <c r="AL57" s="528"/>
      <c r="AM57" s="528"/>
      <c r="AN57" s="528"/>
      <c r="AO57" s="528"/>
    </row>
    <row r="58" spans="2:41" x14ac:dyDescent="0.2">
      <c r="B58" s="1027"/>
      <c r="C58" s="1709"/>
      <c r="D58" s="1709"/>
      <c r="E58" s="1709"/>
      <c r="F58" s="1709"/>
      <c r="G58" s="1709"/>
      <c r="H58" s="1709"/>
      <c r="I58" s="1709"/>
      <c r="J58" s="1709"/>
      <c r="K58" s="1709"/>
      <c r="L58" s="1709"/>
      <c r="M58" s="1709"/>
      <c r="N58" s="1709"/>
      <c r="O58" s="1196"/>
      <c r="P58" s="1709"/>
      <c r="Q58" s="1709"/>
      <c r="R58" s="1709"/>
      <c r="S58" s="1709"/>
      <c r="T58" s="1709"/>
      <c r="U58" s="1709"/>
      <c r="V58" s="1709"/>
      <c r="W58" s="1709"/>
      <c r="X58" s="1709"/>
      <c r="Y58" s="1709"/>
      <c r="Z58" s="1709"/>
      <c r="AA58" s="1709"/>
      <c r="AB58" s="1196"/>
      <c r="AC58" s="528"/>
      <c r="AD58" s="528"/>
      <c r="AE58" s="528"/>
      <c r="AF58" s="528"/>
      <c r="AG58" s="528"/>
      <c r="AH58" s="528"/>
      <c r="AI58" s="528"/>
      <c r="AJ58" s="528"/>
      <c r="AK58" s="528"/>
      <c r="AL58" s="528"/>
      <c r="AM58" s="528"/>
      <c r="AN58" s="528"/>
      <c r="AO58" s="528"/>
    </row>
    <row r="59" spans="2:41" x14ac:dyDescent="0.2">
      <c r="B59" s="1027"/>
      <c r="C59" s="1709"/>
      <c r="D59" s="1709"/>
      <c r="E59" s="1709"/>
      <c r="F59" s="1709"/>
      <c r="G59" s="1709"/>
      <c r="H59" s="1709"/>
      <c r="I59" s="1709"/>
      <c r="J59" s="1709"/>
      <c r="K59" s="1709"/>
      <c r="L59" s="1709"/>
      <c r="M59" s="1709"/>
      <c r="N59" s="1709"/>
      <c r="O59" s="1196"/>
      <c r="P59" s="1709"/>
      <c r="Q59" s="1709"/>
      <c r="R59" s="1709"/>
      <c r="S59" s="1709"/>
      <c r="T59" s="1709"/>
      <c r="U59" s="1709"/>
      <c r="V59" s="1709"/>
      <c r="W59" s="1709"/>
      <c r="X59" s="1709"/>
      <c r="Y59" s="1709"/>
      <c r="Z59" s="1709"/>
      <c r="AA59" s="1709"/>
      <c r="AB59" s="1196"/>
      <c r="AC59" s="528"/>
      <c r="AD59" s="528"/>
      <c r="AE59" s="528"/>
      <c r="AF59" s="528"/>
      <c r="AG59" s="528"/>
      <c r="AH59" s="528"/>
      <c r="AI59" s="528"/>
      <c r="AJ59" s="528"/>
      <c r="AK59" s="528"/>
      <c r="AL59" s="528"/>
      <c r="AM59" s="528"/>
      <c r="AN59" s="528"/>
      <c r="AO59" s="528"/>
    </row>
    <row r="60" spans="2:41" x14ac:dyDescent="0.2">
      <c r="B60" s="1027"/>
      <c r="C60" s="1709"/>
      <c r="D60" s="1709"/>
      <c r="E60" s="1709"/>
      <c r="F60" s="1709"/>
      <c r="G60" s="1709"/>
      <c r="H60" s="1709"/>
      <c r="I60" s="1709"/>
      <c r="J60" s="1709"/>
      <c r="K60" s="1709"/>
      <c r="L60" s="1709"/>
      <c r="M60" s="1709"/>
      <c r="N60" s="1709"/>
      <c r="O60" s="1196"/>
      <c r="P60" s="1709"/>
      <c r="Q60" s="1709"/>
      <c r="R60" s="1709"/>
      <c r="S60" s="1709"/>
      <c r="T60" s="1709"/>
      <c r="U60" s="1709"/>
      <c r="V60" s="1709"/>
      <c r="W60" s="1709"/>
      <c r="X60" s="1709"/>
      <c r="Y60" s="1709"/>
      <c r="Z60" s="1709"/>
      <c r="AA60" s="1709"/>
      <c r="AB60" s="1196"/>
      <c r="AC60" s="528"/>
      <c r="AD60" s="528"/>
      <c r="AE60" s="528"/>
      <c r="AF60" s="528"/>
      <c r="AG60" s="528"/>
      <c r="AH60" s="528"/>
      <c r="AI60" s="528"/>
      <c r="AJ60" s="528"/>
      <c r="AK60" s="528"/>
      <c r="AL60" s="528"/>
      <c r="AM60" s="528"/>
      <c r="AN60" s="528"/>
      <c r="AO60" s="528"/>
    </row>
    <row r="61" spans="2:41" x14ac:dyDescent="0.2">
      <c r="B61" s="1027"/>
      <c r="C61" s="1709"/>
      <c r="D61" s="1709"/>
      <c r="E61" s="1709"/>
      <c r="F61" s="1709"/>
      <c r="G61" s="1709"/>
      <c r="H61" s="1709"/>
      <c r="I61" s="1709"/>
      <c r="J61" s="1709"/>
      <c r="K61" s="1709"/>
      <c r="L61" s="1709"/>
      <c r="M61" s="1709"/>
      <c r="N61" s="1709"/>
      <c r="O61" s="1196"/>
      <c r="P61" s="1709"/>
      <c r="Q61" s="1709"/>
      <c r="R61" s="1709"/>
      <c r="S61" s="1709"/>
      <c r="T61" s="1709"/>
      <c r="U61" s="1709"/>
      <c r="V61" s="1709"/>
      <c r="W61" s="1709"/>
      <c r="X61" s="1709"/>
      <c r="Y61" s="1709"/>
      <c r="Z61" s="1709"/>
      <c r="AA61" s="1709"/>
      <c r="AB61" s="1196"/>
      <c r="AC61" s="528"/>
      <c r="AD61" s="528"/>
      <c r="AE61" s="528"/>
      <c r="AF61" s="528"/>
      <c r="AG61" s="528"/>
      <c r="AH61" s="528"/>
      <c r="AI61" s="528"/>
      <c r="AJ61" s="528"/>
      <c r="AK61" s="528"/>
      <c r="AL61" s="528"/>
      <c r="AM61" s="528"/>
      <c r="AN61" s="528"/>
      <c r="AO61" s="528"/>
    </row>
    <row r="62" spans="2:41" x14ac:dyDescent="0.2">
      <c r="B62" s="433"/>
      <c r="C62" s="1709"/>
      <c r="D62" s="1709"/>
      <c r="E62" s="1709"/>
      <c r="F62" s="1709"/>
      <c r="G62" s="1709"/>
      <c r="H62" s="1709"/>
      <c r="I62" s="1709"/>
      <c r="J62" s="1709"/>
      <c r="K62" s="1709"/>
      <c r="L62" s="1709"/>
      <c r="M62" s="1709"/>
      <c r="N62" s="1709"/>
      <c r="O62" s="1196"/>
      <c r="P62" s="1709"/>
      <c r="Q62" s="1709"/>
      <c r="R62" s="1709"/>
      <c r="S62" s="1709"/>
      <c r="T62" s="1709"/>
      <c r="U62" s="1709"/>
      <c r="V62" s="1709"/>
      <c r="W62" s="1709"/>
      <c r="X62" s="1709"/>
      <c r="Y62" s="1709"/>
      <c r="Z62" s="1709"/>
      <c r="AA62" s="1709"/>
      <c r="AB62" s="1196"/>
      <c r="AC62" s="528"/>
      <c r="AD62" s="528"/>
      <c r="AE62" s="528"/>
      <c r="AF62" s="528"/>
      <c r="AG62" s="528"/>
      <c r="AH62" s="528"/>
      <c r="AI62" s="528"/>
      <c r="AJ62" s="528"/>
      <c r="AK62" s="528"/>
      <c r="AL62" s="528"/>
      <c r="AM62" s="528"/>
      <c r="AN62" s="528"/>
      <c r="AO62" s="528"/>
    </row>
    <row r="63" spans="2:41" x14ac:dyDescent="0.2">
      <c r="B63" s="1027"/>
      <c r="C63" s="1709"/>
      <c r="D63" s="1709"/>
      <c r="E63" s="1709"/>
      <c r="F63" s="1709"/>
      <c r="G63" s="1709"/>
      <c r="H63" s="1709"/>
      <c r="I63" s="1709"/>
      <c r="J63" s="1709"/>
      <c r="K63" s="1709"/>
      <c r="L63" s="1709"/>
      <c r="M63" s="1709"/>
      <c r="N63" s="1709"/>
      <c r="O63" s="1196"/>
      <c r="P63" s="1709"/>
      <c r="Q63" s="1709"/>
      <c r="R63" s="1709"/>
      <c r="S63" s="1709"/>
      <c r="T63" s="1709"/>
      <c r="U63" s="1709"/>
      <c r="V63" s="1709"/>
      <c r="W63" s="1709"/>
      <c r="X63" s="1709"/>
      <c r="Y63" s="1709"/>
      <c r="Z63" s="1709"/>
      <c r="AA63" s="1709"/>
      <c r="AB63" s="1196"/>
      <c r="AC63" s="528"/>
      <c r="AD63" s="528"/>
      <c r="AE63" s="528"/>
      <c r="AF63" s="528"/>
      <c r="AG63" s="528"/>
      <c r="AH63" s="528"/>
      <c r="AI63" s="528"/>
      <c r="AJ63" s="528"/>
      <c r="AK63" s="528"/>
      <c r="AL63" s="528"/>
      <c r="AM63" s="528"/>
      <c r="AN63" s="528"/>
      <c r="AO63" s="528"/>
    </row>
    <row r="64" spans="2:41" x14ac:dyDescent="0.2">
      <c r="B64" s="1027"/>
      <c r="C64" s="1709"/>
      <c r="D64" s="1709"/>
      <c r="E64" s="1709"/>
      <c r="F64" s="1709"/>
      <c r="G64" s="1709"/>
      <c r="H64" s="1709"/>
      <c r="I64" s="1709"/>
      <c r="J64" s="1709"/>
      <c r="K64" s="1709"/>
      <c r="L64" s="1709"/>
      <c r="M64" s="1709"/>
      <c r="N64" s="1709"/>
      <c r="O64" s="1196"/>
      <c r="P64" s="1709"/>
      <c r="Q64" s="1709"/>
      <c r="R64" s="1709"/>
      <c r="S64" s="1709"/>
      <c r="T64" s="1709"/>
      <c r="U64" s="1709"/>
      <c r="V64" s="1709"/>
      <c r="W64" s="1709"/>
      <c r="X64" s="1709"/>
      <c r="Y64" s="1709"/>
      <c r="Z64" s="1709"/>
      <c r="AA64" s="1709"/>
      <c r="AB64" s="1196"/>
      <c r="AC64" s="528"/>
      <c r="AD64" s="528"/>
      <c r="AE64" s="528"/>
      <c r="AF64" s="528"/>
      <c r="AG64" s="528"/>
      <c r="AH64" s="528"/>
      <c r="AI64" s="528"/>
      <c r="AJ64" s="528"/>
      <c r="AK64" s="528"/>
      <c r="AL64" s="528"/>
      <c r="AM64" s="528"/>
      <c r="AN64" s="528"/>
      <c r="AO64" s="528"/>
    </row>
    <row r="65" spans="1:41" x14ac:dyDescent="0.2">
      <c r="B65" s="1027"/>
      <c r="C65" s="1709"/>
      <c r="D65" s="1709"/>
      <c r="E65" s="1709"/>
      <c r="F65" s="1709"/>
      <c r="G65" s="1709"/>
      <c r="H65" s="1709"/>
      <c r="I65" s="1709"/>
      <c r="J65" s="1709"/>
      <c r="K65" s="1709"/>
      <c r="L65" s="1709"/>
      <c r="M65" s="1709"/>
      <c r="N65" s="1709"/>
      <c r="O65" s="1196"/>
      <c r="P65" s="1709"/>
      <c r="Q65" s="1709"/>
      <c r="R65" s="1709"/>
      <c r="S65" s="1709"/>
      <c r="T65" s="1709"/>
      <c r="U65" s="1709"/>
      <c r="V65" s="1709"/>
      <c r="W65" s="1709"/>
      <c r="X65" s="1709"/>
      <c r="Y65" s="1709"/>
      <c r="Z65" s="1709"/>
      <c r="AA65" s="1709"/>
      <c r="AB65" s="1196"/>
      <c r="AC65" s="528"/>
      <c r="AD65" s="528"/>
      <c r="AE65" s="528"/>
      <c r="AF65" s="528"/>
      <c r="AG65" s="528"/>
      <c r="AH65" s="528"/>
      <c r="AI65" s="528"/>
      <c r="AJ65" s="528"/>
      <c r="AK65" s="528"/>
      <c r="AL65" s="528"/>
      <c r="AM65" s="528"/>
      <c r="AN65" s="528"/>
      <c r="AO65" s="528"/>
    </row>
    <row r="66" spans="1:41" x14ac:dyDescent="0.2">
      <c r="B66" s="1027"/>
      <c r="C66" s="1709"/>
      <c r="D66" s="1709"/>
      <c r="E66" s="1709"/>
      <c r="F66" s="1709"/>
      <c r="G66" s="1709"/>
      <c r="H66" s="1709"/>
      <c r="I66" s="1709"/>
      <c r="J66" s="1709"/>
      <c r="K66" s="1709"/>
      <c r="L66" s="1709"/>
      <c r="M66" s="1709"/>
      <c r="N66" s="1709"/>
      <c r="O66" s="1196"/>
      <c r="P66" s="1709"/>
      <c r="Q66" s="1709"/>
      <c r="R66" s="1709"/>
      <c r="S66" s="1709"/>
      <c r="T66" s="1709"/>
      <c r="U66" s="1709"/>
      <c r="V66" s="1709"/>
      <c r="W66" s="1709"/>
      <c r="X66" s="1709"/>
      <c r="Y66" s="1709"/>
      <c r="Z66" s="1709"/>
      <c r="AA66" s="1709"/>
      <c r="AB66" s="1196"/>
      <c r="AC66" s="528"/>
      <c r="AD66" s="528"/>
      <c r="AE66" s="528"/>
      <c r="AF66" s="528"/>
      <c r="AG66" s="528"/>
      <c r="AH66" s="528"/>
      <c r="AI66" s="528"/>
      <c r="AJ66" s="528"/>
      <c r="AK66" s="528"/>
      <c r="AL66" s="528"/>
      <c r="AM66" s="528"/>
      <c r="AN66" s="528"/>
      <c r="AO66" s="528"/>
    </row>
    <row r="67" spans="1:41" x14ac:dyDescent="0.2">
      <c r="B67" s="1027"/>
      <c r="C67" s="1709"/>
      <c r="D67" s="1709"/>
      <c r="E67" s="1709"/>
      <c r="F67" s="1709"/>
      <c r="G67" s="1709"/>
      <c r="H67" s="1709"/>
      <c r="I67" s="1709"/>
      <c r="J67" s="1709"/>
      <c r="K67" s="1709"/>
      <c r="L67" s="1709"/>
      <c r="M67" s="1709"/>
      <c r="N67" s="1709"/>
      <c r="O67" s="1196"/>
      <c r="P67" s="1709"/>
      <c r="Q67" s="1709"/>
      <c r="R67" s="1709"/>
      <c r="S67" s="1709"/>
      <c r="T67" s="1709"/>
      <c r="U67" s="1709"/>
      <c r="V67" s="1709"/>
      <c r="W67" s="1709"/>
      <c r="X67" s="1709"/>
      <c r="Y67" s="1709"/>
      <c r="Z67" s="1709"/>
      <c r="AA67" s="1709"/>
      <c r="AB67" s="1196"/>
      <c r="AC67" s="528"/>
      <c r="AD67" s="528"/>
      <c r="AE67" s="528"/>
      <c r="AF67" s="528"/>
      <c r="AG67" s="528"/>
      <c r="AH67" s="528"/>
      <c r="AI67" s="528"/>
      <c r="AJ67" s="528"/>
      <c r="AK67" s="528"/>
      <c r="AL67" s="528"/>
      <c r="AM67" s="528"/>
      <c r="AN67" s="528"/>
      <c r="AO67" s="528"/>
    </row>
    <row r="68" spans="1:41" x14ac:dyDescent="0.2">
      <c r="B68" s="1027"/>
      <c r="C68" s="1709"/>
      <c r="D68" s="1709"/>
      <c r="E68" s="1709"/>
      <c r="F68" s="1709"/>
      <c r="G68" s="1709"/>
      <c r="H68" s="1709"/>
      <c r="I68" s="1709"/>
      <c r="J68" s="1709"/>
      <c r="K68" s="1709"/>
      <c r="L68" s="1709"/>
      <c r="M68" s="1709"/>
      <c r="N68" s="1709"/>
      <c r="O68" s="1196"/>
      <c r="P68" s="1709"/>
      <c r="Q68" s="1709"/>
      <c r="R68" s="1709"/>
      <c r="S68" s="1709"/>
      <c r="T68" s="1709"/>
      <c r="U68" s="1709"/>
      <c r="V68" s="1709"/>
      <c r="W68" s="1709"/>
      <c r="X68" s="1709"/>
      <c r="Y68" s="1709"/>
      <c r="Z68" s="1709"/>
      <c r="AA68" s="1709"/>
      <c r="AB68" s="1196"/>
      <c r="AC68" s="528"/>
      <c r="AD68" s="528"/>
      <c r="AE68" s="528"/>
      <c r="AF68" s="528"/>
      <c r="AG68" s="528"/>
      <c r="AH68" s="528"/>
      <c r="AI68" s="528"/>
      <c r="AJ68" s="528"/>
      <c r="AK68" s="528"/>
      <c r="AL68" s="528"/>
      <c r="AM68" s="528"/>
      <c r="AN68" s="528"/>
      <c r="AO68" s="528"/>
    </row>
    <row r="69" spans="1:41" x14ac:dyDescent="0.2">
      <c r="A69" t="s">
        <v>908</v>
      </c>
      <c r="B69" s="1027"/>
      <c r="C69" s="1709"/>
      <c r="D69" s="1709"/>
      <c r="E69" s="1709"/>
      <c r="F69" s="1709"/>
      <c r="G69" s="1709"/>
      <c r="H69" s="1709"/>
      <c r="I69" s="1709"/>
      <c r="J69" s="1709"/>
      <c r="K69" s="1709"/>
      <c r="L69" s="1709"/>
      <c r="M69" s="1709"/>
      <c r="N69" s="1709"/>
      <c r="O69" s="1196"/>
      <c r="P69" s="1709"/>
      <c r="Q69" s="1709"/>
      <c r="R69" s="1709"/>
      <c r="S69" s="1709"/>
      <c r="T69" s="1709"/>
      <c r="U69" s="1709"/>
      <c r="V69" s="1709"/>
      <c r="W69" s="1709"/>
      <c r="X69" s="1709"/>
      <c r="Y69" s="1709"/>
      <c r="Z69" s="1709"/>
      <c r="AA69" s="1709"/>
      <c r="AB69" s="1196"/>
      <c r="AC69" s="528"/>
      <c r="AD69" s="528"/>
      <c r="AE69" s="528"/>
      <c r="AF69" s="528"/>
      <c r="AG69" s="528"/>
      <c r="AH69" s="528"/>
      <c r="AI69" s="528"/>
      <c r="AJ69" s="528"/>
      <c r="AK69" s="528"/>
      <c r="AL69" s="528"/>
      <c r="AM69" s="528"/>
      <c r="AN69" s="528"/>
      <c r="AO69" s="528"/>
    </row>
    <row r="70" spans="1:41" x14ac:dyDescent="0.2">
      <c r="B70" s="1027"/>
      <c r="C70" s="1709"/>
      <c r="D70" s="1709"/>
      <c r="E70" s="1709"/>
      <c r="F70" s="1709"/>
      <c r="G70" s="1709"/>
      <c r="H70" s="1709"/>
      <c r="I70" s="1709"/>
      <c r="J70" s="1709"/>
      <c r="K70" s="1709"/>
      <c r="L70" s="1709"/>
      <c r="M70" s="1709"/>
      <c r="N70" s="1709"/>
      <c r="O70" s="1196"/>
      <c r="P70" s="1709"/>
      <c r="Q70" s="1709"/>
      <c r="R70" s="1709"/>
      <c r="S70" s="1709"/>
      <c r="T70" s="1709"/>
      <c r="U70" s="1709"/>
      <c r="V70" s="1709"/>
      <c r="W70" s="1709"/>
      <c r="X70" s="1709"/>
      <c r="Y70" s="1709"/>
      <c r="Z70" s="1709"/>
      <c r="AA70" s="1709"/>
      <c r="AB70" s="1196"/>
      <c r="AC70" s="528"/>
      <c r="AD70" s="528"/>
      <c r="AE70" s="528"/>
      <c r="AF70" s="528"/>
      <c r="AG70" s="528"/>
      <c r="AH70" s="528"/>
      <c r="AI70" s="528"/>
      <c r="AJ70" s="528"/>
      <c r="AK70" s="528"/>
      <c r="AL70" s="528"/>
      <c r="AM70" s="528"/>
      <c r="AN70" s="528"/>
      <c r="AO70" s="528"/>
    </row>
    <row r="71" spans="1:41" x14ac:dyDescent="0.2">
      <c r="B71" s="1027"/>
      <c r="C71" s="1709"/>
      <c r="D71" s="1709"/>
      <c r="E71" s="1709"/>
      <c r="F71" s="1709"/>
      <c r="G71" s="1709"/>
      <c r="H71" s="1709"/>
      <c r="I71" s="1709"/>
      <c r="J71" s="1709"/>
      <c r="K71" s="1709"/>
      <c r="L71" s="1709"/>
      <c r="M71" s="1709"/>
      <c r="N71" s="1709"/>
      <c r="O71" s="1196"/>
      <c r="P71" s="1709"/>
      <c r="Q71" s="1709"/>
      <c r="R71" s="1709"/>
      <c r="S71" s="1709"/>
      <c r="T71" s="1709"/>
      <c r="U71" s="1709"/>
      <c r="V71" s="1709"/>
      <c r="W71" s="1709"/>
      <c r="X71" s="1709"/>
      <c r="Y71" s="1709"/>
      <c r="Z71" s="1709"/>
      <c r="AA71" s="1709"/>
      <c r="AB71" s="1196"/>
      <c r="AC71" s="528"/>
      <c r="AD71" s="528"/>
      <c r="AE71" s="528"/>
      <c r="AF71" s="528"/>
      <c r="AG71" s="528"/>
      <c r="AH71" s="528"/>
      <c r="AI71" s="528"/>
      <c r="AJ71" s="528"/>
      <c r="AK71" s="528"/>
      <c r="AL71" s="528"/>
      <c r="AM71" s="528"/>
      <c r="AN71" s="528"/>
      <c r="AO71" s="528"/>
    </row>
    <row r="72" spans="1:41" x14ac:dyDescent="0.2">
      <c r="B72" s="1027"/>
      <c r="C72" s="1709"/>
      <c r="D72" s="1709"/>
      <c r="E72" s="1709"/>
      <c r="F72" s="1709"/>
      <c r="G72" s="1709"/>
      <c r="H72" s="1709"/>
      <c r="I72" s="1709"/>
      <c r="J72" s="1709"/>
      <c r="K72" s="1709"/>
      <c r="L72" s="1709"/>
      <c r="M72" s="1709"/>
      <c r="N72" s="1709"/>
      <c r="O72" s="1196"/>
      <c r="P72" s="1709"/>
      <c r="Q72" s="1709"/>
      <c r="R72" s="1709"/>
      <c r="S72" s="1709"/>
      <c r="T72" s="1709"/>
      <c r="U72" s="1709"/>
      <c r="V72" s="1709"/>
      <c r="W72" s="1709"/>
      <c r="X72" s="1709"/>
      <c r="Y72" s="1709"/>
      <c r="Z72" s="1709"/>
      <c r="AA72" s="1709"/>
      <c r="AB72" s="1196"/>
      <c r="AC72" s="528"/>
      <c r="AD72" s="528"/>
      <c r="AE72" s="528"/>
      <c r="AF72" s="528"/>
      <c r="AG72" s="528"/>
      <c r="AH72" s="528"/>
      <c r="AI72" s="528"/>
      <c r="AJ72" s="528"/>
      <c r="AK72" s="528"/>
      <c r="AL72" s="528"/>
      <c r="AM72" s="528"/>
      <c r="AN72" s="528"/>
      <c r="AO72" s="528"/>
    </row>
    <row r="73" spans="1:41" x14ac:dyDescent="0.2">
      <c r="B73" s="1027"/>
      <c r="C73" s="1709"/>
      <c r="D73" s="1709"/>
      <c r="E73" s="1709"/>
      <c r="F73" s="1709"/>
      <c r="G73" s="1709"/>
      <c r="H73" s="1709"/>
      <c r="I73" s="1709"/>
      <c r="J73" s="1709"/>
      <c r="K73" s="1709"/>
      <c r="L73" s="1709"/>
      <c r="M73" s="1709"/>
      <c r="N73" s="1709"/>
      <c r="O73" s="1196"/>
      <c r="P73" s="1709"/>
      <c r="Q73" s="1709"/>
      <c r="R73" s="1709"/>
      <c r="S73" s="1709"/>
      <c r="T73" s="1709"/>
      <c r="U73" s="1709"/>
      <c r="V73" s="1709"/>
      <c r="W73" s="1709"/>
      <c r="X73" s="1709"/>
      <c r="Y73" s="1709"/>
      <c r="Z73" s="1709"/>
      <c r="AA73" s="1709"/>
      <c r="AB73" s="1196"/>
      <c r="AC73" s="528"/>
      <c r="AD73" s="528"/>
      <c r="AE73" s="528"/>
      <c r="AF73" s="528"/>
      <c r="AG73" s="528"/>
      <c r="AH73" s="528"/>
      <c r="AI73" s="528"/>
      <c r="AJ73" s="528"/>
      <c r="AK73" s="528"/>
      <c r="AL73" s="528"/>
      <c r="AM73" s="528"/>
      <c r="AN73" s="528"/>
      <c r="AO73" s="528"/>
    </row>
    <row r="74" spans="1:41" x14ac:dyDescent="0.2">
      <c r="B74" s="1027"/>
      <c r="C74" s="1709"/>
      <c r="D74" s="1709"/>
      <c r="E74" s="1709"/>
      <c r="F74" s="1709"/>
      <c r="G74" s="1709"/>
      <c r="H74" s="1709"/>
      <c r="I74" s="1709"/>
      <c r="J74" s="1709"/>
      <c r="K74" s="1709"/>
      <c r="L74" s="1709"/>
      <c r="M74" s="1709"/>
      <c r="N74" s="1709"/>
      <c r="O74" s="1196"/>
      <c r="P74" s="1709"/>
      <c r="Q74" s="1709"/>
      <c r="R74" s="1709"/>
      <c r="S74" s="1709"/>
      <c r="T74" s="1709"/>
      <c r="U74" s="1709"/>
      <c r="V74" s="1709"/>
      <c r="W74" s="1709"/>
      <c r="X74" s="1709"/>
      <c r="Y74" s="1709"/>
      <c r="Z74" s="1709"/>
      <c r="AA74" s="1709"/>
      <c r="AB74" s="1196"/>
      <c r="AC74" s="528"/>
      <c r="AD74" s="528"/>
      <c r="AE74" s="528"/>
      <c r="AF74" s="528"/>
      <c r="AG74" s="528"/>
      <c r="AH74" s="528"/>
      <c r="AI74" s="528"/>
      <c r="AJ74" s="528"/>
      <c r="AK74" s="528"/>
      <c r="AL74" s="528"/>
      <c r="AM74" s="528"/>
      <c r="AN74" s="528"/>
      <c r="AO74" s="528"/>
    </row>
    <row r="75" spans="1:41" x14ac:dyDescent="0.2">
      <c r="B75" s="1027"/>
      <c r="C75" s="1709"/>
      <c r="D75" s="1709"/>
      <c r="E75" s="1709"/>
      <c r="F75" s="1709"/>
      <c r="G75" s="1709"/>
      <c r="H75" s="1709"/>
      <c r="I75" s="1709"/>
      <c r="J75" s="1709"/>
      <c r="K75" s="1709"/>
      <c r="L75" s="1709"/>
      <c r="M75" s="1709"/>
      <c r="N75" s="1709"/>
      <c r="O75" s="1196"/>
      <c r="P75" s="1709"/>
      <c r="Q75" s="1709"/>
      <c r="R75" s="1709"/>
      <c r="S75" s="1709"/>
      <c r="T75" s="1709"/>
      <c r="U75" s="1709"/>
      <c r="V75" s="1709"/>
      <c r="W75" s="1709"/>
      <c r="X75" s="1709"/>
      <c r="Y75" s="1709"/>
      <c r="Z75" s="1709"/>
      <c r="AA75" s="1709"/>
      <c r="AB75" s="1196"/>
      <c r="AC75" s="528"/>
      <c r="AD75" s="528"/>
      <c r="AE75" s="528"/>
      <c r="AF75" s="528"/>
      <c r="AG75" s="528"/>
      <c r="AH75" s="528"/>
      <c r="AI75" s="528"/>
      <c r="AJ75" s="528"/>
      <c r="AK75" s="528"/>
      <c r="AL75" s="528"/>
      <c r="AM75" s="528"/>
      <c r="AN75" s="528"/>
      <c r="AO75" s="528"/>
    </row>
    <row r="76" spans="1:41" x14ac:dyDescent="0.2">
      <c r="B76" s="1027"/>
      <c r="C76" s="1709"/>
      <c r="D76" s="1709"/>
      <c r="E76" s="1709"/>
      <c r="F76" s="1709"/>
      <c r="G76" s="1709"/>
      <c r="H76" s="1709"/>
      <c r="I76" s="1709"/>
      <c r="J76" s="1709"/>
      <c r="K76" s="1709"/>
      <c r="L76" s="1709"/>
      <c r="M76" s="1709"/>
      <c r="N76" s="1709"/>
      <c r="O76" s="1196"/>
      <c r="P76" s="1709"/>
      <c r="Q76" s="1709"/>
      <c r="R76" s="1709"/>
      <c r="S76" s="1709"/>
      <c r="T76" s="1709"/>
      <c r="U76" s="1709"/>
      <c r="V76" s="1709"/>
      <c r="W76" s="1709"/>
      <c r="X76" s="1709"/>
      <c r="Y76" s="1709"/>
      <c r="Z76" s="1709"/>
      <c r="AA76" s="1709"/>
      <c r="AB76" s="1196"/>
      <c r="AC76" s="528"/>
      <c r="AD76" s="528"/>
      <c r="AE76" s="528"/>
      <c r="AF76" s="528"/>
      <c r="AG76" s="528"/>
      <c r="AH76" s="528"/>
      <c r="AI76" s="528"/>
      <c r="AJ76" s="528"/>
      <c r="AK76" s="528"/>
      <c r="AL76" s="528"/>
      <c r="AM76" s="528"/>
      <c r="AN76" s="528"/>
      <c r="AO76" s="528"/>
    </row>
    <row r="77" spans="1:41" x14ac:dyDescent="0.2">
      <c r="A77" t="s">
        <v>909</v>
      </c>
      <c r="B77" s="1027"/>
      <c r="C77" s="1709"/>
      <c r="D77" s="1709"/>
      <c r="E77" s="1709"/>
      <c r="F77" s="1709"/>
      <c r="G77" s="1709"/>
      <c r="H77" s="1709"/>
      <c r="I77" s="1709"/>
      <c r="J77" s="1709"/>
      <c r="K77" s="1709"/>
      <c r="L77" s="1709"/>
      <c r="M77" s="1709"/>
      <c r="N77" s="1709"/>
      <c r="O77" s="1196"/>
      <c r="P77" s="1709"/>
      <c r="Q77" s="1709"/>
      <c r="R77" s="1709"/>
      <c r="S77" s="1709"/>
      <c r="T77" s="1709"/>
      <c r="U77" s="1709"/>
      <c r="V77" s="1709"/>
      <c r="W77" s="1709"/>
      <c r="X77" s="1709"/>
      <c r="Y77" s="1709"/>
      <c r="Z77" s="1709"/>
      <c r="AA77" s="1709"/>
      <c r="AB77" s="1196"/>
      <c r="AC77" s="528"/>
      <c r="AD77" s="528"/>
      <c r="AE77" s="528"/>
      <c r="AF77" s="528"/>
      <c r="AG77" s="528"/>
      <c r="AH77" s="528"/>
      <c r="AI77" s="528"/>
      <c r="AJ77" s="528"/>
      <c r="AK77" s="528"/>
      <c r="AL77" s="528"/>
      <c r="AM77" s="528"/>
      <c r="AN77" s="528"/>
      <c r="AO77" s="528"/>
    </row>
    <row r="78" spans="1:41" x14ac:dyDescent="0.2">
      <c r="B78" s="1027"/>
      <c r="C78" s="1709"/>
      <c r="D78" s="1709"/>
      <c r="E78" s="1709"/>
      <c r="F78" s="1709"/>
      <c r="G78" s="1709"/>
      <c r="H78" s="1709"/>
      <c r="I78" s="1709"/>
      <c r="J78" s="1709"/>
      <c r="K78" s="1709"/>
      <c r="L78" s="1709"/>
      <c r="M78" s="1709"/>
      <c r="N78" s="1709"/>
      <c r="O78" s="1196"/>
      <c r="P78" s="1709"/>
      <c r="Q78" s="1709"/>
      <c r="R78" s="1709"/>
      <c r="S78" s="1709"/>
      <c r="T78" s="1709"/>
      <c r="U78" s="1709"/>
      <c r="V78" s="1709"/>
      <c r="W78" s="1709"/>
      <c r="X78" s="1709"/>
      <c r="Y78" s="1709"/>
      <c r="Z78" s="1709"/>
      <c r="AA78" s="1709"/>
      <c r="AB78" s="1196"/>
      <c r="AC78" s="528"/>
      <c r="AD78" s="528"/>
      <c r="AE78" s="528"/>
      <c r="AF78" s="528"/>
      <c r="AG78" s="528"/>
      <c r="AH78" s="528"/>
      <c r="AI78" s="528"/>
      <c r="AJ78" s="528"/>
      <c r="AK78" s="528"/>
      <c r="AL78" s="528"/>
      <c r="AM78" s="528"/>
      <c r="AN78" s="528"/>
      <c r="AO78" s="528"/>
    </row>
    <row r="79" spans="1:41" x14ac:dyDescent="0.2">
      <c r="B79" s="1027"/>
      <c r="C79" s="1709"/>
      <c r="D79" s="1709"/>
      <c r="E79" s="1709"/>
      <c r="F79" s="1709"/>
      <c r="G79" s="1709"/>
      <c r="H79" s="1709"/>
      <c r="I79" s="1709"/>
      <c r="J79" s="1709"/>
      <c r="K79" s="1709"/>
      <c r="L79" s="1709"/>
      <c r="M79" s="1709"/>
      <c r="N79" s="1709"/>
      <c r="O79" s="1196"/>
      <c r="P79" s="1709"/>
      <c r="Q79" s="1709"/>
      <c r="R79" s="1709"/>
      <c r="S79" s="1709"/>
      <c r="T79" s="1709"/>
      <c r="U79" s="1709"/>
      <c r="V79" s="1709"/>
      <c r="W79" s="1709"/>
      <c r="X79" s="1709"/>
      <c r="Y79" s="1709"/>
      <c r="Z79" s="1709"/>
      <c r="AA79" s="1709"/>
      <c r="AB79" s="1196"/>
      <c r="AC79" s="528"/>
      <c r="AD79" s="528"/>
      <c r="AE79" s="528"/>
      <c r="AF79" s="528"/>
      <c r="AG79" s="528"/>
      <c r="AH79" s="528"/>
      <c r="AI79" s="528"/>
      <c r="AJ79" s="528"/>
      <c r="AK79" s="528"/>
      <c r="AL79" s="528"/>
      <c r="AM79" s="528"/>
      <c r="AN79" s="528"/>
      <c r="AO79" s="528"/>
    </row>
    <row r="80" spans="1:41" x14ac:dyDescent="0.2">
      <c r="B80" s="1027"/>
      <c r="C80" s="1709"/>
      <c r="D80" s="1709"/>
      <c r="E80" s="1709"/>
      <c r="F80" s="1709"/>
      <c r="G80" s="1709"/>
      <c r="H80" s="1709"/>
      <c r="I80" s="1709"/>
      <c r="J80" s="1709"/>
      <c r="K80" s="1709"/>
      <c r="L80" s="1709"/>
      <c r="M80" s="1709"/>
      <c r="N80" s="1709"/>
      <c r="O80" s="1196"/>
      <c r="P80" s="1709"/>
      <c r="Q80" s="1709"/>
      <c r="R80" s="1709"/>
      <c r="S80" s="1709"/>
      <c r="T80" s="1709"/>
      <c r="U80" s="1709"/>
      <c r="V80" s="1709"/>
      <c r="W80" s="1709"/>
      <c r="X80" s="1709"/>
      <c r="Y80" s="1709"/>
      <c r="Z80" s="1709"/>
      <c r="AA80" s="1709"/>
      <c r="AB80" s="1196"/>
      <c r="AC80" s="528"/>
      <c r="AD80" s="528"/>
      <c r="AE80" s="528"/>
      <c r="AF80" s="528"/>
      <c r="AG80" s="528"/>
      <c r="AH80" s="528"/>
      <c r="AI80" s="528"/>
      <c r="AJ80" s="528"/>
      <c r="AK80" s="528"/>
      <c r="AL80" s="528"/>
      <c r="AM80" s="528"/>
      <c r="AN80" s="528"/>
      <c r="AO80" s="528"/>
    </row>
    <row r="81" spans="2:41" x14ac:dyDescent="0.2">
      <c r="B81" s="1027"/>
      <c r="C81" s="1709"/>
      <c r="D81" s="1709"/>
      <c r="E81" s="1709"/>
      <c r="F81" s="1709"/>
      <c r="G81" s="1709"/>
      <c r="H81" s="1709"/>
      <c r="I81" s="1709"/>
      <c r="J81" s="1709"/>
      <c r="K81" s="1709"/>
      <c r="L81" s="1709"/>
      <c r="M81" s="1709"/>
      <c r="N81" s="1709"/>
      <c r="O81" s="1196"/>
      <c r="P81" s="1709"/>
      <c r="Q81" s="1709"/>
      <c r="R81" s="1709"/>
      <c r="S81" s="1709"/>
      <c r="T81" s="1709"/>
      <c r="U81" s="1709"/>
      <c r="V81" s="1709"/>
      <c r="W81" s="1709"/>
      <c r="X81" s="1709"/>
      <c r="Y81" s="1709"/>
      <c r="Z81" s="1709"/>
      <c r="AA81" s="1709"/>
      <c r="AB81" s="1196"/>
      <c r="AC81" s="528"/>
      <c r="AD81" s="528"/>
      <c r="AE81" s="528"/>
      <c r="AF81" s="528"/>
      <c r="AG81" s="528"/>
      <c r="AH81" s="528"/>
      <c r="AI81" s="528"/>
      <c r="AJ81" s="528"/>
      <c r="AK81" s="528"/>
      <c r="AL81" s="528"/>
      <c r="AM81" s="528"/>
      <c r="AN81" s="528"/>
      <c r="AO81" s="528"/>
    </row>
    <row r="82" spans="2:41" x14ac:dyDescent="0.2">
      <c r="B82" s="1027"/>
      <c r="C82" s="1709"/>
      <c r="D82" s="1709"/>
      <c r="E82" s="1709"/>
      <c r="F82" s="1709"/>
      <c r="G82" s="1709"/>
      <c r="H82" s="1709"/>
      <c r="I82" s="1709"/>
      <c r="J82" s="1709"/>
      <c r="K82" s="1709"/>
      <c r="L82" s="1709"/>
      <c r="M82" s="1709"/>
      <c r="N82" s="1709"/>
      <c r="O82" s="1196"/>
      <c r="P82" s="1709"/>
      <c r="Q82" s="1709"/>
      <c r="R82" s="1709"/>
      <c r="S82" s="1709"/>
      <c r="T82" s="1709"/>
      <c r="U82" s="1709"/>
      <c r="V82" s="1709"/>
      <c r="W82" s="1709"/>
      <c r="X82" s="1709"/>
      <c r="Y82" s="1709"/>
      <c r="Z82" s="1709"/>
      <c r="AA82" s="1709"/>
      <c r="AB82" s="1196"/>
      <c r="AC82" s="528"/>
      <c r="AD82" s="528"/>
      <c r="AE82" s="528"/>
      <c r="AF82" s="528"/>
      <c r="AG82" s="528"/>
      <c r="AH82" s="528"/>
      <c r="AI82" s="528"/>
      <c r="AJ82" s="528"/>
      <c r="AK82" s="528"/>
      <c r="AL82" s="528"/>
      <c r="AM82" s="528"/>
      <c r="AN82" s="528"/>
      <c r="AO82" s="528"/>
    </row>
    <row r="83" spans="2:41" x14ac:dyDescent="0.2">
      <c r="B83" s="1027"/>
      <c r="C83" s="1709"/>
      <c r="D83" s="1709"/>
      <c r="E83" s="1709"/>
      <c r="F83" s="1709"/>
      <c r="G83" s="1709"/>
      <c r="H83" s="1709"/>
      <c r="I83" s="1709"/>
      <c r="J83" s="1709"/>
      <c r="K83" s="1709"/>
      <c r="L83" s="1709"/>
      <c r="M83" s="1709"/>
      <c r="N83" s="1709"/>
      <c r="O83" s="1196"/>
      <c r="P83" s="1709"/>
      <c r="Q83" s="1709"/>
      <c r="R83" s="1709"/>
      <c r="S83" s="1709"/>
      <c r="T83" s="1709"/>
      <c r="U83" s="1709"/>
      <c r="V83" s="1709"/>
      <c r="W83" s="1709"/>
      <c r="X83" s="1709"/>
      <c r="Y83" s="1709"/>
      <c r="Z83" s="1709"/>
      <c r="AA83" s="1709"/>
      <c r="AB83" s="1196"/>
      <c r="AC83" s="528"/>
      <c r="AD83" s="528"/>
      <c r="AE83" s="528"/>
      <c r="AF83" s="528"/>
      <c r="AG83" s="528"/>
      <c r="AH83" s="528"/>
      <c r="AI83" s="528"/>
      <c r="AJ83" s="528"/>
      <c r="AK83" s="528"/>
      <c r="AL83" s="528"/>
      <c r="AM83" s="528"/>
      <c r="AN83" s="528"/>
      <c r="AO83" s="528"/>
    </row>
    <row r="84" spans="2:41" x14ac:dyDescent="0.2">
      <c r="B84" s="1027"/>
      <c r="C84" s="1709"/>
      <c r="D84" s="1709"/>
      <c r="E84" s="1709"/>
      <c r="F84" s="1709"/>
      <c r="G84" s="1709"/>
      <c r="H84" s="1709"/>
      <c r="I84" s="1709"/>
      <c r="J84" s="1709"/>
      <c r="K84" s="1709"/>
      <c r="L84" s="1709"/>
      <c r="M84" s="1709"/>
      <c r="N84" s="1709"/>
      <c r="O84" s="1196"/>
      <c r="P84" s="1709"/>
      <c r="Q84" s="1709"/>
      <c r="R84" s="1709"/>
      <c r="S84" s="1709"/>
      <c r="T84" s="1709"/>
      <c r="U84" s="1709"/>
      <c r="V84" s="1709"/>
      <c r="W84" s="1709"/>
      <c r="X84" s="1709"/>
      <c r="Y84" s="1709"/>
      <c r="Z84" s="1709"/>
      <c r="AA84" s="1709"/>
      <c r="AB84" s="1196"/>
      <c r="AC84" s="528"/>
      <c r="AD84" s="528"/>
      <c r="AE84" s="528"/>
      <c r="AF84" s="528"/>
      <c r="AG84" s="528"/>
      <c r="AH84" s="528"/>
      <c r="AI84" s="528"/>
      <c r="AJ84" s="528"/>
      <c r="AK84" s="528"/>
      <c r="AL84" s="528"/>
      <c r="AM84" s="528"/>
      <c r="AN84" s="528"/>
      <c r="AO84" s="528"/>
    </row>
    <row r="85" spans="2:41" x14ac:dyDescent="0.2">
      <c r="B85" s="1027"/>
      <c r="C85" s="1709"/>
      <c r="D85" s="1709"/>
      <c r="E85" s="1709"/>
      <c r="F85" s="1709"/>
      <c r="G85" s="1709"/>
      <c r="H85" s="1709"/>
      <c r="I85" s="1709"/>
      <c r="J85" s="1709"/>
      <c r="K85" s="1709"/>
      <c r="L85" s="1709"/>
      <c r="M85" s="1709"/>
      <c r="N85" s="1709"/>
      <c r="O85" s="1196"/>
      <c r="P85" s="1709"/>
      <c r="Q85" s="1709"/>
      <c r="R85" s="1709"/>
      <c r="S85" s="1709"/>
      <c r="T85" s="1709"/>
      <c r="U85" s="1709"/>
      <c r="V85" s="1709"/>
      <c r="W85" s="1709"/>
      <c r="X85" s="1709"/>
      <c r="Y85" s="1709"/>
      <c r="Z85" s="1709"/>
      <c r="AA85" s="1709"/>
      <c r="AB85" s="1196"/>
      <c r="AC85" s="528"/>
      <c r="AD85" s="528"/>
      <c r="AE85" s="528"/>
      <c r="AF85" s="528"/>
      <c r="AG85" s="528"/>
      <c r="AH85" s="528"/>
      <c r="AI85" s="528"/>
      <c r="AJ85" s="528"/>
      <c r="AK85" s="528"/>
      <c r="AL85" s="528"/>
      <c r="AM85" s="528"/>
      <c r="AN85" s="528"/>
      <c r="AO85" s="528"/>
    </row>
    <row r="86" spans="2:41" x14ac:dyDescent="0.2">
      <c r="B86" s="1027"/>
      <c r="C86" s="1709"/>
      <c r="D86" s="1709"/>
      <c r="E86" s="1709"/>
      <c r="F86" s="1709"/>
      <c r="G86" s="1709"/>
      <c r="H86" s="1709"/>
      <c r="I86" s="1709"/>
      <c r="J86" s="1709"/>
      <c r="K86" s="1709"/>
      <c r="L86" s="1709"/>
      <c r="M86" s="1709"/>
      <c r="N86" s="1709"/>
      <c r="O86" s="1196"/>
      <c r="P86" s="1709"/>
      <c r="Q86" s="1709"/>
      <c r="R86" s="1709"/>
      <c r="S86" s="1709"/>
      <c r="T86" s="1709"/>
      <c r="U86" s="1709"/>
      <c r="V86" s="1709"/>
      <c r="W86" s="1709"/>
      <c r="X86" s="1709"/>
      <c r="Y86" s="1709"/>
      <c r="Z86" s="1709"/>
      <c r="AA86" s="1709"/>
      <c r="AB86" s="1196"/>
      <c r="AC86" s="528"/>
      <c r="AD86" s="528"/>
      <c r="AE86" s="528"/>
      <c r="AF86" s="528"/>
      <c r="AG86" s="528"/>
      <c r="AH86" s="528"/>
      <c r="AI86" s="528"/>
      <c r="AJ86" s="528"/>
      <c r="AK86" s="528"/>
      <c r="AL86" s="528"/>
      <c r="AM86" s="528"/>
      <c r="AN86" s="528"/>
      <c r="AO86" s="528"/>
    </row>
    <row r="87" spans="2:41" x14ac:dyDescent="0.2">
      <c r="B87" s="528"/>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row>
    <row r="88" spans="2:41" x14ac:dyDescent="0.2">
      <c r="B88" s="528"/>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c r="AA88" s="528"/>
      <c r="AB88" s="528"/>
      <c r="AC88" s="528"/>
      <c r="AD88" s="528"/>
      <c r="AE88" s="528"/>
      <c r="AF88" s="528"/>
      <c r="AG88" s="528"/>
      <c r="AH88" s="528"/>
      <c r="AI88" s="528"/>
      <c r="AJ88" s="528"/>
      <c r="AK88" s="528"/>
      <c r="AL88" s="528"/>
      <c r="AM88" s="528"/>
      <c r="AN88" s="528"/>
      <c r="AO88" s="528"/>
    </row>
    <row r="89" spans="2:41" x14ac:dyDescent="0.2">
      <c r="B89" s="528"/>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row>
  </sheetData>
  <mergeCells count="1">
    <mergeCell ref="B3:AN3"/>
  </mergeCells>
  <conditionalFormatting sqref="C8:AN43">
    <cfRule type="cellIs" dxfId="2" priority="1" operator="between">
      <formula>0</formula>
      <formula>0</formula>
    </cfRule>
  </conditionalFormatting>
  <pageMargins left="0.7" right="0.7" top="0.75" bottom="0.75" header="0.3" footer="0.3"/>
  <pageSetup scale="31" orientation="landscape" horizontalDpi="4294967292" verticalDpi="429496729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E7"/>
  <sheetViews>
    <sheetView workbookViewId="0">
      <selection sqref="A1:E6"/>
    </sheetView>
  </sheetViews>
  <sheetFormatPr baseColWidth="10" defaultColWidth="8.83203125" defaultRowHeight="16" x14ac:dyDescent="0.2"/>
  <cols>
    <col min="1" max="1" width="36" bestFit="1" customWidth="1"/>
    <col min="2" max="5" width="23.6640625" customWidth="1"/>
  </cols>
  <sheetData>
    <row r="1" spans="1:5" ht="21" thickTop="1" x14ac:dyDescent="0.2">
      <c r="A1" s="1951" t="s">
        <v>936</v>
      </c>
      <c r="B1" s="1952"/>
      <c r="C1" s="1952"/>
      <c r="D1" s="1952"/>
      <c r="E1" s="1953"/>
    </row>
    <row r="2" spans="1:5" ht="20" x14ac:dyDescent="0.2">
      <c r="A2" s="4"/>
      <c r="B2" s="620"/>
      <c r="C2" s="528"/>
      <c r="D2" s="528"/>
      <c r="E2" s="701"/>
    </row>
    <row r="3" spans="1:5" ht="21" thickBot="1" x14ac:dyDescent="0.25">
      <c r="A3" s="4"/>
      <c r="B3" s="160" t="s">
        <v>1</v>
      </c>
      <c r="C3" s="160" t="s">
        <v>926</v>
      </c>
      <c r="D3" s="160" t="s">
        <v>927</v>
      </c>
      <c r="E3" s="377" t="s">
        <v>932</v>
      </c>
    </row>
    <row r="4" spans="1:5" ht="20" x14ac:dyDescent="0.2">
      <c r="A4" s="1868"/>
      <c r="B4" s="1808" t="s">
        <v>937</v>
      </c>
      <c r="C4" s="1809" t="s">
        <v>938</v>
      </c>
      <c r="D4" s="1809" t="s">
        <v>939</v>
      </c>
      <c r="E4" s="1839" t="s">
        <v>940</v>
      </c>
    </row>
    <row r="5" spans="1:5" x14ac:dyDescent="0.2">
      <c r="A5" s="1291" t="s">
        <v>941</v>
      </c>
      <c r="B5" s="1710">
        <f>AVERAGE(TableC6!M14:M22)</f>
        <v>4.0951752891782073E-2</v>
      </c>
      <c r="C5" s="1711">
        <f>+AVERAGE(TableC6!M23:M32)</f>
        <v>5.4207827423913016E-2</v>
      </c>
      <c r="D5" s="1711">
        <f>AVERAGE(TableC6!M33:M42)</f>
        <v>0.13052595912927956</v>
      </c>
      <c r="E5" s="1712">
        <f>AVERAGE(TableC6!M43:M48)</f>
        <v>0.16181784544476441</v>
      </c>
    </row>
    <row r="6" spans="1:5" ht="18" thickBot="1" x14ac:dyDescent="0.25">
      <c r="A6" s="1713" t="s">
        <v>942</v>
      </c>
      <c r="B6" s="1714">
        <f>+AVERAGEIF(TableF1b!C44:K44,"&gt;0")</f>
        <v>0.47187891956966382</v>
      </c>
      <c r="C6" s="1715">
        <f>+AVERAGEIF(TableF1b!L44:U44,"&gt;0")</f>
        <v>0.377502052529198</v>
      </c>
      <c r="D6" s="1715">
        <f>+AVERAGEIF(TableF1b!V44:AE44,"&gt;0")</f>
        <v>0.28761440648420444</v>
      </c>
      <c r="E6" s="1310">
        <f>+AVERAGEIF(TableF1b!AF44:AN44,"&gt;0")</f>
        <v>0.24101111111111115</v>
      </c>
    </row>
    <row r="7" spans="1:5" ht="17" thickTop="1" x14ac:dyDescent="0.2">
      <c r="A7" s="1708"/>
      <c r="B7" s="1709"/>
      <c r="C7" s="528"/>
      <c r="D7" s="528"/>
      <c r="E7" s="528"/>
    </row>
  </sheetData>
  <mergeCells count="1">
    <mergeCell ref="A1:E1"/>
  </mergeCells>
  <pageMargins left="0.7" right="0.7" top="0.75" bottom="0.75" header="0.3" footer="0.3"/>
  <pageSetup paperSize="9" scale="67"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62"/>
  <sheetViews>
    <sheetView topLeftCell="A4" workbookViewId="0">
      <selection activeCell="J52" sqref="J52"/>
    </sheetView>
  </sheetViews>
  <sheetFormatPr baseColWidth="10" defaultColWidth="8.83203125" defaultRowHeight="16" x14ac:dyDescent="0.2"/>
  <cols>
    <col min="1" max="4" width="13.5" customWidth="1"/>
    <col min="5" max="5" width="13.33203125" customWidth="1"/>
    <col min="6" max="7" width="13.5" customWidth="1"/>
  </cols>
  <sheetData>
    <row r="1" spans="1:9" ht="17" thickBot="1" x14ac:dyDescent="0.25">
      <c r="A1" s="528"/>
      <c r="B1" s="528"/>
      <c r="C1" s="528"/>
      <c r="D1" s="528"/>
      <c r="E1" s="528"/>
      <c r="F1" s="528"/>
      <c r="G1" s="528"/>
      <c r="H1" s="528"/>
    </row>
    <row r="2" spans="1:9" ht="21" thickTop="1" x14ac:dyDescent="0.2">
      <c r="A2" s="2402" t="s">
        <v>943</v>
      </c>
      <c r="B2" s="2403"/>
      <c r="C2" s="2403"/>
      <c r="D2" s="2403"/>
      <c r="E2" s="2403"/>
      <c r="F2" s="2403"/>
      <c r="G2" s="2404"/>
    </row>
    <row r="3" spans="1:9" x14ac:dyDescent="0.2">
      <c r="A3" s="711"/>
      <c r="B3" s="1027"/>
      <c r="C3" s="1027"/>
      <c r="D3" s="1027"/>
      <c r="E3" s="1027"/>
      <c r="F3" s="1027"/>
      <c r="G3" s="1073"/>
    </row>
    <row r="4" spans="1:9" ht="17" thickBot="1" x14ac:dyDescent="0.25">
      <c r="A4" s="711"/>
      <c r="B4" s="160" t="s">
        <v>1</v>
      </c>
      <c r="C4" s="160" t="s">
        <v>2</v>
      </c>
      <c r="D4" s="160" t="s">
        <v>3</v>
      </c>
      <c r="E4" s="160" t="s">
        <v>4</v>
      </c>
      <c r="F4" s="160" t="s">
        <v>5</v>
      </c>
      <c r="G4" s="377" t="s">
        <v>6</v>
      </c>
    </row>
    <row r="5" spans="1:9" s="710" customFormat="1" ht="91" customHeight="1" x14ac:dyDescent="0.2">
      <c r="A5" s="1869"/>
      <c r="B5" s="708" t="s">
        <v>38</v>
      </c>
      <c r="C5" s="709" t="s">
        <v>39</v>
      </c>
      <c r="D5" s="709" t="s">
        <v>45</v>
      </c>
      <c r="E5" s="709" t="s">
        <v>62</v>
      </c>
      <c r="F5" s="709" t="s">
        <v>944</v>
      </c>
      <c r="G5" s="712" t="s">
        <v>945</v>
      </c>
    </row>
    <row r="6" spans="1:9" x14ac:dyDescent="0.2">
      <c r="A6" s="713">
        <v>1970</v>
      </c>
      <c r="B6" s="810">
        <v>2.1160000000000002E-2</v>
      </c>
      <c r="C6" s="811">
        <v>1.7889999999999996E-2</v>
      </c>
      <c r="D6" s="811">
        <v>1.627E-2</v>
      </c>
      <c r="E6" s="811">
        <v>3.0449999999999998E-2</v>
      </c>
      <c r="F6" s="707">
        <v>2.066752377010701E-2</v>
      </c>
      <c r="G6" s="714">
        <f t="shared" ref="G6:G51" si="0">F6/0.85</f>
        <v>2.4314733847184716E-2</v>
      </c>
      <c r="H6" s="549"/>
      <c r="I6" s="549"/>
    </row>
    <row r="7" spans="1:9" x14ac:dyDescent="0.2">
      <c r="A7" s="713">
        <v>1971</v>
      </c>
      <c r="B7" s="810">
        <v>1.89E-2</v>
      </c>
      <c r="C7" s="811">
        <v>1.4759999999999999E-2</v>
      </c>
      <c r="D7" s="811">
        <v>1.7430000000000001E-2</v>
      </c>
      <c r="E7" s="811">
        <v>2.5090000000000001E-2</v>
      </c>
      <c r="F7" s="707">
        <v>1.8118277142797894E-2</v>
      </c>
      <c r="G7" s="714">
        <f t="shared" si="0"/>
        <v>2.1315620167997523E-2</v>
      </c>
      <c r="H7" s="549"/>
      <c r="I7" s="549"/>
    </row>
    <row r="8" spans="1:9" x14ac:dyDescent="0.2">
      <c r="A8" s="713">
        <v>1972</v>
      </c>
      <c r="B8" s="810">
        <v>1.932E-2</v>
      </c>
      <c r="C8" s="811">
        <v>1.6140000000000002E-2</v>
      </c>
      <c r="D8" s="811">
        <v>1.8870000000000001E-2</v>
      </c>
      <c r="E8" s="811">
        <v>2.1000000000000001E-2</v>
      </c>
      <c r="F8" s="707">
        <v>1.8097053294012479E-2</v>
      </c>
      <c r="G8" s="714">
        <f t="shared" si="0"/>
        <v>2.1290650934132328E-2</v>
      </c>
      <c r="H8" s="549"/>
      <c r="I8" s="549"/>
    </row>
    <row r="9" spans="1:9" x14ac:dyDescent="0.2">
      <c r="A9" s="713">
        <v>1973</v>
      </c>
      <c r="B9" s="810">
        <v>2.0019999999999996E-2</v>
      </c>
      <c r="C9" s="811">
        <v>1.8579999999999999E-2</v>
      </c>
      <c r="D9" s="811">
        <v>1.6420000000000001E-2</v>
      </c>
      <c r="E9" s="811">
        <v>2.4670000000000001E-2</v>
      </c>
      <c r="F9" s="707">
        <v>1.9397233982498145E-2</v>
      </c>
      <c r="G9" s="714">
        <f t="shared" si="0"/>
        <v>2.282027527352723E-2</v>
      </c>
      <c r="H9" s="549"/>
      <c r="I9" s="549"/>
    </row>
    <row r="10" spans="1:9" x14ac:dyDescent="0.2">
      <c r="A10" s="713">
        <v>1974</v>
      </c>
      <c r="B10" s="810">
        <v>2.6749999999999999E-2</v>
      </c>
      <c r="C10" s="811">
        <v>1.7139999999999999E-2</v>
      </c>
      <c r="D10" s="811">
        <v>1.3169999999999998E-2</v>
      </c>
      <c r="E10" s="811">
        <v>3.2290000000000006E-2</v>
      </c>
      <c r="F10" s="707">
        <v>2.1259185851828889E-2</v>
      </c>
      <c r="G10" s="714">
        <f t="shared" si="0"/>
        <v>2.5010806884504574E-2</v>
      </c>
      <c r="H10" s="549"/>
      <c r="I10" s="549"/>
    </row>
    <row r="11" spans="1:9" x14ac:dyDescent="0.2">
      <c r="A11" s="713">
        <v>1975</v>
      </c>
      <c r="B11" s="810">
        <v>1.8100000000000002E-2</v>
      </c>
      <c r="C11" s="811">
        <v>1.5180000000000001E-2</v>
      </c>
      <c r="D11" s="811">
        <v>1.5469999999999999E-2</v>
      </c>
      <c r="E11" s="811">
        <v>2.1139999999999999E-2</v>
      </c>
      <c r="F11" s="707">
        <v>1.6785213751435952E-2</v>
      </c>
      <c r="G11" s="714">
        <f t="shared" si="0"/>
        <v>1.9747310295807004E-2</v>
      </c>
      <c r="H11" s="549"/>
      <c r="I11" s="549"/>
    </row>
    <row r="12" spans="1:9" x14ac:dyDescent="0.2">
      <c r="A12" s="713">
        <v>1976</v>
      </c>
      <c r="B12" s="810">
        <v>2.1509999999999994E-2</v>
      </c>
      <c r="C12" s="811">
        <v>1.6279999999999999E-2</v>
      </c>
      <c r="D12" s="811">
        <v>1.7040000000000003E-2</v>
      </c>
      <c r="E12" s="811">
        <v>1.6750000000000001E-2</v>
      </c>
      <c r="F12" s="707">
        <v>1.7590847773840835E-2</v>
      </c>
      <c r="G12" s="714">
        <f t="shared" si="0"/>
        <v>2.0695115028048043E-2</v>
      </c>
      <c r="H12" s="549"/>
      <c r="I12" s="549"/>
    </row>
    <row r="13" spans="1:9" x14ac:dyDescent="0.2">
      <c r="A13" s="713">
        <v>1977</v>
      </c>
      <c r="B13" s="810">
        <v>2.0840000000000001E-2</v>
      </c>
      <c r="C13" s="811">
        <v>2.0039999999999999E-2</v>
      </c>
      <c r="D13" s="811">
        <v>1.8050000000000004E-2</v>
      </c>
      <c r="E13" s="811">
        <v>2.0139999999999998E-2</v>
      </c>
      <c r="F13" s="707">
        <v>1.9614846579600425E-2</v>
      </c>
      <c r="G13" s="714">
        <f t="shared" si="0"/>
        <v>2.3076290093647558E-2</v>
      </c>
      <c r="H13" s="549"/>
      <c r="I13" s="549"/>
    </row>
    <row r="14" spans="1:9" x14ac:dyDescent="0.2">
      <c r="A14" s="713">
        <v>1978</v>
      </c>
      <c r="B14" s="810">
        <v>1.7689999999999997E-2</v>
      </c>
      <c r="C14" s="811">
        <v>2.1170000000000001E-2</v>
      </c>
      <c r="D14" s="811">
        <v>2.3870000000000002E-2</v>
      </c>
      <c r="E14" s="811">
        <v>2.1920000000000002E-2</v>
      </c>
      <c r="F14" s="707">
        <v>2.0456629633863497E-2</v>
      </c>
      <c r="G14" s="714">
        <f t="shared" si="0"/>
        <v>2.4066623098662938E-2</v>
      </c>
      <c r="H14" s="549"/>
      <c r="I14" s="549"/>
    </row>
    <row r="15" spans="1:9" x14ac:dyDescent="0.2">
      <c r="A15" s="713">
        <v>1979</v>
      </c>
      <c r="B15" s="810">
        <v>1.8269999999999998E-2</v>
      </c>
      <c r="C15" s="811">
        <v>2.1909999999999999E-2</v>
      </c>
      <c r="D15" s="811">
        <v>2.0859999999999997E-2</v>
      </c>
      <c r="E15" s="811">
        <v>2.3559999999999994E-2</v>
      </c>
      <c r="F15" s="707">
        <v>2.0752796203872922E-2</v>
      </c>
      <c r="G15" s="714">
        <f t="shared" si="0"/>
        <v>2.4415054357497558E-2</v>
      </c>
      <c r="H15" s="549"/>
      <c r="I15" s="549"/>
    </row>
    <row r="16" spans="1:9" x14ac:dyDescent="0.2">
      <c r="A16" s="713">
        <v>1980</v>
      </c>
      <c r="B16" s="810">
        <v>2.0209999999999999E-2</v>
      </c>
      <c r="C16" s="811">
        <v>1.9890000000000001E-2</v>
      </c>
      <c r="D16" s="811">
        <v>2.2380000000000001E-2</v>
      </c>
      <c r="E16" s="811">
        <v>2.7900000000000001E-2</v>
      </c>
      <c r="F16" s="707">
        <v>2.1753262780163606E-2</v>
      </c>
      <c r="G16" s="714">
        <f t="shared" si="0"/>
        <v>2.5592073859016008E-2</v>
      </c>
      <c r="H16" s="549"/>
      <c r="I16" s="549"/>
    </row>
    <row r="17" spans="1:9" x14ac:dyDescent="0.2">
      <c r="A17" s="713">
        <v>1981</v>
      </c>
      <c r="B17" s="810">
        <v>2.0549999999999999E-2</v>
      </c>
      <c r="C17" s="811">
        <v>1.806E-2</v>
      </c>
      <c r="D17" s="811">
        <v>2.4639999999999999E-2</v>
      </c>
      <c r="E17" s="811">
        <v>3.1480000000000001E-2</v>
      </c>
      <c r="F17" s="707">
        <v>2.2641379499949672E-2</v>
      </c>
      <c r="G17" s="714">
        <f t="shared" si="0"/>
        <v>2.6636917058764319E-2</v>
      </c>
      <c r="H17" s="549"/>
      <c r="I17" s="549"/>
    </row>
    <row r="18" spans="1:9" x14ac:dyDescent="0.2">
      <c r="A18" s="713">
        <v>1982</v>
      </c>
      <c r="B18" s="810">
        <v>2.1240000000000002E-2</v>
      </c>
      <c r="C18" s="811">
        <v>1.8110000000000001E-2</v>
      </c>
      <c r="D18" s="811">
        <v>2.8040000000000002E-2</v>
      </c>
      <c r="E18" s="811">
        <v>3.5590000000000004E-2</v>
      </c>
      <c r="F18" s="707">
        <v>2.4396230885268252E-2</v>
      </c>
      <c r="G18" s="714">
        <f t="shared" si="0"/>
        <v>2.8701448100315594E-2</v>
      </c>
      <c r="H18" s="549"/>
      <c r="I18" s="549"/>
    </row>
    <row r="19" spans="1:9" x14ac:dyDescent="0.2">
      <c r="A19" s="713">
        <v>1983</v>
      </c>
      <c r="B19" s="810">
        <v>1.8700000000000001E-2</v>
      </c>
      <c r="C19" s="811">
        <v>1.823E-2</v>
      </c>
      <c r="D19" s="811">
        <v>3.031E-2</v>
      </c>
      <c r="E19" s="811">
        <v>3.7370000000000007E-2</v>
      </c>
      <c r="F19" s="707">
        <v>2.4576894658283985E-2</v>
      </c>
      <c r="G19" s="714">
        <f t="shared" si="0"/>
        <v>2.8913993715628219E-2</v>
      </c>
      <c r="H19" s="549"/>
      <c r="I19" s="549"/>
    </row>
    <row r="20" spans="1:9" x14ac:dyDescent="0.2">
      <c r="A20" s="713">
        <v>1984</v>
      </c>
      <c r="B20" s="810">
        <v>1.8189999999999998E-2</v>
      </c>
      <c r="C20" s="811">
        <v>1.9179999999999996E-2</v>
      </c>
      <c r="D20" s="811">
        <v>3.243E-2</v>
      </c>
      <c r="E20" s="811">
        <v>4.0339999999999994E-2</v>
      </c>
      <c r="F20" s="707">
        <v>2.5844381212549176E-2</v>
      </c>
      <c r="G20" s="714">
        <f t="shared" si="0"/>
        <v>3.0405154367704912E-2</v>
      </c>
      <c r="H20" s="549"/>
      <c r="I20" s="549"/>
    </row>
    <row r="21" spans="1:9" x14ac:dyDescent="0.2">
      <c r="A21" s="713">
        <v>1985</v>
      </c>
      <c r="B21" s="810">
        <v>1.865E-2</v>
      </c>
      <c r="C21" s="811">
        <v>2.2090000000000002E-2</v>
      </c>
      <c r="D21" s="811">
        <v>3.0079999999999999E-2</v>
      </c>
      <c r="E21" s="811">
        <v>4.4210000000000006E-2</v>
      </c>
      <c r="F21" s="707">
        <v>2.742628261703858E-2</v>
      </c>
      <c r="G21" s="714">
        <f t="shared" si="0"/>
        <v>3.2266214843574802E-2</v>
      </c>
      <c r="H21" s="549"/>
      <c r="I21" s="549"/>
    </row>
    <row r="22" spans="1:9" x14ac:dyDescent="0.2">
      <c r="A22" s="713">
        <v>1986</v>
      </c>
      <c r="B22" s="810">
        <v>2.0760000000000001E-2</v>
      </c>
      <c r="C22" s="811">
        <v>2.1400000000000002E-2</v>
      </c>
      <c r="D22" s="811">
        <v>3.6030000000000006E-2</v>
      </c>
      <c r="E22" s="811">
        <v>3.7399999999999996E-2</v>
      </c>
      <c r="F22" s="707">
        <v>2.7148696390805582E-2</v>
      </c>
      <c r="G22" s="714">
        <f t="shared" si="0"/>
        <v>3.193964281271245E-2</v>
      </c>
      <c r="H22" s="549"/>
      <c r="I22" s="549"/>
    </row>
    <row r="23" spans="1:9" x14ac:dyDescent="0.2">
      <c r="A23" s="713">
        <v>1987</v>
      </c>
      <c r="B23" s="810">
        <v>2.1500000000000002E-2</v>
      </c>
      <c r="C23" s="811">
        <v>1.8350000000000002E-2</v>
      </c>
      <c r="D23" s="811">
        <v>3.5979999999999998E-2</v>
      </c>
      <c r="E23" s="811">
        <v>3.567E-2</v>
      </c>
      <c r="F23" s="707">
        <v>2.6038315981476903E-2</v>
      </c>
      <c r="G23" s="714">
        <f t="shared" si="0"/>
        <v>3.0633312919384592E-2</v>
      </c>
      <c r="H23" s="549"/>
      <c r="I23" s="549"/>
    </row>
    <row r="24" spans="1:9" x14ac:dyDescent="0.2">
      <c r="A24" s="713">
        <v>1988</v>
      </c>
      <c r="B24" s="810">
        <v>2.1730000000000003E-2</v>
      </c>
      <c r="C24" s="811">
        <v>1.9099999999999999E-2</v>
      </c>
      <c r="D24" s="811">
        <v>3.2450000000000007E-2</v>
      </c>
      <c r="E24" s="811">
        <v>3.6760000000000001E-2</v>
      </c>
      <c r="F24" s="707">
        <v>2.6081031495675276E-2</v>
      </c>
      <c r="G24" s="714">
        <f t="shared" si="0"/>
        <v>3.0683566465500325E-2</v>
      </c>
      <c r="H24" s="549"/>
      <c r="I24" s="549"/>
    </row>
    <row r="25" spans="1:9" x14ac:dyDescent="0.2">
      <c r="A25" s="713">
        <v>1989</v>
      </c>
      <c r="B25" s="810">
        <v>2.2609999999999998E-2</v>
      </c>
      <c r="C25" s="811">
        <v>1.9980000000000001E-2</v>
      </c>
      <c r="D25" s="811">
        <v>3.5739999999999994E-2</v>
      </c>
      <c r="E25" s="811">
        <v>4.1360000000000001E-2</v>
      </c>
      <c r="F25" s="707">
        <v>2.8449615017550656E-2</v>
      </c>
      <c r="G25" s="714">
        <f t="shared" si="0"/>
        <v>3.3470135314765476E-2</v>
      </c>
      <c r="H25" s="549"/>
      <c r="I25" s="549"/>
    </row>
    <row r="26" spans="1:9" x14ac:dyDescent="0.2">
      <c r="A26" s="713">
        <v>1990</v>
      </c>
      <c r="B26" s="810">
        <v>2.1839999999999998E-2</v>
      </c>
      <c r="C26" s="811">
        <v>1.6810000000000002E-2</v>
      </c>
      <c r="D26" s="811">
        <v>3.6519999999999997E-2</v>
      </c>
      <c r="E26" s="811">
        <v>3.2599999999999997E-2</v>
      </c>
      <c r="F26" s="707">
        <v>2.5523545870566763E-2</v>
      </c>
      <c r="G26" s="714">
        <f t="shared" si="0"/>
        <v>3.0027701024196191E-2</v>
      </c>
      <c r="H26" s="549"/>
      <c r="I26" s="549"/>
    </row>
    <row r="27" spans="1:9" x14ac:dyDescent="0.2">
      <c r="A27" s="713">
        <v>1991</v>
      </c>
      <c r="B27" s="810">
        <v>1.8419999999999999E-2</v>
      </c>
      <c r="C27" s="811">
        <v>1.5189999999999999E-2</v>
      </c>
      <c r="D27" s="811">
        <v>3.5310000000000001E-2</v>
      </c>
      <c r="E27" s="811">
        <v>2.5830000000000002E-2</v>
      </c>
      <c r="F27" s="707">
        <v>2.261711149841146E-2</v>
      </c>
      <c r="G27" s="714">
        <f t="shared" si="0"/>
        <v>2.6608366468719367E-2</v>
      </c>
      <c r="H27" s="549"/>
      <c r="I27" s="549"/>
    </row>
    <row r="28" spans="1:9" x14ac:dyDescent="0.2">
      <c r="A28" s="713">
        <v>1992</v>
      </c>
      <c r="B28" s="810">
        <v>1.9200000000000002E-2</v>
      </c>
      <c r="C28" s="811">
        <v>1.439E-2</v>
      </c>
      <c r="D28" s="811">
        <v>4.0789999999999993E-2</v>
      </c>
      <c r="E28" s="811">
        <v>1.9300000000000001E-2</v>
      </c>
      <c r="F28" s="707">
        <v>2.2141792684895554E-2</v>
      </c>
      <c r="G28" s="714">
        <f t="shared" si="0"/>
        <v>2.6049167864583004E-2</v>
      </c>
      <c r="H28" s="549"/>
      <c r="I28" s="549"/>
    </row>
    <row r="29" spans="1:9" x14ac:dyDescent="0.2">
      <c r="A29" s="713">
        <v>1993</v>
      </c>
      <c r="B29" s="810">
        <v>1.8960000000000001E-2</v>
      </c>
      <c r="C29" s="811">
        <v>1.2979999999999998E-2</v>
      </c>
      <c r="D29" s="811">
        <v>3.7599999999999995E-2</v>
      </c>
      <c r="E29" s="811">
        <v>1.7769999999999998E-2</v>
      </c>
      <c r="F29" s="707">
        <v>1.9994277457432822E-2</v>
      </c>
      <c r="G29" s="714">
        <f t="shared" si="0"/>
        <v>2.3522679361685672E-2</v>
      </c>
      <c r="H29" s="549"/>
      <c r="I29" s="549"/>
    </row>
    <row r="30" spans="1:9" x14ac:dyDescent="0.2">
      <c r="A30" s="713">
        <v>1994</v>
      </c>
      <c r="B30" s="810">
        <v>1.9359999999999999E-2</v>
      </c>
      <c r="C30" s="811">
        <v>1.0539999999999999E-2</v>
      </c>
      <c r="D30" s="811">
        <v>3.4429999999999995E-2</v>
      </c>
      <c r="E30" s="811">
        <v>2.0659999999999998E-2</v>
      </c>
      <c r="F30" s="707">
        <v>1.9009831299521534E-2</v>
      </c>
      <c r="G30" s="714">
        <f t="shared" si="0"/>
        <v>2.2364507411201804E-2</v>
      </c>
      <c r="H30" s="549"/>
      <c r="I30" s="549"/>
    </row>
    <row r="31" spans="1:9" x14ac:dyDescent="0.2">
      <c r="A31" s="713">
        <v>1995</v>
      </c>
      <c r="B31" s="810">
        <v>2.0410000000000001E-2</v>
      </c>
      <c r="C31" s="811">
        <v>1.0100000000000001E-2</v>
      </c>
      <c r="D31" s="811">
        <v>3.3490000000000006E-2</v>
      </c>
      <c r="E31" s="811">
        <v>2.4109999999999999E-2</v>
      </c>
      <c r="F31" s="707">
        <v>1.9582451923889035E-2</v>
      </c>
      <c r="G31" s="714">
        <f t="shared" si="0"/>
        <v>2.30381787339871E-2</v>
      </c>
      <c r="H31" s="549"/>
      <c r="I31" s="549"/>
    </row>
    <row r="32" spans="1:9" x14ac:dyDescent="0.2">
      <c r="A32" s="713">
        <v>1996</v>
      </c>
      <c r="B32" s="810">
        <v>2.247E-2</v>
      </c>
      <c r="C32" s="811">
        <v>1.3529999999999999E-2</v>
      </c>
      <c r="D32" s="811">
        <v>3.6939999999999994E-2</v>
      </c>
      <c r="E32" s="811">
        <v>2.7689999999999999E-2</v>
      </c>
      <c r="F32" s="707">
        <v>2.317594277567208E-2</v>
      </c>
      <c r="G32" s="714">
        <f t="shared" si="0"/>
        <v>2.7265815030202447E-2</v>
      </c>
      <c r="H32" s="549"/>
      <c r="I32" s="549"/>
    </row>
    <row r="33" spans="1:9" x14ac:dyDescent="0.2">
      <c r="A33" s="713">
        <v>1997</v>
      </c>
      <c r="B33" s="810">
        <v>2.5419999999999998E-2</v>
      </c>
      <c r="C33" s="811">
        <v>1.4319999999999999E-2</v>
      </c>
      <c r="D33" s="811">
        <v>3.9309999999999998E-2</v>
      </c>
      <c r="E33" s="811">
        <v>3.4230000000000003E-2</v>
      </c>
      <c r="F33" s="707">
        <v>2.6453515057654774E-2</v>
      </c>
      <c r="G33" s="714">
        <f t="shared" si="0"/>
        <v>3.1121782420770322E-2</v>
      </c>
      <c r="H33" s="549"/>
      <c r="I33" s="549"/>
    </row>
    <row r="34" spans="1:9" x14ac:dyDescent="0.2">
      <c r="A34" s="713">
        <v>1998</v>
      </c>
      <c r="B34" s="810">
        <v>2.5710000000000004E-2</v>
      </c>
      <c r="C34" s="811">
        <v>1.545E-2</v>
      </c>
      <c r="D34" s="811">
        <v>2.8169999999999997E-2</v>
      </c>
      <c r="E34" s="811">
        <v>3.483E-2</v>
      </c>
      <c r="F34" s="707">
        <v>2.4917944765257504E-2</v>
      </c>
      <c r="G34" s="714">
        <f t="shared" si="0"/>
        <v>2.9315229135597063E-2</v>
      </c>
      <c r="H34" s="549"/>
      <c r="I34" s="549"/>
    </row>
    <row r="35" spans="1:9" x14ac:dyDescent="0.2">
      <c r="A35" s="713">
        <v>1999</v>
      </c>
      <c r="B35" s="810">
        <v>2.8709999999999999E-2</v>
      </c>
      <c r="C35" s="811">
        <v>1.7250000000000001E-2</v>
      </c>
      <c r="D35" s="811">
        <v>3.1489999999999997E-2</v>
      </c>
      <c r="E35" s="811">
        <v>3.2190000000000003E-2</v>
      </c>
      <c r="F35" s="707">
        <v>2.6253053241328872E-2</v>
      </c>
      <c r="G35" s="714">
        <f t="shared" si="0"/>
        <v>3.0885944989798672E-2</v>
      </c>
      <c r="H35" s="549"/>
      <c r="I35" s="549"/>
    </row>
    <row r="36" spans="1:9" x14ac:dyDescent="0.2">
      <c r="A36" s="713">
        <v>2000</v>
      </c>
      <c r="B36" s="810">
        <v>2.9760000000000002E-2</v>
      </c>
      <c r="C36" s="811">
        <v>1.7520000000000001E-2</v>
      </c>
      <c r="D36" s="811">
        <v>2.7999999999999997E-2</v>
      </c>
      <c r="E36" s="811">
        <v>3.1879999999999999E-2</v>
      </c>
      <c r="F36" s="707">
        <v>2.6001460549413109E-2</v>
      </c>
      <c r="G36" s="714">
        <f t="shared" si="0"/>
        <v>3.0589953587544835E-2</v>
      </c>
      <c r="H36" s="549"/>
      <c r="I36" s="549"/>
    </row>
    <row r="37" spans="1:9" x14ac:dyDescent="0.2">
      <c r="A37" s="713">
        <v>2001</v>
      </c>
      <c r="B37" s="810">
        <v>3.2660000000000008E-2</v>
      </c>
      <c r="C37" s="811">
        <v>5.8100000000000001E-3</v>
      </c>
      <c r="D37" s="811">
        <v>3.3709999999999997E-2</v>
      </c>
      <c r="E37" s="811">
        <v>3.134E-2</v>
      </c>
      <c r="F37" s="707">
        <v>2.3854445599094439E-2</v>
      </c>
      <c r="G37" s="714">
        <f t="shared" si="0"/>
        <v>2.8064053645993459E-2</v>
      </c>
      <c r="H37" s="549"/>
      <c r="I37" s="549"/>
    </row>
    <row r="38" spans="1:9" x14ac:dyDescent="0.2">
      <c r="A38" s="713">
        <v>2002</v>
      </c>
      <c r="B38" s="810">
        <v>2.7839999999999997E-2</v>
      </c>
      <c r="C38" s="811">
        <v>9.8300000000000002E-3</v>
      </c>
      <c r="D38" s="811">
        <v>2.9969999999999997E-2</v>
      </c>
      <c r="E38" s="811">
        <v>2.588E-2</v>
      </c>
      <c r="F38" s="707">
        <v>2.2013180420553859E-2</v>
      </c>
      <c r="G38" s="714">
        <f t="shared" si="0"/>
        <v>2.5897859318298657E-2</v>
      </c>
      <c r="H38" s="549"/>
      <c r="I38" s="549"/>
    </row>
    <row r="39" spans="1:9" x14ac:dyDescent="0.2">
      <c r="A39" s="713">
        <v>2003</v>
      </c>
      <c r="B39" s="810">
        <v>2.4170000000000001E-2</v>
      </c>
      <c r="C39" s="811">
        <v>1.2280000000000001E-2</v>
      </c>
      <c r="D39" s="811">
        <v>2.6610000000000002E-2</v>
      </c>
      <c r="E39" s="811">
        <v>2.479E-2</v>
      </c>
      <c r="F39" s="707">
        <v>2.0992948306607705E-2</v>
      </c>
      <c r="G39" s="714">
        <f t="shared" si="0"/>
        <v>2.4697586243067889E-2</v>
      </c>
      <c r="H39" s="549"/>
      <c r="I39" s="549"/>
    </row>
    <row r="40" spans="1:9" x14ac:dyDescent="0.2">
      <c r="A40" s="713">
        <v>2004</v>
      </c>
      <c r="B40" s="810">
        <v>2.6819999999999997E-2</v>
      </c>
      <c r="C40" s="811">
        <v>1.5029999999999998E-2</v>
      </c>
      <c r="D40" s="811">
        <v>2.7069999999999997E-2</v>
      </c>
      <c r="E40" s="811">
        <v>2.6120000000000001E-2</v>
      </c>
      <c r="F40" s="707">
        <v>2.2819106093671947E-2</v>
      </c>
      <c r="G40" s="714">
        <f t="shared" si="0"/>
        <v>2.6846007169025823E-2</v>
      </c>
      <c r="H40" s="549"/>
      <c r="I40" s="549"/>
    </row>
    <row r="41" spans="1:9" x14ac:dyDescent="0.2">
      <c r="A41" s="713">
        <v>2005</v>
      </c>
      <c r="B41" s="810">
        <v>2.3519999999999996E-2</v>
      </c>
      <c r="C41" s="811">
        <v>1.737E-2</v>
      </c>
      <c r="D41" s="811">
        <v>2.2460000000000001E-2</v>
      </c>
      <c r="E41" s="811">
        <v>3.0290000000000001E-2</v>
      </c>
      <c r="F41" s="707">
        <v>2.2939286425762914E-2</v>
      </c>
      <c r="G41" s="714">
        <f t="shared" si="0"/>
        <v>2.6987395795015193E-2</v>
      </c>
      <c r="H41" s="549"/>
      <c r="I41" s="549"/>
    </row>
    <row r="42" spans="1:9" x14ac:dyDescent="0.2">
      <c r="A42" s="713">
        <v>2006</v>
      </c>
      <c r="B42" s="810">
        <v>2.8929999999999997E-2</v>
      </c>
      <c r="C42" s="811">
        <v>2.1100000000000001E-2</v>
      </c>
      <c r="D42" s="811">
        <v>2.7710000000000002E-2</v>
      </c>
      <c r="E42" s="811">
        <v>3.5889999999999991E-2</v>
      </c>
      <c r="F42" s="707">
        <v>2.7821224442074206E-2</v>
      </c>
      <c r="G42" s="714">
        <f t="shared" si="0"/>
        <v>3.2730852284793187E-2</v>
      </c>
      <c r="H42" s="549"/>
      <c r="I42" s="549"/>
    </row>
    <row r="43" spans="1:9" x14ac:dyDescent="0.2">
      <c r="A43" s="713">
        <v>2007</v>
      </c>
      <c r="B43" s="810">
        <v>2.8910000000000002E-2</v>
      </c>
      <c r="C43" s="811">
        <v>2.1780000000000001E-2</v>
      </c>
      <c r="D43" s="811">
        <v>3.1390000000000001E-2</v>
      </c>
      <c r="E43" s="811">
        <v>3.1199999999999999E-2</v>
      </c>
      <c r="F43" s="707">
        <v>2.75098709157338E-2</v>
      </c>
      <c r="G43" s="714">
        <f t="shared" si="0"/>
        <v>3.2364554018510357E-2</v>
      </c>
      <c r="H43" s="549"/>
      <c r="I43" s="549"/>
    </row>
    <row r="44" spans="1:9" x14ac:dyDescent="0.2">
      <c r="A44" s="713">
        <v>2008</v>
      </c>
      <c r="B44" s="810">
        <v>2.8390000000000002E-2</v>
      </c>
      <c r="C44" s="811">
        <v>1.8940000000000002E-2</v>
      </c>
      <c r="D44" s="811">
        <v>2.9260000000000005E-2</v>
      </c>
      <c r="E44" s="811">
        <v>3.2999999999999995E-2</v>
      </c>
      <c r="F44" s="707">
        <v>2.6512912527066147E-2</v>
      </c>
      <c r="G44" s="714">
        <f t="shared" si="0"/>
        <v>3.119166179654841E-2</v>
      </c>
      <c r="H44" s="549"/>
      <c r="I44" s="549"/>
    </row>
    <row r="45" spans="1:9" x14ac:dyDescent="0.2">
      <c r="A45" s="713">
        <v>2009</v>
      </c>
      <c r="B45" s="810">
        <v>1.43E-2</v>
      </c>
      <c r="C45" s="811">
        <v>1.3220000000000001E-2</v>
      </c>
      <c r="D45" s="811">
        <v>2.3809999999999998E-2</v>
      </c>
      <c r="E45" s="811">
        <v>2.5499999999999998E-2</v>
      </c>
      <c r="F45" s="707">
        <v>1.8163904560756026E-2</v>
      </c>
      <c r="G45" s="714">
        <f t="shared" si="0"/>
        <v>2.1369299483242385E-2</v>
      </c>
      <c r="H45" s="549"/>
      <c r="I45" s="549"/>
    </row>
    <row r="46" spans="1:9" x14ac:dyDescent="0.2">
      <c r="A46" s="713">
        <v>2010</v>
      </c>
      <c r="B46" s="810">
        <v>2.3350000000000003E-2</v>
      </c>
      <c r="C46" s="811">
        <v>1.49E-2</v>
      </c>
      <c r="D46" s="811">
        <v>2.2899999999999997E-2</v>
      </c>
      <c r="E46" s="811">
        <v>2.844E-2</v>
      </c>
      <c r="F46" s="707">
        <v>2.1406379231113583E-2</v>
      </c>
      <c r="G46" s="714">
        <f t="shared" si="0"/>
        <v>2.5183975566015981E-2</v>
      </c>
      <c r="H46" s="549"/>
      <c r="I46" s="549"/>
    </row>
    <row r="47" spans="1:9" x14ac:dyDescent="0.2">
      <c r="A47" s="713">
        <v>2011</v>
      </c>
      <c r="B47" s="810">
        <v>2.6259999999999999E-2</v>
      </c>
      <c r="C47" s="811">
        <v>1.6789999999999999E-2</v>
      </c>
      <c r="D47" s="811">
        <v>2.1860000000000001E-2</v>
      </c>
      <c r="E47" s="811">
        <v>2.8660000000000001E-2</v>
      </c>
      <c r="F47" s="707">
        <v>2.2476996285876905E-2</v>
      </c>
      <c r="G47" s="714">
        <f t="shared" si="0"/>
        <v>2.6443525042208125E-2</v>
      </c>
      <c r="H47" s="549"/>
      <c r="I47" s="549"/>
    </row>
    <row r="48" spans="1:9" x14ac:dyDescent="0.2">
      <c r="A48" s="713">
        <v>2012</v>
      </c>
      <c r="B48" s="810">
        <v>2.5899999999999996E-2</v>
      </c>
      <c r="C48" s="811">
        <v>1.7199999999999997E-2</v>
      </c>
      <c r="D48" s="811">
        <v>2.393E-2</v>
      </c>
      <c r="E48" s="811">
        <v>2.6609999999999998E-2</v>
      </c>
      <c r="F48" s="707">
        <v>2.2643778077388634E-2</v>
      </c>
      <c r="G48" s="714">
        <f t="shared" si="0"/>
        <v>2.6639738914574863E-2</v>
      </c>
      <c r="H48" s="549"/>
      <c r="I48" s="549"/>
    </row>
    <row r="49" spans="1:12" x14ac:dyDescent="0.2">
      <c r="A49" s="713">
        <v>2013</v>
      </c>
      <c r="B49" s="810">
        <v>2.6390000000000004E-2</v>
      </c>
      <c r="C49" s="811">
        <v>1.7869999999999997E-2</v>
      </c>
      <c r="D49" s="811">
        <v>2.5670000000000002E-2</v>
      </c>
      <c r="E49" s="811">
        <v>2.5059999999999999E-2</v>
      </c>
      <c r="F49" s="707">
        <v>2.2917418684582139E-2</v>
      </c>
      <c r="G49" s="714">
        <f t="shared" si="0"/>
        <v>2.6961669040684869E-2</v>
      </c>
      <c r="H49" s="549"/>
      <c r="I49" s="549"/>
    </row>
    <row r="50" spans="1:12" x14ac:dyDescent="0.2">
      <c r="A50" s="713">
        <v>2014</v>
      </c>
      <c r="B50" s="810">
        <v>2.3210000000000001E-2</v>
      </c>
      <c r="C50" s="811">
        <v>1.7430000000000001E-2</v>
      </c>
      <c r="D50" s="811">
        <v>2.1870000000000001E-2</v>
      </c>
      <c r="E50" s="811">
        <v>2.3989999999999997E-2</v>
      </c>
      <c r="F50" s="707">
        <v>2.1143800869511526E-2</v>
      </c>
      <c r="G50" s="714">
        <f t="shared" si="0"/>
        <v>2.4875059846484148E-2</v>
      </c>
      <c r="H50" s="549"/>
      <c r="I50" s="549"/>
    </row>
    <row r="51" spans="1:12" ht="17" thickBot="1" x14ac:dyDescent="0.25">
      <c r="A51" s="715">
        <v>2015</v>
      </c>
      <c r="B51" s="812">
        <v>2.112E-2</v>
      </c>
      <c r="C51" s="813">
        <v>1.7440000000000001E-2</v>
      </c>
      <c r="D51" s="813">
        <v>2.06E-2</v>
      </c>
      <c r="E51" s="813">
        <v>2.4539999999999999E-2</v>
      </c>
      <c r="F51" s="716">
        <v>2.0686571072367189E-2</v>
      </c>
      <c r="G51" s="717">
        <f t="shared" si="0"/>
        <v>2.4337142438079048E-2</v>
      </c>
      <c r="H51" s="549"/>
      <c r="I51" s="549"/>
    </row>
    <row r="52" spans="1:12" ht="18" thickTop="1" thickBot="1" x14ac:dyDescent="0.25">
      <c r="A52" s="551"/>
      <c r="B52" s="550"/>
      <c r="C52" s="551"/>
      <c r="D52" s="551"/>
      <c r="E52" s="551"/>
      <c r="F52" s="551"/>
      <c r="G52" s="551"/>
      <c r="H52" s="549"/>
      <c r="I52" s="549"/>
    </row>
    <row r="53" spans="1:12" x14ac:dyDescent="0.2">
      <c r="A53" s="2405" t="s">
        <v>946</v>
      </c>
      <c r="B53" s="2406"/>
      <c r="C53" s="2406"/>
      <c r="D53" s="2406"/>
      <c r="E53" s="2406"/>
      <c r="F53" s="2406"/>
      <c r="G53" s="2407"/>
      <c r="H53" s="549"/>
      <c r="I53" s="549"/>
    </row>
    <row r="54" spans="1:12" ht="17" thickBot="1" x14ac:dyDescent="0.25">
      <c r="A54" s="2408"/>
      <c r="B54" s="2409"/>
      <c r="C54" s="2409"/>
      <c r="D54" s="2409"/>
      <c r="E54" s="2409"/>
      <c r="F54" s="2409"/>
      <c r="G54" s="2410"/>
      <c r="H54" s="549"/>
      <c r="I54" s="549"/>
    </row>
    <row r="55" spans="1:12" x14ac:dyDescent="0.2">
      <c r="A55" s="551"/>
      <c r="B55" s="1716"/>
      <c r="C55" s="954"/>
      <c r="D55" s="954"/>
      <c r="E55" s="954"/>
      <c r="F55" s="954"/>
      <c r="G55" s="954"/>
    </row>
    <row r="56" spans="1:12" x14ac:dyDescent="0.2">
      <c r="A56" s="954"/>
      <c r="B56" s="954"/>
      <c r="C56" s="954"/>
      <c r="D56" s="954"/>
      <c r="E56" s="954"/>
      <c r="F56" s="954"/>
      <c r="G56" s="954"/>
      <c r="L56" s="528"/>
    </row>
    <row r="57" spans="1:12" x14ac:dyDescent="0.2">
      <c r="A57" s="552"/>
      <c r="B57" s="552"/>
      <c r="C57" s="954"/>
      <c r="D57" s="954"/>
      <c r="E57" s="954"/>
      <c r="F57" s="954"/>
      <c r="G57" s="954"/>
    </row>
    <row r="58" spans="1:12" x14ac:dyDescent="0.2">
      <c r="A58" s="552"/>
      <c r="B58" s="553"/>
      <c r="C58" s="954"/>
      <c r="D58" s="954"/>
      <c r="E58" s="954"/>
      <c r="F58" s="954"/>
      <c r="G58" s="954"/>
    </row>
    <row r="59" spans="1:12" x14ac:dyDescent="0.2">
      <c r="A59" s="552"/>
      <c r="B59" s="552"/>
      <c r="C59" s="954"/>
      <c r="D59" s="954"/>
      <c r="E59" s="954"/>
      <c r="F59" s="954"/>
      <c r="G59" s="954"/>
    </row>
    <row r="60" spans="1:12" x14ac:dyDescent="0.2">
      <c r="A60" s="954"/>
      <c r="B60" s="954"/>
      <c r="C60" s="954"/>
      <c r="D60" s="954"/>
      <c r="E60" s="954"/>
      <c r="F60" s="954"/>
      <c r="G60" s="954"/>
    </row>
    <row r="61" spans="1:12" x14ac:dyDescent="0.2">
      <c r="A61" s="954"/>
      <c r="B61" s="954"/>
      <c r="C61" s="954"/>
      <c r="D61" s="954"/>
      <c r="E61" s="954"/>
      <c r="F61" s="954"/>
      <c r="G61" s="954"/>
    </row>
    <row r="62" spans="1:12" x14ac:dyDescent="0.2">
      <c r="A62" s="954"/>
      <c r="B62" s="954"/>
      <c r="C62" s="954"/>
      <c r="D62" s="954"/>
      <c r="E62" s="954"/>
      <c r="F62" s="954"/>
      <c r="G62" s="954"/>
    </row>
  </sheetData>
  <mergeCells count="2">
    <mergeCell ref="A2:G2"/>
    <mergeCell ref="A53:G54"/>
  </mergeCells>
  <pageMargins left="0.7" right="0.7" top="0.75" bottom="0.75" header="0.3" footer="0.3"/>
  <pageSetup paperSize="9" scale="84" orientation="portrait"/>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16"/>
  <sheetViews>
    <sheetView workbookViewId="0">
      <selection activeCell="L14" sqref="L14"/>
    </sheetView>
  </sheetViews>
  <sheetFormatPr baseColWidth="10" defaultColWidth="8.83203125" defaultRowHeight="16" x14ac:dyDescent="0.2"/>
  <cols>
    <col min="1" max="1" width="15.6640625" style="143" customWidth="1"/>
    <col min="2" max="3" width="23.1640625" style="143" customWidth="1"/>
    <col min="4" max="4" width="24.1640625" style="143" customWidth="1"/>
    <col min="5" max="16384" width="8.83203125" style="143"/>
  </cols>
  <sheetData>
    <row r="1" spans="1:8" ht="17" thickBot="1" x14ac:dyDescent="0.25">
      <c r="A1" s="954"/>
      <c r="B1" s="954"/>
      <c r="C1" s="954"/>
      <c r="D1" s="954"/>
      <c r="E1" s="954"/>
      <c r="F1" s="954"/>
      <c r="G1" s="954"/>
      <c r="H1" s="954"/>
    </row>
    <row r="2" spans="1:8" ht="40" customHeight="1" thickTop="1" x14ac:dyDescent="0.2">
      <c r="A2" s="2411" t="s">
        <v>947</v>
      </c>
      <c r="B2" s="2412"/>
      <c r="C2" s="2412"/>
      <c r="D2" s="2413"/>
      <c r="E2" s="954"/>
      <c r="F2" s="954"/>
      <c r="G2" s="954"/>
      <c r="H2" s="954"/>
    </row>
    <row r="3" spans="1:8" x14ac:dyDescent="0.2">
      <c r="A3" s="1148"/>
      <c r="B3" s="1027"/>
      <c r="C3" s="1027"/>
      <c r="D3" s="1073"/>
      <c r="E3" s="954"/>
      <c r="F3" s="954"/>
      <c r="G3" s="954"/>
      <c r="H3" s="954"/>
    </row>
    <row r="4" spans="1:8" ht="17" thickBot="1" x14ac:dyDescent="0.25">
      <c r="A4" s="718"/>
      <c r="B4" s="1860" t="s">
        <v>1</v>
      </c>
      <c r="C4" s="1860" t="s">
        <v>2</v>
      </c>
      <c r="D4" s="1673" t="s">
        <v>3</v>
      </c>
      <c r="E4" s="954"/>
      <c r="F4" s="954"/>
      <c r="G4" s="954"/>
      <c r="H4" s="1860"/>
    </row>
    <row r="5" spans="1:8" ht="31" x14ac:dyDescent="0.2">
      <c r="A5" s="1870"/>
      <c r="B5" s="570" t="s">
        <v>948</v>
      </c>
      <c r="C5" s="571" t="s">
        <v>949</v>
      </c>
      <c r="D5" s="719" t="s">
        <v>950</v>
      </c>
      <c r="E5" s="954"/>
      <c r="F5" s="954"/>
      <c r="G5" s="954"/>
      <c r="H5" s="569"/>
    </row>
    <row r="6" spans="1:8" x14ac:dyDescent="0.2">
      <c r="A6" s="720" t="s">
        <v>951</v>
      </c>
      <c r="B6" s="567"/>
      <c r="C6" s="565">
        <v>3.3000000000000002E-2</v>
      </c>
      <c r="D6" s="721">
        <f>D7*C6/C7</f>
        <v>1.0425330907353418E-2</v>
      </c>
      <c r="E6" s="954"/>
      <c r="F6" s="954"/>
      <c r="G6" s="954"/>
      <c r="H6" s="954"/>
    </row>
    <row r="7" spans="1:8" x14ac:dyDescent="0.2">
      <c r="A7" s="720" t="s">
        <v>952</v>
      </c>
      <c r="B7" s="567"/>
      <c r="C7" s="565">
        <v>3.5000000000000003E-2</v>
      </c>
      <c r="D7" s="722">
        <f>D8*C7/C8</f>
        <v>1.1057169144162717E-2</v>
      </c>
      <c r="E7" s="954"/>
      <c r="F7" s="954"/>
      <c r="G7" s="954"/>
      <c r="H7" s="954"/>
    </row>
    <row r="8" spans="1:8" x14ac:dyDescent="0.2">
      <c r="A8" s="720" t="s">
        <v>953</v>
      </c>
      <c r="B8" s="567"/>
      <c r="C8" s="565">
        <v>5.8000000000000003E-2</v>
      </c>
      <c r="D8" s="722">
        <f>D9*C8/C9</f>
        <v>1.8323308867469645E-2</v>
      </c>
      <c r="E8" s="954"/>
      <c r="F8" s="954"/>
      <c r="G8" s="954"/>
      <c r="H8" s="954"/>
    </row>
    <row r="9" spans="1:8" x14ac:dyDescent="0.2">
      <c r="A9" s="720" t="s">
        <v>954</v>
      </c>
      <c r="B9" s="567"/>
      <c r="C9" s="565">
        <v>6.4000000000000001E-2</v>
      </c>
      <c r="D9" s="722">
        <f>D10*C9/C10</f>
        <v>2.0218823577897539E-2</v>
      </c>
      <c r="E9" s="954"/>
      <c r="F9" s="954"/>
      <c r="G9" s="954"/>
      <c r="H9" s="954"/>
    </row>
    <row r="10" spans="1:8" x14ac:dyDescent="0.2">
      <c r="A10" s="720" t="s">
        <v>955</v>
      </c>
      <c r="B10" s="567"/>
      <c r="C10" s="565">
        <v>0.111</v>
      </c>
      <c r="D10" s="722">
        <f>B11*C10/C11</f>
        <v>3.5067022142916043E-2</v>
      </c>
      <c r="E10" s="954"/>
      <c r="F10" s="954"/>
      <c r="G10" s="954"/>
      <c r="H10" s="954"/>
    </row>
    <row r="11" spans="1:8" x14ac:dyDescent="0.2">
      <c r="A11" s="713" t="s">
        <v>956</v>
      </c>
      <c r="B11" s="568">
        <f>AVERAGE(TableC6!M13:M22)</f>
        <v>4.2017242747818324E-2</v>
      </c>
      <c r="C11" s="566">
        <v>0.13300000000000001</v>
      </c>
      <c r="D11" s="1717">
        <f>+B11</f>
        <v>4.2017242747818324E-2</v>
      </c>
      <c r="E11" s="954"/>
      <c r="F11" s="954"/>
      <c r="G11" s="954"/>
      <c r="H11" s="954"/>
    </row>
    <row r="12" spans="1:8" x14ac:dyDescent="0.2">
      <c r="A12" s="713" t="s">
        <v>957</v>
      </c>
      <c r="B12" s="568">
        <f>AVERAGE(TableC6!M23:M32)</f>
        <v>5.4207827423913016E-2</v>
      </c>
      <c r="C12" s="566">
        <v>0.13100000000000001</v>
      </c>
      <c r="D12" s="1717">
        <f>+B12</f>
        <v>5.4207827423913016E-2</v>
      </c>
      <c r="E12" s="954"/>
      <c r="F12" s="954"/>
      <c r="G12" s="954"/>
      <c r="H12" s="954"/>
    </row>
    <row r="13" spans="1:8" x14ac:dyDescent="0.2">
      <c r="A13" s="713" t="s">
        <v>958</v>
      </c>
      <c r="B13" s="568">
        <f>AVERAGE(TableC6!M33:M42)</f>
        <v>0.13052595912927956</v>
      </c>
      <c r="C13" s="566">
        <v>0.20399999999999999</v>
      </c>
      <c r="D13" s="1717">
        <f>+B13</f>
        <v>0.13052595912927956</v>
      </c>
      <c r="E13" s="954"/>
      <c r="F13" s="954"/>
      <c r="G13" s="954"/>
      <c r="H13" s="954"/>
    </row>
    <row r="14" spans="1:8" ht="17" thickBot="1" x14ac:dyDescent="0.25">
      <c r="A14" s="715" t="s">
        <v>959</v>
      </c>
      <c r="B14" s="723">
        <f>AVERAGE(TableC6!M43:M48)</f>
        <v>0.16181784544476441</v>
      </c>
      <c r="C14" s="724">
        <v>0.223</v>
      </c>
      <c r="D14" s="1718">
        <f>+B14</f>
        <v>0.16181784544476441</v>
      </c>
      <c r="E14" s="954"/>
      <c r="F14" s="954"/>
      <c r="G14" s="954"/>
      <c r="H14" s="954"/>
    </row>
    <row r="15" spans="1:8" ht="17" thickTop="1" x14ac:dyDescent="0.2">
      <c r="A15" s="1027"/>
      <c r="B15" s="1027"/>
      <c r="C15" s="954"/>
      <c r="D15" s="1027"/>
      <c r="E15" s="954"/>
      <c r="F15" s="954"/>
      <c r="G15" s="954"/>
      <c r="H15" s="1027"/>
    </row>
    <row r="16" spans="1:8" x14ac:dyDescent="0.2">
      <c r="A16" s="1027"/>
      <c r="B16" s="1027"/>
      <c r="C16" s="1027"/>
      <c r="D16" s="1027"/>
      <c r="E16" s="954"/>
      <c r="F16" s="954"/>
      <c r="G16" s="954"/>
      <c r="H16" s="954"/>
    </row>
  </sheetData>
  <mergeCells count="1">
    <mergeCell ref="A2:D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U189"/>
  <sheetViews>
    <sheetView zoomScale="70" zoomScaleNormal="70" zoomScalePageLayoutView="70" workbookViewId="0">
      <pane xSplit="2" ySplit="5" topLeftCell="C6" activePane="bottomRight" state="frozen"/>
      <selection pane="topRight" activeCell="D8" sqref="D8"/>
      <selection pane="bottomLeft" activeCell="D8" sqref="D8"/>
      <selection pane="bottomRight" activeCell="B2" sqref="B2:AE104"/>
    </sheetView>
  </sheetViews>
  <sheetFormatPr baseColWidth="10" defaultColWidth="10.6640625" defaultRowHeight="14" x14ac:dyDescent="0.15"/>
  <cols>
    <col min="1" max="1" width="10.6640625" style="572"/>
    <col min="2" max="2" width="28.6640625" style="572" customWidth="1"/>
    <col min="3" max="31" width="13.6640625" style="572" customWidth="1"/>
    <col min="32" max="42" width="10.6640625" style="572"/>
    <col min="43" max="43" width="26.6640625" style="572" bestFit="1" customWidth="1"/>
    <col min="44" max="16384" width="10.6640625" style="572"/>
  </cols>
  <sheetData>
    <row r="1" spans="1:35" ht="15" thickBot="1" x14ac:dyDescent="0.2"/>
    <row r="2" spans="1:35" ht="20" x14ac:dyDescent="0.2">
      <c r="B2" s="2414" t="s">
        <v>1104</v>
      </c>
      <c r="C2" s="2415"/>
      <c r="D2" s="2415"/>
      <c r="E2" s="2415"/>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6"/>
    </row>
    <row r="3" spans="1:35" ht="21" thickBot="1" x14ac:dyDescent="0.25">
      <c r="B3" s="585"/>
      <c r="C3" s="160" t="s">
        <v>1</v>
      </c>
      <c r="D3" s="160" t="s">
        <v>2</v>
      </c>
      <c r="E3" s="160" t="s">
        <v>3</v>
      </c>
      <c r="F3" s="160" t="s">
        <v>4</v>
      </c>
      <c r="G3" s="160" t="s">
        <v>5</v>
      </c>
      <c r="H3" s="160" t="s">
        <v>6</v>
      </c>
      <c r="I3" s="160" t="s">
        <v>7</v>
      </c>
      <c r="J3" s="160" t="s">
        <v>8</v>
      </c>
      <c r="K3" s="160" t="s">
        <v>9</v>
      </c>
      <c r="L3" s="160" t="s">
        <v>10</v>
      </c>
      <c r="M3" s="160" t="s">
        <v>11</v>
      </c>
      <c r="N3" s="160" t="s">
        <v>12</v>
      </c>
      <c r="O3" s="160" t="s">
        <v>13</v>
      </c>
      <c r="P3" s="160" t="s">
        <v>177</v>
      </c>
      <c r="Q3" s="160" t="s">
        <v>178</v>
      </c>
      <c r="R3" s="160" t="s">
        <v>179</v>
      </c>
      <c r="S3" s="160" t="s">
        <v>619</v>
      </c>
      <c r="T3" s="160" t="s">
        <v>620</v>
      </c>
      <c r="U3" s="160" t="s">
        <v>621</v>
      </c>
      <c r="V3" s="160" t="s">
        <v>622</v>
      </c>
      <c r="W3" s="160" t="s">
        <v>623</v>
      </c>
      <c r="X3" s="160" t="s">
        <v>624</v>
      </c>
      <c r="Y3" s="160" t="s">
        <v>917</v>
      </c>
      <c r="Z3" s="160" t="s">
        <v>918</v>
      </c>
      <c r="AA3" s="160" t="s">
        <v>919</v>
      </c>
      <c r="AB3" s="160" t="s">
        <v>920</v>
      </c>
      <c r="AC3" s="160" t="s">
        <v>921</v>
      </c>
      <c r="AD3" s="160" t="s">
        <v>922</v>
      </c>
      <c r="AE3" s="548" t="s">
        <v>923</v>
      </c>
      <c r="AF3" s="160"/>
      <c r="AG3" s="160"/>
      <c r="AH3" s="160"/>
      <c r="AI3" s="160"/>
    </row>
    <row r="4" spans="1:35" ht="16" x14ac:dyDescent="0.15">
      <c r="B4" s="586"/>
      <c r="C4" s="2417" t="s">
        <v>1105</v>
      </c>
      <c r="D4" s="2418"/>
      <c r="E4" s="2418"/>
      <c r="F4" s="2418"/>
      <c r="G4" s="2418"/>
      <c r="H4" s="2418"/>
      <c r="I4" s="2418"/>
      <c r="J4" s="2418"/>
      <c r="K4" s="2418"/>
      <c r="L4" s="2418"/>
      <c r="M4" s="2418"/>
      <c r="N4" s="2418"/>
      <c r="O4" s="2418"/>
      <c r="P4" s="2418"/>
      <c r="Q4" s="2418"/>
      <c r="R4" s="2418"/>
      <c r="S4" s="2418"/>
      <c r="T4" s="2418"/>
      <c r="U4" s="2418"/>
      <c r="V4" s="2418"/>
      <c r="W4" s="2418"/>
      <c r="X4" s="2418"/>
      <c r="Y4" s="2418"/>
      <c r="Z4" s="2418"/>
      <c r="AA4" s="2418"/>
      <c r="AB4" s="2418"/>
      <c r="AC4" s="2418"/>
      <c r="AD4" s="2418"/>
      <c r="AE4" s="2419"/>
    </row>
    <row r="5" spans="1:35" ht="39.75" customHeight="1" x14ac:dyDescent="0.15">
      <c r="B5" s="1733" t="s">
        <v>684</v>
      </c>
      <c r="C5" s="1733" t="s">
        <v>30</v>
      </c>
      <c r="D5" s="1734" t="s">
        <v>31</v>
      </c>
      <c r="E5" s="1734" t="s">
        <v>451</v>
      </c>
      <c r="F5" s="1734" t="s">
        <v>472</v>
      </c>
      <c r="G5" s="1734" t="s">
        <v>86</v>
      </c>
      <c r="H5" s="1734" t="s">
        <v>34</v>
      </c>
      <c r="I5" s="1734" t="s">
        <v>35</v>
      </c>
      <c r="J5" s="1734" t="s">
        <v>36</v>
      </c>
      <c r="K5" s="1734" t="s">
        <v>37</v>
      </c>
      <c r="L5" s="1734" t="s">
        <v>38</v>
      </c>
      <c r="M5" s="1734" t="s">
        <v>39</v>
      </c>
      <c r="N5" s="1734" t="s">
        <v>40</v>
      </c>
      <c r="O5" s="1734" t="s">
        <v>41</v>
      </c>
      <c r="P5" s="1734" t="s">
        <v>43</v>
      </c>
      <c r="Q5" s="1734" t="s">
        <v>45</v>
      </c>
      <c r="R5" s="1734" t="s">
        <v>48</v>
      </c>
      <c r="S5" s="1734" t="s">
        <v>514</v>
      </c>
      <c r="T5" s="1734" t="s">
        <v>49</v>
      </c>
      <c r="U5" s="1734" t="s">
        <v>96</v>
      </c>
      <c r="V5" s="1734" t="s">
        <v>51</v>
      </c>
      <c r="W5" s="1734" t="s">
        <v>54</v>
      </c>
      <c r="X5" s="1734" t="s">
        <v>55</v>
      </c>
      <c r="Y5" s="1734" t="s">
        <v>543</v>
      </c>
      <c r="Z5" s="1734" t="s">
        <v>56</v>
      </c>
      <c r="AA5" s="1734" t="s">
        <v>57</v>
      </c>
      <c r="AB5" s="1734" t="s">
        <v>58</v>
      </c>
      <c r="AC5" s="1734" t="s">
        <v>59</v>
      </c>
      <c r="AD5" s="1734" t="s">
        <v>62</v>
      </c>
      <c r="AE5" s="1735" t="s">
        <v>1106</v>
      </c>
    </row>
    <row r="6" spans="1:35" ht="45" x14ac:dyDescent="0.15">
      <c r="B6" s="590" t="s">
        <v>1107</v>
      </c>
      <c r="C6" s="588"/>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9"/>
    </row>
    <row r="7" spans="1:35" x14ac:dyDescent="0.15">
      <c r="A7" s="573"/>
      <c r="B7" s="582" t="s">
        <v>30</v>
      </c>
      <c r="C7" s="597">
        <v>0</v>
      </c>
      <c r="D7" s="593">
        <v>-80</v>
      </c>
      <c r="E7" s="593">
        <v>295.10000000000002</v>
      </c>
      <c r="F7" s="593">
        <v>-10.7</v>
      </c>
      <c r="G7" s="593">
        <v>149</v>
      </c>
      <c r="H7" s="593">
        <v>490.1</v>
      </c>
      <c r="I7" s="593">
        <v>-14.8</v>
      </c>
      <c r="J7" s="593">
        <v>34.700000000000003</v>
      </c>
      <c r="K7" s="593">
        <v>-3.4</v>
      </c>
      <c r="L7" s="593">
        <v>153</v>
      </c>
      <c r="M7" s="593">
        <v>5202</v>
      </c>
      <c r="N7" s="593">
        <v>29.5</v>
      </c>
      <c r="O7" s="593">
        <v>-377.6</v>
      </c>
      <c r="P7" s="593">
        <v>-168</v>
      </c>
      <c r="Q7" s="593">
        <v>6.3</v>
      </c>
      <c r="R7" s="593">
        <v>17</v>
      </c>
      <c r="S7" s="593">
        <v>54.5</v>
      </c>
      <c r="T7" s="593">
        <v>-276</v>
      </c>
      <c r="U7" s="593">
        <v>10</v>
      </c>
      <c r="V7" s="593">
        <v>415.1</v>
      </c>
      <c r="W7" s="593">
        <v>280</v>
      </c>
      <c r="X7" s="593">
        <v>-62</v>
      </c>
      <c r="Y7" s="593">
        <v>116.7</v>
      </c>
      <c r="Z7" s="593">
        <v>808.5</v>
      </c>
      <c r="AA7" s="593">
        <v>-138.4</v>
      </c>
      <c r="AB7" s="593">
        <v>51.1</v>
      </c>
      <c r="AC7" s="593">
        <v>-179.2</v>
      </c>
      <c r="AD7" s="593">
        <v>423</v>
      </c>
      <c r="AE7" s="598">
        <v>7273.5</v>
      </c>
      <c r="AG7" s="573"/>
      <c r="AH7" s="573"/>
    </row>
    <row r="8" spans="1:35" x14ac:dyDescent="0.15">
      <c r="A8" s="575"/>
      <c r="B8" s="582" t="s">
        <v>31</v>
      </c>
      <c r="C8" s="597">
        <v>149</v>
      </c>
      <c r="D8" s="593">
        <v>0</v>
      </c>
      <c r="E8" s="593">
        <v>122.9</v>
      </c>
      <c r="F8" s="593">
        <v>-106.9</v>
      </c>
      <c r="G8" s="593">
        <v>279</v>
      </c>
      <c r="H8" s="593">
        <v>14.1</v>
      </c>
      <c r="I8" s="593">
        <v>-270.10000000000002</v>
      </c>
      <c r="J8" s="593">
        <v>7.8</v>
      </c>
      <c r="K8" s="593">
        <v>82.2</v>
      </c>
      <c r="L8" s="593">
        <v>1869</v>
      </c>
      <c r="M8" s="593">
        <v>2939</v>
      </c>
      <c r="N8" s="593">
        <v>-72.8</v>
      </c>
      <c r="O8" s="593">
        <v>15.7</v>
      </c>
      <c r="P8" s="593">
        <v>330</v>
      </c>
      <c r="Q8" s="593">
        <v>702.5</v>
      </c>
      <c r="R8" s="593">
        <v>5</v>
      </c>
      <c r="S8" s="593">
        <v>21</v>
      </c>
      <c r="T8" s="593">
        <v>199</v>
      </c>
      <c r="U8" s="593">
        <v>56</v>
      </c>
      <c r="V8" s="593">
        <v>7663.4</v>
      </c>
      <c r="W8" s="593">
        <v>177.9</v>
      </c>
      <c r="X8" s="593">
        <v>119</v>
      </c>
      <c r="Y8" s="593">
        <v>-125.2</v>
      </c>
      <c r="Z8" s="593">
        <v>281.7</v>
      </c>
      <c r="AA8" s="593">
        <v>-85.8</v>
      </c>
      <c r="AB8" s="593">
        <v>-69</v>
      </c>
      <c r="AC8" s="593">
        <v>205</v>
      </c>
      <c r="AD8" s="593">
        <v>4076.4</v>
      </c>
      <c r="AE8" s="598">
        <v>18801.900000000001</v>
      </c>
      <c r="AG8" s="573"/>
      <c r="AH8" s="573"/>
    </row>
    <row r="9" spans="1:35" x14ac:dyDescent="0.15">
      <c r="A9" s="573"/>
      <c r="B9" s="582" t="s">
        <v>451</v>
      </c>
      <c r="C9" s="597">
        <v>10.5</v>
      </c>
      <c r="D9" s="593">
        <v>-47.7</v>
      </c>
      <c r="E9" s="593">
        <v>0</v>
      </c>
      <c r="F9" s="593">
        <v>-9.9</v>
      </c>
      <c r="G9" s="593">
        <v>56.2</v>
      </c>
      <c r="H9" s="593">
        <v>1.5</v>
      </c>
      <c r="I9" s="593">
        <v>-40.6</v>
      </c>
      <c r="J9" s="593">
        <v>-9.5</v>
      </c>
      <c r="K9" s="593">
        <v>0</v>
      </c>
      <c r="L9" s="593">
        <v>-101.7</v>
      </c>
      <c r="M9" s="593">
        <v>-208.9</v>
      </c>
      <c r="N9" s="593">
        <v>-160.1</v>
      </c>
      <c r="O9" s="593">
        <v>-74.7</v>
      </c>
      <c r="P9" s="593">
        <v>14.6</v>
      </c>
      <c r="Q9" s="593">
        <v>-30.3</v>
      </c>
      <c r="R9" s="593">
        <v>0.3</v>
      </c>
      <c r="S9" s="593">
        <v>0.9</v>
      </c>
      <c r="T9" s="593">
        <v>-47.5</v>
      </c>
      <c r="U9" s="593">
        <v>63.1</v>
      </c>
      <c r="V9" s="593">
        <v>-18.399999999999999</v>
      </c>
      <c r="W9" s="593">
        <v>-35.6</v>
      </c>
      <c r="X9" s="593">
        <v>3.6</v>
      </c>
      <c r="Y9" s="593">
        <v>-141</v>
      </c>
      <c r="Z9" s="593">
        <v>14.5</v>
      </c>
      <c r="AA9" s="593">
        <v>-4</v>
      </c>
      <c r="AB9" s="593">
        <v>0</v>
      </c>
      <c r="AC9" s="593">
        <v>-25.9</v>
      </c>
      <c r="AD9" s="593">
        <v>-304</v>
      </c>
      <c r="AE9" s="598">
        <v>-1447.8</v>
      </c>
      <c r="AG9" s="573"/>
      <c r="AH9" s="583"/>
    </row>
    <row r="10" spans="1:35" x14ac:dyDescent="0.15">
      <c r="A10" s="573"/>
      <c r="B10" s="582" t="s">
        <v>472</v>
      </c>
      <c r="C10" s="597">
        <v>-154.19999999999999</v>
      </c>
      <c r="D10" s="593">
        <v>-15.9</v>
      </c>
      <c r="E10" s="593">
        <v>-2.2000000000000002</v>
      </c>
      <c r="F10" s="593">
        <v>0</v>
      </c>
      <c r="G10" s="593">
        <v>8.3000000000000007</v>
      </c>
      <c r="H10" s="593">
        <v>-35.9</v>
      </c>
      <c r="I10" s="593">
        <v>-40.200000000000003</v>
      </c>
      <c r="J10" s="593">
        <v>-3.7</v>
      </c>
      <c r="K10" s="593">
        <v>0</v>
      </c>
      <c r="L10" s="593">
        <v>-77.8</v>
      </c>
      <c r="M10" s="593">
        <v>-3.7</v>
      </c>
      <c r="N10" s="593">
        <v>-23.4</v>
      </c>
      <c r="O10" s="593">
        <v>-58</v>
      </c>
      <c r="P10" s="593">
        <v>7.3</v>
      </c>
      <c r="Q10" s="593">
        <v>-208.9</v>
      </c>
      <c r="R10" s="593">
        <v>-0.3</v>
      </c>
      <c r="S10" s="593">
        <v>-0.6</v>
      </c>
      <c r="T10" s="593">
        <v>-43.1</v>
      </c>
      <c r="U10" s="593">
        <v>18.3</v>
      </c>
      <c r="V10" s="593">
        <v>3.7</v>
      </c>
      <c r="W10" s="593">
        <v>-37.700000000000003</v>
      </c>
      <c r="X10" s="593">
        <v>-0.8</v>
      </c>
      <c r="Y10" s="593">
        <v>-10.5</v>
      </c>
      <c r="Z10" s="593">
        <v>-1</v>
      </c>
      <c r="AA10" s="593">
        <v>-300.7</v>
      </c>
      <c r="AB10" s="593">
        <v>0</v>
      </c>
      <c r="AC10" s="593">
        <v>6.6</v>
      </c>
      <c r="AD10" s="593">
        <v>-88.3</v>
      </c>
      <c r="AE10" s="598">
        <v>-1137.5</v>
      </c>
      <c r="AG10" s="573"/>
      <c r="AH10" s="573"/>
    </row>
    <row r="11" spans="1:35" x14ac:dyDescent="0.15">
      <c r="A11" s="573"/>
      <c r="B11" s="582" t="s">
        <v>86</v>
      </c>
      <c r="C11" s="597">
        <v>-93</v>
      </c>
      <c r="D11" s="593">
        <v>-305</v>
      </c>
      <c r="E11" s="593">
        <v>-52.9</v>
      </c>
      <c r="F11" s="593">
        <v>-6.2</v>
      </c>
      <c r="G11" s="593">
        <v>0</v>
      </c>
      <c r="H11" s="593">
        <v>-105.8</v>
      </c>
      <c r="I11" s="593">
        <v>-32.5</v>
      </c>
      <c r="J11" s="593">
        <v>-42</v>
      </c>
      <c r="K11" s="593">
        <v>-32.200000000000003</v>
      </c>
      <c r="L11" s="593">
        <v>26</v>
      </c>
      <c r="M11" s="593">
        <v>-141</v>
      </c>
      <c r="N11" s="593">
        <v>79.400000000000006</v>
      </c>
      <c r="O11" s="593">
        <v>-26.8</v>
      </c>
      <c r="P11" s="593">
        <v>0</v>
      </c>
      <c r="Q11" s="593">
        <v>97.7</v>
      </c>
      <c r="R11" s="593">
        <v>-107</v>
      </c>
      <c r="S11" s="593">
        <v>-25</v>
      </c>
      <c r="T11" s="593">
        <v>-152</v>
      </c>
      <c r="U11" s="593">
        <v>-24</v>
      </c>
      <c r="V11" s="593">
        <v>-273.89999999999998</v>
      </c>
      <c r="W11" s="593">
        <v>-61.8</v>
      </c>
      <c r="X11" s="593">
        <v>-31</v>
      </c>
      <c r="Y11" s="593">
        <v>-72.2</v>
      </c>
      <c r="Z11" s="593">
        <v>-84.6</v>
      </c>
      <c r="AA11" s="593">
        <v>-28.9</v>
      </c>
      <c r="AB11" s="593">
        <v>0</v>
      </c>
      <c r="AC11" s="593">
        <v>-123.1</v>
      </c>
      <c r="AD11" s="593">
        <v>29.7</v>
      </c>
      <c r="AE11" s="598">
        <v>-1151.3</v>
      </c>
      <c r="AG11" s="573"/>
      <c r="AH11" s="573"/>
    </row>
    <row r="12" spans="1:35" x14ac:dyDescent="0.15">
      <c r="A12" s="573"/>
      <c r="B12" s="582" t="s">
        <v>34</v>
      </c>
      <c r="C12" s="597">
        <v>-220.1</v>
      </c>
      <c r="D12" s="593">
        <v>-301.60000000000002</v>
      </c>
      <c r="E12" s="593">
        <v>222.5</v>
      </c>
      <c r="F12" s="593">
        <v>51.1</v>
      </c>
      <c r="G12" s="593">
        <v>27.8</v>
      </c>
      <c r="H12" s="593">
        <v>0</v>
      </c>
      <c r="I12" s="593">
        <v>-54.9</v>
      </c>
      <c r="J12" s="593">
        <v>-9.4</v>
      </c>
      <c r="K12" s="593">
        <v>0</v>
      </c>
      <c r="L12" s="593">
        <v>-99.7</v>
      </c>
      <c r="M12" s="593">
        <v>602.6</v>
      </c>
      <c r="N12" s="593">
        <v>-62.9</v>
      </c>
      <c r="O12" s="593">
        <v>-317.60000000000002</v>
      </c>
      <c r="P12" s="593">
        <v>62.9</v>
      </c>
      <c r="Q12" s="593">
        <v>-268.7</v>
      </c>
      <c r="R12" s="593">
        <v>4.2</v>
      </c>
      <c r="S12" s="593">
        <v>-8.3000000000000007</v>
      </c>
      <c r="T12" s="593">
        <v>-237.7</v>
      </c>
      <c r="U12" s="593">
        <v>-15</v>
      </c>
      <c r="V12" s="593">
        <v>-301.7</v>
      </c>
      <c r="W12" s="593">
        <v>-584.5</v>
      </c>
      <c r="X12" s="593">
        <v>-6.9</v>
      </c>
      <c r="Y12" s="593">
        <v>-32.4</v>
      </c>
      <c r="Z12" s="593">
        <v>46.3</v>
      </c>
      <c r="AA12" s="593">
        <v>-27.3</v>
      </c>
      <c r="AB12" s="593">
        <v>0</v>
      </c>
      <c r="AC12" s="593">
        <v>-2.2999999999999998</v>
      </c>
      <c r="AD12" s="593">
        <v>-348.7</v>
      </c>
      <c r="AE12" s="598">
        <v>-2141.6999999999998</v>
      </c>
      <c r="AG12" s="573"/>
      <c r="AH12" s="573"/>
    </row>
    <row r="13" spans="1:35" x14ac:dyDescent="0.15">
      <c r="B13" s="582" t="s">
        <v>35</v>
      </c>
      <c r="C13" s="597">
        <v>7.3</v>
      </c>
      <c r="D13" s="593">
        <v>-219</v>
      </c>
      <c r="E13" s="593">
        <v>67.2</v>
      </c>
      <c r="F13" s="593">
        <v>3.4</v>
      </c>
      <c r="G13" s="593">
        <v>-470.1</v>
      </c>
      <c r="H13" s="593">
        <v>18.399999999999999</v>
      </c>
      <c r="I13" s="593">
        <v>0</v>
      </c>
      <c r="J13" s="593">
        <v>5.7</v>
      </c>
      <c r="K13" s="593">
        <v>49.3</v>
      </c>
      <c r="L13" s="593">
        <v>-464.5</v>
      </c>
      <c r="M13" s="593">
        <v>1493.9</v>
      </c>
      <c r="N13" s="593">
        <v>275.10000000000002</v>
      </c>
      <c r="O13" s="593">
        <v>-121.3</v>
      </c>
      <c r="P13" s="593">
        <v>-140.69999999999999</v>
      </c>
      <c r="Q13" s="593">
        <v>383</v>
      </c>
      <c r="R13" s="593">
        <v>141.69999999999999</v>
      </c>
      <c r="S13" s="593">
        <v>-7.2</v>
      </c>
      <c r="T13" s="593">
        <v>-26</v>
      </c>
      <c r="U13" s="593">
        <v>29.4</v>
      </c>
      <c r="V13" s="593">
        <v>91.7</v>
      </c>
      <c r="W13" s="593">
        <v>-228.9</v>
      </c>
      <c r="X13" s="593">
        <v>-9.5</v>
      </c>
      <c r="Y13" s="593">
        <v>-40.299999999999997</v>
      </c>
      <c r="Z13" s="593">
        <v>47</v>
      </c>
      <c r="AA13" s="593">
        <v>-11.4</v>
      </c>
      <c r="AB13" s="593">
        <v>240.1</v>
      </c>
      <c r="AC13" s="593">
        <v>98</v>
      </c>
      <c r="AD13" s="593">
        <v>837.2</v>
      </c>
      <c r="AE13" s="598">
        <v>2078.5</v>
      </c>
      <c r="AG13" s="573"/>
      <c r="AH13" s="573"/>
    </row>
    <row r="14" spans="1:35" x14ac:dyDescent="0.15">
      <c r="B14" s="582" t="s">
        <v>36</v>
      </c>
      <c r="C14" s="597">
        <v>-0.7</v>
      </c>
      <c r="D14" s="593">
        <v>-8.1999999999999993</v>
      </c>
      <c r="E14" s="593">
        <v>14</v>
      </c>
      <c r="F14" s="593">
        <v>2.2999999999999998</v>
      </c>
      <c r="G14" s="593">
        <v>119.4</v>
      </c>
      <c r="H14" s="593">
        <v>8.4</v>
      </c>
      <c r="I14" s="593">
        <v>-45.7</v>
      </c>
      <c r="J14" s="593">
        <v>0</v>
      </c>
      <c r="K14" s="593">
        <v>58.7</v>
      </c>
      <c r="L14" s="593">
        <v>24.4</v>
      </c>
      <c r="M14" s="593">
        <v>0</v>
      </c>
      <c r="N14" s="593">
        <v>-20.8</v>
      </c>
      <c r="O14" s="593">
        <v>19.2</v>
      </c>
      <c r="P14" s="593">
        <v>19</v>
      </c>
      <c r="Q14" s="593">
        <v>9.4</v>
      </c>
      <c r="R14" s="593">
        <v>57.6</v>
      </c>
      <c r="S14" s="593">
        <v>-1.1000000000000001</v>
      </c>
      <c r="T14" s="593">
        <v>-77.8</v>
      </c>
      <c r="U14" s="593">
        <v>1.3</v>
      </c>
      <c r="V14" s="593">
        <v>78</v>
      </c>
      <c r="W14" s="593">
        <v>40.4</v>
      </c>
      <c r="X14" s="593">
        <v>2.2000000000000002</v>
      </c>
      <c r="Y14" s="593">
        <v>3.4</v>
      </c>
      <c r="Z14" s="593">
        <v>4.8</v>
      </c>
      <c r="AA14" s="593">
        <v>-0.6</v>
      </c>
      <c r="AB14" s="593">
        <v>0</v>
      </c>
      <c r="AC14" s="593">
        <v>17.3</v>
      </c>
      <c r="AD14" s="593">
        <v>97.1</v>
      </c>
      <c r="AE14" s="598">
        <v>539.6</v>
      </c>
      <c r="AG14" s="573"/>
      <c r="AH14" s="573"/>
    </row>
    <row r="15" spans="1:35" x14ac:dyDescent="0.15">
      <c r="B15" s="582" t="s">
        <v>37</v>
      </c>
      <c r="C15" s="597">
        <v>-74.2</v>
      </c>
      <c r="D15" s="593">
        <v>-58.5</v>
      </c>
      <c r="E15" s="613">
        <v>0</v>
      </c>
      <c r="F15" s="593">
        <v>0</v>
      </c>
      <c r="G15" s="593">
        <v>68.7</v>
      </c>
      <c r="H15" s="593">
        <v>0</v>
      </c>
      <c r="I15" s="593">
        <v>74</v>
      </c>
      <c r="J15" s="593">
        <v>-468.8</v>
      </c>
      <c r="K15" s="593">
        <v>0</v>
      </c>
      <c r="L15" s="593">
        <v>142.69999999999999</v>
      </c>
      <c r="M15" s="593">
        <v>0</v>
      </c>
      <c r="N15" s="593">
        <v>134.30000000000001</v>
      </c>
      <c r="O15" s="593">
        <v>0</v>
      </c>
      <c r="P15" s="593">
        <v>-339.5</v>
      </c>
      <c r="Q15" s="593">
        <v>170.9</v>
      </c>
      <c r="R15" s="593">
        <v>-1.7</v>
      </c>
      <c r="S15" s="593">
        <v>-29.9</v>
      </c>
      <c r="T15" s="593">
        <v>0</v>
      </c>
      <c r="U15" s="593">
        <v>0</v>
      </c>
      <c r="V15" s="593">
        <v>-109.3</v>
      </c>
      <c r="W15" s="593">
        <v>-108.8</v>
      </c>
      <c r="X15" s="593">
        <v>-56.1</v>
      </c>
      <c r="Y15" s="593">
        <v>0</v>
      </c>
      <c r="Z15" s="593">
        <v>15</v>
      </c>
      <c r="AA15" s="593">
        <v>0</v>
      </c>
      <c r="AB15" s="593">
        <v>0</v>
      </c>
      <c r="AC15" s="593">
        <v>-1049.0999999999999</v>
      </c>
      <c r="AD15" s="593">
        <v>-252.4</v>
      </c>
      <c r="AE15" s="598">
        <v>-898.3</v>
      </c>
    </row>
    <row r="16" spans="1:35" x14ac:dyDescent="0.15">
      <c r="B16" s="582" t="s">
        <v>38</v>
      </c>
      <c r="C16" s="597">
        <v>360</v>
      </c>
      <c r="D16" s="593">
        <v>-1312</v>
      </c>
      <c r="E16" s="593">
        <v>355.8</v>
      </c>
      <c r="F16" s="593">
        <v>62.2</v>
      </c>
      <c r="G16" s="593">
        <v>100</v>
      </c>
      <c r="H16" s="593">
        <v>343.3</v>
      </c>
      <c r="I16" s="593">
        <v>417.5</v>
      </c>
      <c r="J16" s="593">
        <v>47.4</v>
      </c>
      <c r="K16" s="593">
        <v>62</v>
      </c>
      <c r="L16" s="593">
        <v>0</v>
      </c>
      <c r="M16" s="593">
        <v>14082</v>
      </c>
      <c r="N16" s="593">
        <v>-46.6</v>
      </c>
      <c r="O16" s="593">
        <v>162.69999999999999</v>
      </c>
      <c r="P16" s="593">
        <v>1096</v>
      </c>
      <c r="Q16" s="593">
        <v>3683</v>
      </c>
      <c r="R16" s="593">
        <v>-6</v>
      </c>
      <c r="S16" s="593">
        <v>-18.399999999999999</v>
      </c>
      <c r="T16" s="593">
        <v>-2986</v>
      </c>
      <c r="U16" s="593">
        <v>101</v>
      </c>
      <c r="V16" s="593">
        <v>3621.5</v>
      </c>
      <c r="W16" s="593">
        <v>1290.3</v>
      </c>
      <c r="X16" s="593">
        <v>-1043</v>
      </c>
      <c r="Y16" s="593">
        <v>207.4</v>
      </c>
      <c r="Z16" s="593">
        <v>90.2</v>
      </c>
      <c r="AA16" s="593">
        <v>-50.1</v>
      </c>
      <c r="AB16" s="593">
        <v>1226</v>
      </c>
      <c r="AC16" s="593">
        <v>-595.9</v>
      </c>
      <c r="AD16" s="593">
        <v>3657.2</v>
      </c>
      <c r="AE16" s="598">
        <v>24857.599999999999</v>
      </c>
    </row>
    <row r="17" spans="2:47" x14ac:dyDescent="0.15">
      <c r="B17" s="582" t="s">
        <v>39</v>
      </c>
      <c r="C17" s="597">
        <v>-5088</v>
      </c>
      <c r="D17" s="593">
        <v>-4340</v>
      </c>
      <c r="E17" s="593">
        <v>-75</v>
      </c>
      <c r="F17" s="593">
        <v>-591.5</v>
      </c>
      <c r="G17" s="593">
        <v>0</v>
      </c>
      <c r="H17" s="593">
        <v>190.1</v>
      </c>
      <c r="I17" s="593">
        <v>-2841.8</v>
      </c>
      <c r="J17" s="593">
        <v>0</v>
      </c>
      <c r="K17" s="593">
        <v>0</v>
      </c>
      <c r="L17" s="593">
        <v>-6638</v>
      </c>
      <c r="M17" s="593">
        <v>0</v>
      </c>
      <c r="N17" s="593">
        <v>-1056.8</v>
      </c>
      <c r="O17" s="593">
        <v>-1195.5</v>
      </c>
      <c r="P17" s="593">
        <v>0</v>
      </c>
      <c r="Q17" s="593">
        <v>1039.7</v>
      </c>
      <c r="R17" s="593">
        <v>0</v>
      </c>
      <c r="S17" s="593">
        <v>0</v>
      </c>
      <c r="T17" s="593">
        <v>-7675</v>
      </c>
      <c r="U17" s="593">
        <v>0</v>
      </c>
      <c r="V17" s="593">
        <v>-2087.3000000000002</v>
      </c>
      <c r="W17" s="593">
        <v>-2388.8000000000002</v>
      </c>
      <c r="X17" s="593">
        <v>-627</v>
      </c>
      <c r="Y17" s="593">
        <v>0</v>
      </c>
      <c r="Z17" s="593">
        <v>0</v>
      </c>
      <c r="AA17" s="593">
        <v>0</v>
      </c>
      <c r="AB17" s="593">
        <v>119</v>
      </c>
      <c r="AC17" s="593">
        <v>0</v>
      </c>
      <c r="AD17" s="593">
        <v>3100.1</v>
      </c>
      <c r="AE17" s="598">
        <v>-33784.400000000001</v>
      </c>
    </row>
    <row r="18" spans="2:47" x14ac:dyDescent="0.15">
      <c r="B18" s="582" t="s">
        <v>40</v>
      </c>
      <c r="C18" s="597">
        <v>70.8</v>
      </c>
      <c r="D18" s="593">
        <v>-126.6</v>
      </c>
      <c r="E18" s="593">
        <v>-29.7</v>
      </c>
      <c r="F18" s="593">
        <v>20.3</v>
      </c>
      <c r="G18" s="593">
        <v>108.9</v>
      </c>
      <c r="H18" s="593">
        <v>-18.2</v>
      </c>
      <c r="I18" s="593">
        <v>-94</v>
      </c>
      <c r="J18" s="593">
        <v>-1.5</v>
      </c>
      <c r="K18" s="593">
        <v>-36.299999999999997</v>
      </c>
      <c r="L18" s="593">
        <v>-68.099999999999994</v>
      </c>
      <c r="M18" s="593">
        <v>254.2</v>
      </c>
      <c r="N18" s="593">
        <v>0</v>
      </c>
      <c r="O18" s="593">
        <v>0.5</v>
      </c>
      <c r="P18" s="593">
        <v>-266.5</v>
      </c>
      <c r="Q18" s="593">
        <v>50.4</v>
      </c>
      <c r="R18" s="593">
        <v>6.6</v>
      </c>
      <c r="S18" s="593">
        <v>-1.1000000000000001</v>
      </c>
      <c r="T18" s="593">
        <v>-92</v>
      </c>
      <c r="U18" s="593">
        <v>-3.8</v>
      </c>
      <c r="V18" s="593">
        <v>-105.4</v>
      </c>
      <c r="W18" s="593">
        <v>8.6</v>
      </c>
      <c r="X18" s="593">
        <v>-24.1</v>
      </c>
      <c r="Y18" s="593">
        <v>-0.5</v>
      </c>
      <c r="Z18" s="593">
        <v>0.5</v>
      </c>
      <c r="AA18" s="593">
        <v>6</v>
      </c>
      <c r="AB18" s="593">
        <v>-239.3</v>
      </c>
      <c r="AC18" s="593">
        <v>-22.1</v>
      </c>
      <c r="AD18" s="593">
        <v>206.4</v>
      </c>
      <c r="AE18" s="598">
        <v>-269</v>
      </c>
    </row>
    <row r="19" spans="2:47" x14ac:dyDescent="0.15">
      <c r="B19" s="582" t="s">
        <v>41</v>
      </c>
      <c r="C19" s="597">
        <v>-206.3</v>
      </c>
      <c r="D19" s="593">
        <v>-2.4</v>
      </c>
      <c r="E19" s="593">
        <v>1.4</v>
      </c>
      <c r="F19" s="593">
        <v>2.9</v>
      </c>
      <c r="G19" s="593">
        <v>112.4</v>
      </c>
      <c r="H19" s="593">
        <v>85.8</v>
      </c>
      <c r="I19" s="593">
        <v>-63.1</v>
      </c>
      <c r="J19" s="593">
        <v>-3.5</v>
      </c>
      <c r="K19" s="593">
        <v>0</v>
      </c>
      <c r="L19" s="593">
        <v>204.4</v>
      </c>
      <c r="M19" s="593">
        <v>1015.2</v>
      </c>
      <c r="N19" s="593">
        <v>-2.6</v>
      </c>
      <c r="O19" s="593">
        <v>0</v>
      </c>
      <c r="P19" s="593">
        <v>0</v>
      </c>
      <c r="Q19" s="593">
        <v>-62.9</v>
      </c>
      <c r="R19" s="593">
        <v>5.2</v>
      </c>
      <c r="S19" s="593">
        <v>5.9</v>
      </c>
      <c r="T19" s="593">
        <v>-138.1</v>
      </c>
      <c r="U19" s="593">
        <v>10.4</v>
      </c>
      <c r="V19" s="593">
        <v>117.8</v>
      </c>
      <c r="W19" s="593">
        <v>-88.4</v>
      </c>
      <c r="X19" s="593">
        <v>11.7</v>
      </c>
      <c r="Y19" s="593">
        <v>-104</v>
      </c>
      <c r="Z19" s="593">
        <v>146.69999999999999</v>
      </c>
      <c r="AA19" s="593">
        <v>-101.2</v>
      </c>
      <c r="AB19" s="593">
        <v>0</v>
      </c>
      <c r="AC19" s="593">
        <v>26.2</v>
      </c>
      <c r="AD19" s="593">
        <v>746.9</v>
      </c>
      <c r="AE19" s="598">
        <v>457.1</v>
      </c>
    </row>
    <row r="20" spans="2:47" x14ac:dyDescent="0.15">
      <c r="B20" s="582" t="s">
        <v>43</v>
      </c>
      <c r="C20" s="597">
        <v>-120</v>
      </c>
      <c r="D20" s="593">
        <v>-608</v>
      </c>
      <c r="E20" s="593">
        <v>-57.5</v>
      </c>
      <c r="F20" s="593">
        <v>-19.2</v>
      </c>
      <c r="G20" s="593">
        <v>22</v>
      </c>
      <c r="H20" s="593">
        <v>-391.7</v>
      </c>
      <c r="I20" s="593">
        <v>-101.3</v>
      </c>
      <c r="J20" s="593">
        <v>-17.7</v>
      </c>
      <c r="K20" s="593">
        <v>6.9</v>
      </c>
      <c r="L20" s="593">
        <v>-1465</v>
      </c>
      <c r="M20" s="593">
        <v>-1217</v>
      </c>
      <c r="N20" s="593">
        <v>-24.4</v>
      </c>
      <c r="O20" s="593">
        <v>-266.7</v>
      </c>
      <c r="P20" s="593">
        <v>0</v>
      </c>
      <c r="Q20" s="593">
        <v>892.9</v>
      </c>
      <c r="R20" s="593">
        <v>-35</v>
      </c>
      <c r="S20" s="593">
        <v>-12.6</v>
      </c>
      <c r="T20" s="593">
        <v>5308</v>
      </c>
      <c r="U20" s="593">
        <v>269</v>
      </c>
      <c r="V20" s="593">
        <v>1405.9</v>
      </c>
      <c r="W20" s="593">
        <v>-497.4</v>
      </c>
      <c r="X20" s="593">
        <v>-180</v>
      </c>
      <c r="Y20" s="593">
        <v>-118</v>
      </c>
      <c r="Z20" s="593">
        <v>-80</v>
      </c>
      <c r="AA20" s="593">
        <v>-29.4</v>
      </c>
      <c r="AB20" s="593">
        <v>-573.9</v>
      </c>
      <c r="AC20" s="593">
        <v>-1203.4000000000001</v>
      </c>
      <c r="AD20" s="593">
        <v>-787.7</v>
      </c>
      <c r="AE20" s="598">
        <v>98.8</v>
      </c>
    </row>
    <row r="21" spans="2:47" x14ac:dyDescent="0.15">
      <c r="B21" s="582" t="s">
        <v>45</v>
      </c>
      <c r="C21" s="597">
        <v>-168.5</v>
      </c>
      <c r="D21" s="593">
        <v>-796.4</v>
      </c>
      <c r="E21" s="593">
        <v>79.7</v>
      </c>
      <c r="F21" s="593">
        <v>-615</v>
      </c>
      <c r="G21" s="593">
        <v>104.1</v>
      </c>
      <c r="H21" s="593">
        <v>94.8</v>
      </c>
      <c r="I21" s="593">
        <v>-392.4</v>
      </c>
      <c r="J21" s="593">
        <v>2.9</v>
      </c>
      <c r="K21" s="593">
        <v>13.4</v>
      </c>
      <c r="L21" s="593">
        <v>-1884.9</v>
      </c>
      <c r="M21" s="593">
        <v>2482.3000000000002</v>
      </c>
      <c r="N21" s="593">
        <v>631.20000000000005</v>
      </c>
      <c r="O21" s="593">
        <v>139</v>
      </c>
      <c r="P21" s="593">
        <v>-941.1</v>
      </c>
      <c r="Q21" s="593">
        <v>0</v>
      </c>
      <c r="R21" s="593">
        <v>41</v>
      </c>
      <c r="S21" s="593">
        <v>132.1</v>
      </c>
      <c r="T21" s="593">
        <v>-2116.4</v>
      </c>
      <c r="U21" s="593">
        <v>-151.30000000000001</v>
      </c>
      <c r="V21" s="593">
        <v>325.89999999999998</v>
      </c>
      <c r="W21" s="593">
        <v>338.6</v>
      </c>
      <c r="X21" s="593">
        <v>-85</v>
      </c>
      <c r="Y21" s="593">
        <v>-663</v>
      </c>
      <c r="Z21" s="593">
        <v>196.8</v>
      </c>
      <c r="AA21" s="593">
        <v>-13.9</v>
      </c>
      <c r="AB21" s="593">
        <v>-576.9</v>
      </c>
      <c r="AC21" s="593">
        <v>37.299999999999997</v>
      </c>
      <c r="AD21" s="593">
        <v>-3774.8</v>
      </c>
      <c r="AE21" s="598">
        <v>-7592.2</v>
      </c>
    </row>
    <row r="22" spans="2:47" x14ac:dyDescent="0.15">
      <c r="B22" s="582" t="s">
        <v>48</v>
      </c>
      <c r="C22" s="597">
        <v>-11</v>
      </c>
      <c r="D22" s="593">
        <v>-15</v>
      </c>
      <c r="E22" s="593">
        <v>-2.2000000000000002</v>
      </c>
      <c r="F22" s="593">
        <v>-3.6</v>
      </c>
      <c r="G22" s="593">
        <v>25</v>
      </c>
      <c r="H22" s="593">
        <v>1.1000000000000001</v>
      </c>
      <c r="I22" s="593">
        <v>-247.8</v>
      </c>
      <c r="J22" s="593">
        <v>-113.3</v>
      </c>
      <c r="K22" s="593">
        <v>-48.3</v>
      </c>
      <c r="L22" s="593">
        <v>-15</v>
      </c>
      <c r="M22" s="593">
        <v>0</v>
      </c>
      <c r="N22" s="593">
        <v>-65.599999999999994</v>
      </c>
      <c r="O22" s="593">
        <v>-2.1</v>
      </c>
      <c r="P22" s="593">
        <v>45</v>
      </c>
      <c r="Q22" s="593">
        <v>-30.9</v>
      </c>
      <c r="R22" s="593">
        <v>0</v>
      </c>
      <c r="S22" s="593">
        <v>-78.8</v>
      </c>
      <c r="T22" s="593">
        <v>-59</v>
      </c>
      <c r="U22" s="593">
        <v>3</v>
      </c>
      <c r="V22" s="593">
        <v>-7.2</v>
      </c>
      <c r="W22" s="593">
        <v>-90.4</v>
      </c>
      <c r="X22" s="593">
        <v>-9</v>
      </c>
      <c r="Y22" s="593">
        <v>0.9</v>
      </c>
      <c r="Z22" s="593">
        <v>3</v>
      </c>
      <c r="AA22" s="593">
        <v>-3.8</v>
      </c>
      <c r="AB22" s="593">
        <v>0</v>
      </c>
      <c r="AC22" s="593">
        <v>-86.3</v>
      </c>
      <c r="AD22" s="593">
        <v>76.8</v>
      </c>
      <c r="AE22" s="598">
        <v>-824.4</v>
      </c>
    </row>
    <row r="23" spans="2:47" x14ac:dyDescent="0.15">
      <c r="B23" s="582" t="s">
        <v>514</v>
      </c>
      <c r="C23" s="597">
        <v>-10.199999999999999</v>
      </c>
      <c r="D23" s="593">
        <v>-12.1</v>
      </c>
      <c r="E23" s="593">
        <v>22.5</v>
      </c>
      <c r="F23" s="593">
        <v>13</v>
      </c>
      <c r="G23" s="593">
        <v>50.2</v>
      </c>
      <c r="H23" s="593">
        <v>-14.4</v>
      </c>
      <c r="I23" s="593">
        <v>-44.6</v>
      </c>
      <c r="J23" s="593">
        <v>-25.6</v>
      </c>
      <c r="K23" s="593">
        <v>-6.1</v>
      </c>
      <c r="L23" s="593">
        <v>4.7</v>
      </c>
      <c r="M23" s="593">
        <v>0</v>
      </c>
      <c r="N23" s="593">
        <v>56.2</v>
      </c>
      <c r="O23" s="593">
        <v>-11.8</v>
      </c>
      <c r="P23" s="593">
        <v>66.8</v>
      </c>
      <c r="Q23" s="593">
        <v>-67.400000000000006</v>
      </c>
      <c r="R23" s="593">
        <v>21.2</v>
      </c>
      <c r="S23" s="593">
        <v>0</v>
      </c>
      <c r="T23" s="593">
        <v>-24.2</v>
      </c>
      <c r="U23" s="593">
        <v>51.4</v>
      </c>
      <c r="V23" s="593">
        <v>-0.5</v>
      </c>
      <c r="W23" s="593">
        <v>-122.1</v>
      </c>
      <c r="X23" s="593">
        <v>-5.5</v>
      </c>
      <c r="Y23" s="593">
        <v>-0.2</v>
      </c>
      <c r="Z23" s="593">
        <v>-4.2</v>
      </c>
      <c r="AA23" s="593">
        <v>-1.5</v>
      </c>
      <c r="AB23" s="593">
        <v>0</v>
      </c>
      <c r="AC23" s="593">
        <v>-20.3</v>
      </c>
      <c r="AD23" s="593">
        <v>-89.5</v>
      </c>
      <c r="AE23" s="598">
        <v>-133.5</v>
      </c>
    </row>
    <row r="24" spans="2:47" x14ac:dyDescent="0.15">
      <c r="B24" s="582" t="s">
        <v>49</v>
      </c>
      <c r="C24" s="597">
        <v>83</v>
      </c>
      <c r="D24" s="593">
        <v>-2053</v>
      </c>
      <c r="E24" s="593">
        <v>-4.4000000000000004</v>
      </c>
      <c r="F24" s="593">
        <v>-6.4</v>
      </c>
      <c r="G24" s="593">
        <v>-12</v>
      </c>
      <c r="H24" s="593">
        <v>-15.4</v>
      </c>
      <c r="I24" s="593">
        <v>320.39999999999998</v>
      </c>
      <c r="J24" s="593">
        <v>10.6</v>
      </c>
      <c r="K24" s="593">
        <v>0</v>
      </c>
      <c r="L24" s="593">
        <v>-1906</v>
      </c>
      <c r="M24" s="593">
        <v>958</v>
      </c>
      <c r="N24" s="593">
        <v>-70.599999999999994</v>
      </c>
      <c r="O24" s="593">
        <v>73.8</v>
      </c>
      <c r="P24" s="593">
        <v>1794</v>
      </c>
      <c r="Q24" s="593">
        <v>772.5</v>
      </c>
      <c r="R24" s="593">
        <v>0</v>
      </c>
      <c r="S24" s="593">
        <v>-7.1</v>
      </c>
      <c r="T24" s="593">
        <v>0</v>
      </c>
      <c r="U24" s="593">
        <v>30</v>
      </c>
      <c r="V24" s="593">
        <v>781.5</v>
      </c>
      <c r="W24" s="593">
        <v>-459.4</v>
      </c>
      <c r="X24" s="593">
        <v>-18</v>
      </c>
      <c r="Y24" s="593">
        <v>-30.9</v>
      </c>
      <c r="Z24" s="593">
        <v>24.1</v>
      </c>
      <c r="AA24" s="593">
        <v>-78.3</v>
      </c>
      <c r="AB24" s="593">
        <v>0</v>
      </c>
      <c r="AC24" s="593">
        <v>355.1</v>
      </c>
      <c r="AD24" s="593">
        <v>8721.2999999999993</v>
      </c>
      <c r="AE24" s="598">
        <v>8109.3</v>
      </c>
      <c r="AU24" s="580"/>
    </row>
    <row r="25" spans="2:47" x14ac:dyDescent="0.15">
      <c r="B25" s="582" t="s">
        <v>96</v>
      </c>
      <c r="C25" s="597">
        <v>-66</v>
      </c>
      <c r="D25" s="593">
        <v>-89</v>
      </c>
      <c r="E25" s="593">
        <v>-2.5</v>
      </c>
      <c r="F25" s="593">
        <v>1.4</v>
      </c>
      <c r="G25" s="593">
        <v>272</v>
      </c>
      <c r="H25" s="593">
        <v>-7.2</v>
      </c>
      <c r="I25" s="593">
        <v>-68.7</v>
      </c>
      <c r="J25" s="593">
        <v>-22.4</v>
      </c>
      <c r="K25" s="593">
        <v>0</v>
      </c>
      <c r="L25" s="593">
        <v>-313</v>
      </c>
      <c r="M25" s="593">
        <v>-116</v>
      </c>
      <c r="N25" s="593">
        <v>-120.6</v>
      </c>
      <c r="O25" s="593">
        <v>-39</v>
      </c>
      <c r="P25" s="593">
        <v>-89</v>
      </c>
      <c r="Q25" s="593">
        <v>109.7</v>
      </c>
      <c r="R25" s="593">
        <v>-32</v>
      </c>
      <c r="S25" s="593">
        <v>-1.1000000000000001</v>
      </c>
      <c r="T25" s="593">
        <v>-167</v>
      </c>
      <c r="U25" s="593">
        <v>0</v>
      </c>
      <c r="V25" s="593">
        <v>-19</v>
      </c>
      <c r="W25" s="593">
        <v>-71.400000000000006</v>
      </c>
      <c r="X25" s="593">
        <v>-22</v>
      </c>
      <c r="Y25" s="593">
        <v>-21.6</v>
      </c>
      <c r="Z25" s="593">
        <v>-9.6999999999999993</v>
      </c>
      <c r="AA25" s="593">
        <v>-3.2</v>
      </c>
      <c r="AB25" s="593">
        <v>0</v>
      </c>
      <c r="AC25" s="593">
        <v>-190</v>
      </c>
      <c r="AD25" s="593">
        <v>-299.2</v>
      </c>
      <c r="AE25" s="598">
        <v>-1363.5</v>
      </c>
      <c r="AU25" s="580"/>
    </row>
    <row r="26" spans="2:47" x14ac:dyDescent="0.15">
      <c r="B26" s="582" t="s">
        <v>51</v>
      </c>
      <c r="C26" s="597">
        <v>-1000.6</v>
      </c>
      <c r="D26" s="593">
        <v>-8480.7999999999993</v>
      </c>
      <c r="E26" s="593">
        <v>-9.4</v>
      </c>
      <c r="F26" s="593">
        <v>-192.2</v>
      </c>
      <c r="G26" s="593">
        <v>-50.6</v>
      </c>
      <c r="H26" s="593">
        <v>-275</v>
      </c>
      <c r="I26" s="593">
        <v>-749.7</v>
      </c>
      <c r="J26" s="593">
        <v>-91.8</v>
      </c>
      <c r="K26" s="593">
        <v>367.4</v>
      </c>
      <c r="L26" s="593">
        <v>-6616.6</v>
      </c>
      <c r="M26" s="593">
        <v>-656</v>
      </c>
      <c r="N26" s="593">
        <v>-335.8</v>
      </c>
      <c r="O26" s="593">
        <v>-354.3</v>
      </c>
      <c r="P26" s="593">
        <v>2046.7</v>
      </c>
      <c r="Q26" s="593">
        <v>-248</v>
      </c>
      <c r="R26" s="593">
        <v>-58.2</v>
      </c>
      <c r="S26" s="593">
        <v>-122.9</v>
      </c>
      <c r="T26" s="593">
        <v>-1269.4000000000001</v>
      </c>
      <c r="U26" s="593">
        <v>-0.3</v>
      </c>
      <c r="V26" s="593">
        <v>0</v>
      </c>
      <c r="W26" s="593">
        <v>-1123.5</v>
      </c>
      <c r="X26" s="593">
        <v>-574.5</v>
      </c>
      <c r="Y26" s="593">
        <v>-538.5</v>
      </c>
      <c r="Z26" s="593">
        <v>-114.9</v>
      </c>
      <c r="AA26" s="593">
        <v>-65.599999999999994</v>
      </c>
      <c r="AB26" s="593">
        <v>-2036.4</v>
      </c>
      <c r="AC26" s="593">
        <v>-999.9</v>
      </c>
      <c r="AD26" s="593">
        <v>-880.2</v>
      </c>
      <c r="AE26" s="598">
        <v>-24472.1</v>
      </c>
      <c r="AU26" s="580"/>
    </row>
    <row r="27" spans="2:47" x14ac:dyDescent="0.15">
      <c r="B27" s="582" t="s">
        <v>54</v>
      </c>
      <c r="C27" s="597">
        <v>33.4</v>
      </c>
      <c r="D27" s="593">
        <v>-145.30000000000001</v>
      </c>
      <c r="E27" s="593">
        <v>5.7</v>
      </c>
      <c r="F27" s="593">
        <v>104.5</v>
      </c>
      <c r="G27" s="593">
        <v>301.10000000000002</v>
      </c>
      <c r="H27" s="593">
        <v>816</v>
      </c>
      <c r="I27" s="593">
        <v>-103.9</v>
      </c>
      <c r="J27" s="593">
        <v>-34.200000000000003</v>
      </c>
      <c r="K27" s="593">
        <v>-30.5</v>
      </c>
      <c r="L27" s="593">
        <v>290</v>
      </c>
      <c r="M27" s="593">
        <v>1516.8</v>
      </c>
      <c r="N27" s="593">
        <v>-112</v>
      </c>
      <c r="O27" s="593">
        <v>-213.8</v>
      </c>
      <c r="P27" s="593">
        <v>-15.5</v>
      </c>
      <c r="Q27" s="593">
        <v>-232.4</v>
      </c>
      <c r="R27" s="593">
        <v>32.700000000000003</v>
      </c>
      <c r="S27" s="593">
        <v>17.899999999999999</v>
      </c>
      <c r="T27" s="593">
        <v>-51.9</v>
      </c>
      <c r="U27" s="593">
        <v>-60.6</v>
      </c>
      <c r="V27" s="593">
        <v>-28.5</v>
      </c>
      <c r="W27" s="593">
        <v>0</v>
      </c>
      <c r="X27" s="593">
        <v>-12.8</v>
      </c>
      <c r="Y27" s="593">
        <v>-28.7</v>
      </c>
      <c r="Z27" s="593">
        <v>66.400000000000006</v>
      </c>
      <c r="AA27" s="593">
        <v>-20.2</v>
      </c>
      <c r="AB27" s="593">
        <v>-441.2</v>
      </c>
      <c r="AC27" s="593">
        <v>69.2</v>
      </c>
      <c r="AD27" s="593">
        <v>-124.1</v>
      </c>
      <c r="AE27" s="598">
        <v>1734.3</v>
      </c>
      <c r="AU27" s="580"/>
    </row>
    <row r="28" spans="2:47" x14ac:dyDescent="0.15">
      <c r="B28" s="582" t="s">
        <v>55</v>
      </c>
      <c r="C28" s="597">
        <v>-32</v>
      </c>
      <c r="D28" s="593">
        <v>-264</v>
      </c>
      <c r="E28" s="593">
        <v>-10.6</v>
      </c>
      <c r="F28" s="593">
        <v>-11.9</v>
      </c>
      <c r="G28" s="593">
        <v>14</v>
      </c>
      <c r="H28" s="593">
        <v>-28.5</v>
      </c>
      <c r="I28" s="593">
        <v>-131.30000000000001</v>
      </c>
      <c r="J28" s="593">
        <v>-8.1999999999999993</v>
      </c>
      <c r="K28" s="593">
        <v>-3.3</v>
      </c>
      <c r="L28" s="593">
        <v>-696</v>
      </c>
      <c r="M28" s="593">
        <v>-67</v>
      </c>
      <c r="N28" s="593">
        <v>-37.4</v>
      </c>
      <c r="O28" s="593">
        <v>36.9</v>
      </c>
      <c r="P28" s="593">
        <v>-460</v>
      </c>
      <c r="Q28" s="593">
        <v>-128.5</v>
      </c>
      <c r="R28" s="593">
        <v>-1</v>
      </c>
      <c r="S28" s="593">
        <v>-10.7</v>
      </c>
      <c r="T28" s="593">
        <v>-345</v>
      </c>
      <c r="U28" s="593">
        <v>30</v>
      </c>
      <c r="V28" s="593">
        <v>102.2</v>
      </c>
      <c r="W28" s="593">
        <v>-44.3</v>
      </c>
      <c r="X28" s="593">
        <v>0</v>
      </c>
      <c r="Y28" s="593">
        <v>-13</v>
      </c>
      <c r="Z28" s="593">
        <v>-0.9</v>
      </c>
      <c r="AA28" s="593">
        <v>-1.9</v>
      </c>
      <c r="AB28" s="593">
        <v>-734</v>
      </c>
      <c r="AC28" s="593">
        <v>-66.400000000000006</v>
      </c>
      <c r="AD28" s="593">
        <v>-135.1</v>
      </c>
      <c r="AE28" s="598">
        <v>12808.1</v>
      </c>
    </row>
    <row r="29" spans="2:47" x14ac:dyDescent="0.15">
      <c r="B29" s="582" t="s">
        <v>543</v>
      </c>
      <c r="C29" s="597">
        <v>-118.9</v>
      </c>
      <c r="D29" s="593">
        <v>-151.5</v>
      </c>
      <c r="E29" s="593">
        <v>-58.7</v>
      </c>
      <c r="F29" s="593">
        <v>6.9</v>
      </c>
      <c r="G29" s="593">
        <v>85.9</v>
      </c>
      <c r="H29" s="593">
        <v>-56.8</v>
      </c>
      <c r="I29" s="593">
        <v>-76.3</v>
      </c>
      <c r="J29" s="593">
        <v>-5</v>
      </c>
      <c r="K29" s="593">
        <v>0</v>
      </c>
      <c r="L29" s="593">
        <v>42.2</v>
      </c>
      <c r="M29" s="593">
        <v>0</v>
      </c>
      <c r="N29" s="593">
        <v>-52.1</v>
      </c>
      <c r="O29" s="593">
        <v>-581.4</v>
      </c>
      <c r="P29" s="593">
        <v>116.5</v>
      </c>
      <c r="Q29" s="593">
        <v>-74.599999999999994</v>
      </c>
      <c r="R29" s="593">
        <v>-0.1</v>
      </c>
      <c r="S29" s="593">
        <v>7.8</v>
      </c>
      <c r="T29" s="593">
        <v>-98.9</v>
      </c>
      <c r="U29" s="593">
        <v>84.1</v>
      </c>
      <c r="V29" s="593">
        <v>-5</v>
      </c>
      <c r="W29" s="593">
        <v>-33.1</v>
      </c>
      <c r="X29" s="593">
        <v>-3.6</v>
      </c>
      <c r="Y29" s="593">
        <v>0</v>
      </c>
      <c r="Z29" s="593">
        <v>70.8</v>
      </c>
      <c r="AA29" s="593">
        <v>-21.1</v>
      </c>
      <c r="AB29" s="593">
        <v>0</v>
      </c>
      <c r="AC29" s="593">
        <v>-2.4</v>
      </c>
      <c r="AD29" s="593">
        <v>59.2</v>
      </c>
      <c r="AE29" s="598">
        <v>-521.5</v>
      </c>
    </row>
    <row r="30" spans="2:47" x14ac:dyDescent="0.15">
      <c r="B30" s="582" t="s">
        <v>56</v>
      </c>
      <c r="C30" s="597">
        <v>-228.5</v>
      </c>
      <c r="D30" s="593">
        <v>-126.4</v>
      </c>
      <c r="E30" s="593">
        <v>17.100000000000001</v>
      </c>
      <c r="F30" s="593">
        <v>-27.9</v>
      </c>
      <c r="G30" s="593">
        <v>58.5</v>
      </c>
      <c r="H30" s="593">
        <v>-125.8</v>
      </c>
      <c r="I30" s="593">
        <v>-91.5</v>
      </c>
      <c r="J30" s="593">
        <v>-4.3</v>
      </c>
      <c r="K30" s="593">
        <v>-2.2000000000000002</v>
      </c>
      <c r="L30" s="593">
        <v>-142.4</v>
      </c>
      <c r="M30" s="593">
        <v>192.9</v>
      </c>
      <c r="N30" s="593">
        <v>-8.1999999999999993</v>
      </c>
      <c r="O30" s="593">
        <v>-367.7</v>
      </c>
      <c r="P30" s="593">
        <v>-41.1</v>
      </c>
      <c r="Q30" s="593">
        <v>21.9</v>
      </c>
      <c r="R30" s="593">
        <v>0.4</v>
      </c>
      <c r="S30" s="593">
        <v>-7.3</v>
      </c>
      <c r="T30" s="593">
        <v>-101.1</v>
      </c>
      <c r="U30" s="593">
        <v>6.4</v>
      </c>
      <c r="V30" s="593">
        <v>-32.9</v>
      </c>
      <c r="W30" s="593">
        <v>-139.5</v>
      </c>
      <c r="X30" s="593">
        <v>5.0999999999999996</v>
      </c>
      <c r="Y30" s="593">
        <v>-25.3</v>
      </c>
      <c r="Z30" s="593">
        <v>0</v>
      </c>
      <c r="AA30" s="593">
        <v>-41</v>
      </c>
      <c r="AB30" s="593">
        <v>-55.9</v>
      </c>
      <c r="AC30" s="593">
        <v>-10.8</v>
      </c>
      <c r="AD30" s="593">
        <v>-379.6</v>
      </c>
      <c r="AE30" s="598">
        <v>-1624.2</v>
      </c>
    </row>
    <row r="31" spans="2:47" x14ac:dyDescent="0.15">
      <c r="B31" s="582" t="s">
        <v>57</v>
      </c>
      <c r="C31" s="597">
        <v>-22.6</v>
      </c>
      <c r="D31" s="593">
        <v>3.1</v>
      </c>
      <c r="E31" s="593">
        <v>2.8</v>
      </c>
      <c r="F31" s="593">
        <v>-223.7</v>
      </c>
      <c r="G31" s="593">
        <v>9.6999999999999993</v>
      </c>
      <c r="H31" s="593">
        <v>-37</v>
      </c>
      <c r="I31" s="593">
        <v>-10.3</v>
      </c>
      <c r="J31" s="593">
        <v>-5.8</v>
      </c>
      <c r="K31" s="593">
        <v>0</v>
      </c>
      <c r="L31" s="593">
        <v>27.4</v>
      </c>
      <c r="M31" s="593">
        <v>0</v>
      </c>
      <c r="N31" s="593">
        <v>-9.9</v>
      </c>
      <c r="O31" s="593">
        <v>7.2</v>
      </c>
      <c r="P31" s="593">
        <v>3.8</v>
      </c>
      <c r="Q31" s="593">
        <v>-165.4</v>
      </c>
      <c r="R31" s="593">
        <v>3.7</v>
      </c>
      <c r="S31" s="593">
        <v>7</v>
      </c>
      <c r="T31" s="593">
        <v>57.3</v>
      </c>
      <c r="U31" s="593">
        <v>0.8</v>
      </c>
      <c r="V31" s="593">
        <v>3.2</v>
      </c>
      <c r="W31" s="593">
        <v>-8.6</v>
      </c>
      <c r="X31" s="593">
        <v>-3.2</v>
      </c>
      <c r="Y31" s="593">
        <v>12.6</v>
      </c>
      <c r="Z31" s="593">
        <v>31.6</v>
      </c>
      <c r="AA31" s="593">
        <v>0</v>
      </c>
      <c r="AB31" s="593">
        <v>0</v>
      </c>
      <c r="AC31" s="593">
        <v>-11.5</v>
      </c>
      <c r="AD31" s="593">
        <v>31.1</v>
      </c>
      <c r="AE31" s="598">
        <v>-216.4</v>
      </c>
      <c r="AQ31" s="573"/>
      <c r="AR31" s="573"/>
    </row>
    <row r="32" spans="2:47" x14ac:dyDescent="0.15">
      <c r="B32" s="582" t="s">
        <v>58</v>
      </c>
      <c r="C32" s="597">
        <v>46.2</v>
      </c>
      <c r="D32" s="593">
        <v>183</v>
      </c>
      <c r="E32" s="593">
        <v>0</v>
      </c>
      <c r="F32" s="593">
        <v>0</v>
      </c>
      <c r="G32" s="593">
        <v>0</v>
      </c>
      <c r="H32" s="593">
        <v>0</v>
      </c>
      <c r="I32" s="593">
        <v>-396</v>
      </c>
      <c r="J32" s="593">
        <v>0</v>
      </c>
      <c r="K32" s="593">
        <v>0</v>
      </c>
      <c r="L32" s="593">
        <v>-1077</v>
      </c>
      <c r="M32" s="593">
        <v>1277</v>
      </c>
      <c r="N32" s="593">
        <v>111.1</v>
      </c>
      <c r="O32" s="593">
        <v>0</v>
      </c>
      <c r="P32" s="593">
        <v>0</v>
      </c>
      <c r="Q32" s="593">
        <v>56.2</v>
      </c>
      <c r="R32" s="593">
        <v>0</v>
      </c>
      <c r="S32" s="593">
        <v>0</v>
      </c>
      <c r="T32" s="593">
        <v>0</v>
      </c>
      <c r="U32" s="593">
        <v>0</v>
      </c>
      <c r="V32" s="593">
        <v>-127.6</v>
      </c>
      <c r="W32" s="593">
        <v>223.3</v>
      </c>
      <c r="X32" s="593">
        <v>-1373</v>
      </c>
      <c r="Y32" s="593">
        <v>0</v>
      </c>
      <c r="Z32" s="593">
        <v>0</v>
      </c>
      <c r="AA32" s="593">
        <v>0</v>
      </c>
      <c r="AB32" s="593">
        <v>0</v>
      </c>
      <c r="AC32" s="593">
        <v>0</v>
      </c>
      <c r="AD32" s="593">
        <v>1157.9000000000001</v>
      </c>
      <c r="AE32" s="598">
        <v>-4027.1</v>
      </c>
      <c r="AQ32" s="573"/>
      <c r="AR32" s="573"/>
    </row>
    <row r="33" spans="2:44" x14ac:dyDescent="0.15">
      <c r="B33" s="582" t="s">
        <v>59</v>
      </c>
      <c r="C33" s="597">
        <v>-232.8</v>
      </c>
      <c r="D33" s="593">
        <v>-591.20000000000005</v>
      </c>
      <c r="E33" s="593">
        <v>30.9</v>
      </c>
      <c r="F33" s="593">
        <v>-97.5</v>
      </c>
      <c r="G33" s="593">
        <v>85.9</v>
      </c>
      <c r="H33" s="593">
        <v>-12.6</v>
      </c>
      <c r="I33" s="593">
        <v>-1157.5</v>
      </c>
      <c r="J33" s="593">
        <v>-65.099999999999994</v>
      </c>
      <c r="K33" s="593">
        <v>-91</v>
      </c>
      <c r="L33" s="593">
        <v>-386.4</v>
      </c>
      <c r="M33" s="593">
        <v>0</v>
      </c>
      <c r="N33" s="593">
        <v>-16.8</v>
      </c>
      <c r="O33" s="593">
        <v>-26.5</v>
      </c>
      <c r="P33" s="593">
        <v>-153.69999999999999</v>
      </c>
      <c r="Q33" s="593">
        <v>-40.9</v>
      </c>
      <c r="R33" s="593">
        <v>-18.899999999999999</v>
      </c>
      <c r="S33" s="593">
        <v>135.1</v>
      </c>
      <c r="T33" s="593">
        <v>-977.4</v>
      </c>
      <c r="U33" s="593">
        <v>-202</v>
      </c>
      <c r="V33" s="593">
        <v>50.3</v>
      </c>
      <c r="W33" s="593">
        <v>78.900000000000006</v>
      </c>
      <c r="X33" s="593">
        <v>-81.599999999999994</v>
      </c>
      <c r="Y33" s="593">
        <v>9.1999999999999993</v>
      </c>
      <c r="Z33" s="593">
        <v>46</v>
      </c>
      <c r="AA33" s="593">
        <v>-23.6</v>
      </c>
      <c r="AB33" s="593">
        <v>0</v>
      </c>
      <c r="AC33" s="593">
        <v>0</v>
      </c>
      <c r="AD33" s="593">
        <v>770.2</v>
      </c>
      <c r="AE33" s="598">
        <v>-976.6</v>
      </c>
      <c r="AQ33" s="573"/>
      <c r="AR33" s="573"/>
    </row>
    <row r="34" spans="2:44" x14ac:dyDescent="0.15">
      <c r="B34" s="582" t="s">
        <v>62</v>
      </c>
      <c r="C34" s="597">
        <v>-782.8</v>
      </c>
      <c r="D34" s="593">
        <v>-5755.2</v>
      </c>
      <c r="E34" s="593">
        <v>-195.5</v>
      </c>
      <c r="F34" s="593">
        <v>51.5</v>
      </c>
      <c r="G34" s="593">
        <v>-499.3</v>
      </c>
      <c r="H34" s="593">
        <v>-433.7</v>
      </c>
      <c r="I34" s="593">
        <v>-2931</v>
      </c>
      <c r="J34" s="593">
        <v>-208.7</v>
      </c>
      <c r="K34" s="593">
        <v>-700.8</v>
      </c>
      <c r="L34" s="593">
        <v>-8264.6</v>
      </c>
      <c r="M34" s="593">
        <v>-12516.6</v>
      </c>
      <c r="N34" s="593">
        <v>-1334.8</v>
      </c>
      <c r="O34" s="593">
        <v>-790.7</v>
      </c>
      <c r="P34" s="593">
        <v>-16836.599999999999</v>
      </c>
      <c r="Q34" s="593">
        <v>-974.1</v>
      </c>
      <c r="R34" s="593">
        <v>-258.89999999999998</v>
      </c>
      <c r="S34" s="593">
        <v>29.9</v>
      </c>
      <c r="T34" s="593">
        <v>-10995.4</v>
      </c>
      <c r="U34" s="593">
        <v>-674.4</v>
      </c>
      <c r="V34" s="593">
        <v>-9237.7999999999993</v>
      </c>
      <c r="W34" s="593">
        <v>-381.1</v>
      </c>
      <c r="X34" s="593">
        <v>-233.4</v>
      </c>
      <c r="Y34" s="593">
        <v>-433.2</v>
      </c>
      <c r="Z34" s="593">
        <v>90.9</v>
      </c>
      <c r="AA34" s="593">
        <v>-62.9</v>
      </c>
      <c r="AB34" s="593">
        <v>-1257.5999999999999</v>
      </c>
      <c r="AC34" s="593">
        <v>-1797.6</v>
      </c>
      <c r="AD34" s="593">
        <v>0</v>
      </c>
      <c r="AE34" s="598">
        <v>-77564.399999999994</v>
      </c>
      <c r="AQ34" s="573"/>
      <c r="AR34" s="573"/>
    </row>
    <row r="35" spans="2:44" x14ac:dyDescent="0.15">
      <c r="B35" s="587" t="s">
        <v>1106</v>
      </c>
      <c r="C35" s="608">
        <v>-8051.2</v>
      </c>
      <c r="D35" s="609">
        <v>-26020.6</v>
      </c>
      <c r="E35" s="609">
        <v>705</v>
      </c>
      <c r="F35" s="609">
        <v>-1611.3</v>
      </c>
      <c r="G35" s="609">
        <v>582.9</v>
      </c>
      <c r="H35" s="609">
        <v>512</v>
      </c>
      <c r="I35" s="609">
        <v>-9313.9</v>
      </c>
      <c r="J35" s="609">
        <v>-827.8</v>
      </c>
      <c r="K35" s="609">
        <v>-1754</v>
      </c>
      <c r="L35" s="609">
        <v>-26458.9</v>
      </c>
      <c r="M35" s="609">
        <v>19793.400000000001</v>
      </c>
      <c r="N35" s="609">
        <v>-2318.9</v>
      </c>
      <c r="O35" s="609">
        <v>-4358.2</v>
      </c>
      <c r="P35" s="609">
        <v>-15876.2</v>
      </c>
      <c r="Q35" s="609">
        <v>5972.9</v>
      </c>
      <c r="R35" s="609">
        <v>-211.5</v>
      </c>
      <c r="S35" s="609">
        <v>-135.4</v>
      </c>
      <c r="T35" s="609">
        <v>-23849.200000000001</v>
      </c>
      <c r="U35" s="609">
        <v>184.3</v>
      </c>
      <c r="V35" s="609">
        <v>2784.7</v>
      </c>
      <c r="W35" s="609">
        <v>-4082</v>
      </c>
      <c r="X35" s="609">
        <v>-5283.6</v>
      </c>
      <c r="Y35" s="609">
        <v>-3984.2</v>
      </c>
      <c r="Z35" s="609">
        <v>1850.5</v>
      </c>
      <c r="AA35" s="609">
        <v>-1387.1</v>
      </c>
      <c r="AB35" s="609">
        <v>-4833</v>
      </c>
      <c r="AC35" s="609">
        <v>-7526.4</v>
      </c>
      <c r="AD35" s="609">
        <v>18437.400000000001</v>
      </c>
      <c r="AE35" s="605">
        <v>-93628.6</v>
      </c>
      <c r="AG35" s="611"/>
    </row>
    <row r="36" spans="2:44" x14ac:dyDescent="0.15">
      <c r="B36" s="591" t="s">
        <v>1108</v>
      </c>
      <c r="C36" s="608">
        <f t="shared" ref="C36:AE36" si="0">+C35-C26-C25-C24-C20-C11-C8</f>
        <v>-7003.5999999999995</v>
      </c>
      <c r="D36" s="609">
        <f t="shared" si="0"/>
        <v>-14484.8</v>
      </c>
      <c r="E36" s="609">
        <f t="shared" si="0"/>
        <v>708.8</v>
      </c>
      <c r="F36" s="609">
        <f t="shared" si="0"/>
        <v>-1281.7999999999997</v>
      </c>
      <c r="G36" s="609">
        <f t="shared" si="0"/>
        <v>72.5</v>
      </c>
      <c r="H36" s="609">
        <f t="shared" si="0"/>
        <v>1293</v>
      </c>
      <c r="I36" s="609">
        <f t="shared" si="0"/>
        <v>-8411.9999999999982</v>
      </c>
      <c r="J36" s="609">
        <f t="shared" si="0"/>
        <v>-672.3</v>
      </c>
      <c r="K36" s="609">
        <f t="shared" si="0"/>
        <v>-2178.3000000000002</v>
      </c>
      <c r="L36" s="609">
        <f t="shared" si="0"/>
        <v>-18053.300000000003</v>
      </c>
      <c r="M36" s="609">
        <f t="shared" si="0"/>
        <v>18026.400000000001</v>
      </c>
      <c r="N36" s="609">
        <f t="shared" si="0"/>
        <v>-1774.1000000000004</v>
      </c>
      <c r="O36" s="609">
        <f t="shared" si="0"/>
        <v>-3760.8999999999996</v>
      </c>
      <c r="P36" s="609">
        <f t="shared" si="0"/>
        <v>-19957.900000000001</v>
      </c>
      <c r="Q36" s="609">
        <f t="shared" si="0"/>
        <v>3645.6000000000004</v>
      </c>
      <c r="R36" s="609">
        <f t="shared" si="0"/>
        <v>15.699999999999989</v>
      </c>
      <c r="S36" s="609">
        <f t="shared" si="0"/>
        <v>12.299999999999997</v>
      </c>
      <c r="T36" s="609">
        <f t="shared" si="0"/>
        <v>-27767.8</v>
      </c>
      <c r="U36" s="609">
        <f t="shared" si="0"/>
        <v>-146.39999999999998</v>
      </c>
      <c r="V36" s="609">
        <f t="shared" si="0"/>
        <v>-6773.2</v>
      </c>
      <c r="W36" s="609">
        <f t="shared" si="0"/>
        <v>-2046.3999999999999</v>
      </c>
      <c r="X36" s="609">
        <f t="shared" si="0"/>
        <v>-4577.1000000000004</v>
      </c>
      <c r="Y36" s="609">
        <f t="shared" si="0"/>
        <v>-3077.8</v>
      </c>
      <c r="Z36" s="609">
        <f t="shared" si="0"/>
        <v>1833.9000000000003</v>
      </c>
      <c r="AA36" s="609">
        <f t="shared" si="0"/>
        <v>-1095.8999999999999</v>
      </c>
      <c r="AB36" s="609">
        <f t="shared" si="0"/>
        <v>-2153.6999999999998</v>
      </c>
      <c r="AC36" s="609">
        <f t="shared" si="0"/>
        <v>-5570.1</v>
      </c>
      <c r="AD36" s="609">
        <f t="shared" si="0"/>
        <v>7577.100000000004</v>
      </c>
      <c r="AE36" s="605">
        <f t="shared" si="0"/>
        <v>-93651.700000000012</v>
      </c>
      <c r="AH36" s="612"/>
    </row>
    <row r="37" spans="2:44" x14ac:dyDescent="0.15">
      <c r="B37" s="591" t="s">
        <v>1109</v>
      </c>
      <c r="C37" s="608">
        <f t="shared" ref="C37:AE37" si="1">+C35-C36</f>
        <v>-1047.6000000000004</v>
      </c>
      <c r="D37" s="609">
        <f t="shared" si="1"/>
        <v>-11535.8</v>
      </c>
      <c r="E37" s="609">
        <f t="shared" si="1"/>
        <v>-3.7999999999999545</v>
      </c>
      <c r="F37" s="609">
        <f t="shared" si="1"/>
        <v>-329.50000000000023</v>
      </c>
      <c r="G37" s="609">
        <f t="shared" si="1"/>
        <v>510.4</v>
      </c>
      <c r="H37" s="609">
        <f t="shared" si="1"/>
        <v>-781</v>
      </c>
      <c r="I37" s="609">
        <f t="shared" si="1"/>
        <v>-901.90000000000146</v>
      </c>
      <c r="J37" s="609">
        <f t="shared" si="1"/>
        <v>-155.5</v>
      </c>
      <c r="K37" s="609">
        <f t="shared" si="1"/>
        <v>424.30000000000018</v>
      </c>
      <c r="L37" s="609">
        <f t="shared" si="1"/>
        <v>-8405.5999999999985</v>
      </c>
      <c r="M37" s="609">
        <f t="shared" si="1"/>
        <v>1767</v>
      </c>
      <c r="N37" s="609">
        <f t="shared" si="1"/>
        <v>-544.79999999999973</v>
      </c>
      <c r="O37" s="609">
        <f t="shared" si="1"/>
        <v>-597.30000000000018</v>
      </c>
      <c r="P37" s="609">
        <f t="shared" si="1"/>
        <v>4081.7000000000007</v>
      </c>
      <c r="Q37" s="609">
        <f t="shared" si="1"/>
        <v>2327.2999999999993</v>
      </c>
      <c r="R37" s="609">
        <f t="shared" si="1"/>
        <v>-227.2</v>
      </c>
      <c r="S37" s="609">
        <f t="shared" si="1"/>
        <v>-147.69999999999999</v>
      </c>
      <c r="T37" s="609">
        <f t="shared" si="1"/>
        <v>3918.5999999999985</v>
      </c>
      <c r="U37" s="609">
        <f t="shared" si="1"/>
        <v>330.7</v>
      </c>
      <c r="V37" s="609">
        <f t="shared" si="1"/>
        <v>9557.9</v>
      </c>
      <c r="W37" s="609">
        <f t="shared" si="1"/>
        <v>-2035.6000000000001</v>
      </c>
      <c r="X37" s="609">
        <f t="shared" si="1"/>
        <v>-706.5</v>
      </c>
      <c r="Y37" s="609">
        <f t="shared" si="1"/>
        <v>-906.39999999999964</v>
      </c>
      <c r="Z37" s="609">
        <f t="shared" si="1"/>
        <v>16.599999999999682</v>
      </c>
      <c r="AA37" s="609">
        <f t="shared" si="1"/>
        <v>-291.20000000000005</v>
      </c>
      <c r="AB37" s="609">
        <f t="shared" si="1"/>
        <v>-2679.3</v>
      </c>
      <c r="AC37" s="609">
        <f t="shared" si="1"/>
        <v>-1956.2999999999993</v>
      </c>
      <c r="AD37" s="609">
        <f t="shared" si="1"/>
        <v>10860.299999999997</v>
      </c>
      <c r="AE37" s="605">
        <f t="shared" si="1"/>
        <v>23.100000000005821</v>
      </c>
    </row>
    <row r="38" spans="2:44" ht="50.25" customHeight="1" x14ac:dyDescent="0.15">
      <c r="B38" s="590" t="s">
        <v>1110</v>
      </c>
      <c r="C38" s="597"/>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8"/>
    </row>
    <row r="39" spans="2:44" x14ac:dyDescent="0.15">
      <c r="B39" s="582" t="s">
        <v>30</v>
      </c>
      <c r="C39" s="597">
        <v>0</v>
      </c>
      <c r="D39" s="593">
        <v>760</v>
      </c>
      <c r="E39" s="593">
        <v>468</v>
      </c>
      <c r="F39" s="593">
        <v>1034</v>
      </c>
      <c r="G39" s="593">
        <v>187</v>
      </c>
      <c r="H39" s="593">
        <v>1145</v>
      </c>
      <c r="I39" s="593">
        <v>158</v>
      </c>
      <c r="J39" s="593">
        <v>78</v>
      </c>
      <c r="K39" s="593">
        <v>438</v>
      </c>
      <c r="L39" s="593">
        <v>1043</v>
      </c>
      <c r="M39" s="593">
        <v>13311</v>
      </c>
      <c r="N39" s="593">
        <v>427</v>
      </c>
      <c r="O39" s="593">
        <v>1325</v>
      </c>
      <c r="P39" s="593">
        <v>598</v>
      </c>
      <c r="Q39" s="593">
        <v>2385</v>
      </c>
      <c r="R39" s="593">
        <v>63</v>
      </c>
      <c r="S39" s="593">
        <v>216</v>
      </c>
      <c r="T39" s="593">
        <v>386</v>
      </c>
      <c r="U39" s="593">
        <v>101</v>
      </c>
      <c r="V39" s="593">
        <v>1225</v>
      </c>
      <c r="W39" s="593">
        <v>1143</v>
      </c>
      <c r="X39" s="593">
        <v>185</v>
      </c>
      <c r="Y39" s="593">
        <v>1066</v>
      </c>
      <c r="Z39" s="593">
        <v>1300</v>
      </c>
      <c r="AA39" s="593">
        <v>779</v>
      </c>
      <c r="AB39" s="593">
        <v>792</v>
      </c>
      <c r="AC39" s="593">
        <v>838</v>
      </c>
      <c r="AD39" s="593">
        <v>1882</v>
      </c>
      <c r="AE39" s="598">
        <f>SUM(C39:AD39)</f>
        <v>33333</v>
      </c>
    </row>
    <row r="40" spans="2:44" x14ac:dyDescent="0.15">
      <c r="B40" s="582" t="s">
        <v>31</v>
      </c>
      <c r="C40" s="597">
        <v>988</v>
      </c>
      <c r="D40" s="593">
        <v>0</v>
      </c>
      <c r="E40" s="593">
        <v>326</v>
      </c>
      <c r="F40" s="593">
        <v>129</v>
      </c>
      <c r="G40" s="593">
        <v>318</v>
      </c>
      <c r="H40" s="593">
        <v>844</v>
      </c>
      <c r="I40" s="593">
        <v>694</v>
      </c>
      <c r="J40" s="593">
        <v>50</v>
      </c>
      <c r="K40" s="593">
        <v>320</v>
      </c>
      <c r="L40" s="593">
        <v>14921</v>
      </c>
      <c r="M40" s="593">
        <v>9096</v>
      </c>
      <c r="N40" s="593">
        <v>592</v>
      </c>
      <c r="O40" s="593">
        <v>391</v>
      </c>
      <c r="P40" s="593">
        <v>2693</v>
      </c>
      <c r="Q40" s="593">
        <v>3746</v>
      </c>
      <c r="R40" s="593">
        <v>62</v>
      </c>
      <c r="S40" s="593">
        <v>151</v>
      </c>
      <c r="T40" s="593">
        <v>5576</v>
      </c>
      <c r="U40" s="593">
        <v>92</v>
      </c>
      <c r="V40" s="593">
        <v>13291</v>
      </c>
      <c r="W40" s="593">
        <v>1225</v>
      </c>
      <c r="X40" s="593">
        <v>934</v>
      </c>
      <c r="Y40" s="593">
        <v>614</v>
      </c>
      <c r="Z40" s="593">
        <v>430</v>
      </c>
      <c r="AA40" s="593">
        <v>109</v>
      </c>
      <c r="AB40" s="593">
        <v>2929</v>
      </c>
      <c r="AC40" s="593">
        <v>945</v>
      </c>
      <c r="AD40" s="593">
        <v>9021</v>
      </c>
      <c r="AE40" s="598">
        <f t="shared" ref="AE40:AE66" si="2">SUM(C40:AD40)</f>
        <v>70487</v>
      </c>
    </row>
    <row r="41" spans="2:44" x14ac:dyDescent="0.15">
      <c r="B41" s="582" t="s">
        <v>451</v>
      </c>
      <c r="C41" s="597">
        <v>255.5</v>
      </c>
      <c r="D41" s="593">
        <v>93.3</v>
      </c>
      <c r="E41" s="593">
        <v>0</v>
      </c>
      <c r="F41" s="593">
        <v>15.3</v>
      </c>
      <c r="G41" s="593">
        <v>74.2</v>
      </c>
      <c r="H41" s="593">
        <v>93.1</v>
      </c>
      <c r="I41" s="593">
        <v>26.2</v>
      </c>
      <c r="J41" s="593">
        <v>2.6</v>
      </c>
      <c r="K41" s="593">
        <v>11.5</v>
      </c>
      <c r="L41" s="593">
        <v>143.30000000000001</v>
      </c>
      <c r="M41" s="593">
        <v>376.1</v>
      </c>
      <c r="N41" s="593">
        <v>167.5</v>
      </c>
      <c r="O41" s="593">
        <v>76.8</v>
      </c>
      <c r="P41" s="593">
        <v>104.6</v>
      </c>
      <c r="Q41" s="593">
        <v>223.7</v>
      </c>
      <c r="R41" s="593">
        <v>8.3000000000000007</v>
      </c>
      <c r="S41" s="593">
        <v>9.1999999999999993</v>
      </c>
      <c r="T41" s="593">
        <v>15.5</v>
      </c>
      <c r="U41" s="593">
        <v>69.099999999999994</v>
      </c>
      <c r="V41" s="593">
        <v>123.1</v>
      </c>
      <c r="W41" s="593">
        <v>87.7</v>
      </c>
      <c r="X41" s="593">
        <v>13.6</v>
      </c>
      <c r="Y41" s="593">
        <v>122.4</v>
      </c>
      <c r="Z41" s="593">
        <v>37.6</v>
      </c>
      <c r="AA41" s="593">
        <v>26.7</v>
      </c>
      <c r="AB41" s="593">
        <v>95.8</v>
      </c>
      <c r="AC41" s="593">
        <v>27.8</v>
      </c>
      <c r="AD41" s="593">
        <v>324.2</v>
      </c>
      <c r="AE41" s="598">
        <f t="shared" si="2"/>
        <v>2624.6999999999994</v>
      </c>
    </row>
    <row r="42" spans="2:44" x14ac:dyDescent="0.15">
      <c r="B42" s="582" t="s">
        <v>472</v>
      </c>
      <c r="C42" s="597">
        <v>223.8</v>
      </c>
      <c r="D42" s="593">
        <v>43.1</v>
      </c>
      <c r="E42" s="593">
        <v>16.399999999999999</v>
      </c>
      <c r="F42" s="593">
        <v>0</v>
      </c>
      <c r="G42" s="593">
        <v>8.3000000000000007</v>
      </c>
      <c r="H42" s="593">
        <v>17.7</v>
      </c>
      <c r="I42" s="593">
        <v>27.6</v>
      </c>
      <c r="J42" s="593">
        <v>0.5</v>
      </c>
      <c r="K42" s="593">
        <v>10.4</v>
      </c>
      <c r="L42" s="593">
        <v>76.2</v>
      </c>
      <c r="M42" s="593">
        <v>312.3</v>
      </c>
      <c r="N42" s="593">
        <v>3.5</v>
      </c>
      <c r="O42" s="593">
        <v>40.799999999999997</v>
      </c>
      <c r="P42" s="593">
        <v>88.3</v>
      </c>
      <c r="Q42" s="593">
        <v>68.400000000000006</v>
      </c>
      <c r="R42" s="593">
        <v>0.7</v>
      </c>
      <c r="S42" s="593">
        <v>1.2</v>
      </c>
      <c r="T42" s="593">
        <v>13.9</v>
      </c>
      <c r="U42" s="593">
        <v>21.3</v>
      </c>
      <c r="V42" s="593">
        <v>109.3</v>
      </c>
      <c r="W42" s="593">
        <v>19.7</v>
      </c>
      <c r="X42" s="593">
        <v>7.2</v>
      </c>
      <c r="Y42" s="593">
        <v>17.600000000000001</v>
      </c>
      <c r="Z42" s="593">
        <v>25.5</v>
      </c>
      <c r="AA42" s="593">
        <v>155</v>
      </c>
      <c r="AB42" s="593">
        <v>31.4</v>
      </c>
      <c r="AC42" s="593">
        <v>52.5</v>
      </c>
      <c r="AD42" s="593">
        <v>163.80000000000001</v>
      </c>
      <c r="AE42" s="598">
        <f t="shared" si="2"/>
        <v>1556.3999999999999</v>
      </c>
    </row>
    <row r="43" spans="2:44" x14ac:dyDescent="0.15">
      <c r="B43" s="582" t="s">
        <v>86</v>
      </c>
      <c r="C43" s="597">
        <v>48</v>
      </c>
      <c r="D43" s="593">
        <v>59</v>
      </c>
      <c r="E43" s="593">
        <v>22</v>
      </c>
      <c r="F43" s="593">
        <v>1</v>
      </c>
      <c r="G43" s="593">
        <v>0</v>
      </c>
      <c r="H43" s="593">
        <v>14</v>
      </c>
      <c r="I43" s="593">
        <v>10</v>
      </c>
      <c r="J43" s="593">
        <v>2</v>
      </c>
      <c r="K43" s="593">
        <v>4</v>
      </c>
      <c r="L43" s="593">
        <v>117</v>
      </c>
      <c r="M43" s="593">
        <v>372</v>
      </c>
      <c r="N43" s="593">
        <v>707</v>
      </c>
      <c r="O43" s="593">
        <v>15</v>
      </c>
      <c r="P43" s="593">
        <v>44</v>
      </c>
      <c r="Q43" s="593">
        <v>188</v>
      </c>
      <c r="R43" s="593">
        <v>8</v>
      </c>
      <c r="S43" s="593">
        <v>5</v>
      </c>
      <c r="T43" s="593">
        <v>24</v>
      </c>
      <c r="U43" s="593">
        <v>12</v>
      </c>
      <c r="V43" s="593">
        <v>54</v>
      </c>
      <c r="W43" s="593">
        <v>100</v>
      </c>
      <c r="X43" s="593">
        <v>4</v>
      </c>
      <c r="Y43" s="593">
        <v>29</v>
      </c>
      <c r="Z43" s="593">
        <v>3</v>
      </c>
      <c r="AA43" s="593">
        <v>1</v>
      </c>
      <c r="AB43" s="593">
        <v>37</v>
      </c>
      <c r="AC43" s="593">
        <v>10</v>
      </c>
      <c r="AD43" s="593">
        <v>764</v>
      </c>
      <c r="AE43" s="598">
        <f t="shared" si="2"/>
        <v>2654</v>
      </c>
    </row>
    <row r="44" spans="2:44" x14ac:dyDescent="0.15">
      <c r="B44" s="582" t="s">
        <v>34</v>
      </c>
      <c r="C44" s="597">
        <v>1044.9000000000001</v>
      </c>
      <c r="D44" s="593">
        <v>243.4</v>
      </c>
      <c r="E44" s="593">
        <v>365</v>
      </c>
      <c r="F44" s="593">
        <v>218.7</v>
      </c>
      <c r="G44" s="593">
        <v>58.8</v>
      </c>
      <c r="H44" s="593">
        <v>0</v>
      </c>
      <c r="I44" s="593">
        <v>96.7</v>
      </c>
      <c r="J44" s="593">
        <v>6.5</v>
      </c>
      <c r="K44" s="593">
        <v>65.5</v>
      </c>
      <c r="L44" s="593">
        <v>674.3</v>
      </c>
      <c r="M44" s="593">
        <v>3956.6</v>
      </c>
      <c r="N44" s="593">
        <v>170.9</v>
      </c>
      <c r="O44" s="593">
        <v>175.2</v>
      </c>
      <c r="P44" s="593">
        <v>371.9</v>
      </c>
      <c r="Q44" s="593">
        <v>488.8</v>
      </c>
      <c r="R44" s="593">
        <v>24.2</v>
      </c>
      <c r="S44" s="593">
        <v>18.100000000000001</v>
      </c>
      <c r="T44" s="593">
        <v>89.3</v>
      </c>
      <c r="U44" s="593">
        <v>9</v>
      </c>
      <c r="V44" s="593">
        <v>586.79999999999995</v>
      </c>
      <c r="W44" s="593">
        <v>786.9</v>
      </c>
      <c r="X44" s="593">
        <v>34.1</v>
      </c>
      <c r="Y44" s="593">
        <v>77.2</v>
      </c>
      <c r="Z44" s="593">
        <v>1289.5999999999999</v>
      </c>
      <c r="AA44" s="593">
        <v>72.099999999999994</v>
      </c>
      <c r="AB44" s="593">
        <v>319.8</v>
      </c>
      <c r="AC44" s="593">
        <v>149.5</v>
      </c>
      <c r="AD44" s="593">
        <v>874.7</v>
      </c>
      <c r="AE44" s="598">
        <f t="shared" si="2"/>
        <v>12268.5</v>
      </c>
    </row>
    <row r="45" spans="2:44" x14ac:dyDescent="0.15">
      <c r="B45" s="582" t="s">
        <v>35</v>
      </c>
      <c r="C45" s="597">
        <v>324.3</v>
      </c>
      <c r="D45" s="593">
        <v>710</v>
      </c>
      <c r="E45" s="593">
        <v>132.19999999999999</v>
      </c>
      <c r="F45" s="593">
        <v>119.6</v>
      </c>
      <c r="G45" s="593">
        <v>95.9</v>
      </c>
      <c r="H45" s="593">
        <v>232.3</v>
      </c>
      <c r="I45" s="593">
        <v>0</v>
      </c>
      <c r="J45" s="593">
        <v>90</v>
      </c>
      <c r="K45" s="593">
        <v>491.5</v>
      </c>
      <c r="L45" s="593">
        <v>1514.5</v>
      </c>
      <c r="M45" s="593">
        <v>5544.9</v>
      </c>
      <c r="N45" s="593">
        <v>490.3</v>
      </c>
      <c r="O45" s="593">
        <v>233.4</v>
      </c>
      <c r="P45" s="593">
        <v>1007.3</v>
      </c>
      <c r="Q45" s="593">
        <v>1051.4000000000001</v>
      </c>
      <c r="R45" s="593">
        <v>239.7</v>
      </c>
      <c r="S45" s="593">
        <v>312.5</v>
      </c>
      <c r="T45" s="593">
        <v>445</v>
      </c>
      <c r="U45" s="593">
        <v>100.4</v>
      </c>
      <c r="V45" s="593">
        <v>1924.2</v>
      </c>
      <c r="W45" s="593">
        <v>762.5</v>
      </c>
      <c r="X45" s="593">
        <v>191.5</v>
      </c>
      <c r="Y45" s="593">
        <v>137.19999999999999</v>
      </c>
      <c r="Z45" s="593">
        <v>98.5</v>
      </c>
      <c r="AA45" s="593">
        <v>47.5</v>
      </c>
      <c r="AB45" s="593">
        <v>1595.2</v>
      </c>
      <c r="AC45" s="593">
        <v>4288.8</v>
      </c>
      <c r="AD45" s="593">
        <v>5159.1000000000004</v>
      </c>
      <c r="AE45" s="598">
        <f t="shared" si="2"/>
        <v>27339.699999999997</v>
      </c>
    </row>
    <row r="46" spans="2:44" x14ac:dyDescent="0.15">
      <c r="B46" s="582" t="s">
        <v>36</v>
      </c>
      <c r="C46" s="597">
        <v>31.3</v>
      </c>
      <c r="D46" s="593">
        <v>47.8</v>
      </c>
      <c r="E46" s="593">
        <v>18.3</v>
      </c>
      <c r="F46" s="593">
        <v>6.9</v>
      </c>
      <c r="G46" s="593">
        <v>123.4</v>
      </c>
      <c r="H46" s="593">
        <v>34.5</v>
      </c>
      <c r="I46" s="593">
        <v>68.900000000000006</v>
      </c>
      <c r="J46" s="593">
        <v>0</v>
      </c>
      <c r="K46" s="593">
        <v>502.4</v>
      </c>
      <c r="L46" s="593">
        <v>57.4</v>
      </c>
      <c r="M46" s="593">
        <v>244.9</v>
      </c>
      <c r="N46" s="593">
        <v>17.8</v>
      </c>
      <c r="O46" s="593">
        <v>21.2</v>
      </c>
      <c r="P46" s="593">
        <v>34</v>
      </c>
      <c r="Q46" s="593">
        <v>70.2</v>
      </c>
      <c r="R46" s="593">
        <v>281.60000000000002</v>
      </c>
      <c r="S46" s="593">
        <v>181.4</v>
      </c>
      <c r="T46" s="593">
        <v>19.2</v>
      </c>
      <c r="U46" s="593">
        <v>9.3000000000000007</v>
      </c>
      <c r="V46" s="593">
        <v>122.5</v>
      </c>
      <c r="W46" s="593">
        <v>131.9</v>
      </c>
      <c r="X46" s="593">
        <v>13.2</v>
      </c>
      <c r="Y46" s="593">
        <v>11.3</v>
      </c>
      <c r="Z46" s="593">
        <v>9.1</v>
      </c>
      <c r="AA46" s="593">
        <v>8.6</v>
      </c>
      <c r="AB46" s="593">
        <v>75.900000000000006</v>
      </c>
      <c r="AC46" s="593">
        <v>324.8</v>
      </c>
      <c r="AD46" s="593">
        <v>230.7</v>
      </c>
      <c r="AE46" s="598">
        <f t="shared" si="2"/>
        <v>2698.5</v>
      </c>
    </row>
    <row r="47" spans="2:44" x14ac:dyDescent="0.15">
      <c r="B47" s="582" t="s">
        <v>37</v>
      </c>
      <c r="C47" s="597">
        <v>248.8</v>
      </c>
      <c r="D47" s="593">
        <v>363.5</v>
      </c>
      <c r="E47" s="593">
        <v>0</v>
      </c>
      <c r="F47" s="593">
        <v>0</v>
      </c>
      <c r="G47" s="593">
        <v>82.7</v>
      </c>
      <c r="H47" s="593">
        <v>0</v>
      </c>
      <c r="I47" s="593">
        <v>1052.7</v>
      </c>
      <c r="J47" s="593">
        <v>967.7</v>
      </c>
      <c r="K47" s="593">
        <v>0</v>
      </c>
      <c r="L47" s="593">
        <v>623.70000000000005</v>
      </c>
      <c r="M47" s="593">
        <v>2469.5</v>
      </c>
      <c r="N47" s="593">
        <v>283.60000000000002</v>
      </c>
      <c r="O47" s="593">
        <v>0</v>
      </c>
      <c r="P47" s="593">
        <v>546.5</v>
      </c>
      <c r="Q47" s="593">
        <v>523</v>
      </c>
      <c r="R47" s="593">
        <v>90.3</v>
      </c>
      <c r="S47" s="593">
        <v>94.7</v>
      </c>
      <c r="T47" s="593">
        <v>0</v>
      </c>
      <c r="U47" s="593">
        <v>0</v>
      </c>
      <c r="V47" s="593">
        <v>1017.5</v>
      </c>
      <c r="W47" s="593">
        <v>497.3</v>
      </c>
      <c r="X47" s="593">
        <v>121.9</v>
      </c>
      <c r="Y47" s="593">
        <v>0</v>
      </c>
      <c r="Z47" s="593">
        <v>40.799999999999997</v>
      </c>
      <c r="AA47" s="593">
        <v>0</v>
      </c>
      <c r="AB47" s="593">
        <v>694.4</v>
      </c>
      <c r="AC47" s="593">
        <v>3460.3</v>
      </c>
      <c r="AD47" s="593">
        <v>1615.8</v>
      </c>
      <c r="AE47" s="598">
        <f t="shared" si="2"/>
        <v>14794.699999999997</v>
      </c>
    </row>
    <row r="48" spans="2:44" x14ac:dyDescent="0.15">
      <c r="B48" s="582" t="s">
        <v>38</v>
      </c>
      <c r="C48" s="597">
        <v>1545</v>
      </c>
      <c r="D48" s="593">
        <v>13143</v>
      </c>
      <c r="E48" s="593">
        <v>652</v>
      </c>
      <c r="F48" s="593">
        <v>332</v>
      </c>
      <c r="G48" s="593">
        <v>160</v>
      </c>
      <c r="H48" s="593">
        <v>1103</v>
      </c>
      <c r="I48" s="593">
        <v>1541</v>
      </c>
      <c r="J48" s="593">
        <v>110</v>
      </c>
      <c r="K48" s="593">
        <v>523</v>
      </c>
      <c r="L48" s="593">
        <v>0</v>
      </c>
      <c r="M48" s="593">
        <v>27726</v>
      </c>
      <c r="N48" s="593">
        <v>1650</v>
      </c>
      <c r="O48" s="593">
        <v>737</v>
      </c>
      <c r="P48" s="593">
        <v>7029</v>
      </c>
      <c r="Q48" s="593">
        <v>11207</v>
      </c>
      <c r="R48" s="593">
        <v>91</v>
      </c>
      <c r="S48" s="593">
        <v>268</v>
      </c>
      <c r="T48" s="593">
        <v>5527</v>
      </c>
      <c r="U48" s="593">
        <v>416</v>
      </c>
      <c r="V48" s="593">
        <v>10115</v>
      </c>
      <c r="W48" s="593">
        <v>3046</v>
      </c>
      <c r="X48" s="593">
        <v>2473</v>
      </c>
      <c r="Y48" s="593">
        <v>1668</v>
      </c>
      <c r="Z48" s="593">
        <v>323</v>
      </c>
      <c r="AA48" s="593">
        <v>139</v>
      </c>
      <c r="AB48" s="593">
        <v>13142</v>
      </c>
      <c r="AC48" s="593">
        <v>2428</v>
      </c>
      <c r="AD48" s="593">
        <v>23156</v>
      </c>
      <c r="AE48" s="598">
        <f t="shared" si="2"/>
        <v>130250</v>
      </c>
    </row>
    <row r="49" spans="2:31" x14ac:dyDescent="0.15">
      <c r="B49" s="582" t="s">
        <v>39</v>
      </c>
      <c r="C49" s="597">
        <v>16180</v>
      </c>
      <c r="D49" s="593">
        <v>4738</v>
      </c>
      <c r="E49" s="593">
        <v>892</v>
      </c>
      <c r="F49" s="593">
        <v>1800</v>
      </c>
      <c r="G49" s="593">
        <v>0</v>
      </c>
      <c r="H49" s="593">
        <v>4667</v>
      </c>
      <c r="I49" s="593">
        <v>3627</v>
      </c>
      <c r="J49" s="593">
        <v>0</v>
      </c>
      <c r="K49" s="593">
        <v>0</v>
      </c>
      <c r="L49" s="593">
        <v>17971</v>
      </c>
      <c r="M49" s="593">
        <v>0</v>
      </c>
      <c r="N49" s="593">
        <v>3469</v>
      </c>
      <c r="O49" s="593">
        <v>2438</v>
      </c>
      <c r="P49" s="593">
        <v>0</v>
      </c>
      <c r="Q49" s="593">
        <v>11239</v>
      </c>
      <c r="R49" s="593">
        <v>0</v>
      </c>
      <c r="S49" s="593">
        <v>0</v>
      </c>
      <c r="T49" s="593">
        <v>6247</v>
      </c>
      <c r="U49" s="593">
        <v>0</v>
      </c>
      <c r="V49" s="593">
        <v>15553</v>
      </c>
      <c r="W49" s="593">
        <v>7175</v>
      </c>
      <c r="X49" s="593">
        <v>1703</v>
      </c>
      <c r="Y49" s="593">
        <v>0</v>
      </c>
      <c r="Z49" s="593">
        <v>0</v>
      </c>
      <c r="AA49" s="593">
        <v>0</v>
      </c>
      <c r="AB49" s="593">
        <v>11596</v>
      </c>
      <c r="AC49" s="593">
        <v>0</v>
      </c>
      <c r="AD49" s="593">
        <v>22767</v>
      </c>
      <c r="AE49" s="598">
        <f t="shared" si="2"/>
        <v>132062</v>
      </c>
    </row>
    <row r="50" spans="2:31" x14ac:dyDescent="0.15">
      <c r="B50" s="582" t="s">
        <v>40</v>
      </c>
      <c r="C50" s="597">
        <v>214.8</v>
      </c>
      <c r="D50" s="593">
        <v>218.4</v>
      </c>
      <c r="E50" s="593">
        <v>338.1</v>
      </c>
      <c r="F50" s="593">
        <v>32.1</v>
      </c>
      <c r="G50" s="593">
        <v>302.89999999999998</v>
      </c>
      <c r="H50" s="593">
        <v>61.8</v>
      </c>
      <c r="I50" s="593">
        <v>104.3</v>
      </c>
      <c r="J50" s="593">
        <v>10.1</v>
      </c>
      <c r="K50" s="593">
        <v>25.3</v>
      </c>
      <c r="L50" s="593">
        <v>395.9</v>
      </c>
      <c r="M50" s="593">
        <v>1259.2</v>
      </c>
      <c r="N50" s="593">
        <v>0</v>
      </c>
      <c r="O50" s="593">
        <v>59.4</v>
      </c>
      <c r="P50" s="593">
        <v>51.5</v>
      </c>
      <c r="Q50" s="593">
        <v>609.20000000000005</v>
      </c>
      <c r="R50" s="593">
        <v>14.6</v>
      </c>
      <c r="S50" s="593">
        <v>6.8</v>
      </c>
      <c r="T50" s="593">
        <v>96</v>
      </c>
      <c r="U50" s="593">
        <v>30.2</v>
      </c>
      <c r="V50" s="593">
        <v>391.3</v>
      </c>
      <c r="W50" s="593">
        <v>69.099999999999994</v>
      </c>
      <c r="X50" s="593">
        <v>23.9</v>
      </c>
      <c r="Y50" s="593">
        <v>119.6</v>
      </c>
      <c r="Z50" s="593">
        <v>23.2</v>
      </c>
      <c r="AA50" s="593">
        <v>21.4</v>
      </c>
      <c r="AB50" s="593">
        <v>210.5</v>
      </c>
      <c r="AC50" s="593">
        <v>71.900000000000006</v>
      </c>
      <c r="AD50" s="593">
        <v>1902.4</v>
      </c>
      <c r="AE50" s="598">
        <f t="shared" si="2"/>
        <v>6663.9</v>
      </c>
    </row>
    <row r="51" spans="2:31" x14ac:dyDescent="0.15">
      <c r="B51" s="582" t="s">
        <v>41</v>
      </c>
      <c r="C51" s="597">
        <v>1095.7</v>
      </c>
      <c r="D51" s="593">
        <v>320.60000000000002</v>
      </c>
      <c r="E51" s="593">
        <v>124.7</v>
      </c>
      <c r="F51" s="593">
        <v>185.7</v>
      </c>
      <c r="G51" s="593">
        <v>126.4</v>
      </c>
      <c r="H51" s="593">
        <v>427.3</v>
      </c>
      <c r="I51" s="593">
        <v>128.80000000000001</v>
      </c>
      <c r="J51" s="593">
        <v>5.2</v>
      </c>
      <c r="K51" s="593">
        <v>29.2</v>
      </c>
      <c r="L51" s="593">
        <v>557.4</v>
      </c>
      <c r="M51" s="593">
        <v>3087.2</v>
      </c>
      <c r="N51" s="593">
        <v>69.7</v>
      </c>
      <c r="O51" s="593">
        <v>0</v>
      </c>
      <c r="P51" s="593">
        <v>306.89999999999998</v>
      </c>
      <c r="Q51" s="593">
        <v>414.1</v>
      </c>
      <c r="R51" s="593">
        <v>10.199999999999999</v>
      </c>
      <c r="S51" s="593">
        <v>24.4</v>
      </c>
      <c r="T51" s="593">
        <v>143.9</v>
      </c>
      <c r="U51" s="593">
        <v>25.4</v>
      </c>
      <c r="V51" s="593">
        <v>578.5</v>
      </c>
      <c r="W51" s="593">
        <v>315.7</v>
      </c>
      <c r="X51" s="593">
        <v>46.7</v>
      </c>
      <c r="Y51" s="593">
        <v>454.1</v>
      </c>
      <c r="Z51" s="593">
        <v>505.4</v>
      </c>
      <c r="AA51" s="593">
        <v>100.5</v>
      </c>
      <c r="AB51" s="593">
        <v>198.9</v>
      </c>
      <c r="AC51" s="593">
        <v>164.2</v>
      </c>
      <c r="AD51" s="593">
        <v>1413.7</v>
      </c>
      <c r="AE51" s="598">
        <f t="shared" si="2"/>
        <v>10860.5</v>
      </c>
    </row>
    <row r="52" spans="2:31" x14ac:dyDescent="0.15">
      <c r="B52" s="582" t="s">
        <v>43</v>
      </c>
      <c r="C52" s="597">
        <v>227</v>
      </c>
      <c r="D52" s="593">
        <v>1829</v>
      </c>
      <c r="E52" s="593">
        <v>27</v>
      </c>
      <c r="F52" s="593">
        <v>57</v>
      </c>
      <c r="G52" s="593">
        <v>31</v>
      </c>
      <c r="H52" s="593">
        <v>193</v>
      </c>
      <c r="I52" s="593">
        <v>477</v>
      </c>
      <c r="J52" s="593">
        <v>10</v>
      </c>
      <c r="K52" s="593">
        <v>386</v>
      </c>
      <c r="L52" s="593">
        <v>2648</v>
      </c>
      <c r="M52" s="593">
        <v>3055</v>
      </c>
      <c r="N52" s="593">
        <v>162</v>
      </c>
      <c r="O52" s="593">
        <v>72</v>
      </c>
      <c r="P52" s="593">
        <v>0</v>
      </c>
      <c r="Q52" s="593">
        <v>3182</v>
      </c>
      <c r="R52" s="593">
        <v>10</v>
      </c>
      <c r="S52" s="593">
        <v>18</v>
      </c>
      <c r="T52" s="593">
        <v>6310</v>
      </c>
      <c r="U52" s="593">
        <v>299</v>
      </c>
      <c r="V52" s="593">
        <v>19393</v>
      </c>
      <c r="W52" s="593">
        <v>483</v>
      </c>
      <c r="X52" s="593">
        <v>395</v>
      </c>
      <c r="Y52" s="593">
        <v>66</v>
      </c>
      <c r="Z52" s="593">
        <v>26</v>
      </c>
      <c r="AA52" s="593">
        <v>23</v>
      </c>
      <c r="AB52" s="593">
        <v>1823</v>
      </c>
      <c r="AC52" s="593">
        <v>399</v>
      </c>
      <c r="AD52" s="593">
        <v>12054</v>
      </c>
      <c r="AE52" s="598">
        <f t="shared" si="2"/>
        <v>53655</v>
      </c>
    </row>
    <row r="53" spans="2:31" x14ac:dyDescent="0.15">
      <c r="B53" s="582" t="s">
        <v>45</v>
      </c>
      <c r="C53" s="597">
        <v>2369.5</v>
      </c>
      <c r="D53" s="593">
        <v>1943.6</v>
      </c>
      <c r="E53" s="593">
        <v>377.2</v>
      </c>
      <c r="F53" s="593">
        <v>414.1</v>
      </c>
      <c r="G53" s="593">
        <v>132.1</v>
      </c>
      <c r="H53" s="593">
        <v>618.6</v>
      </c>
      <c r="I53" s="593">
        <v>471.4</v>
      </c>
      <c r="J53" s="593">
        <v>41.9</v>
      </c>
      <c r="K53" s="593">
        <v>358.9</v>
      </c>
      <c r="L53" s="593">
        <v>8354.1</v>
      </c>
      <c r="M53" s="593">
        <v>8339.2999999999993</v>
      </c>
      <c r="N53" s="593">
        <v>1771.9</v>
      </c>
      <c r="O53" s="593">
        <v>759.7</v>
      </c>
      <c r="P53" s="593">
        <v>5300.9</v>
      </c>
      <c r="Q53" s="593">
        <v>0</v>
      </c>
      <c r="R53" s="593">
        <v>85</v>
      </c>
      <c r="S53" s="593">
        <v>256.10000000000002</v>
      </c>
      <c r="T53" s="593">
        <v>4357.6000000000004</v>
      </c>
      <c r="U53" s="593">
        <v>234.7</v>
      </c>
      <c r="V53" s="593">
        <v>3689.9</v>
      </c>
      <c r="W53" s="593">
        <v>1163.5999999999999</v>
      </c>
      <c r="X53" s="593">
        <v>561</v>
      </c>
      <c r="Y53" s="593">
        <v>1322.2</v>
      </c>
      <c r="Z53" s="593">
        <v>443.3</v>
      </c>
      <c r="AA53" s="593">
        <v>911.4</v>
      </c>
      <c r="AB53" s="593">
        <v>3773.1</v>
      </c>
      <c r="AC53" s="593">
        <v>934</v>
      </c>
      <c r="AD53" s="593">
        <v>7570.7</v>
      </c>
      <c r="AE53" s="598">
        <f t="shared" si="2"/>
        <v>56555.799999999996</v>
      </c>
    </row>
    <row r="54" spans="2:31" x14ac:dyDescent="0.15">
      <c r="B54" s="582" t="s">
        <v>48</v>
      </c>
      <c r="C54" s="597">
        <v>34</v>
      </c>
      <c r="D54" s="593">
        <v>38</v>
      </c>
      <c r="E54" s="593">
        <v>5</v>
      </c>
      <c r="F54" s="593">
        <v>3</v>
      </c>
      <c r="G54" s="593">
        <v>32</v>
      </c>
      <c r="H54" s="593">
        <v>25</v>
      </c>
      <c r="I54" s="593">
        <v>36</v>
      </c>
      <c r="J54" s="593">
        <v>169</v>
      </c>
      <c r="K54" s="593">
        <v>82</v>
      </c>
      <c r="L54" s="593">
        <v>42</v>
      </c>
      <c r="M54" s="593">
        <v>158</v>
      </c>
      <c r="N54" s="593">
        <v>12</v>
      </c>
      <c r="O54" s="593">
        <v>25</v>
      </c>
      <c r="P54" s="593">
        <v>98</v>
      </c>
      <c r="Q54" s="593">
        <v>38</v>
      </c>
      <c r="R54" s="593">
        <v>0</v>
      </c>
      <c r="S54" s="593">
        <v>281</v>
      </c>
      <c r="T54" s="593">
        <v>3</v>
      </c>
      <c r="U54" s="593">
        <v>9</v>
      </c>
      <c r="V54" s="593">
        <v>55</v>
      </c>
      <c r="W54" s="593">
        <v>75</v>
      </c>
      <c r="X54" s="593">
        <v>6</v>
      </c>
      <c r="Y54" s="593">
        <v>4</v>
      </c>
      <c r="Z54" s="593">
        <v>10</v>
      </c>
      <c r="AA54" s="593">
        <v>2</v>
      </c>
      <c r="AB54" s="593">
        <v>28</v>
      </c>
      <c r="AC54" s="593">
        <v>76</v>
      </c>
      <c r="AD54" s="593">
        <v>165</v>
      </c>
      <c r="AE54" s="598">
        <f t="shared" si="2"/>
        <v>1511</v>
      </c>
    </row>
    <row r="55" spans="2:31" x14ac:dyDescent="0.15">
      <c r="B55" s="582" t="s">
        <v>514</v>
      </c>
      <c r="C55" s="597">
        <v>30.8</v>
      </c>
      <c r="D55" s="593">
        <v>49.9</v>
      </c>
      <c r="E55" s="593">
        <v>30.7</v>
      </c>
      <c r="F55" s="593">
        <v>17.7</v>
      </c>
      <c r="G55" s="593">
        <v>62.2</v>
      </c>
      <c r="H55" s="593">
        <v>29.4</v>
      </c>
      <c r="I55" s="593">
        <v>158.4</v>
      </c>
      <c r="J55" s="593">
        <v>139.1</v>
      </c>
      <c r="K55" s="593">
        <v>59.4</v>
      </c>
      <c r="L55" s="593">
        <v>80.7</v>
      </c>
      <c r="M55" s="593">
        <v>290.5</v>
      </c>
      <c r="N55" s="593">
        <v>93.5</v>
      </c>
      <c r="O55" s="593">
        <v>34</v>
      </c>
      <c r="P55" s="593">
        <v>135.80000000000001</v>
      </c>
      <c r="Q55" s="593">
        <v>49.9</v>
      </c>
      <c r="R55" s="593">
        <v>312.2</v>
      </c>
      <c r="S55" s="593">
        <v>0</v>
      </c>
      <c r="T55" s="593">
        <v>10.8</v>
      </c>
      <c r="U55" s="593">
        <v>59.4</v>
      </c>
      <c r="V55" s="593">
        <v>84.3</v>
      </c>
      <c r="W55" s="593">
        <v>313.39999999999998</v>
      </c>
      <c r="X55" s="593">
        <v>5.5</v>
      </c>
      <c r="Y55" s="593">
        <v>33.5</v>
      </c>
      <c r="Z55" s="593">
        <v>8.9</v>
      </c>
      <c r="AA55" s="593">
        <v>7.6</v>
      </c>
      <c r="AB55" s="593">
        <v>39.6</v>
      </c>
      <c r="AC55" s="593">
        <v>160.80000000000001</v>
      </c>
      <c r="AD55" s="593">
        <v>263.2</v>
      </c>
      <c r="AE55" s="598">
        <f t="shared" si="2"/>
        <v>2561.2000000000003</v>
      </c>
    </row>
    <row r="56" spans="2:31" x14ac:dyDescent="0.15">
      <c r="B56" s="582" t="s">
        <v>49</v>
      </c>
      <c r="C56" s="597">
        <v>470</v>
      </c>
      <c r="D56" s="593">
        <v>2493</v>
      </c>
      <c r="E56" s="593">
        <v>25</v>
      </c>
      <c r="F56" s="593">
        <v>13</v>
      </c>
      <c r="G56" s="593">
        <v>42</v>
      </c>
      <c r="H56" s="593">
        <v>172</v>
      </c>
      <c r="I56" s="593">
        <v>461</v>
      </c>
      <c r="J56" s="593">
        <v>30</v>
      </c>
      <c r="K56" s="593">
        <v>171</v>
      </c>
      <c r="L56" s="593">
        <v>4962</v>
      </c>
      <c r="M56" s="593">
        <v>8882</v>
      </c>
      <c r="N56" s="593">
        <v>152</v>
      </c>
      <c r="O56" s="593">
        <v>244</v>
      </c>
      <c r="P56" s="593">
        <v>3271</v>
      </c>
      <c r="Q56" s="593">
        <v>2573</v>
      </c>
      <c r="R56" s="593">
        <v>19</v>
      </c>
      <c r="S56" s="593">
        <v>31</v>
      </c>
      <c r="T56" s="593">
        <v>0</v>
      </c>
      <c r="U56" s="593">
        <v>64</v>
      </c>
      <c r="V56" s="593">
        <v>2254</v>
      </c>
      <c r="W56" s="593">
        <v>239</v>
      </c>
      <c r="X56" s="593">
        <v>356</v>
      </c>
      <c r="Y56" s="593">
        <v>127</v>
      </c>
      <c r="Z56" s="593">
        <v>82</v>
      </c>
      <c r="AA56" s="593">
        <v>19</v>
      </c>
      <c r="AB56" s="593">
        <v>1237</v>
      </c>
      <c r="AC56" s="593">
        <v>1242</v>
      </c>
      <c r="AD56" s="593">
        <v>11766</v>
      </c>
      <c r="AE56" s="598">
        <f t="shared" si="2"/>
        <v>41397</v>
      </c>
    </row>
    <row r="57" spans="2:31" x14ac:dyDescent="0.15">
      <c r="B57" s="582" t="s">
        <v>96</v>
      </c>
      <c r="C57" s="597">
        <v>59</v>
      </c>
      <c r="D57" s="593">
        <v>16</v>
      </c>
      <c r="E57" s="593">
        <v>7</v>
      </c>
      <c r="F57" s="593">
        <v>9</v>
      </c>
      <c r="G57" s="593">
        <v>278</v>
      </c>
      <c r="H57" s="593">
        <v>5</v>
      </c>
      <c r="I57" s="593">
        <v>17</v>
      </c>
      <c r="J57" s="593">
        <v>1</v>
      </c>
      <c r="K57" s="593">
        <v>7</v>
      </c>
      <c r="L57" s="593">
        <v>75</v>
      </c>
      <c r="M57" s="593">
        <v>186</v>
      </c>
      <c r="N57" s="593">
        <v>14</v>
      </c>
      <c r="O57" s="593">
        <v>8</v>
      </c>
      <c r="P57" s="593">
        <v>18</v>
      </c>
      <c r="Q57" s="593">
        <v>237</v>
      </c>
      <c r="R57" s="593">
        <v>1</v>
      </c>
      <c r="S57" s="593">
        <v>1</v>
      </c>
      <c r="T57" s="593">
        <v>14</v>
      </c>
      <c r="U57" s="593">
        <v>0</v>
      </c>
      <c r="V57" s="593">
        <v>31</v>
      </c>
      <c r="W57" s="593">
        <v>7</v>
      </c>
      <c r="X57" s="593">
        <v>5</v>
      </c>
      <c r="Y57" s="593">
        <v>4</v>
      </c>
      <c r="Z57" s="593">
        <v>0</v>
      </c>
      <c r="AA57" s="593">
        <v>2</v>
      </c>
      <c r="AB57" s="593">
        <v>33</v>
      </c>
      <c r="AC57" s="593">
        <v>92</v>
      </c>
      <c r="AD57" s="593">
        <v>650</v>
      </c>
      <c r="AE57" s="598">
        <f t="shared" si="2"/>
        <v>1777</v>
      </c>
    </row>
    <row r="58" spans="2:31" x14ac:dyDescent="0.15">
      <c r="B58" s="582" t="s">
        <v>51</v>
      </c>
      <c r="C58" s="597">
        <v>1202.4000000000001</v>
      </c>
      <c r="D58" s="593">
        <v>6163.2</v>
      </c>
      <c r="E58" s="593">
        <v>191.9</v>
      </c>
      <c r="F58" s="593">
        <v>193.3</v>
      </c>
      <c r="G58" s="593">
        <v>124.4</v>
      </c>
      <c r="H58" s="593">
        <v>411.4</v>
      </c>
      <c r="I58" s="593">
        <v>1037.7</v>
      </c>
      <c r="J58" s="593">
        <v>28.3</v>
      </c>
      <c r="K58" s="593">
        <v>961.8</v>
      </c>
      <c r="L58" s="593">
        <v>5447.4</v>
      </c>
      <c r="M58" s="593">
        <v>13299</v>
      </c>
      <c r="N58" s="593">
        <v>567.79999999999995</v>
      </c>
      <c r="O58" s="593">
        <v>361.8</v>
      </c>
      <c r="P58" s="593">
        <v>6055.7</v>
      </c>
      <c r="Q58" s="593">
        <v>2406.9</v>
      </c>
      <c r="R58" s="593">
        <v>62.8</v>
      </c>
      <c r="S58" s="593">
        <v>114</v>
      </c>
      <c r="T58" s="593">
        <v>1296.5999999999999</v>
      </c>
      <c r="U58" s="593">
        <v>83.7</v>
      </c>
      <c r="V58" s="593">
        <v>0</v>
      </c>
      <c r="W58" s="593">
        <v>1207.2</v>
      </c>
      <c r="X58" s="593">
        <v>459.5</v>
      </c>
      <c r="Y58" s="593">
        <v>395.7</v>
      </c>
      <c r="Z58" s="593">
        <v>233.3</v>
      </c>
      <c r="AA58" s="593">
        <v>80.7</v>
      </c>
      <c r="AB58" s="593">
        <v>2890.6</v>
      </c>
      <c r="AC58" s="593">
        <v>1099.5</v>
      </c>
      <c r="AD58" s="593">
        <v>16283.4</v>
      </c>
      <c r="AE58" s="598">
        <f t="shared" si="2"/>
        <v>62659.999999999993</v>
      </c>
    </row>
    <row r="59" spans="2:31" x14ac:dyDescent="0.15">
      <c r="B59" s="582" t="s">
        <v>54</v>
      </c>
      <c r="C59" s="597">
        <v>850.4</v>
      </c>
      <c r="D59" s="593">
        <v>700.7</v>
      </c>
      <c r="E59" s="593">
        <v>162.5</v>
      </c>
      <c r="F59" s="593">
        <v>320.7</v>
      </c>
      <c r="G59" s="593">
        <v>356.1</v>
      </c>
      <c r="H59" s="593">
        <v>1569.5</v>
      </c>
      <c r="I59" s="593">
        <v>687.8</v>
      </c>
      <c r="J59" s="593">
        <v>72.400000000000006</v>
      </c>
      <c r="K59" s="593">
        <v>243.5</v>
      </c>
      <c r="L59" s="593">
        <v>1743</v>
      </c>
      <c r="M59" s="593">
        <v>6407.8</v>
      </c>
      <c r="N59" s="593">
        <v>319.5</v>
      </c>
      <c r="O59" s="593">
        <v>287</v>
      </c>
      <c r="P59" s="593">
        <v>864.5</v>
      </c>
      <c r="Q59" s="593">
        <v>1328.6</v>
      </c>
      <c r="R59" s="593">
        <v>82.7</v>
      </c>
      <c r="S59" s="593">
        <v>293.5</v>
      </c>
      <c r="T59" s="593">
        <v>366.1</v>
      </c>
      <c r="U59" s="593">
        <v>78.400000000000006</v>
      </c>
      <c r="V59" s="593">
        <v>1519.6</v>
      </c>
      <c r="W59" s="593">
        <v>0</v>
      </c>
      <c r="X59" s="593">
        <v>126.2</v>
      </c>
      <c r="Y59" s="593">
        <v>158.19999999999999</v>
      </c>
      <c r="Z59" s="593">
        <v>713.2</v>
      </c>
      <c r="AA59" s="593">
        <v>50.2</v>
      </c>
      <c r="AB59" s="593">
        <v>642.9</v>
      </c>
      <c r="AC59" s="593">
        <v>705.1</v>
      </c>
      <c r="AD59" s="593">
        <v>2599.6</v>
      </c>
      <c r="AE59" s="598">
        <f t="shared" si="2"/>
        <v>23249.7</v>
      </c>
    </row>
    <row r="60" spans="2:31" x14ac:dyDescent="0.15">
      <c r="B60" s="582" t="s">
        <v>55</v>
      </c>
      <c r="C60" s="597">
        <v>55</v>
      </c>
      <c r="D60" s="593">
        <v>396</v>
      </c>
      <c r="E60" s="593">
        <v>4</v>
      </c>
      <c r="F60" s="593">
        <v>10</v>
      </c>
      <c r="G60" s="593">
        <v>23</v>
      </c>
      <c r="H60" s="593">
        <v>19</v>
      </c>
      <c r="I60" s="593">
        <v>49</v>
      </c>
      <c r="J60" s="593">
        <v>2</v>
      </c>
      <c r="K60" s="593">
        <v>27</v>
      </c>
      <c r="L60" s="593">
        <v>1177</v>
      </c>
      <c r="M60" s="593">
        <v>940</v>
      </c>
      <c r="N60" s="593">
        <v>28</v>
      </c>
      <c r="O60" s="593">
        <v>123</v>
      </c>
      <c r="P60" s="593">
        <v>329</v>
      </c>
      <c r="Q60" s="593">
        <v>271</v>
      </c>
      <c r="R60" s="593">
        <v>3</v>
      </c>
      <c r="S60" s="593">
        <v>4</v>
      </c>
      <c r="T60" s="593">
        <v>294</v>
      </c>
      <c r="U60" s="593">
        <v>40</v>
      </c>
      <c r="V60" s="593">
        <v>558</v>
      </c>
      <c r="W60" s="593">
        <v>46</v>
      </c>
      <c r="X60" s="593">
        <v>0</v>
      </c>
      <c r="Y60" s="593">
        <v>18</v>
      </c>
      <c r="Z60" s="593">
        <v>6</v>
      </c>
      <c r="AA60" s="593">
        <v>6</v>
      </c>
      <c r="AB60" s="593">
        <v>2381</v>
      </c>
      <c r="AC60" s="593">
        <v>126</v>
      </c>
      <c r="AD60" s="593">
        <v>1514</v>
      </c>
      <c r="AE60" s="598">
        <f t="shared" si="2"/>
        <v>8449</v>
      </c>
    </row>
    <row r="61" spans="2:31" x14ac:dyDescent="0.15">
      <c r="B61" s="582" t="s">
        <v>543</v>
      </c>
      <c r="C61" s="597">
        <v>641.1</v>
      </c>
      <c r="D61" s="593">
        <v>276.5</v>
      </c>
      <c r="E61" s="593">
        <v>201.1</v>
      </c>
      <c r="F61" s="593">
        <v>34.9</v>
      </c>
      <c r="G61" s="593">
        <v>130.9</v>
      </c>
      <c r="H61" s="593">
        <v>117.9</v>
      </c>
      <c r="I61" s="593">
        <v>58.7</v>
      </c>
      <c r="J61" s="593">
        <v>3.4</v>
      </c>
      <c r="K61" s="593">
        <v>13</v>
      </c>
      <c r="L61" s="593">
        <v>622.20000000000005</v>
      </c>
      <c r="M61" s="593">
        <v>1487.4</v>
      </c>
      <c r="N61" s="593">
        <v>189.9</v>
      </c>
      <c r="O61" s="593">
        <v>313.39999999999998</v>
      </c>
      <c r="P61" s="593">
        <v>253.5</v>
      </c>
      <c r="Q61" s="593">
        <v>752.7</v>
      </c>
      <c r="R61" s="593">
        <v>2.9</v>
      </c>
      <c r="S61" s="593">
        <v>13.5</v>
      </c>
      <c r="T61" s="593">
        <v>136.1</v>
      </c>
      <c r="U61" s="593">
        <v>96.1</v>
      </c>
      <c r="V61" s="593">
        <v>516.5</v>
      </c>
      <c r="W61" s="593">
        <v>170.5</v>
      </c>
      <c r="X61" s="593">
        <v>39.4</v>
      </c>
      <c r="Y61" s="593">
        <v>0</v>
      </c>
      <c r="Z61" s="593">
        <v>147.1</v>
      </c>
      <c r="AA61" s="593">
        <v>28.3</v>
      </c>
      <c r="AB61" s="593">
        <v>290</v>
      </c>
      <c r="AC61" s="593">
        <v>92.9</v>
      </c>
      <c r="AD61" s="593">
        <v>1041.5</v>
      </c>
      <c r="AE61" s="598">
        <f t="shared" si="2"/>
        <v>7671.4000000000015</v>
      </c>
    </row>
    <row r="62" spans="2:31" x14ac:dyDescent="0.15">
      <c r="B62" s="582" t="s">
        <v>56</v>
      </c>
      <c r="C62" s="597">
        <v>653.5</v>
      </c>
      <c r="D62" s="593">
        <v>123.6</v>
      </c>
      <c r="E62" s="593">
        <v>72.8</v>
      </c>
      <c r="F62" s="593">
        <v>197.7</v>
      </c>
      <c r="G62" s="593">
        <v>64.5</v>
      </c>
      <c r="H62" s="593">
        <v>1429.4</v>
      </c>
      <c r="I62" s="593">
        <v>40</v>
      </c>
      <c r="J62" s="593">
        <v>3</v>
      </c>
      <c r="K62" s="593">
        <v>14.2</v>
      </c>
      <c r="L62" s="593">
        <v>196.6</v>
      </c>
      <c r="M62" s="593">
        <v>1014.9</v>
      </c>
      <c r="N62" s="593">
        <v>45.3</v>
      </c>
      <c r="O62" s="593">
        <v>299.2</v>
      </c>
      <c r="P62" s="593">
        <v>56.9</v>
      </c>
      <c r="Q62" s="593">
        <v>453.1</v>
      </c>
      <c r="R62" s="593">
        <v>5.4</v>
      </c>
      <c r="S62" s="593">
        <v>9.3000000000000007</v>
      </c>
      <c r="T62" s="593">
        <v>52.9</v>
      </c>
      <c r="U62" s="593">
        <v>11.4</v>
      </c>
      <c r="V62" s="593">
        <v>155.30000000000001</v>
      </c>
      <c r="W62" s="593">
        <v>586.6</v>
      </c>
      <c r="X62" s="593">
        <v>59.1</v>
      </c>
      <c r="Y62" s="593">
        <v>73.7</v>
      </c>
      <c r="Z62" s="593">
        <v>0</v>
      </c>
      <c r="AA62" s="593">
        <v>37.4</v>
      </c>
      <c r="AB62" s="593">
        <v>73</v>
      </c>
      <c r="AC62" s="593">
        <v>75.400000000000006</v>
      </c>
      <c r="AD62" s="593">
        <v>203.2</v>
      </c>
      <c r="AE62" s="598">
        <f t="shared" si="2"/>
        <v>6007.3999999999987</v>
      </c>
    </row>
    <row r="63" spans="2:31" x14ac:dyDescent="0.15">
      <c r="B63" s="582" t="s">
        <v>57</v>
      </c>
      <c r="C63" s="597">
        <v>522.4</v>
      </c>
      <c r="D63" s="593">
        <v>82.1</v>
      </c>
      <c r="E63" s="593">
        <v>53.7</v>
      </c>
      <c r="F63" s="593">
        <v>547.5</v>
      </c>
      <c r="G63" s="593">
        <v>10.7</v>
      </c>
      <c r="H63" s="593">
        <v>65.2</v>
      </c>
      <c r="I63" s="593">
        <v>50.2</v>
      </c>
      <c r="J63" s="593">
        <v>3</v>
      </c>
      <c r="K63" s="593">
        <v>14.4</v>
      </c>
      <c r="L63" s="593">
        <v>144.4</v>
      </c>
      <c r="M63" s="593">
        <v>511.9</v>
      </c>
      <c r="N63" s="593">
        <v>19.600000000000001</v>
      </c>
      <c r="O63" s="593">
        <v>88.6</v>
      </c>
      <c r="P63" s="593">
        <v>58.8</v>
      </c>
      <c r="Q63" s="593">
        <v>273.39999999999998</v>
      </c>
      <c r="R63" s="593">
        <v>10.7</v>
      </c>
      <c r="S63" s="593">
        <v>20.6</v>
      </c>
      <c r="T63" s="593">
        <v>86.3</v>
      </c>
      <c r="U63" s="593">
        <v>3.8</v>
      </c>
      <c r="V63" s="593">
        <v>60.5</v>
      </c>
      <c r="W63" s="593">
        <v>59.3</v>
      </c>
      <c r="X63" s="593">
        <v>5.8</v>
      </c>
      <c r="Y63" s="593">
        <v>51.1</v>
      </c>
      <c r="Z63" s="593">
        <v>63.3</v>
      </c>
      <c r="AA63" s="593">
        <v>0</v>
      </c>
      <c r="AB63" s="593">
        <v>44.1</v>
      </c>
      <c r="AC63" s="593">
        <v>23.4</v>
      </c>
      <c r="AD63" s="593">
        <v>162</v>
      </c>
      <c r="AE63" s="598">
        <f t="shared" si="2"/>
        <v>3036.8000000000011</v>
      </c>
    </row>
    <row r="64" spans="2:31" x14ac:dyDescent="0.15">
      <c r="B64" s="582" t="s">
        <v>58</v>
      </c>
      <c r="C64" s="597">
        <v>481.2</v>
      </c>
      <c r="D64" s="593">
        <v>1850</v>
      </c>
      <c r="E64" s="593">
        <v>0</v>
      </c>
      <c r="F64" s="593">
        <v>0</v>
      </c>
      <c r="G64" s="593">
        <v>0</v>
      </c>
      <c r="H64" s="593">
        <v>0</v>
      </c>
      <c r="I64" s="593">
        <v>568.9</v>
      </c>
      <c r="J64" s="593">
        <v>0</v>
      </c>
      <c r="K64" s="593">
        <v>0</v>
      </c>
      <c r="L64" s="593">
        <v>8106</v>
      </c>
      <c r="M64" s="593">
        <v>6628</v>
      </c>
      <c r="N64" s="593">
        <v>322.8</v>
      </c>
      <c r="O64" s="593">
        <v>0</v>
      </c>
      <c r="P64" s="593">
        <v>0</v>
      </c>
      <c r="Q64" s="593">
        <v>2836</v>
      </c>
      <c r="R64" s="593">
        <v>0</v>
      </c>
      <c r="S64" s="593">
        <v>0</v>
      </c>
      <c r="T64" s="593">
        <v>0</v>
      </c>
      <c r="U64" s="593">
        <v>0</v>
      </c>
      <c r="V64" s="593">
        <v>2465</v>
      </c>
      <c r="W64" s="593">
        <v>712.8</v>
      </c>
      <c r="X64" s="593">
        <v>1725</v>
      </c>
      <c r="Y64" s="593">
        <v>0</v>
      </c>
      <c r="Z64" s="593">
        <v>0</v>
      </c>
      <c r="AA64" s="593">
        <v>0</v>
      </c>
      <c r="AB64" s="593">
        <v>0</v>
      </c>
      <c r="AC64" s="593">
        <v>0</v>
      </c>
      <c r="AD64" s="593">
        <v>9026</v>
      </c>
      <c r="AE64" s="598">
        <f t="shared" si="2"/>
        <v>34721.699999999997</v>
      </c>
    </row>
    <row r="65" spans="2:34" x14ac:dyDescent="0.15">
      <c r="B65" s="582" t="s">
        <v>59</v>
      </c>
      <c r="C65" s="597">
        <v>533.20000000000005</v>
      </c>
      <c r="D65" s="593">
        <v>1073.8</v>
      </c>
      <c r="E65" s="593">
        <v>97.7</v>
      </c>
      <c r="F65" s="593">
        <v>171.2</v>
      </c>
      <c r="G65" s="593">
        <v>167.9</v>
      </c>
      <c r="H65" s="593">
        <v>266.39999999999998</v>
      </c>
      <c r="I65" s="593">
        <v>4386.8</v>
      </c>
      <c r="J65" s="593">
        <v>355.1</v>
      </c>
      <c r="K65" s="593">
        <v>3045.7</v>
      </c>
      <c r="L65" s="593">
        <v>2169.6</v>
      </c>
      <c r="M65" s="593">
        <v>5155.3999999999996</v>
      </c>
      <c r="N65" s="593">
        <v>307.60000000000002</v>
      </c>
      <c r="O65" s="593">
        <v>323.5</v>
      </c>
      <c r="P65" s="593">
        <v>2145.3000000000002</v>
      </c>
      <c r="Q65" s="593">
        <v>1144.7</v>
      </c>
      <c r="R65" s="593">
        <v>213.1</v>
      </c>
      <c r="S65" s="593">
        <v>340.5</v>
      </c>
      <c r="T65" s="593">
        <v>954.6</v>
      </c>
      <c r="U65" s="593">
        <v>60</v>
      </c>
      <c r="V65" s="593">
        <v>1903.7</v>
      </c>
      <c r="W65" s="593">
        <v>1312.6</v>
      </c>
      <c r="X65" s="593">
        <v>147.4</v>
      </c>
      <c r="Y65" s="593">
        <v>190.7</v>
      </c>
      <c r="Z65" s="593">
        <v>108.5</v>
      </c>
      <c r="AA65" s="593">
        <v>36.1</v>
      </c>
      <c r="AB65" s="593">
        <v>1558.3</v>
      </c>
      <c r="AC65" s="593">
        <v>0</v>
      </c>
      <c r="AD65" s="593">
        <v>6421.6</v>
      </c>
      <c r="AE65" s="598">
        <f t="shared" si="2"/>
        <v>34590.999999999993</v>
      </c>
    </row>
    <row r="66" spans="2:34" x14ac:dyDescent="0.15">
      <c r="B66" s="582" t="s">
        <v>62</v>
      </c>
      <c r="C66" s="597">
        <v>1299.2</v>
      </c>
      <c r="D66" s="593">
        <v>3190.8</v>
      </c>
      <c r="E66" s="593">
        <v>453.3</v>
      </c>
      <c r="F66" s="593">
        <v>556.6</v>
      </c>
      <c r="G66" s="593">
        <v>1315.7</v>
      </c>
      <c r="H66" s="593">
        <v>768.8</v>
      </c>
      <c r="I66" s="593">
        <v>1534.8</v>
      </c>
      <c r="J66" s="593">
        <v>42.7</v>
      </c>
      <c r="K66" s="593">
        <v>739.8</v>
      </c>
      <c r="L66" s="593">
        <v>17779.400000000001</v>
      </c>
      <c r="M66" s="593">
        <v>11644.4</v>
      </c>
      <c r="N66" s="593">
        <v>3245.9</v>
      </c>
      <c r="O66" s="593">
        <v>781.2</v>
      </c>
      <c r="P66" s="593">
        <v>6698.4</v>
      </c>
      <c r="Q66" s="593">
        <v>6416</v>
      </c>
      <c r="R66" s="593">
        <v>168.1</v>
      </c>
      <c r="S66" s="593">
        <v>286.60000000000002</v>
      </c>
      <c r="T66" s="593">
        <v>2759.6</v>
      </c>
      <c r="U66" s="593">
        <v>534.6</v>
      </c>
      <c r="V66" s="593">
        <v>7220.6</v>
      </c>
      <c r="W66" s="593">
        <v>2459.1999999999998</v>
      </c>
      <c r="X66" s="593">
        <v>3485.6</v>
      </c>
      <c r="Y66" s="593">
        <v>646.1</v>
      </c>
      <c r="Z66" s="593">
        <v>300.3</v>
      </c>
      <c r="AA66" s="593">
        <v>103.3</v>
      </c>
      <c r="AB66" s="593">
        <v>14664.4</v>
      </c>
      <c r="AC66" s="593">
        <v>4546.5</v>
      </c>
      <c r="AD66" s="593">
        <v>0</v>
      </c>
      <c r="AE66" s="598">
        <f t="shared" si="2"/>
        <v>93641.900000000009</v>
      </c>
    </row>
    <row r="67" spans="2:34" x14ac:dyDescent="0.15">
      <c r="B67" s="587" t="s">
        <v>1106</v>
      </c>
      <c r="C67" s="608">
        <v>31628.799999999999</v>
      </c>
      <c r="D67" s="609">
        <v>43595.4</v>
      </c>
      <c r="E67" s="609">
        <v>5175.8</v>
      </c>
      <c r="F67" s="609">
        <v>6517.7</v>
      </c>
      <c r="G67" s="609">
        <v>5099.8999999999996</v>
      </c>
      <c r="H67" s="609">
        <v>14870</v>
      </c>
      <c r="I67" s="609">
        <v>17569.900000000001</v>
      </c>
      <c r="J67" s="609">
        <v>2715.5</v>
      </c>
      <c r="K67" s="609">
        <v>10027.5</v>
      </c>
      <c r="L67" s="609">
        <v>93338.1</v>
      </c>
      <c r="M67" s="609">
        <v>137888.4</v>
      </c>
      <c r="N67" s="609">
        <v>15300.1</v>
      </c>
      <c r="O67" s="609">
        <v>9837.5</v>
      </c>
      <c r="P67" s="609">
        <v>49764.800000000003</v>
      </c>
      <c r="Q67" s="609">
        <v>55243.199999999997</v>
      </c>
      <c r="R67" s="609">
        <v>2101.5</v>
      </c>
      <c r="S67" s="609">
        <v>3597.2</v>
      </c>
      <c r="T67" s="609">
        <v>37171.800000000003</v>
      </c>
      <c r="U67" s="609">
        <v>3681.3</v>
      </c>
      <c r="V67" s="609">
        <v>86276.4</v>
      </c>
      <c r="W67" s="609">
        <v>24195</v>
      </c>
      <c r="X67" s="609">
        <v>13822.5</v>
      </c>
      <c r="Y67" s="609">
        <v>9259.7999999999993</v>
      </c>
      <c r="Z67" s="609">
        <v>7628.7</v>
      </c>
      <c r="AA67" s="609">
        <v>3387.5</v>
      </c>
      <c r="AB67" s="609">
        <v>62446</v>
      </c>
      <c r="AC67" s="609">
        <v>26631.4</v>
      </c>
      <c r="AD67" s="609">
        <v>140928.6</v>
      </c>
      <c r="AE67" s="605">
        <v>923132</v>
      </c>
      <c r="AH67" s="574"/>
    </row>
    <row r="68" spans="2:34" x14ac:dyDescent="0.15">
      <c r="B68" s="591" t="s">
        <v>1108</v>
      </c>
      <c r="C68" s="608">
        <f t="shared" ref="C68:AE68" si="3">+C67-C58-C57-C56-C52-C43-C40</f>
        <v>28634.399999999998</v>
      </c>
      <c r="D68" s="609">
        <f t="shared" si="3"/>
        <v>33035.200000000004</v>
      </c>
      <c r="E68" s="609">
        <f t="shared" si="3"/>
        <v>4576.9000000000005</v>
      </c>
      <c r="F68" s="609">
        <f t="shared" si="3"/>
        <v>6115.4</v>
      </c>
      <c r="G68" s="609">
        <f t="shared" si="3"/>
        <v>4306.5</v>
      </c>
      <c r="H68" s="609">
        <f t="shared" si="3"/>
        <v>13230.6</v>
      </c>
      <c r="I68" s="609">
        <f t="shared" si="3"/>
        <v>14873.2</v>
      </c>
      <c r="J68" s="609">
        <f t="shared" si="3"/>
        <v>2594.1999999999998</v>
      </c>
      <c r="K68" s="609">
        <f t="shared" si="3"/>
        <v>8177.7000000000007</v>
      </c>
      <c r="L68" s="609">
        <f t="shared" si="3"/>
        <v>65167.700000000012</v>
      </c>
      <c r="M68" s="609">
        <f t="shared" si="3"/>
        <v>102998.39999999999</v>
      </c>
      <c r="N68" s="609">
        <f t="shared" si="3"/>
        <v>13105.300000000001</v>
      </c>
      <c r="O68" s="609">
        <f t="shared" si="3"/>
        <v>8745.7000000000007</v>
      </c>
      <c r="P68" s="609">
        <f t="shared" si="3"/>
        <v>37683.100000000006</v>
      </c>
      <c r="Q68" s="609">
        <f t="shared" si="3"/>
        <v>42910.299999999996</v>
      </c>
      <c r="R68" s="609">
        <f t="shared" si="3"/>
        <v>1938.7</v>
      </c>
      <c r="S68" s="609">
        <f t="shared" si="3"/>
        <v>3277.2</v>
      </c>
      <c r="T68" s="609">
        <f t="shared" si="3"/>
        <v>23951.200000000004</v>
      </c>
      <c r="U68" s="609">
        <f t="shared" si="3"/>
        <v>3130.6000000000004</v>
      </c>
      <c r="V68" s="609">
        <f t="shared" si="3"/>
        <v>51253.399999999994</v>
      </c>
      <c r="W68" s="609">
        <f t="shared" si="3"/>
        <v>20933.8</v>
      </c>
      <c r="X68" s="609">
        <f t="shared" si="3"/>
        <v>11669</v>
      </c>
      <c r="Y68" s="609">
        <f t="shared" si="3"/>
        <v>8024.0999999999985</v>
      </c>
      <c r="Z68" s="609">
        <f t="shared" si="3"/>
        <v>6854.4</v>
      </c>
      <c r="AA68" s="609">
        <f t="shared" si="3"/>
        <v>3152.8</v>
      </c>
      <c r="AB68" s="609">
        <f t="shared" si="3"/>
        <v>53496.4</v>
      </c>
      <c r="AC68" s="609">
        <f t="shared" si="3"/>
        <v>22843.9</v>
      </c>
      <c r="AD68" s="609">
        <f t="shared" si="3"/>
        <v>90390.200000000012</v>
      </c>
      <c r="AE68" s="605">
        <f t="shared" si="3"/>
        <v>690502</v>
      </c>
      <c r="AH68" s="578"/>
    </row>
    <row r="69" spans="2:34" x14ac:dyDescent="0.15">
      <c r="B69" s="591" t="s">
        <v>1109</v>
      </c>
      <c r="C69" s="608">
        <f t="shared" ref="C69:AE69" si="4">+C67-C68</f>
        <v>2994.4000000000015</v>
      </c>
      <c r="D69" s="609">
        <f t="shared" si="4"/>
        <v>10560.199999999997</v>
      </c>
      <c r="E69" s="609">
        <f t="shared" si="4"/>
        <v>598.89999999999964</v>
      </c>
      <c r="F69" s="609">
        <f t="shared" si="4"/>
        <v>402.30000000000018</v>
      </c>
      <c r="G69" s="609">
        <f t="shared" si="4"/>
        <v>793.39999999999964</v>
      </c>
      <c r="H69" s="609">
        <f t="shared" si="4"/>
        <v>1639.3999999999996</v>
      </c>
      <c r="I69" s="609">
        <f t="shared" si="4"/>
        <v>2696.7000000000007</v>
      </c>
      <c r="J69" s="609">
        <f t="shared" si="4"/>
        <v>121.30000000000018</v>
      </c>
      <c r="K69" s="609">
        <f t="shared" si="4"/>
        <v>1849.7999999999993</v>
      </c>
      <c r="L69" s="609">
        <f t="shared" si="4"/>
        <v>28170.399999999994</v>
      </c>
      <c r="M69" s="609">
        <f t="shared" si="4"/>
        <v>34890</v>
      </c>
      <c r="N69" s="609">
        <f t="shared" si="4"/>
        <v>2194.7999999999993</v>
      </c>
      <c r="O69" s="609">
        <f t="shared" si="4"/>
        <v>1091.7999999999993</v>
      </c>
      <c r="P69" s="609">
        <f t="shared" si="4"/>
        <v>12081.699999999997</v>
      </c>
      <c r="Q69" s="609">
        <f t="shared" si="4"/>
        <v>12332.900000000001</v>
      </c>
      <c r="R69" s="609">
        <f t="shared" si="4"/>
        <v>162.79999999999995</v>
      </c>
      <c r="S69" s="609">
        <f t="shared" si="4"/>
        <v>320</v>
      </c>
      <c r="T69" s="609">
        <f t="shared" si="4"/>
        <v>13220.599999999999</v>
      </c>
      <c r="U69" s="609">
        <f t="shared" si="4"/>
        <v>550.69999999999982</v>
      </c>
      <c r="V69" s="609">
        <f t="shared" si="4"/>
        <v>35023</v>
      </c>
      <c r="W69" s="609">
        <f t="shared" si="4"/>
        <v>3261.2000000000007</v>
      </c>
      <c r="X69" s="609">
        <f t="shared" si="4"/>
        <v>2153.5</v>
      </c>
      <c r="Y69" s="609">
        <f t="shared" si="4"/>
        <v>1235.7000000000007</v>
      </c>
      <c r="Z69" s="609">
        <f t="shared" si="4"/>
        <v>774.30000000000018</v>
      </c>
      <c r="AA69" s="609">
        <f t="shared" si="4"/>
        <v>234.69999999999982</v>
      </c>
      <c r="AB69" s="609">
        <f t="shared" si="4"/>
        <v>8949.5999999999985</v>
      </c>
      <c r="AC69" s="609">
        <f t="shared" si="4"/>
        <v>3787.5</v>
      </c>
      <c r="AD69" s="609">
        <f t="shared" si="4"/>
        <v>50538.399999999994</v>
      </c>
      <c r="AE69" s="605">
        <f t="shared" si="4"/>
        <v>232630</v>
      </c>
      <c r="AH69" s="576"/>
    </row>
    <row r="70" spans="2:34" ht="51" customHeight="1" x14ac:dyDescent="0.15">
      <c r="B70" s="590" t="s">
        <v>1111</v>
      </c>
      <c r="C70" s="597"/>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8"/>
    </row>
    <row r="71" spans="2:34" x14ac:dyDescent="0.15">
      <c r="B71" s="582" t="s">
        <v>30</v>
      </c>
      <c r="C71" s="597">
        <v>0</v>
      </c>
      <c r="D71" s="593">
        <v>840</v>
      </c>
      <c r="E71" s="593">
        <v>172.9</v>
      </c>
      <c r="F71" s="593">
        <v>1044.7</v>
      </c>
      <c r="G71" s="593">
        <v>38</v>
      </c>
      <c r="H71" s="593">
        <v>654.9</v>
      </c>
      <c r="I71" s="593">
        <v>172.8</v>
      </c>
      <c r="J71" s="593">
        <v>43.3</v>
      </c>
      <c r="K71" s="593">
        <v>441.4</v>
      </c>
      <c r="L71" s="593">
        <v>890</v>
      </c>
      <c r="M71" s="593">
        <v>8109</v>
      </c>
      <c r="N71" s="593">
        <v>397.5</v>
      </c>
      <c r="O71" s="593">
        <v>1702.6</v>
      </c>
      <c r="P71" s="593">
        <v>766</v>
      </c>
      <c r="Q71" s="593">
        <v>2378.6999999999998</v>
      </c>
      <c r="R71" s="593">
        <v>46</v>
      </c>
      <c r="S71" s="593">
        <v>161.5</v>
      </c>
      <c r="T71" s="593">
        <v>662</v>
      </c>
      <c r="U71" s="593">
        <v>91</v>
      </c>
      <c r="V71" s="593">
        <v>809.9</v>
      </c>
      <c r="W71" s="593">
        <v>863</v>
      </c>
      <c r="X71" s="593">
        <v>247</v>
      </c>
      <c r="Y71" s="593">
        <v>949.3</v>
      </c>
      <c r="Z71" s="593">
        <v>491.5</v>
      </c>
      <c r="AA71" s="593">
        <v>917.4</v>
      </c>
      <c r="AB71" s="593">
        <v>740.9</v>
      </c>
      <c r="AC71" s="593">
        <v>1017.2</v>
      </c>
      <c r="AD71" s="593">
        <v>1459</v>
      </c>
      <c r="AE71" s="598">
        <f>+SUM(C71:AD71)</f>
        <v>26107.500000000004</v>
      </c>
    </row>
    <row r="72" spans="2:34" x14ac:dyDescent="0.15">
      <c r="B72" s="582" t="s">
        <v>31</v>
      </c>
      <c r="C72" s="597">
        <v>839</v>
      </c>
      <c r="D72" s="593">
        <v>0</v>
      </c>
      <c r="E72" s="593">
        <v>203.1</v>
      </c>
      <c r="F72" s="593">
        <v>235.9</v>
      </c>
      <c r="G72" s="593">
        <v>39</v>
      </c>
      <c r="H72" s="593">
        <v>829.9</v>
      </c>
      <c r="I72" s="593">
        <v>964.1</v>
      </c>
      <c r="J72" s="593">
        <v>42.2</v>
      </c>
      <c r="K72" s="593">
        <v>237.8</v>
      </c>
      <c r="L72" s="593">
        <v>13052</v>
      </c>
      <c r="M72" s="593">
        <v>6157</v>
      </c>
      <c r="N72" s="593">
        <v>664.8</v>
      </c>
      <c r="O72" s="593">
        <v>375.3</v>
      </c>
      <c r="P72" s="593">
        <v>2363</v>
      </c>
      <c r="Q72" s="593">
        <v>3043.5</v>
      </c>
      <c r="R72" s="593">
        <v>57</v>
      </c>
      <c r="S72" s="593">
        <v>130</v>
      </c>
      <c r="T72" s="593">
        <v>5377</v>
      </c>
      <c r="U72" s="593">
        <v>36</v>
      </c>
      <c r="V72" s="593">
        <v>5627.6</v>
      </c>
      <c r="W72" s="593">
        <v>1047.0999999999999</v>
      </c>
      <c r="X72" s="593">
        <v>815</v>
      </c>
      <c r="Y72" s="593">
        <v>739.2</v>
      </c>
      <c r="Z72" s="593">
        <v>148.30000000000001</v>
      </c>
      <c r="AA72" s="593">
        <v>194.8</v>
      </c>
      <c r="AB72" s="593">
        <v>2998</v>
      </c>
      <c r="AC72" s="593">
        <v>740</v>
      </c>
      <c r="AD72" s="593">
        <v>4944.6000000000004</v>
      </c>
      <c r="AE72" s="598">
        <f>+SUM(C72:AD72)</f>
        <v>51901.2</v>
      </c>
    </row>
    <row r="73" spans="2:34" x14ac:dyDescent="0.15">
      <c r="B73" s="582" t="s">
        <v>451</v>
      </c>
      <c r="C73" s="597">
        <v>245</v>
      </c>
      <c r="D73" s="593">
        <v>141</v>
      </c>
      <c r="E73" s="593">
        <v>0</v>
      </c>
      <c r="F73" s="593">
        <v>25.2</v>
      </c>
      <c r="G73" s="593">
        <v>18</v>
      </c>
      <c r="H73" s="593">
        <v>91.6</v>
      </c>
      <c r="I73" s="593">
        <v>66.8</v>
      </c>
      <c r="J73" s="593">
        <v>12.1</v>
      </c>
      <c r="K73" s="593">
        <v>0</v>
      </c>
      <c r="L73" s="593">
        <v>245</v>
      </c>
      <c r="M73" s="593">
        <v>585</v>
      </c>
      <c r="N73" s="593">
        <v>327.60000000000002</v>
      </c>
      <c r="O73" s="593">
        <v>151.5</v>
      </c>
      <c r="P73" s="593">
        <v>90</v>
      </c>
      <c r="Q73" s="593">
        <v>254</v>
      </c>
      <c r="R73" s="593">
        <v>8</v>
      </c>
      <c r="S73" s="593">
        <v>8.3000000000000007</v>
      </c>
      <c r="T73" s="593">
        <v>63</v>
      </c>
      <c r="U73" s="593">
        <v>6</v>
      </c>
      <c r="V73" s="593">
        <v>141.5</v>
      </c>
      <c r="W73" s="593">
        <v>123.3</v>
      </c>
      <c r="X73" s="593">
        <v>10</v>
      </c>
      <c r="Y73" s="593">
        <v>263.39999999999998</v>
      </c>
      <c r="Z73" s="593">
        <v>23.1</v>
      </c>
      <c r="AA73" s="593">
        <v>30.7</v>
      </c>
      <c r="AB73" s="593">
        <v>0</v>
      </c>
      <c r="AC73" s="593">
        <v>53.7</v>
      </c>
      <c r="AD73" s="593">
        <v>628.20000000000005</v>
      </c>
      <c r="AE73" s="598">
        <f t="shared" ref="AE73:AE98" si="5">+SUM(C73:AD73)</f>
        <v>3612</v>
      </c>
    </row>
    <row r="74" spans="2:34" x14ac:dyDescent="0.15">
      <c r="B74" s="582" t="s">
        <v>472</v>
      </c>
      <c r="C74" s="597">
        <v>378</v>
      </c>
      <c r="D74" s="593">
        <v>59</v>
      </c>
      <c r="E74" s="593">
        <v>18.600000000000001</v>
      </c>
      <c r="F74" s="593">
        <v>0</v>
      </c>
      <c r="G74" s="593">
        <v>0</v>
      </c>
      <c r="H74" s="593">
        <v>53.6</v>
      </c>
      <c r="I74" s="593">
        <v>67.8</v>
      </c>
      <c r="J74" s="593">
        <v>4.2</v>
      </c>
      <c r="K74" s="593">
        <v>0</v>
      </c>
      <c r="L74" s="593">
        <v>154</v>
      </c>
      <c r="M74" s="593">
        <v>316</v>
      </c>
      <c r="N74" s="593">
        <v>26.9</v>
      </c>
      <c r="O74" s="593">
        <v>98.8</v>
      </c>
      <c r="P74" s="593">
        <v>81</v>
      </c>
      <c r="Q74" s="593">
        <v>277.3</v>
      </c>
      <c r="R74" s="593">
        <v>1</v>
      </c>
      <c r="S74" s="593">
        <v>1.8</v>
      </c>
      <c r="T74" s="593">
        <v>57</v>
      </c>
      <c r="U74" s="593">
        <v>3</v>
      </c>
      <c r="V74" s="593">
        <v>105.6</v>
      </c>
      <c r="W74" s="593">
        <v>57.4</v>
      </c>
      <c r="X74" s="593">
        <v>8</v>
      </c>
      <c r="Y74" s="593">
        <v>28.1</v>
      </c>
      <c r="Z74" s="593">
        <v>26.5</v>
      </c>
      <c r="AA74" s="593">
        <v>455.7</v>
      </c>
      <c r="AB74" s="593">
        <v>0</v>
      </c>
      <c r="AC74" s="593">
        <v>45.9</v>
      </c>
      <c r="AD74" s="593">
        <v>252.1</v>
      </c>
      <c r="AE74" s="598">
        <f t="shared" si="5"/>
        <v>2577.2999999999997</v>
      </c>
    </row>
    <row r="75" spans="2:34" x14ac:dyDescent="0.15">
      <c r="B75" s="582" t="s">
        <v>86</v>
      </c>
      <c r="C75" s="597">
        <v>141</v>
      </c>
      <c r="D75" s="593">
        <v>364</v>
      </c>
      <c r="E75" s="593">
        <v>74.900000000000006</v>
      </c>
      <c r="F75" s="593">
        <v>7.2</v>
      </c>
      <c r="G75" s="593">
        <v>0</v>
      </c>
      <c r="H75" s="593">
        <v>119.8</v>
      </c>
      <c r="I75" s="593">
        <v>42.5</v>
      </c>
      <c r="J75" s="593">
        <v>44</v>
      </c>
      <c r="K75" s="593">
        <v>36.200000000000003</v>
      </c>
      <c r="L75" s="593">
        <v>91</v>
      </c>
      <c r="M75" s="593">
        <v>513</v>
      </c>
      <c r="N75" s="593">
        <v>627.6</v>
      </c>
      <c r="O75" s="593">
        <v>41.8</v>
      </c>
      <c r="P75" s="593">
        <v>0</v>
      </c>
      <c r="Q75" s="593">
        <v>90.3</v>
      </c>
      <c r="R75" s="593">
        <v>115</v>
      </c>
      <c r="S75" s="593">
        <v>30</v>
      </c>
      <c r="T75" s="593">
        <v>176</v>
      </c>
      <c r="U75" s="593">
        <v>36</v>
      </c>
      <c r="V75" s="593">
        <v>327.9</v>
      </c>
      <c r="W75" s="593">
        <v>161.80000000000001</v>
      </c>
      <c r="X75" s="593">
        <v>35</v>
      </c>
      <c r="Y75" s="593">
        <v>101.2</v>
      </c>
      <c r="Z75" s="593">
        <v>87.6</v>
      </c>
      <c r="AA75" s="593">
        <v>29.9</v>
      </c>
      <c r="AB75" s="593">
        <v>0</v>
      </c>
      <c r="AC75" s="593">
        <v>133.1</v>
      </c>
      <c r="AD75" s="593">
        <v>734.3</v>
      </c>
      <c r="AE75" s="598">
        <f t="shared" si="5"/>
        <v>4161.1000000000004</v>
      </c>
    </row>
    <row r="76" spans="2:34" x14ac:dyDescent="0.15">
      <c r="B76" s="582" t="s">
        <v>34</v>
      </c>
      <c r="C76" s="597">
        <v>1265</v>
      </c>
      <c r="D76" s="593">
        <v>545</v>
      </c>
      <c r="E76" s="593">
        <v>142.5</v>
      </c>
      <c r="F76" s="593">
        <v>167.6</v>
      </c>
      <c r="G76" s="593">
        <v>31</v>
      </c>
      <c r="H76" s="593">
        <v>0</v>
      </c>
      <c r="I76" s="593">
        <v>151.6</v>
      </c>
      <c r="J76" s="593">
        <v>15.9</v>
      </c>
      <c r="K76" s="593">
        <v>0</v>
      </c>
      <c r="L76" s="593">
        <v>774</v>
      </c>
      <c r="M76" s="593">
        <v>3354</v>
      </c>
      <c r="N76" s="593">
        <v>233.8</v>
      </c>
      <c r="O76" s="593">
        <v>492.8</v>
      </c>
      <c r="P76" s="593">
        <v>309</v>
      </c>
      <c r="Q76" s="593">
        <v>757.5</v>
      </c>
      <c r="R76" s="593">
        <v>20</v>
      </c>
      <c r="S76" s="593">
        <v>26.4</v>
      </c>
      <c r="T76" s="593">
        <v>327</v>
      </c>
      <c r="U76" s="593">
        <v>24</v>
      </c>
      <c r="V76" s="593">
        <v>888.5</v>
      </c>
      <c r="W76" s="593">
        <v>1371.4</v>
      </c>
      <c r="X76" s="593">
        <v>41</v>
      </c>
      <c r="Y76" s="593">
        <v>109.6</v>
      </c>
      <c r="Z76" s="593">
        <v>1243.3</v>
      </c>
      <c r="AA76" s="593">
        <v>99.4</v>
      </c>
      <c r="AB76" s="593">
        <v>0</v>
      </c>
      <c r="AC76" s="593">
        <v>151.80000000000001</v>
      </c>
      <c r="AD76" s="593">
        <v>1223.4000000000001</v>
      </c>
      <c r="AE76" s="598">
        <f t="shared" si="5"/>
        <v>13765.499999999998</v>
      </c>
    </row>
    <row r="77" spans="2:34" x14ac:dyDescent="0.15">
      <c r="B77" s="582" t="s">
        <v>35</v>
      </c>
      <c r="C77" s="597">
        <v>317</v>
      </c>
      <c r="D77" s="593">
        <v>929</v>
      </c>
      <c r="E77" s="593">
        <v>65</v>
      </c>
      <c r="F77" s="593">
        <v>116.2</v>
      </c>
      <c r="G77" s="593">
        <v>566</v>
      </c>
      <c r="H77" s="593">
        <v>213.9</v>
      </c>
      <c r="I77" s="593">
        <v>0</v>
      </c>
      <c r="J77" s="593">
        <v>84.3</v>
      </c>
      <c r="K77" s="593">
        <v>442.2</v>
      </c>
      <c r="L77" s="593">
        <v>1979</v>
      </c>
      <c r="M77" s="593">
        <v>4051</v>
      </c>
      <c r="N77" s="593">
        <v>215.2</v>
      </c>
      <c r="O77" s="593">
        <v>354.7</v>
      </c>
      <c r="P77" s="593">
        <v>1148</v>
      </c>
      <c r="Q77" s="593">
        <v>668.4</v>
      </c>
      <c r="R77" s="593">
        <v>98</v>
      </c>
      <c r="S77" s="593">
        <v>319.7</v>
      </c>
      <c r="T77" s="593">
        <v>471</v>
      </c>
      <c r="U77" s="593">
        <v>71</v>
      </c>
      <c r="V77" s="593">
        <v>1832.5</v>
      </c>
      <c r="W77" s="593">
        <v>991.4</v>
      </c>
      <c r="X77" s="593">
        <v>201</v>
      </c>
      <c r="Y77" s="593">
        <v>177.5</v>
      </c>
      <c r="Z77" s="593">
        <v>51.5</v>
      </c>
      <c r="AA77" s="593">
        <v>58.9</v>
      </c>
      <c r="AB77" s="593">
        <v>1355.1</v>
      </c>
      <c r="AC77" s="593">
        <v>4190.8</v>
      </c>
      <c r="AD77" s="593">
        <v>4321.8999999999996</v>
      </c>
      <c r="AE77" s="598">
        <f t="shared" si="5"/>
        <v>25290.199999999997</v>
      </c>
    </row>
    <row r="78" spans="2:34" x14ac:dyDescent="0.15">
      <c r="B78" s="582" t="s">
        <v>36</v>
      </c>
      <c r="C78" s="597">
        <v>32</v>
      </c>
      <c r="D78" s="593">
        <v>56</v>
      </c>
      <c r="E78" s="593">
        <v>4.3</v>
      </c>
      <c r="F78" s="593">
        <v>4.5999999999999996</v>
      </c>
      <c r="G78" s="593">
        <v>4</v>
      </c>
      <c r="H78" s="593">
        <v>26.1</v>
      </c>
      <c r="I78" s="593">
        <v>114.6</v>
      </c>
      <c r="J78" s="593">
        <v>0</v>
      </c>
      <c r="K78" s="593">
        <v>443.7</v>
      </c>
      <c r="L78" s="593">
        <v>33</v>
      </c>
      <c r="M78" s="593">
        <v>0</v>
      </c>
      <c r="N78" s="593">
        <v>38.6</v>
      </c>
      <c r="O78" s="593">
        <v>2</v>
      </c>
      <c r="P78" s="593">
        <v>15</v>
      </c>
      <c r="Q78" s="593">
        <v>60.8</v>
      </c>
      <c r="R78" s="593">
        <v>224</v>
      </c>
      <c r="S78" s="593">
        <v>182.5</v>
      </c>
      <c r="T78" s="593">
        <v>97</v>
      </c>
      <c r="U78" s="593">
        <v>8</v>
      </c>
      <c r="V78" s="593">
        <v>44.5</v>
      </c>
      <c r="W78" s="593">
        <v>91.5</v>
      </c>
      <c r="X78" s="593">
        <v>11</v>
      </c>
      <c r="Y78" s="593">
        <v>7.9</v>
      </c>
      <c r="Z78" s="593">
        <v>4.3</v>
      </c>
      <c r="AA78" s="593">
        <v>9.1999999999999993</v>
      </c>
      <c r="AB78" s="593">
        <v>0</v>
      </c>
      <c r="AC78" s="593">
        <v>307.5</v>
      </c>
      <c r="AD78" s="593">
        <v>133.6</v>
      </c>
      <c r="AE78" s="598">
        <f t="shared" si="5"/>
        <v>1955.6999999999998</v>
      </c>
    </row>
    <row r="79" spans="2:34" x14ac:dyDescent="0.15">
      <c r="B79" s="582" t="s">
        <v>37</v>
      </c>
      <c r="C79" s="597">
        <v>323</v>
      </c>
      <c r="D79" s="593">
        <v>422</v>
      </c>
      <c r="E79" s="593">
        <v>34.799999999999997</v>
      </c>
      <c r="F79" s="593">
        <v>32.299999999999997</v>
      </c>
      <c r="G79" s="593">
        <v>14</v>
      </c>
      <c r="H79" s="593">
        <v>169.6</v>
      </c>
      <c r="I79" s="593">
        <v>978.7</v>
      </c>
      <c r="J79" s="593">
        <v>1436.5</v>
      </c>
      <c r="K79" s="593">
        <v>0</v>
      </c>
      <c r="L79" s="593">
        <v>481</v>
      </c>
      <c r="M79" s="593">
        <v>0</v>
      </c>
      <c r="N79" s="593">
        <v>149.30000000000001</v>
      </c>
      <c r="O79" s="593">
        <v>190.1</v>
      </c>
      <c r="P79" s="593">
        <v>886</v>
      </c>
      <c r="Q79" s="593">
        <v>352.1</v>
      </c>
      <c r="R79" s="593">
        <v>92</v>
      </c>
      <c r="S79" s="593">
        <v>124.6</v>
      </c>
      <c r="T79" s="593">
        <v>524</v>
      </c>
      <c r="U79" s="593">
        <v>31</v>
      </c>
      <c r="V79" s="593">
        <v>1126.8</v>
      </c>
      <c r="W79" s="593">
        <v>606.1</v>
      </c>
      <c r="X79" s="593">
        <v>178</v>
      </c>
      <c r="Y79" s="593">
        <v>33.5</v>
      </c>
      <c r="Z79" s="593">
        <v>25.8</v>
      </c>
      <c r="AA79" s="593">
        <v>15.5</v>
      </c>
      <c r="AB79" s="593">
        <v>0</v>
      </c>
      <c r="AC79" s="593">
        <v>4509.3999999999996</v>
      </c>
      <c r="AD79" s="593">
        <v>1868.2</v>
      </c>
      <c r="AE79" s="598">
        <f t="shared" si="5"/>
        <v>14604.300000000001</v>
      </c>
    </row>
    <row r="80" spans="2:34" x14ac:dyDescent="0.15">
      <c r="B80" s="582" t="s">
        <v>38</v>
      </c>
      <c r="C80" s="597">
        <v>1185</v>
      </c>
      <c r="D80" s="593">
        <v>14455</v>
      </c>
      <c r="E80" s="593">
        <v>296.2</v>
      </c>
      <c r="F80" s="593">
        <v>269.8</v>
      </c>
      <c r="G80" s="593">
        <v>60</v>
      </c>
      <c r="H80" s="593">
        <v>759.7</v>
      </c>
      <c r="I80" s="593">
        <v>1123.5</v>
      </c>
      <c r="J80" s="593">
        <v>62.6</v>
      </c>
      <c r="K80" s="593">
        <v>461</v>
      </c>
      <c r="L80" s="593">
        <v>0</v>
      </c>
      <c r="M80" s="593">
        <v>13644</v>
      </c>
      <c r="N80" s="593">
        <v>1696.6</v>
      </c>
      <c r="O80" s="593">
        <v>574.29999999999995</v>
      </c>
      <c r="P80" s="593">
        <v>5933</v>
      </c>
      <c r="Q80" s="593">
        <v>7524</v>
      </c>
      <c r="R80" s="593">
        <v>97</v>
      </c>
      <c r="S80" s="593">
        <v>286.39999999999998</v>
      </c>
      <c r="T80" s="593">
        <v>8513</v>
      </c>
      <c r="U80" s="593">
        <v>315</v>
      </c>
      <c r="V80" s="593">
        <v>6493.5</v>
      </c>
      <c r="W80" s="593">
        <v>1755.7</v>
      </c>
      <c r="X80" s="593">
        <v>3516</v>
      </c>
      <c r="Y80" s="593">
        <v>1460.6</v>
      </c>
      <c r="Z80" s="593">
        <v>232.8</v>
      </c>
      <c r="AA80" s="593">
        <v>189.1</v>
      </c>
      <c r="AB80" s="593">
        <v>11916</v>
      </c>
      <c r="AC80" s="593">
        <v>3023.9</v>
      </c>
      <c r="AD80" s="593">
        <v>19498.8</v>
      </c>
      <c r="AE80" s="598">
        <f t="shared" si="5"/>
        <v>105342.50000000001</v>
      </c>
    </row>
    <row r="81" spans="2:31" x14ac:dyDescent="0.15">
      <c r="B81" s="582" t="s">
        <v>39</v>
      </c>
      <c r="C81" s="597">
        <v>21268</v>
      </c>
      <c r="D81" s="593">
        <v>9078</v>
      </c>
      <c r="E81" s="593">
        <v>967</v>
      </c>
      <c r="F81" s="593">
        <v>2391.5</v>
      </c>
      <c r="G81" s="593">
        <v>661</v>
      </c>
      <c r="H81" s="593">
        <v>4476.8999999999996</v>
      </c>
      <c r="I81" s="593">
        <v>6468.8</v>
      </c>
      <c r="J81" s="593">
        <v>246.3</v>
      </c>
      <c r="K81" s="593">
        <v>1377.3</v>
      </c>
      <c r="L81" s="593">
        <v>24609</v>
      </c>
      <c r="M81" s="593">
        <v>0</v>
      </c>
      <c r="N81" s="593">
        <v>4525.8</v>
      </c>
      <c r="O81" s="593">
        <v>3633.5</v>
      </c>
      <c r="P81" s="593">
        <v>9569</v>
      </c>
      <c r="Q81" s="593">
        <v>10199.299999999999</v>
      </c>
      <c r="R81" s="593">
        <v>229</v>
      </c>
      <c r="S81" s="593">
        <v>647.70000000000005</v>
      </c>
      <c r="T81" s="593">
        <v>13922</v>
      </c>
      <c r="U81" s="593">
        <v>563</v>
      </c>
      <c r="V81" s="593">
        <v>17640.3</v>
      </c>
      <c r="W81" s="593">
        <v>9563.7999999999993</v>
      </c>
      <c r="X81" s="593">
        <v>2330</v>
      </c>
      <c r="Y81" s="593">
        <v>2997</v>
      </c>
      <c r="Z81" s="593">
        <v>1190.3</v>
      </c>
      <c r="AA81" s="593">
        <v>848.8</v>
      </c>
      <c r="AB81" s="593">
        <v>11477</v>
      </c>
      <c r="AC81" s="593">
        <v>4912.1000000000004</v>
      </c>
      <c r="AD81" s="593">
        <v>19666.900000000001</v>
      </c>
      <c r="AE81" s="598">
        <f t="shared" si="5"/>
        <v>185459.3</v>
      </c>
    </row>
    <row r="82" spans="2:31" x14ac:dyDescent="0.15">
      <c r="B82" s="582" t="s">
        <v>40</v>
      </c>
      <c r="C82" s="597">
        <v>144</v>
      </c>
      <c r="D82" s="593">
        <v>345</v>
      </c>
      <c r="E82" s="593">
        <v>367.8</v>
      </c>
      <c r="F82" s="593">
        <v>11.8</v>
      </c>
      <c r="G82" s="593">
        <v>194</v>
      </c>
      <c r="H82" s="593">
        <v>80</v>
      </c>
      <c r="I82" s="593">
        <v>198.3</v>
      </c>
      <c r="J82" s="593">
        <v>11.6</v>
      </c>
      <c r="K82" s="593">
        <v>61.6</v>
      </c>
      <c r="L82" s="593">
        <v>464</v>
      </c>
      <c r="M82" s="593">
        <v>1005</v>
      </c>
      <c r="N82" s="593">
        <v>0</v>
      </c>
      <c r="O82" s="593">
        <v>58.9</v>
      </c>
      <c r="P82" s="593">
        <v>318</v>
      </c>
      <c r="Q82" s="593">
        <v>558.79999999999995</v>
      </c>
      <c r="R82" s="593">
        <v>8</v>
      </c>
      <c r="S82" s="593">
        <v>7.9</v>
      </c>
      <c r="T82" s="593">
        <v>188</v>
      </c>
      <c r="U82" s="593">
        <v>34</v>
      </c>
      <c r="V82" s="593">
        <v>496.7</v>
      </c>
      <c r="W82" s="593">
        <v>60.5</v>
      </c>
      <c r="X82" s="593">
        <v>48</v>
      </c>
      <c r="Y82" s="593">
        <v>120.1</v>
      </c>
      <c r="Z82" s="593">
        <v>22.7</v>
      </c>
      <c r="AA82" s="593">
        <v>15.4</v>
      </c>
      <c r="AB82" s="593">
        <v>449.8</v>
      </c>
      <c r="AC82" s="593">
        <v>94</v>
      </c>
      <c r="AD82" s="593">
        <v>1696</v>
      </c>
      <c r="AE82" s="598">
        <f t="shared" si="5"/>
        <v>7059.9</v>
      </c>
    </row>
    <row r="83" spans="2:31" x14ac:dyDescent="0.15">
      <c r="B83" s="582" t="s">
        <v>41</v>
      </c>
      <c r="C83" s="597">
        <v>1302</v>
      </c>
      <c r="D83" s="593">
        <v>323</v>
      </c>
      <c r="E83" s="593">
        <v>123.3</v>
      </c>
      <c r="F83" s="593">
        <v>182.8</v>
      </c>
      <c r="G83" s="593">
        <v>14</v>
      </c>
      <c r="H83" s="593">
        <v>341.5</v>
      </c>
      <c r="I83" s="593">
        <v>191.9</v>
      </c>
      <c r="J83" s="593">
        <v>8.6999999999999993</v>
      </c>
      <c r="K83" s="593">
        <v>0</v>
      </c>
      <c r="L83" s="593">
        <v>353</v>
      </c>
      <c r="M83" s="593">
        <v>2072</v>
      </c>
      <c r="N83" s="593">
        <v>72.3</v>
      </c>
      <c r="O83" s="593">
        <v>0</v>
      </c>
      <c r="P83" s="593">
        <v>0</v>
      </c>
      <c r="Q83" s="593">
        <v>477</v>
      </c>
      <c r="R83" s="593">
        <v>5</v>
      </c>
      <c r="S83" s="593">
        <v>18.5</v>
      </c>
      <c r="T83" s="593">
        <v>282</v>
      </c>
      <c r="U83" s="593">
        <v>15</v>
      </c>
      <c r="V83" s="593">
        <v>460.7</v>
      </c>
      <c r="W83" s="593">
        <v>404.1</v>
      </c>
      <c r="X83" s="593">
        <v>35</v>
      </c>
      <c r="Y83" s="593">
        <v>558.1</v>
      </c>
      <c r="Z83" s="593">
        <v>358.7</v>
      </c>
      <c r="AA83" s="593">
        <v>201.7</v>
      </c>
      <c r="AB83" s="593">
        <v>0</v>
      </c>
      <c r="AC83" s="593">
        <v>138</v>
      </c>
      <c r="AD83" s="593">
        <v>666.8</v>
      </c>
      <c r="AE83" s="598">
        <f t="shared" si="5"/>
        <v>8605.1</v>
      </c>
    </row>
    <row r="84" spans="2:31" x14ac:dyDescent="0.15">
      <c r="B84" s="582" t="s">
        <v>43</v>
      </c>
      <c r="C84" s="597">
        <v>347</v>
      </c>
      <c r="D84" s="593">
        <v>2437</v>
      </c>
      <c r="E84" s="593">
        <v>84.5</v>
      </c>
      <c r="F84" s="593">
        <v>76.2</v>
      </c>
      <c r="G84" s="593">
        <v>9</v>
      </c>
      <c r="H84" s="593">
        <v>584.70000000000005</v>
      </c>
      <c r="I84" s="593">
        <v>578.29999999999995</v>
      </c>
      <c r="J84" s="593">
        <v>27.7</v>
      </c>
      <c r="K84" s="593">
        <v>379.1</v>
      </c>
      <c r="L84" s="593">
        <v>4113</v>
      </c>
      <c r="M84" s="593">
        <v>4272</v>
      </c>
      <c r="N84" s="593">
        <v>186.4</v>
      </c>
      <c r="O84" s="593">
        <v>338.7</v>
      </c>
      <c r="P84" s="593">
        <v>0</v>
      </c>
      <c r="Q84" s="593">
        <v>2289.1</v>
      </c>
      <c r="R84" s="593">
        <v>45</v>
      </c>
      <c r="S84" s="593">
        <v>30.6</v>
      </c>
      <c r="T84" s="593">
        <v>1002</v>
      </c>
      <c r="U84" s="593">
        <v>30</v>
      </c>
      <c r="V84" s="593">
        <v>17987.099999999999</v>
      </c>
      <c r="W84" s="593">
        <v>980.4</v>
      </c>
      <c r="X84" s="593">
        <v>575</v>
      </c>
      <c r="Y84" s="593">
        <v>184</v>
      </c>
      <c r="Z84" s="593">
        <v>106</v>
      </c>
      <c r="AA84" s="593">
        <v>52.4</v>
      </c>
      <c r="AB84" s="593">
        <v>2396.9</v>
      </c>
      <c r="AC84" s="593">
        <v>1602.4</v>
      </c>
      <c r="AD84" s="593">
        <v>12841.7</v>
      </c>
      <c r="AE84" s="598">
        <f t="shared" si="5"/>
        <v>53556.200000000012</v>
      </c>
    </row>
    <row r="85" spans="2:31" x14ac:dyDescent="0.15">
      <c r="B85" s="582" t="s">
        <v>45</v>
      </c>
      <c r="C85" s="597">
        <v>2538</v>
      </c>
      <c r="D85" s="593">
        <v>2740</v>
      </c>
      <c r="E85" s="593">
        <v>297.5</v>
      </c>
      <c r="F85" s="593">
        <v>1029.0999999999999</v>
      </c>
      <c r="G85" s="593">
        <v>28</v>
      </c>
      <c r="H85" s="593">
        <v>523.79999999999995</v>
      </c>
      <c r="I85" s="593">
        <v>863.8</v>
      </c>
      <c r="J85" s="593">
        <v>39</v>
      </c>
      <c r="K85" s="593">
        <v>345.5</v>
      </c>
      <c r="L85" s="593">
        <v>10239</v>
      </c>
      <c r="M85" s="593">
        <v>5857</v>
      </c>
      <c r="N85" s="593">
        <v>1140.7</v>
      </c>
      <c r="O85" s="593">
        <v>620.70000000000005</v>
      </c>
      <c r="P85" s="593">
        <v>6242</v>
      </c>
      <c r="Q85" s="593">
        <v>0</v>
      </c>
      <c r="R85" s="593">
        <v>44</v>
      </c>
      <c r="S85" s="593">
        <v>124</v>
      </c>
      <c r="T85" s="593">
        <v>6474</v>
      </c>
      <c r="U85" s="593">
        <v>386</v>
      </c>
      <c r="V85" s="593">
        <v>3364</v>
      </c>
      <c r="W85" s="593">
        <v>825</v>
      </c>
      <c r="X85" s="593">
        <v>646</v>
      </c>
      <c r="Y85" s="593">
        <v>1985.2</v>
      </c>
      <c r="Z85" s="593">
        <v>246.5</v>
      </c>
      <c r="AA85" s="593">
        <v>925.3</v>
      </c>
      <c r="AB85" s="593">
        <v>4350</v>
      </c>
      <c r="AC85" s="593">
        <v>896.7</v>
      </c>
      <c r="AD85" s="593">
        <v>11345.5</v>
      </c>
      <c r="AE85" s="598">
        <f t="shared" si="5"/>
        <v>64116.3</v>
      </c>
    </row>
    <row r="86" spans="2:31" x14ac:dyDescent="0.15">
      <c r="B86" s="582" t="s">
        <v>48</v>
      </c>
      <c r="C86" s="597">
        <v>45</v>
      </c>
      <c r="D86" s="593">
        <v>53</v>
      </c>
      <c r="E86" s="593">
        <v>7.2</v>
      </c>
      <c r="F86" s="593">
        <v>6.6</v>
      </c>
      <c r="G86" s="593">
        <v>7</v>
      </c>
      <c r="H86" s="593">
        <v>23.9</v>
      </c>
      <c r="I86" s="593">
        <v>283.8</v>
      </c>
      <c r="J86" s="593">
        <v>282.3</v>
      </c>
      <c r="K86" s="593">
        <v>130.30000000000001</v>
      </c>
      <c r="L86" s="593">
        <v>57</v>
      </c>
      <c r="M86" s="593">
        <v>0</v>
      </c>
      <c r="N86" s="593">
        <v>77.599999999999994</v>
      </c>
      <c r="O86" s="593">
        <v>27.1</v>
      </c>
      <c r="P86" s="593">
        <v>53</v>
      </c>
      <c r="Q86" s="593">
        <v>68.900000000000006</v>
      </c>
      <c r="R86" s="593">
        <v>0</v>
      </c>
      <c r="S86" s="593">
        <v>359.8</v>
      </c>
      <c r="T86" s="593">
        <v>62</v>
      </c>
      <c r="U86" s="593">
        <v>6</v>
      </c>
      <c r="V86" s="593">
        <v>62.2</v>
      </c>
      <c r="W86" s="593">
        <v>165.4</v>
      </c>
      <c r="X86" s="593">
        <v>15</v>
      </c>
      <c r="Y86" s="593">
        <v>3.1</v>
      </c>
      <c r="Z86" s="593">
        <v>7</v>
      </c>
      <c r="AA86" s="593">
        <v>5.8</v>
      </c>
      <c r="AB86" s="593">
        <v>0</v>
      </c>
      <c r="AC86" s="593">
        <v>162.30000000000001</v>
      </c>
      <c r="AD86" s="593">
        <v>88.2</v>
      </c>
      <c r="AE86" s="598">
        <f t="shared" si="5"/>
        <v>2059.5</v>
      </c>
    </row>
    <row r="87" spans="2:31" x14ac:dyDescent="0.15">
      <c r="B87" s="582" t="s">
        <v>514</v>
      </c>
      <c r="C87" s="597">
        <v>41</v>
      </c>
      <c r="D87" s="593">
        <v>62</v>
      </c>
      <c r="E87" s="593">
        <v>8.1999999999999993</v>
      </c>
      <c r="F87" s="593">
        <v>4.7</v>
      </c>
      <c r="G87" s="593">
        <v>12</v>
      </c>
      <c r="H87" s="593">
        <v>43.8</v>
      </c>
      <c r="I87" s="593">
        <v>203</v>
      </c>
      <c r="J87" s="593">
        <v>164.7</v>
      </c>
      <c r="K87" s="593">
        <v>65.5</v>
      </c>
      <c r="L87" s="593">
        <v>76</v>
      </c>
      <c r="M87" s="593">
        <v>0</v>
      </c>
      <c r="N87" s="593">
        <v>37.299999999999997</v>
      </c>
      <c r="O87" s="593">
        <v>45.8</v>
      </c>
      <c r="P87" s="593">
        <v>69</v>
      </c>
      <c r="Q87" s="593">
        <v>117.3</v>
      </c>
      <c r="R87" s="593">
        <v>291</v>
      </c>
      <c r="S87" s="593">
        <v>0</v>
      </c>
      <c r="T87" s="593">
        <v>35</v>
      </c>
      <c r="U87" s="593">
        <v>8</v>
      </c>
      <c r="V87" s="593">
        <v>84.8</v>
      </c>
      <c r="W87" s="593">
        <v>435.5</v>
      </c>
      <c r="X87" s="593">
        <v>11</v>
      </c>
      <c r="Y87" s="593">
        <v>33.700000000000003</v>
      </c>
      <c r="Z87" s="593">
        <v>13.1</v>
      </c>
      <c r="AA87" s="593">
        <v>9.1</v>
      </c>
      <c r="AB87" s="593">
        <v>0</v>
      </c>
      <c r="AC87" s="593">
        <v>181.1</v>
      </c>
      <c r="AD87" s="593">
        <v>352.7</v>
      </c>
      <c r="AE87" s="598">
        <f t="shared" si="5"/>
        <v>2405.2999999999993</v>
      </c>
    </row>
    <row r="88" spans="2:31" x14ac:dyDescent="0.15">
      <c r="B88" s="582" t="s">
        <v>49</v>
      </c>
      <c r="C88" s="597">
        <v>387</v>
      </c>
      <c r="D88" s="593">
        <v>4546</v>
      </c>
      <c r="E88" s="593">
        <v>29.4</v>
      </c>
      <c r="F88" s="593">
        <v>19.399999999999999</v>
      </c>
      <c r="G88" s="593">
        <v>54</v>
      </c>
      <c r="H88" s="593">
        <v>187.4</v>
      </c>
      <c r="I88" s="593">
        <v>140.6</v>
      </c>
      <c r="J88" s="593">
        <v>19.399999999999999</v>
      </c>
      <c r="K88" s="593">
        <v>0</v>
      </c>
      <c r="L88" s="593">
        <v>6868</v>
      </c>
      <c r="M88" s="593">
        <v>7924</v>
      </c>
      <c r="N88" s="593">
        <v>222.6</v>
      </c>
      <c r="O88" s="593">
        <v>170.2</v>
      </c>
      <c r="P88" s="593">
        <v>1477</v>
      </c>
      <c r="Q88" s="593">
        <v>1800.5</v>
      </c>
      <c r="R88" s="593">
        <v>19</v>
      </c>
      <c r="S88" s="593">
        <v>38.1</v>
      </c>
      <c r="T88" s="593">
        <v>0</v>
      </c>
      <c r="U88" s="593">
        <v>34</v>
      </c>
      <c r="V88" s="593">
        <v>1472.5</v>
      </c>
      <c r="W88" s="593">
        <v>698.4</v>
      </c>
      <c r="X88" s="593">
        <v>374</v>
      </c>
      <c r="Y88" s="593">
        <v>157.9</v>
      </c>
      <c r="Z88" s="593">
        <v>57.9</v>
      </c>
      <c r="AA88" s="593">
        <v>97.3</v>
      </c>
      <c r="AB88" s="593">
        <v>0</v>
      </c>
      <c r="AC88" s="593">
        <v>886.9</v>
      </c>
      <c r="AD88" s="593">
        <v>3044.7</v>
      </c>
      <c r="AE88" s="598">
        <f t="shared" si="5"/>
        <v>30726.2</v>
      </c>
    </row>
    <row r="89" spans="2:31" x14ac:dyDescent="0.15">
      <c r="B89" s="582" t="s">
        <v>96</v>
      </c>
      <c r="C89" s="597">
        <v>125</v>
      </c>
      <c r="D89" s="593">
        <v>105</v>
      </c>
      <c r="E89" s="593">
        <v>9.5</v>
      </c>
      <c r="F89" s="593">
        <v>7.6</v>
      </c>
      <c r="G89" s="593">
        <v>6</v>
      </c>
      <c r="H89" s="593">
        <v>12.2</v>
      </c>
      <c r="I89" s="593">
        <v>85.7</v>
      </c>
      <c r="J89" s="593">
        <v>23.4</v>
      </c>
      <c r="K89" s="593">
        <v>0</v>
      </c>
      <c r="L89" s="593">
        <v>388</v>
      </c>
      <c r="M89" s="593">
        <v>302</v>
      </c>
      <c r="N89" s="593">
        <v>134.6</v>
      </c>
      <c r="O89" s="593">
        <v>47</v>
      </c>
      <c r="P89" s="593">
        <v>107</v>
      </c>
      <c r="Q89" s="593">
        <v>127.3</v>
      </c>
      <c r="R89" s="593">
        <v>33</v>
      </c>
      <c r="S89" s="593">
        <v>2.1</v>
      </c>
      <c r="T89" s="593">
        <v>181</v>
      </c>
      <c r="U89" s="593">
        <v>0</v>
      </c>
      <c r="V89" s="593">
        <v>50</v>
      </c>
      <c r="W89" s="593">
        <v>78.400000000000006</v>
      </c>
      <c r="X89" s="593">
        <v>27</v>
      </c>
      <c r="Y89" s="593">
        <v>25.6</v>
      </c>
      <c r="Z89" s="593">
        <v>9.6999999999999993</v>
      </c>
      <c r="AA89" s="593">
        <v>5.2</v>
      </c>
      <c r="AB89" s="593">
        <v>0</v>
      </c>
      <c r="AC89" s="593">
        <v>282</v>
      </c>
      <c r="AD89" s="593">
        <v>949.2</v>
      </c>
      <c r="AE89" s="598">
        <f t="shared" si="5"/>
        <v>3123.5</v>
      </c>
    </row>
    <row r="90" spans="2:31" x14ac:dyDescent="0.15">
      <c r="B90" s="582" t="s">
        <v>51</v>
      </c>
      <c r="C90" s="597">
        <v>2203</v>
      </c>
      <c r="D90" s="593">
        <v>14644</v>
      </c>
      <c r="E90" s="593">
        <v>201.3</v>
      </c>
      <c r="F90" s="593">
        <v>385.5</v>
      </c>
      <c r="G90" s="593">
        <v>175</v>
      </c>
      <c r="H90" s="593">
        <v>686.4</v>
      </c>
      <c r="I90" s="593">
        <v>1787.4</v>
      </c>
      <c r="J90" s="593">
        <v>120.1</v>
      </c>
      <c r="K90" s="593">
        <v>594.4</v>
      </c>
      <c r="L90" s="593">
        <v>12064</v>
      </c>
      <c r="M90" s="593">
        <v>13955</v>
      </c>
      <c r="N90" s="593">
        <v>903.6</v>
      </c>
      <c r="O90" s="593">
        <v>716.1</v>
      </c>
      <c r="P90" s="593">
        <v>4009</v>
      </c>
      <c r="Q90" s="593">
        <v>2654.9</v>
      </c>
      <c r="R90" s="593">
        <v>121</v>
      </c>
      <c r="S90" s="593">
        <v>236.9</v>
      </c>
      <c r="T90" s="593">
        <v>2566</v>
      </c>
      <c r="U90" s="593">
        <v>84</v>
      </c>
      <c r="V90" s="593">
        <v>0</v>
      </c>
      <c r="W90" s="593">
        <v>2330.6999999999998</v>
      </c>
      <c r="X90" s="593">
        <v>1034</v>
      </c>
      <c r="Y90" s="593">
        <v>934.2</v>
      </c>
      <c r="Z90" s="593">
        <v>348.2</v>
      </c>
      <c r="AA90" s="593">
        <v>146.30000000000001</v>
      </c>
      <c r="AB90" s="593">
        <v>4927</v>
      </c>
      <c r="AC90" s="593">
        <v>2099.4</v>
      </c>
      <c r="AD90" s="593">
        <v>17163.599999999999</v>
      </c>
      <c r="AE90" s="598">
        <f t="shared" si="5"/>
        <v>87091</v>
      </c>
    </row>
    <row r="91" spans="2:31" x14ac:dyDescent="0.15">
      <c r="B91" s="582" t="s">
        <v>54</v>
      </c>
      <c r="C91" s="597">
        <v>817</v>
      </c>
      <c r="D91" s="593">
        <v>846</v>
      </c>
      <c r="E91" s="593">
        <v>156.80000000000001</v>
      </c>
      <c r="F91" s="593">
        <v>216.2</v>
      </c>
      <c r="G91" s="593">
        <v>55</v>
      </c>
      <c r="H91" s="593">
        <v>753.5</v>
      </c>
      <c r="I91" s="593">
        <v>791.7</v>
      </c>
      <c r="J91" s="593">
        <v>106.6</v>
      </c>
      <c r="K91" s="593">
        <v>274</v>
      </c>
      <c r="L91" s="593">
        <v>1453</v>
      </c>
      <c r="M91" s="593">
        <v>4891</v>
      </c>
      <c r="N91" s="593">
        <v>431.5</v>
      </c>
      <c r="O91" s="593">
        <v>500.8</v>
      </c>
      <c r="P91" s="593">
        <v>880</v>
      </c>
      <c r="Q91" s="593">
        <v>1561</v>
      </c>
      <c r="R91" s="593">
        <v>50</v>
      </c>
      <c r="S91" s="593">
        <v>275.60000000000002</v>
      </c>
      <c r="T91" s="593">
        <v>418</v>
      </c>
      <c r="U91" s="593">
        <v>139</v>
      </c>
      <c r="V91" s="593">
        <v>1548.1</v>
      </c>
      <c r="W91" s="593">
        <v>0</v>
      </c>
      <c r="X91" s="593">
        <v>139</v>
      </c>
      <c r="Y91" s="593">
        <v>186.9</v>
      </c>
      <c r="Z91" s="593">
        <v>646.79999999999995</v>
      </c>
      <c r="AA91" s="593">
        <v>70.400000000000006</v>
      </c>
      <c r="AB91" s="593">
        <v>1084.0999999999999</v>
      </c>
      <c r="AC91" s="593">
        <v>635.9</v>
      </c>
      <c r="AD91" s="593">
        <v>2723.7</v>
      </c>
      <c r="AE91" s="598">
        <f t="shared" si="5"/>
        <v>21651.600000000002</v>
      </c>
    </row>
    <row r="92" spans="2:31" x14ac:dyDescent="0.15">
      <c r="B92" s="582" t="s">
        <v>55</v>
      </c>
      <c r="C92" s="597">
        <v>87</v>
      </c>
      <c r="D92" s="593">
        <v>660</v>
      </c>
      <c r="E92" s="593">
        <v>14.6</v>
      </c>
      <c r="F92" s="593">
        <v>21.9</v>
      </c>
      <c r="G92" s="593">
        <v>9</v>
      </c>
      <c r="H92" s="593">
        <v>47.5</v>
      </c>
      <c r="I92" s="593">
        <v>180.3</v>
      </c>
      <c r="J92" s="593">
        <v>10.199999999999999</v>
      </c>
      <c r="K92" s="593">
        <v>30.3</v>
      </c>
      <c r="L92" s="593">
        <v>1873</v>
      </c>
      <c r="M92" s="593">
        <v>1007</v>
      </c>
      <c r="N92" s="593">
        <v>65.400000000000006</v>
      </c>
      <c r="O92" s="593">
        <v>86.1</v>
      </c>
      <c r="P92" s="593">
        <v>789</v>
      </c>
      <c r="Q92" s="593">
        <v>399.5</v>
      </c>
      <c r="R92" s="593">
        <v>4</v>
      </c>
      <c r="S92" s="593">
        <v>14.7</v>
      </c>
      <c r="T92" s="593">
        <v>639</v>
      </c>
      <c r="U92" s="593">
        <v>10</v>
      </c>
      <c r="V92" s="593">
        <v>455.8</v>
      </c>
      <c r="W92" s="593">
        <v>90.3</v>
      </c>
      <c r="X92" s="593">
        <v>0</v>
      </c>
      <c r="Y92" s="593">
        <v>31</v>
      </c>
      <c r="Z92" s="593">
        <v>6.9</v>
      </c>
      <c r="AA92" s="593">
        <v>7.9</v>
      </c>
      <c r="AB92" s="593">
        <v>3115</v>
      </c>
      <c r="AC92" s="593">
        <v>192.4</v>
      </c>
      <c r="AD92" s="593">
        <v>1649.1</v>
      </c>
      <c r="AE92" s="598">
        <f t="shared" si="5"/>
        <v>11496.9</v>
      </c>
    </row>
    <row r="93" spans="2:31" x14ac:dyDescent="0.15">
      <c r="B93" s="582" t="s">
        <v>543</v>
      </c>
      <c r="C93" s="597">
        <v>760</v>
      </c>
      <c r="D93" s="593">
        <v>428</v>
      </c>
      <c r="E93" s="593">
        <v>259.8</v>
      </c>
      <c r="F93" s="593">
        <v>28</v>
      </c>
      <c r="G93" s="593">
        <v>45</v>
      </c>
      <c r="H93" s="593">
        <v>174.7</v>
      </c>
      <c r="I93" s="593">
        <v>135</v>
      </c>
      <c r="J93" s="593">
        <v>8.4</v>
      </c>
      <c r="K93" s="593">
        <v>0</v>
      </c>
      <c r="L93" s="593">
        <v>580</v>
      </c>
      <c r="M93" s="593">
        <v>0</v>
      </c>
      <c r="N93" s="593">
        <v>242</v>
      </c>
      <c r="O93" s="593">
        <v>894.8</v>
      </c>
      <c r="P93" s="593">
        <v>137</v>
      </c>
      <c r="Q93" s="593">
        <v>827.3</v>
      </c>
      <c r="R93" s="593">
        <v>3</v>
      </c>
      <c r="S93" s="593">
        <v>5.7</v>
      </c>
      <c r="T93" s="593">
        <v>235</v>
      </c>
      <c r="U93" s="593">
        <v>12</v>
      </c>
      <c r="V93" s="593">
        <v>521.5</v>
      </c>
      <c r="W93" s="593">
        <v>203.6</v>
      </c>
      <c r="X93" s="593">
        <v>43</v>
      </c>
      <c r="Y93" s="593">
        <v>0</v>
      </c>
      <c r="Z93" s="593">
        <v>76.3</v>
      </c>
      <c r="AA93" s="593">
        <v>49.4</v>
      </c>
      <c r="AB93" s="593">
        <v>0</v>
      </c>
      <c r="AC93" s="593">
        <v>95.3</v>
      </c>
      <c r="AD93" s="593">
        <v>982.3</v>
      </c>
      <c r="AE93" s="598">
        <f t="shared" si="5"/>
        <v>6747.1</v>
      </c>
    </row>
    <row r="94" spans="2:31" x14ac:dyDescent="0.15">
      <c r="B94" s="582" t="s">
        <v>56</v>
      </c>
      <c r="C94" s="597">
        <v>882</v>
      </c>
      <c r="D94" s="593">
        <v>250</v>
      </c>
      <c r="E94" s="593">
        <v>55.7</v>
      </c>
      <c r="F94" s="593">
        <v>225.6</v>
      </c>
      <c r="G94" s="593">
        <v>6</v>
      </c>
      <c r="H94" s="593">
        <v>1555.2</v>
      </c>
      <c r="I94" s="593">
        <v>131.5</v>
      </c>
      <c r="J94" s="593">
        <v>7.3</v>
      </c>
      <c r="K94" s="593">
        <v>16.399999999999999</v>
      </c>
      <c r="L94" s="593">
        <v>339</v>
      </c>
      <c r="M94" s="593">
        <v>822</v>
      </c>
      <c r="N94" s="593">
        <v>53.5</v>
      </c>
      <c r="O94" s="593">
        <v>666.9</v>
      </c>
      <c r="P94" s="593">
        <v>98</v>
      </c>
      <c r="Q94" s="593">
        <v>431.2</v>
      </c>
      <c r="R94" s="593">
        <v>5</v>
      </c>
      <c r="S94" s="593">
        <v>16.600000000000001</v>
      </c>
      <c r="T94" s="593">
        <v>154</v>
      </c>
      <c r="U94" s="593">
        <v>5</v>
      </c>
      <c r="V94" s="593">
        <v>188.2</v>
      </c>
      <c r="W94" s="593">
        <v>726.1</v>
      </c>
      <c r="X94" s="593">
        <v>54</v>
      </c>
      <c r="Y94" s="593">
        <v>99</v>
      </c>
      <c r="Z94" s="593">
        <v>0</v>
      </c>
      <c r="AA94" s="593">
        <v>78.400000000000006</v>
      </c>
      <c r="AB94" s="593">
        <v>128.9</v>
      </c>
      <c r="AC94" s="593">
        <v>86.2</v>
      </c>
      <c r="AD94" s="593">
        <v>582.79999999999995</v>
      </c>
      <c r="AE94" s="598">
        <f t="shared" si="5"/>
        <v>7664.5</v>
      </c>
    </row>
    <row r="95" spans="2:31" x14ac:dyDescent="0.15">
      <c r="B95" s="582" t="s">
        <v>57</v>
      </c>
      <c r="C95" s="597">
        <v>545</v>
      </c>
      <c r="D95" s="593">
        <v>79</v>
      </c>
      <c r="E95" s="593">
        <v>50.9</v>
      </c>
      <c r="F95" s="593">
        <v>771.2</v>
      </c>
      <c r="G95" s="593">
        <v>1</v>
      </c>
      <c r="H95" s="593">
        <v>102.2</v>
      </c>
      <c r="I95" s="593">
        <v>60.5</v>
      </c>
      <c r="J95" s="593">
        <v>8.8000000000000007</v>
      </c>
      <c r="K95" s="593">
        <v>0</v>
      </c>
      <c r="L95" s="593">
        <v>117</v>
      </c>
      <c r="M95" s="593">
        <v>0</v>
      </c>
      <c r="N95" s="593">
        <v>29.5</v>
      </c>
      <c r="O95" s="593">
        <v>81.400000000000006</v>
      </c>
      <c r="P95" s="593">
        <v>55</v>
      </c>
      <c r="Q95" s="593">
        <v>438.8</v>
      </c>
      <c r="R95" s="593">
        <v>7</v>
      </c>
      <c r="S95" s="593">
        <v>13.6</v>
      </c>
      <c r="T95" s="593">
        <v>29</v>
      </c>
      <c r="U95" s="593">
        <v>3</v>
      </c>
      <c r="V95" s="593">
        <v>57.3</v>
      </c>
      <c r="W95" s="593">
        <v>67.900000000000006</v>
      </c>
      <c r="X95" s="593">
        <v>9</v>
      </c>
      <c r="Y95" s="593">
        <v>38.5</v>
      </c>
      <c r="Z95" s="593">
        <v>31.7</v>
      </c>
      <c r="AA95" s="593">
        <v>0</v>
      </c>
      <c r="AB95" s="593">
        <v>0</v>
      </c>
      <c r="AC95" s="593">
        <v>34.9</v>
      </c>
      <c r="AD95" s="593">
        <v>130.9</v>
      </c>
      <c r="AE95" s="598">
        <f t="shared" si="5"/>
        <v>2763.1000000000004</v>
      </c>
    </row>
    <row r="96" spans="2:31" x14ac:dyDescent="0.15">
      <c r="B96" s="582" t="s">
        <v>58</v>
      </c>
      <c r="C96" s="597">
        <v>435</v>
      </c>
      <c r="D96" s="593">
        <v>1667</v>
      </c>
      <c r="E96" s="593">
        <v>97.9</v>
      </c>
      <c r="F96" s="593">
        <v>73.7</v>
      </c>
      <c r="G96" s="593">
        <v>25</v>
      </c>
      <c r="H96" s="593">
        <v>360.6</v>
      </c>
      <c r="I96" s="593">
        <v>964.9</v>
      </c>
      <c r="J96" s="593">
        <v>33.200000000000003</v>
      </c>
      <c r="K96" s="593">
        <v>304.89999999999998</v>
      </c>
      <c r="L96" s="593">
        <v>9183</v>
      </c>
      <c r="M96" s="593">
        <v>5351</v>
      </c>
      <c r="N96" s="593">
        <v>211.7</v>
      </c>
      <c r="O96" s="593">
        <v>355.5</v>
      </c>
      <c r="P96" s="593">
        <v>3081</v>
      </c>
      <c r="Q96" s="593">
        <v>2779.8</v>
      </c>
      <c r="R96" s="593">
        <v>21</v>
      </c>
      <c r="S96" s="593">
        <v>112.9</v>
      </c>
      <c r="T96" s="593">
        <v>2200</v>
      </c>
      <c r="U96" s="593">
        <v>50</v>
      </c>
      <c r="V96" s="593">
        <v>2592.6</v>
      </c>
      <c r="W96" s="593">
        <v>489.5</v>
      </c>
      <c r="X96" s="593">
        <v>3098</v>
      </c>
      <c r="Y96" s="593">
        <v>757.6</v>
      </c>
      <c r="Z96" s="593">
        <v>49.7</v>
      </c>
      <c r="AA96" s="593">
        <v>34.6</v>
      </c>
      <c r="AB96" s="593">
        <v>0</v>
      </c>
      <c r="AC96" s="593">
        <v>777.8</v>
      </c>
      <c r="AD96" s="593">
        <v>7868.1</v>
      </c>
      <c r="AE96" s="598">
        <f t="shared" si="5"/>
        <v>42975.999999999993</v>
      </c>
    </row>
    <row r="97" spans="1:34" x14ac:dyDescent="0.15">
      <c r="B97" s="582" t="s">
        <v>59</v>
      </c>
      <c r="C97" s="597">
        <v>766</v>
      </c>
      <c r="D97" s="593">
        <v>1665</v>
      </c>
      <c r="E97" s="593">
        <v>66.8</v>
      </c>
      <c r="F97" s="593">
        <v>268.7</v>
      </c>
      <c r="G97" s="593">
        <v>82</v>
      </c>
      <c r="H97" s="593">
        <v>279</v>
      </c>
      <c r="I97" s="593">
        <v>5544.3</v>
      </c>
      <c r="J97" s="593">
        <v>420.2</v>
      </c>
      <c r="K97" s="593">
        <v>3136.7</v>
      </c>
      <c r="L97" s="593">
        <v>2556</v>
      </c>
      <c r="M97" s="593">
        <v>0</v>
      </c>
      <c r="N97" s="593">
        <v>324.39999999999998</v>
      </c>
      <c r="O97" s="593">
        <v>350</v>
      </c>
      <c r="P97" s="593">
        <v>2299</v>
      </c>
      <c r="Q97" s="593">
        <v>1185.5999999999999</v>
      </c>
      <c r="R97" s="593">
        <v>232</v>
      </c>
      <c r="S97" s="593">
        <v>205.4</v>
      </c>
      <c r="T97" s="593">
        <v>1932</v>
      </c>
      <c r="U97" s="593">
        <v>262</v>
      </c>
      <c r="V97" s="593">
        <v>1853.4</v>
      </c>
      <c r="W97" s="593">
        <v>1233.7</v>
      </c>
      <c r="X97" s="593">
        <v>229</v>
      </c>
      <c r="Y97" s="593">
        <v>181.5</v>
      </c>
      <c r="Z97" s="593">
        <v>62.5</v>
      </c>
      <c r="AA97" s="593">
        <v>59.7</v>
      </c>
      <c r="AB97" s="593">
        <v>0</v>
      </c>
      <c r="AC97" s="593">
        <v>0</v>
      </c>
      <c r="AD97" s="593">
        <v>5651.4</v>
      </c>
      <c r="AE97" s="598">
        <f t="shared" si="5"/>
        <v>30846.300000000003</v>
      </c>
    </row>
    <row r="98" spans="1:34" x14ac:dyDescent="0.15">
      <c r="B98" s="582" t="s">
        <v>62</v>
      </c>
      <c r="C98" s="597">
        <v>2082</v>
      </c>
      <c r="D98" s="593">
        <v>8946</v>
      </c>
      <c r="E98" s="593">
        <v>648.79999999999995</v>
      </c>
      <c r="F98" s="593">
        <v>505.1</v>
      </c>
      <c r="G98" s="593">
        <v>1815</v>
      </c>
      <c r="H98" s="593">
        <v>1202.5</v>
      </c>
      <c r="I98" s="593">
        <v>4465.8</v>
      </c>
      <c r="J98" s="593">
        <v>251.4</v>
      </c>
      <c r="K98" s="593">
        <v>1440.6</v>
      </c>
      <c r="L98" s="593">
        <v>26044</v>
      </c>
      <c r="M98" s="593">
        <v>24161</v>
      </c>
      <c r="N98" s="593">
        <v>4580.7</v>
      </c>
      <c r="O98" s="593">
        <v>1571.9</v>
      </c>
      <c r="P98" s="593">
        <v>23535</v>
      </c>
      <c r="Q98" s="593">
        <v>7390.1</v>
      </c>
      <c r="R98" s="593">
        <v>427</v>
      </c>
      <c r="S98" s="593">
        <v>256.7</v>
      </c>
      <c r="T98" s="593">
        <v>13755</v>
      </c>
      <c r="U98" s="593">
        <v>1209</v>
      </c>
      <c r="V98" s="593">
        <v>16458.400000000001</v>
      </c>
      <c r="W98" s="593">
        <v>2840.3</v>
      </c>
      <c r="X98" s="593">
        <v>3719</v>
      </c>
      <c r="Y98" s="593">
        <v>1079.3</v>
      </c>
      <c r="Z98" s="593">
        <v>209.4</v>
      </c>
      <c r="AA98" s="593">
        <v>166.2</v>
      </c>
      <c r="AB98" s="593">
        <v>15922</v>
      </c>
      <c r="AC98" s="593">
        <v>6344.1</v>
      </c>
      <c r="AD98" s="593">
        <v>0</v>
      </c>
      <c r="AE98" s="598">
        <f t="shared" si="5"/>
        <v>171026.3</v>
      </c>
    </row>
    <row r="99" spans="1:34" x14ac:dyDescent="0.15">
      <c r="A99" s="573"/>
      <c r="B99" s="587" t="s">
        <v>1106</v>
      </c>
      <c r="C99" s="610">
        <v>39680</v>
      </c>
      <c r="D99" s="607">
        <v>69616</v>
      </c>
      <c r="E99" s="607">
        <v>4470.8</v>
      </c>
      <c r="F99" s="607">
        <v>8129</v>
      </c>
      <c r="G99" s="607">
        <v>4517</v>
      </c>
      <c r="H99" s="607">
        <v>14358</v>
      </c>
      <c r="I99" s="607">
        <v>26883.8</v>
      </c>
      <c r="J99" s="607">
        <v>3543.3</v>
      </c>
      <c r="K99" s="607">
        <v>11781.5</v>
      </c>
      <c r="L99" s="607">
        <v>119797</v>
      </c>
      <c r="M99" s="607">
        <v>118095</v>
      </c>
      <c r="N99" s="607">
        <v>17619</v>
      </c>
      <c r="O99" s="607">
        <v>14195.7</v>
      </c>
      <c r="P99" s="607">
        <v>65641</v>
      </c>
      <c r="Q99" s="607">
        <v>49270.3</v>
      </c>
      <c r="R99" s="607">
        <v>2313</v>
      </c>
      <c r="S99" s="607">
        <v>3732.6</v>
      </c>
      <c r="T99" s="607">
        <v>61021</v>
      </c>
      <c r="U99" s="607">
        <v>3497</v>
      </c>
      <c r="V99" s="607">
        <v>83491.7</v>
      </c>
      <c r="W99" s="607">
        <v>28277</v>
      </c>
      <c r="X99" s="607">
        <v>19106.099999999999</v>
      </c>
      <c r="Y99" s="607">
        <v>13244</v>
      </c>
      <c r="Z99" s="607">
        <v>5778.2</v>
      </c>
      <c r="AA99" s="607">
        <v>4774.6000000000004</v>
      </c>
      <c r="AB99" s="607">
        <v>67279</v>
      </c>
      <c r="AC99" s="607">
        <v>34157.800000000003</v>
      </c>
      <c r="AD99" s="607">
        <v>122491.2</v>
      </c>
      <c r="AE99" s="606">
        <v>1016760.6</v>
      </c>
      <c r="AH99" s="574"/>
    </row>
    <row r="100" spans="1:34" x14ac:dyDescent="0.15">
      <c r="A100" s="573"/>
      <c r="B100" s="591" t="s">
        <v>1108</v>
      </c>
      <c r="C100" s="610">
        <f t="shared" ref="C100:AE100" si="6">+C99-C90-C89-C88-C84-C75-C72</f>
        <v>35638</v>
      </c>
      <c r="D100" s="607">
        <f t="shared" si="6"/>
        <v>47520</v>
      </c>
      <c r="E100" s="607">
        <f t="shared" si="6"/>
        <v>3868.1000000000004</v>
      </c>
      <c r="F100" s="607">
        <f t="shared" si="6"/>
        <v>7397.2000000000007</v>
      </c>
      <c r="G100" s="607">
        <f t="shared" si="6"/>
        <v>4234</v>
      </c>
      <c r="H100" s="607">
        <f t="shared" si="6"/>
        <v>11937.6</v>
      </c>
      <c r="I100" s="607">
        <f t="shared" si="6"/>
        <v>23285.200000000001</v>
      </c>
      <c r="J100" s="607">
        <f t="shared" si="6"/>
        <v>3266.5000000000005</v>
      </c>
      <c r="K100" s="607">
        <f t="shared" si="6"/>
        <v>10534</v>
      </c>
      <c r="L100" s="607">
        <f t="shared" si="6"/>
        <v>83221</v>
      </c>
      <c r="M100" s="607">
        <f t="shared" si="6"/>
        <v>84972</v>
      </c>
      <c r="N100" s="607">
        <f t="shared" si="6"/>
        <v>14879.400000000003</v>
      </c>
      <c r="O100" s="607">
        <f t="shared" si="6"/>
        <v>12506.6</v>
      </c>
      <c r="P100" s="607">
        <f t="shared" si="6"/>
        <v>57685</v>
      </c>
      <c r="Q100" s="607">
        <f t="shared" si="6"/>
        <v>39264.699999999997</v>
      </c>
      <c r="R100" s="607">
        <f t="shared" si="6"/>
        <v>1923</v>
      </c>
      <c r="S100" s="607">
        <f t="shared" si="6"/>
        <v>3264.9</v>
      </c>
      <c r="T100" s="607">
        <f t="shared" si="6"/>
        <v>51719</v>
      </c>
      <c r="U100" s="607">
        <f t="shared" si="6"/>
        <v>3277</v>
      </c>
      <c r="V100" s="607">
        <f t="shared" si="6"/>
        <v>58026.6</v>
      </c>
      <c r="W100" s="607">
        <f t="shared" si="6"/>
        <v>22980.199999999997</v>
      </c>
      <c r="X100" s="607">
        <f t="shared" si="6"/>
        <v>16246.099999999999</v>
      </c>
      <c r="Y100" s="607">
        <f t="shared" si="6"/>
        <v>11101.899999999998</v>
      </c>
      <c r="Z100" s="607">
        <f t="shared" si="6"/>
        <v>5020.5</v>
      </c>
      <c r="AA100" s="607">
        <f t="shared" si="6"/>
        <v>4248.7000000000007</v>
      </c>
      <c r="AB100" s="607">
        <f t="shared" si="6"/>
        <v>56957.1</v>
      </c>
      <c r="AC100" s="607">
        <f t="shared" si="6"/>
        <v>28414</v>
      </c>
      <c r="AD100" s="607">
        <f t="shared" si="6"/>
        <v>82813.100000000006</v>
      </c>
      <c r="AE100" s="606">
        <f t="shared" si="6"/>
        <v>786201.4</v>
      </c>
    </row>
    <row r="101" spans="1:34" ht="15" thickBot="1" x14ac:dyDescent="0.2">
      <c r="A101" s="573"/>
      <c r="B101" s="592" t="s">
        <v>1109</v>
      </c>
      <c r="C101" s="614">
        <f t="shared" ref="C101:AE101" si="7">+C99-C100</f>
        <v>4042</v>
      </c>
      <c r="D101" s="615">
        <f t="shared" si="7"/>
        <v>22096</v>
      </c>
      <c r="E101" s="615">
        <f t="shared" si="7"/>
        <v>602.69999999999982</v>
      </c>
      <c r="F101" s="615">
        <f t="shared" si="7"/>
        <v>731.79999999999927</v>
      </c>
      <c r="G101" s="615">
        <f t="shared" si="7"/>
        <v>283</v>
      </c>
      <c r="H101" s="615">
        <f t="shared" si="7"/>
        <v>2420.3999999999996</v>
      </c>
      <c r="I101" s="615">
        <f t="shared" si="7"/>
        <v>3598.5999999999985</v>
      </c>
      <c r="J101" s="615">
        <f t="shared" si="7"/>
        <v>276.79999999999973</v>
      </c>
      <c r="K101" s="615">
        <f t="shared" si="7"/>
        <v>1247.5</v>
      </c>
      <c r="L101" s="615">
        <f t="shared" si="7"/>
        <v>36576</v>
      </c>
      <c r="M101" s="615">
        <f t="shared" si="7"/>
        <v>33123</v>
      </c>
      <c r="N101" s="615">
        <f t="shared" si="7"/>
        <v>2739.5999999999967</v>
      </c>
      <c r="O101" s="615">
        <f t="shared" si="7"/>
        <v>1689.1000000000004</v>
      </c>
      <c r="P101" s="615">
        <f t="shared" si="7"/>
        <v>7956</v>
      </c>
      <c r="Q101" s="615">
        <f t="shared" si="7"/>
        <v>10005.600000000006</v>
      </c>
      <c r="R101" s="615">
        <f t="shared" si="7"/>
        <v>390</v>
      </c>
      <c r="S101" s="615">
        <f t="shared" si="7"/>
        <v>467.69999999999982</v>
      </c>
      <c r="T101" s="615">
        <f t="shared" si="7"/>
        <v>9302</v>
      </c>
      <c r="U101" s="615">
        <f t="shared" si="7"/>
        <v>220</v>
      </c>
      <c r="V101" s="615">
        <f t="shared" si="7"/>
        <v>25465.1</v>
      </c>
      <c r="W101" s="615">
        <f t="shared" si="7"/>
        <v>5296.8000000000029</v>
      </c>
      <c r="X101" s="615">
        <f t="shared" si="7"/>
        <v>2860</v>
      </c>
      <c r="Y101" s="615">
        <f t="shared" si="7"/>
        <v>2142.1000000000022</v>
      </c>
      <c r="Z101" s="615">
        <f t="shared" si="7"/>
        <v>757.69999999999982</v>
      </c>
      <c r="AA101" s="615">
        <f t="shared" si="7"/>
        <v>525.89999999999964</v>
      </c>
      <c r="AB101" s="615">
        <f t="shared" si="7"/>
        <v>10321.900000000001</v>
      </c>
      <c r="AC101" s="615">
        <f t="shared" si="7"/>
        <v>5743.8000000000029</v>
      </c>
      <c r="AD101" s="615">
        <f t="shared" si="7"/>
        <v>39678.099999999991</v>
      </c>
      <c r="AE101" s="616">
        <f t="shared" si="7"/>
        <v>230559.19999999995</v>
      </c>
    </row>
    <row r="102" spans="1:34" ht="15" thickBot="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row>
    <row r="103" spans="1:34" x14ac:dyDescent="0.15">
      <c r="A103" s="573"/>
      <c r="B103" s="2420" t="s">
        <v>1112</v>
      </c>
      <c r="C103" s="2421"/>
      <c r="D103" s="2421"/>
      <c r="E103" s="2421"/>
      <c r="F103" s="2421"/>
      <c r="G103" s="2421"/>
      <c r="H103" s="2421"/>
      <c r="I103" s="2421"/>
      <c r="J103" s="2421"/>
      <c r="K103" s="2421"/>
      <c r="L103" s="2421"/>
      <c r="M103" s="2421"/>
      <c r="N103" s="2421"/>
      <c r="O103" s="2421"/>
      <c r="P103" s="2421"/>
      <c r="Q103" s="2421"/>
      <c r="R103" s="2421"/>
      <c r="S103" s="2421"/>
      <c r="T103" s="2421"/>
      <c r="U103" s="2421"/>
      <c r="V103" s="2421"/>
      <c r="W103" s="2421"/>
      <c r="X103" s="2421"/>
      <c r="Y103" s="2421"/>
      <c r="Z103" s="2421"/>
      <c r="AA103" s="2421"/>
      <c r="AB103" s="2421"/>
      <c r="AC103" s="2421"/>
      <c r="AD103" s="2421"/>
      <c r="AE103" s="2422"/>
    </row>
    <row r="104" spans="1:34" ht="15" thickBot="1" x14ac:dyDescent="0.2">
      <c r="A104" s="573"/>
      <c r="B104" s="2423"/>
      <c r="C104" s="2424"/>
      <c r="D104" s="2424"/>
      <c r="E104" s="2424"/>
      <c r="F104" s="2424"/>
      <c r="G104" s="2424"/>
      <c r="H104" s="2424"/>
      <c r="I104" s="2424"/>
      <c r="J104" s="2424"/>
      <c r="K104" s="2424"/>
      <c r="L104" s="2424"/>
      <c r="M104" s="2424"/>
      <c r="N104" s="2424"/>
      <c r="O104" s="2424"/>
      <c r="P104" s="2424"/>
      <c r="Q104" s="2424"/>
      <c r="R104" s="2424"/>
      <c r="S104" s="2424"/>
      <c r="T104" s="2424"/>
      <c r="U104" s="2424"/>
      <c r="V104" s="2424"/>
      <c r="W104" s="2424"/>
      <c r="X104" s="2424"/>
      <c r="Y104" s="2424"/>
      <c r="Z104" s="2424"/>
      <c r="AA104" s="2424"/>
      <c r="AB104" s="2424"/>
      <c r="AC104" s="2424"/>
      <c r="AD104" s="2424"/>
      <c r="AE104" s="2425"/>
    </row>
    <row r="105" spans="1:34" x14ac:dyDescent="0.15">
      <c r="A105" s="573"/>
      <c r="B105" s="573"/>
      <c r="C105" s="573"/>
      <c r="D105" s="573"/>
      <c r="E105" s="58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row>
    <row r="106" spans="1:34" x14ac:dyDescent="0.15">
      <c r="A106" s="573"/>
      <c r="B106" s="573"/>
      <c r="C106" s="573"/>
      <c r="D106" s="573"/>
      <c r="E106" s="58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row>
    <row r="107" spans="1:34" x14ac:dyDescent="0.15">
      <c r="A107" s="573"/>
      <c r="B107" s="573"/>
      <c r="C107" s="573"/>
      <c r="D107" s="573"/>
      <c r="E107" s="58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row>
    <row r="112" spans="1:34" x14ac:dyDescent="0.15">
      <c r="M112" s="574"/>
      <c r="AE112" s="574"/>
    </row>
    <row r="113" spans="4:31" x14ac:dyDescent="0.15">
      <c r="L113" s="574"/>
      <c r="M113" s="574"/>
      <c r="V113" s="574"/>
      <c r="AE113" s="574"/>
    </row>
    <row r="117" spans="4:31" x14ac:dyDescent="0.15">
      <c r="AE117" s="574"/>
    </row>
    <row r="118" spans="4:31" x14ac:dyDescent="0.15">
      <c r="AE118" s="574"/>
    </row>
    <row r="121" spans="4:31" x14ac:dyDescent="0.15">
      <c r="M121" s="574"/>
      <c r="Q121" s="574"/>
      <c r="T121" s="574"/>
      <c r="V121" s="574"/>
      <c r="AE121" s="574"/>
    </row>
    <row r="122" spans="4:31" x14ac:dyDescent="0.15">
      <c r="D122" s="574"/>
      <c r="L122" s="574"/>
      <c r="P122" s="574"/>
      <c r="T122" s="574"/>
      <c r="AE122" s="574"/>
    </row>
    <row r="125" spans="4:31" x14ac:dyDescent="0.15">
      <c r="L125" s="574"/>
      <c r="Q125" s="574"/>
      <c r="V125" s="574"/>
      <c r="AE125" s="574"/>
    </row>
    <row r="126" spans="4:31" x14ac:dyDescent="0.15">
      <c r="D126" s="576">
        <f>TableF4!D36+TableF4!G36+TableF4!P36+TableF4!T36+TableF4!V36</f>
        <v>-68911.199999999997</v>
      </c>
      <c r="P126" s="574"/>
      <c r="T126" s="574"/>
      <c r="AE126" s="574"/>
    </row>
    <row r="129" spans="2:31" x14ac:dyDescent="0.15">
      <c r="AE129" s="574"/>
    </row>
    <row r="131" spans="2:31" x14ac:dyDescent="0.15">
      <c r="D131" s="574"/>
      <c r="L131" s="574"/>
      <c r="M131" s="574"/>
      <c r="P131" s="574"/>
      <c r="T131" s="574"/>
      <c r="AE131" s="574"/>
    </row>
    <row r="132" spans="2:31" x14ac:dyDescent="0.15">
      <c r="AE132" s="574"/>
    </row>
    <row r="137" spans="2:31" x14ac:dyDescent="0.15">
      <c r="AE137" s="574"/>
    </row>
    <row r="138" spans="2:31" x14ac:dyDescent="0.15">
      <c r="T138" s="574"/>
      <c r="AE138" s="574"/>
    </row>
    <row r="140" spans="2:31" x14ac:dyDescent="0.15">
      <c r="C140" s="574"/>
      <c r="D140" s="574"/>
      <c r="L140" s="574"/>
      <c r="M140" s="574"/>
      <c r="P140" s="574"/>
      <c r="Q140" s="574"/>
      <c r="T140" s="574"/>
      <c r="V140" s="574"/>
      <c r="W140" s="574"/>
      <c r="Y140" s="574"/>
      <c r="AB140" s="574"/>
      <c r="AC140" s="574"/>
      <c r="AE140" s="574"/>
    </row>
    <row r="141" spans="2:31" x14ac:dyDescent="0.15">
      <c r="B141" s="579"/>
      <c r="C141" s="579"/>
      <c r="D141" s="579"/>
      <c r="E141" s="579"/>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row>
    <row r="142" spans="2:31" x14ac:dyDescent="0.15">
      <c r="B142" s="579"/>
      <c r="C142" s="579"/>
      <c r="D142" s="579"/>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row>
    <row r="145" spans="4:31" x14ac:dyDescent="0.15">
      <c r="D145" s="580"/>
      <c r="E145" s="577"/>
    </row>
    <row r="146" spans="4:31" x14ac:dyDescent="0.15">
      <c r="D146" s="580"/>
      <c r="E146" s="577"/>
    </row>
    <row r="147" spans="4:31" x14ac:dyDescent="0.15">
      <c r="D147" s="580"/>
      <c r="E147" s="577"/>
    </row>
    <row r="148" spans="4:31" x14ac:dyDescent="0.15">
      <c r="D148" s="580"/>
      <c r="E148" s="577"/>
    </row>
    <row r="153" spans="4:31" x14ac:dyDescent="0.15">
      <c r="M153" s="574"/>
      <c r="AD153" s="574"/>
      <c r="AE153" s="574"/>
    </row>
    <row r="154" spans="4:31" x14ac:dyDescent="0.15">
      <c r="L154" s="574"/>
      <c r="M154" s="574"/>
      <c r="P154" s="574"/>
      <c r="Q154" s="574"/>
      <c r="T154" s="574"/>
      <c r="V154" s="574"/>
      <c r="AD154" s="574"/>
      <c r="AE154" s="574"/>
    </row>
    <row r="155" spans="4:31" x14ac:dyDescent="0.15">
      <c r="AE155" s="574"/>
    </row>
    <row r="156" spans="4:31" x14ac:dyDescent="0.15">
      <c r="AE156" s="574"/>
    </row>
    <row r="157" spans="4:31" x14ac:dyDescent="0.15">
      <c r="AE157" s="574"/>
    </row>
    <row r="158" spans="4:31" x14ac:dyDescent="0.15">
      <c r="M158" s="574"/>
      <c r="AE158" s="574"/>
    </row>
    <row r="159" spans="4:31" x14ac:dyDescent="0.15">
      <c r="M159" s="574"/>
      <c r="AC159" s="574"/>
      <c r="AD159" s="574"/>
      <c r="AE159" s="574"/>
    </row>
    <row r="162" spans="3:31" x14ac:dyDescent="0.15">
      <c r="D162" s="574"/>
      <c r="M162" s="574"/>
      <c r="P162" s="574"/>
      <c r="Q162" s="574"/>
      <c r="T162" s="574"/>
      <c r="V162" s="574"/>
      <c r="AB162" s="574"/>
      <c r="AC162" s="574"/>
      <c r="AD162" s="574"/>
      <c r="AE162" s="574"/>
    </row>
    <row r="163" spans="3:31" x14ac:dyDescent="0.15">
      <c r="C163" s="574"/>
      <c r="D163" s="574"/>
      <c r="H163" s="574"/>
      <c r="I163" s="574"/>
      <c r="L163" s="574"/>
      <c r="P163" s="574"/>
      <c r="Q163" s="574"/>
      <c r="T163" s="574"/>
      <c r="V163" s="574"/>
      <c r="W163" s="574"/>
      <c r="AB163" s="574"/>
      <c r="AC163" s="574"/>
      <c r="AD163" s="574"/>
      <c r="AE163" s="574"/>
    </row>
    <row r="164" spans="3:31" x14ac:dyDescent="0.15">
      <c r="AE164" s="574"/>
    </row>
    <row r="165" spans="3:31" x14ac:dyDescent="0.15">
      <c r="M165" s="574"/>
      <c r="AE165" s="574"/>
    </row>
    <row r="166" spans="3:31" x14ac:dyDescent="0.15">
      <c r="D166" s="574"/>
      <c r="L166" s="574"/>
      <c r="M166" s="574"/>
      <c r="Q166" s="574"/>
      <c r="V166" s="574"/>
      <c r="AD166" s="574"/>
      <c r="AE166" s="574"/>
    </row>
    <row r="167" spans="3:31" x14ac:dyDescent="0.15">
      <c r="D167" s="574"/>
      <c r="L167" s="574"/>
      <c r="M167" s="574"/>
      <c r="P167" s="574"/>
      <c r="T167" s="574"/>
      <c r="V167" s="574"/>
      <c r="AB167" s="574"/>
      <c r="AD167" s="574"/>
      <c r="AE167" s="574"/>
    </row>
    <row r="170" spans="3:31" x14ac:dyDescent="0.15">
      <c r="D170" s="574"/>
      <c r="L170" s="574"/>
      <c r="M170" s="574"/>
      <c r="P170" s="574"/>
      <c r="Q170" s="574"/>
      <c r="V170" s="574"/>
      <c r="AC170" s="574"/>
      <c r="AD170" s="574"/>
      <c r="AE170" s="574"/>
    </row>
    <row r="171" spans="3:31" x14ac:dyDescent="0.15">
      <c r="AE171" s="574"/>
    </row>
    <row r="172" spans="3:31" x14ac:dyDescent="0.15">
      <c r="D172" s="574"/>
      <c r="L172" s="574"/>
      <c r="M172" s="574"/>
      <c r="P172" s="574"/>
      <c r="Q172" s="574"/>
      <c r="AD172" s="574"/>
      <c r="AE172" s="574"/>
    </row>
    <row r="173" spans="3:31" x14ac:dyDescent="0.15">
      <c r="L173" s="574"/>
      <c r="M173" s="574"/>
      <c r="AD173" s="574"/>
      <c r="AE173" s="574"/>
    </row>
    <row r="175" spans="3:31" x14ac:dyDescent="0.15">
      <c r="AE175" s="574"/>
    </row>
    <row r="176" spans="3:31" x14ac:dyDescent="0.15">
      <c r="AE176" s="574"/>
    </row>
    <row r="177" spans="2:31" x14ac:dyDescent="0.15">
      <c r="AE177" s="574"/>
    </row>
    <row r="178" spans="2:31" x14ac:dyDescent="0.15">
      <c r="AE178" s="574"/>
    </row>
    <row r="179" spans="2:31" x14ac:dyDescent="0.15">
      <c r="I179" s="574"/>
      <c r="K179" s="574"/>
      <c r="L179" s="574"/>
      <c r="M179" s="574"/>
      <c r="P179" s="574"/>
      <c r="AD179" s="574"/>
      <c r="AE179" s="574"/>
    </row>
    <row r="181" spans="2:31" x14ac:dyDescent="0.15">
      <c r="C181" s="574"/>
      <c r="D181" s="574"/>
      <c r="E181" s="574"/>
      <c r="G181" s="574"/>
      <c r="H181" s="574"/>
      <c r="I181" s="574"/>
      <c r="K181" s="574"/>
      <c r="L181" s="574"/>
      <c r="M181" s="574"/>
      <c r="N181" s="574"/>
      <c r="O181" s="574"/>
      <c r="P181" s="574"/>
      <c r="Q181" s="574"/>
      <c r="T181" s="574"/>
      <c r="U181" s="574"/>
      <c r="V181" s="574"/>
      <c r="W181" s="574"/>
      <c r="X181" s="574"/>
      <c r="Y181" s="574"/>
      <c r="Z181" s="574"/>
      <c r="AB181" s="574"/>
      <c r="AC181" s="574"/>
      <c r="AD181" s="574"/>
      <c r="AE181" s="574"/>
    </row>
    <row r="182" spans="2:31" x14ac:dyDescent="0.15">
      <c r="B182" s="579"/>
      <c r="C182" s="579"/>
      <c r="D182" s="579"/>
      <c r="E182" s="579"/>
      <c r="F182" s="579"/>
      <c r="G182" s="579"/>
      <c r="H182" s="579"/>
      <c r="I182" s="579"/>
      <c r="J182" s="579"/>
      <c r="K182" s="579"/>
      <c r="L182" s="579"/>
      <c r="M182" s="579"/>
      <c r="N182" s="579"/>
      <c r="O182" s="579"/>
      <c r="P182" s="579"/>
      <c r="Q182" s="579"/>
      <c r="R182" s="579"/>
      <c r="S182" s="579"/>
      <c r="T182" s="579"/>
      <c r="U182" s="579"/>
      <c r="V182" s="579"/>
      <c r="W182" s="579"/>
      <c r="X182" s="579"/>
      <c r="Y182" s="579"/>
      <c r="Z182" s="579"/>
      <c r="AA182" s="579"/>
      <c r="AB182" s="579"/>
      <c r="AC182" s="579"/>
      <c r="AD182" s="579"/>
      <c r="AE182" s="579"/>
    </row>
    <row r="183" spans="2:31" x14ac:dyDescent="0.15">
      <c r="B183" s="579"/>
      <c r="C183" s="579"/>
      <c r="D183" s="579"/>
      <c r="E183" s="579"/>
      <c r="F183" s="579"/>
      <c r="G183" s="579"/>
      <c r="H183" s="579"/>
      <c r="I183" s="579"/>
      <c r="J183" s="579"/>
      <c r="K183" s="579"/>
      <c r="L183" s="579"/>
      <c r="M183" s="579"/>
      <c r="N183" s="579"/>
      <c r="O183" s="579"/>
      <c r="P183" s="579"/>
      <c r="Q183" s="579"/>
      <c r="R183" s="579"/>
      <c r="S183" s="579"/>
      <c r="T183" s="579"/>
      <c r="U183" s="579"/>
      <c r="V183" s="579"/>
      <c r="W183" s="579"/>
      <c r="X183" s="579"/>
      <c r="Y183" s="579"/>
      <c r="Z183" s="579"/>
      <c r="AA183" s="579"/>
      <c r="AB183" s="579"/>
      <c r="AC183" s="579"/>
      <c r="AD183" s="579"/>
      <c r="AE183" s="579"/>
    </row>
    <row r="186" spans="2:31" x14ac:dyDescent="0.15">
      <c r="D186" s="580"/>
      <c r="E186" s="577"/>
    </row>
    <row r="187" spans="2:31" x14ac:dyDescent="0.15">
      <c r="D187" s="580"/>
      <c r="E187" s="577"/>
    </row>
    <row r="188" spans="2:31" x14ac:dyDescent="0.15">
      <c r="D188" s="580"/>
      <c r="E188" s="577"/>
    </row>
    <row r="189" spans="2:31" x14ac:dyDescent="0.15">
      <c r="D189" s="580"/>
      <c r="E189" s="577"/>
    </row>
  </sheetData>
  <mergeCells count="3">
    <mergeCell ref="B2:AE2"/>
    <mergeCell ref="C4:AE4"/>
    <mergeCell ref="B103:AE104"/>
  </mergeCells>
  <pageMargins left="0.7" right="0.7" top="0.75" bottom="0.75" header="0.3" footer="0.3"/>
  <pageSetup paperSize="9" scale="28" orientation="landscape"/>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35"/>
  <sheetViews>
    <sheetView workbookViewId="0">
      <selection activeCell="H10" sqref="H10"/>
    </sheetView>
  </sheetViews>
  <sheetFormatPr baseColWidth="10" defaultColWidth="8.83203125" defaultRowHeight="16" x14ac:dyDescent="0.2"/>
  <cols>
    <col min="1" max="1" width="26.6640625" style="143" bestFit="1" customWidth="1"/>
    <col min="2" max="2" width="21.1640625" style="143" bestFit="1" customWidth="1"/>
    <col min="3" max="3" width="21" style="143" bestFit="1" customWidth="1"/>
    <col min="4" max="4" width="11.1640625" style="143" bestFit="1" customWidth="1"/>
    <col min="5" max="6" width="8.83203125" style="143"/>
    <col min="7" max="7" width="26.5" style="143" bestFit="1" customWidth="1"/>
    <col min="8" max="11" width="17.33203125" style="143" customWidth="1"/>
    <col min="12" max="15" width="8.83203125" style="143"/>
    <col min="16" max="16" width="26.6640625" style="143" bestFit="1" customWidth="1"/>
    <col min="17" max="16384" width="8.83203125" style="143"/>
  </cols>
  <sheetData>
    <row r="1" spans="1:13" x14ac:dyDescent="0.2">
      <c r="A1" s="954"/>
      <c r="B1" s="954"/>
      <c r="C1" s="954"/>
      <c r="D1" s="954"/>
      <c r="E1" s="954"/>
      <c r="F1" s="954"/>
      <c r="G1" s="1027"/>
      <c r="H1" s="573"/>
      <c r="I1" s="573"/>
      <c r="J1" s="573"/>
      <c r="K1" s="573"/>
      <c r="L1" s="1027"/>
      <c r="M1" s="1027"/>
    </row>
    <row r="2" spans="1:13" ht="17" thickBot="1" x14ac:dyDescent="0.25">
      <c r="A2" s="954"/>
      <c r="B2" s="954"/>
      <c r="C2" s="954"/>
      <c r="D2" s="954"/>
      <c r="E2" s="954"/>
      <c r="F2" s="954"/>
      <c r="G2" s="160"/>
      <c r="H2" s="160"/>
      <c r="I2" s="160"/>
      <c r="J2" s="160"/>
      <c r="K2" s="573"/>
      <c r="L2" s="1027"/>
      <c r="M2" s="954"/>
    </row>
    <row r="3" spans="1:13" x14ac:dyDescent="0.2">
      <c r="A3" s="2426" t="s">
        <v>1113</v>
      </c>
      <c r="B3" s="2427"/>
      <c r="C3" s="2427"/>
      <c r="D3" s="2428"/>
      <c r="E3" s="596"/>
      <c r="F3" s="954"/>
      <c r="G3" s="954"/>
      <c r="H3" s="954"/>
      <c r="I3" s="954"/>
      <c r="J3" s="954"/>
      <c r="K3" s="954"/>
      <c r="L3" s="1027"/>
      <c r="M3" s="954"/>
    </row>
    <row r="4" spans="1:13" x14ac:dyDescent="0.2">
      <c r="A4" s="582"/>
      <c r="B4" s="1027"/>
      <c r="C4" s="1027"/>
      <c r="D4" s="953"/>
      <c r="E4" s="954"/>
      <c r="F4" s="954"/>
      <c r="G4" s="954"/>
      <c r="H4" s="954"/>
      <c r="I4" s="954"/>
      <c r="J4" s="954"/>
      <c r="K4" s="954"/>
      <c r="L4" s="1027"/>
      <c r="M4" s="954"/>
    </row>
    <row r="5" spans="1:13" ht="17" thickBot="1" x14ac:dyDescent="0.25">
      <c r="A5" s="955"/>
      <c r="B5" s="160" t="s">
        <v>1</v>
      </c>
      <c r="C5" s="160" t="s">
        <v>2</v>
      </c>
      <c r="D5" s="548" t="s">
        <v>3</v>
      </c>
      <c r="E5" s="954"/>
      <c r="F5" s="954"/>
      <c r="G5" s="954"/>
      <c r="H5" s="954"/>
      <c r="I5" s="954"/>
      <c r="J5" s="954"/>
      <c r="K5" s="954"/>
      <c r="L5" s="1027"/>
      <c r="M5" s="954"/>
    </row>
    <row r="6" spans="1:13" x14ac:dyDescent="0.2">
      <c r="A6" s="955"/>
      <c r="B6" s="2429" t="s">
        <v>1114</v>
      </c>
      <c r="C6" s="2430"/>
      <c r="D6" s="2431"/>
      <c r="E6" s="954"/>
      <c r="F6" s="954"/>
      <c r="G6" s="954"/>
      <c r="H6" s="954"/>
      <c r="I6" s="954"/>
      <c r="J6" s="954"/>
      <c r="K6" s="954"/>
      <c r="L6" s="1027"/>
      <c r="M6" s="954"/>
    </row>
    <row r="7" spans="1:13" ht="31" x14ac:dyDescent="0.2">
      <c r="A7" s="1736" t="s">
        <v>1115</v>
      </c>
      <c r="B7" s="1737" t="s">
        <v>1116</v>
      </c>
      <c r="C7" s="1738" t="s">
        <v>1117</v>
      </c>
      <c r="D7" s="1739" t="s">
        <v>1118</v>
      </c>
      <c r="E7" s="954"/>
      <c r="F7" s="954"/>
      <c r="G7" s="954"/>
      <c r="H7" s="954"/>
      <c r="I7" s="954"/>
      <c r="J7" s="954"/>
      <c r="K7" s="954"/>
      <c r="L7" s="1027"/>
      <c r="M7" s="954"/>
    </row>
    <row r="8" spans="1:13" x14ac:dyDescent="0.2">
      <c r="A8" s="582" t="s">
        <v>1119</v>
      </c>
      <c r="B8" s="597">
        <f>+TableF4!D68+TableF4!G68+TableF4!P68+TableF4!T68+TableF4!V68</f>
        <v>150229.40000000002</v>
      </c>
      <c r="C8" s="593">
        <f>+TableF4!D100+TableF4!G100+TableF4!P100+TableF4!T100+TableF4!V100</f>
        <v>219184.6</v>
      </c>
      <c r="D8" s="598">
        <f>+TableF4!D36+TableF4!G36+TableF4!P36+TableF4!T36+TableF4!V36+TableF4!U36</f>
        <v>-69057.599999999991</v>
      </c>
      <c r="E8" s="954"/>
      <c r="F8" s="954"/>
      <c r="G8" s="954"/>
      <c r="H8" s="954"/>
      <c r="I8" s="954"/>
      <c r="J8" s="954"/>
      <c r="K8" s="954"/>
      <c r="L8" s="1027"/>
      <c r="M8" s="954"/>
    </row>
    <row r="9" spans="1:13" x14ac:dyDescent="0.2">
      <c r="A9" s="582" t="s">
        <v>1120</v>
      </c>
      <c r="B9" s="597">
        <f>+TableF4!D69+TableF4!G69+TableF4!P69+TableF4!T69+TableF4!V69</f>
        <v>71678.899999999994</v>
      </c>
      <c r="C9" s="593">
        <f>+TableF4!D101+TableF4!G101+TableF4!P101+TableF4!T101+TableF4!V101</f>
        <v>65102.1</v>
      </c>
      <c r="D9" s="598">
        <f>+TableF4!D37+TableF4!G37+TableF4!P37+TableF4!T37+TableF4!V37+TableF4!U37</f>
        <v>6863.4999999999991</v>
      </c>
      <c r="E9" s="954"/>
      <c r="F9" s="954"/>
      <c r="G9" s="954"/>
      <c r="H9" s="954"/>
      <c r="I9" s="954"/>
      <c r="J9" s="954"/>
      <c r="K9" s="954"/>
      <c r="L9" s="1027"/>
      <c r="M9" s="954"/>
    </row>
    <row r="10" spans="1:13" x14ac:dyDescent="0.2">
      <c r="A10" s="582" t="s">
        <v>1121</v>
      </c>
      <c r="B10" s="597">
        <f>TableF4!AE68-B8</f>
        <v>540272.6</v>
      </c>
      <c r="C10" s="593">
        <f>TableF4!AE100-C8</f>
        <v>567016.80000000005</v>
      </c>
      <c r="D10" s="598">
        <f>TableF4!AE36-D8</f>
        <v>-24594.10000000002</v>
      </c>
      <c r="E10" s="954"/>
      <c r="F10" s="954"/>
      <c r="G10" s="954"/>
      <c r="H10" s="954"/>
      <c r="I10" s="954"/>
      <c r="J10" s="954"/>
      <c r="K10" s="954"/>
      <c r="L10" s="1027"/>
      <c r="M10" s="954"/>
    </row>
    <row r="11" spans="1:13" ht="17" thickBot="1" x14ac:dyDescent="0.25">
      <c r="A11" s="584" t="s">
        <v>1122</v>
      </c>
      <c r="B11" s="599">
        <f>TableF4!AE69-B9</f>
        <v>160951.1</v>
      </c>
      <c r="C11" s="594">
        <f>TableF4!AE101-C9</f>
        <v>165457.09999999995</v>
      </c>
      <c r="D11" s="600">
        <f>TableF4!AE37-D9</f>
        <v>-6840.3999999999933</v>
      </c>
      <c r="E11" s="954"/>
      <c r="F11" s="954"/>
      <c r="G11" s="954"/>
      <c r="H11" s="954"/>
      <c r="I11" s="954"/>
      <c r="J11" s="954"/>
      <c r="K11" s="954"/>
      <c r="L11" s="1027"/>
      <c r="M11" s="954"/>
    </row>
    <row r="12" spans="1:13" ht="17" thickBot="1" x14ac:dyDescent="0.25">
      <c r="A12" s="954"/>
      <c r="B12" s="954"/>
      <c r="C12" s="954"/>
      <c r="D12" s="954"/>
      <c r="E12" s="954"/>
      <c r="F12" s="954"/>
      <c r="G12" s="954"/>
      <c r="H12" s="954"/>
      <c r="I12" s="954"/>
      <c r="J12" s="954"/>
      <c r="K12" s="954"/>
      <c r="L12" s="1027"/>
      <c r="M12" s="954"/>
    </row>
    <row r="13" spans="1:13" x14ac:dyDescent="0.2">
      <c r="A13" s="814" t="s">
        <v>1123</v>
      </c>
      <c r="B13" s="1716"/>
      <c r="C13" s="1716"/>
      <c r="D13" s="1740"/>
      <c r="E13" s="954"/>
      <c r="F13" s="954"/>
      <c r="G13" s="954"/>
      <c r="H13" s="954"/>
      <c r="I13" s="954"/>
      <c r="J13" s="954"/>
      <c r="K13" s="954"/>
      <c r="L13" s="1027"/>
      <c r="M13" s="954"/>
    </row>
    <row r="14" spans="1:13" ht="17" thickBot="1" x14ac:dyDescent="0.25">
      <c r="A14" s="584" t="s">
        <v>1124</v>
      </c>
      <c r="B14" s="1741"/>
      <c r="C14" s="1741"/>
      <c r="D14" s="1742"/>
      <c r="E14" s="954"/>
      <c r="F14" s="954"/>
      <c r="G14" s="954"/>
      <c r="H14" s="954"/>
      <c r="I14" s="954"/>
      <c r="J14" s="954"/>
      <c r="K14" s="954"/>
      <c r="L14" s="1027"/>
      <c r="M14" s="954"/>
    </row>
    <row r="15" spans="1:13" x14ac:dyDescent="0.2">
      <c r="A15" s="954"/>
      <c r="B15" s="954"/>
      <c r="C15" s="954"/>
      <c r="D15" s="954"/>
      <c r="E15" s="954"/>
      <c r="F15" s="954"/>
      <c r="G15" s="954"/>
      <c r="H15" s="954"/>
      <c r="I15" s="954"/>
      <c r="J15" s="954"/>
      <c r="K15" s="954"/>
      <c r="L15" s="1027"/>
      <c r="M15" s="954"/>
    </row>
    <row r="16" spans="1:13" x14ac:dyDescent="0.2">
      <c r="A16" s="954"/>
      <c r="B16" s="954"/>
      <c r="C16" s="954"/>
      <c r="D16" s="954"/>
      <c r="E16" s="954"/>
      <c r="F16" s="954"/>
      <c r="G16" s="573"/>
      <c r="H16" s="573"/>
      <c r="I16" s="573"/>
      <c r="J16" s="573"/>
      <c r="K16" s="573"/>
      <c r="L16" s="1027"/>
      <c r="M16" s="954"/>
    </row>
    <row r="17" spans="7:12" x14ac:dyDescent="0.2">
      <c r="G17" s="573"/>
      <c r="H17" s="573"/>
      <c r="I17" s="573"/>
      <c r="J17" s="573"/>
      <c r="K17" s="573"/>
      <c r="L17" s="1027"/>
    </row>
    <row r="18" spans="7:12" x14ac:dyDescent="0.2">
      <c r="G18" s="954"/>
      <c r="H18" s="954"/>
      <c r="I18" s="954"/>
      <c r="J18" s="954"/>
      <c r="K18" s="573"/>
      <c r="L18" s="1027"/>
    </row>
    <row r="19" spans="7:12" x14ac:dyDescent="0.2">
      <c r="G19" s="954"/>
      <c r="H19" s="954"/>
      <c r="I19" s="954"/>
      <c r="J19" s="954"/>
      <c r="K19" s="573"/>
      <c r="L19" s="1027"/>
    </row>
    <row r="20" spans="7:12" x14ac:dyDescent="0.2">
      <c r="G20" s="954"/>
      <c r="H20" s="954"/>
      <c r="I20" s="954"/>
      <c r="J20" s="954"/>
      <c r="K20" s="573"/>
      <c r="L20" s="1027"/>
    </row>
    <row r="35" spans="7:7" x14ac:dyDescent="0.2">
      <c r="G35" s="572"/>
    </row>
  </sheetData>
  <mergeCells count="2">
    <mergeCell ref="A3:D3"/>
    <mergeCell ref="B6:D6"/>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B405E-1F85-E54B-A6D6-4A0FCB01F6A1}">
  <sheetPr>
    <tabColor theme="1"/>
  </sheetPr>
  <dimension ref="A1"/>
  <sheetViews>
    <sheetView workbookViewId="0">
      <selection activeCell="Q22" sqref="Q22"/>
    </sheetView>
  </sheetViews>
  <sheetFormatPr baseColWidth="10" defaultRowHeight="16"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S100"/>
  <sheetViews>
    <sheetView zoomScale="97" zoomScaleNormal="97" zoomScalePageLayoutView="150" workbookViewId="0">
      <pane xSplit="1" ySplit="8" topLeftCell="B9" activePane="bottomRight" state="frozen"/>
      <selection pane="topRight" activeCell="X16" sqref="X16"/>
      <selection pane="bottomLeft" activeCell="X16" sqref="X16"/>
      <selection pane="bottomRight" activeCell="A3" sqref="A3:K3"/>
    </sheetView>
  </sheetViews>
  <sheetFormatPr baseColWidth="10" defaultColWidth="10.83203125" defaultRowHeight="16" x14ac:dyDescent="0.2"/>
  <cols>
    <col min="1" max="1" width="19" style="1" customWidth="1"/>
    <col min="2" max="2" width="11.33203125" style="1" customWidth="1"/>
    <col min="3" max="3" width="11.83203125" style="1" customWidth="1"/>
    <col min="4" max="5" width="11.33203125" style="1" customWidth="1"/>
    <col min="6" max="6" width="11.83203125" style="1" customWidth="1"/>
    <col min="7" max="9" width="11.33203125" style="1" customWidth="1"/>
    <col min="10" max="16384" width="10.83203125" style="1"/>
  </cols>
  <sheetData>
    <row r="2" spans="1:19" ht="17" thickBot="1" x14ac:dyDescent="0.25">
      <c r="A2" s="954"/>
      <c r="B2" s="954"/>
      <c r="C2" s="954"/>
      <c r="D2" s="954"/>
      <c r="E2" s="954"/>
      <c r="F2" s="954"/>
      <c r="G2" s="954"/>
      <c r="H2" s="954"/>
      <c r="I2" s="954"/>
      <c r="J2" s="954"/>
      <c r="K2" s="954"/>
      <c r="L2" s="954"/>
      <c r="M2" s="954"/>
      <c r="N2" s="954"/>
      <c r="O2" s="954"/>
      <c r="P2" s="954"/>
      <c r="Q2" s="954"/>
      <c r="R2" s="954"/>
      <c r="S2" s="954"/>
    </row>
    <row r="3" spans="1:19" ht="32.25" customHeight="1" thickTop="1" x14ac:dyDescent="0.2">
      <c r="A3" s="1951" t="s">
        <v>158</v>
      </c>
      <c r="B3" s="1952"/>
      <c r="C3" s="1952"/>
      <c r="D3" s="1952"/>
      <c r="E3" s="1952"/>
      <c r="F3" s="1952"/>
      <c r="G3" s="1952"/>
      <c r="H3" s="1952"/>
      <c r="I3" s="1952"/>
      <c r="J3" s="1952"/>
      <c r="K3" s="1953"/>
      <c r="L3" s="954"/>
      <c r="M3" s="954"/>
      <c r="N3" s="954"/>
      <c r="O3" s="954"/>
      <c r="P3" s="954"/>
      <c r="Q3" s="954"/>
      <c r="R3" s="954"/>
      <c r="S3" s="954"/>
    </row>
    <row r="4" spans="1:19" ht="12" customHeight="1" x14ac:dyDescent="0.2">
      <c r="A4" s="4"/>
      <c r="B4" s="620"/>
      <c r="C4" s="620"/>
      <c r="D4" s="620"/>
      <c r="E4" s="620"/>
      <c r="F4" s="620"/>
      <c r="G4" s="620"/>
      <c r="H4" s="620"/>
      <c r="I4" s="620"/>
      <c r="J4" s="1027"/>
      <c r="K4" s="1073"/>
      <c r="L4" s="954"/>
      <c r="M4" s="954"/>
      <c r="N4" s="954"/>
      <c r="O4" s="954"/>
      <c r="P4" s="954"/>
      <c r="Q4" s="954"/>
      <c r="R4" s="954"/>
      <c r="S4" s="954"/>
    </row>
    <row r="5" spans="1:19" ht="17" thickBot="1" x14ac:dyDescent="0.25">
      <c r="A5" s="1148"/>
      <c r="B5" s="3" t="s">
        <v>1</v>
      </c>
      <c r="C5" s="3" t="s">
        <v>2</v>
      </c>
      <c r="D5" s="3" t="s">
        <v>3</v>
      </c>
      <c r="E5" s="3" t="s">
        <v>4</v>
      </c>
      <c r="F5" s="3" t="s">
        <v>5</v>
      </c>
      <c r="G5" s="3" t="s">
        <v>6</v>
      </c>
      <c r="H5" s="3" t="s">
        <v>7</v>
      </c>
      <c r="I5" s="3" t="s">
        <v>8</v>
      </c>
      <c r="J5" s="3" t="s">
        <v>9</v>
      </c>
      <c r="K5" s="6" t="s">
        <v>10</v>
      </c>
      <c r="L5" s="954"/>
      <c r="M5" s="954"/>
      <c r="N5" s="954"/>
      <c r="O5" s="954"/>
      <c r="P5" s="954"/>
      <c r="Q5" s="954"/>
      <c r="R5" s="954"/>
      <c r="S5" s="954"/>
    </row>
    <row r="6" spans="1:19" ht="35.25" customHeight="1" x14ac:dyDescent="0.2">
      <c r="A6" s="1148"/>
      <c r="B6" s="2021" t="s">
        <v>14</v>
      </c>
      <c r="C6" s="2022"/>
      <c r="D6" s="2022"/>
      <c r="E6" s="2022"/>
      <c r="F6" s="2022"/>
      <c r="G6" s="2022"/>
      <c r="H6" s="2023"/>
      <c r="I6" s="2025" t="s">
        <v>159</v>
      </c>
      <c r="J6" s="2026"/>
      <c r="K6" s="2027"/>
      <c r="L6" s="954"/>
      <c r="M6" s="954"/>
      <c r="N6" s="954"/>
      <c r="O6" s="954"/>
      <c r="P6" s="954"/>
      <c r="Q6" s="954"/>
      <c r="R6" s="954"/>
      <c r="S6" s="954"/>
    </row>
    <row r="7" spans="1:19" ht="85" customHeight="1" x14ac:dyDescent="0.2">
      <c r="A7" s="1148"/>
      <c r="B7" s="2024" t="s">
        <v>124</v>
      </c>
      <c r="C7" s="2020" t="s">
        <v>160</v>
      </c>
      <c r="D7" s="1820" t="s">
        <v>125</v>
      </c>
      <c r="E7" s="1820" t="s">
        <v>161</v>
      </c>
      <c r="F7" s="2020" t="s">
        <v>162</v>
      </c>
      <c r="G7" s="1820" t="s">
        <v>125</v>
      </c>
      <c r="H7" s="1837" t="s">
        <v>161</v>
      </c>
      <c r="I7" s="2024" t="s">
        <v>163</v>
      </c>
      <c r="J7" s="2029" t="s">
        <v>164</v>
      </c>
      <c r="K7" s="2031" t="s">
        <v>165</v>
      </c>
      <c r="L7" s="954"/>
      <c r="M7" s="954"/>
      <c r="N7" s="10" t="s">
        <v>166</v>
      </c>
      <c r="O7" s="10"/>
      <c r="P7" s="317" t="s">
        <v>167</v>
      </c>
      <c r="Q7" s="317" t="s">
        <v>168</v>
      </c>
      <c r="R7" s="1000" t="s">
        <v>169</v>
      </c>
      <c r="S7" s="1000" t="s">
        <v>170</v>
      </c>
    </row>
    <row r="8" spans="1:19" ht="33" customHeight="1" x14ac:dyDescent="0.2">
      <c r="A8" s="1148"/>
      <c r="B8" s="2024"/>
      <c r="C8" s="2020"/>
      <c r="D8" s="1828"/>
      <c r="E8" s="1828"/>
      <c r="F8" s="2020"/>
      <c r="G8" s="1828"/>
      <c r="H8" s="748"/>
      <c r="I8" s="2028"/>
      <c r="J8" s="2030"/>
      <c r="K8" s="2032"/>
      <c r="L8" s="954"/>
      <c r="M8" s="954"/>
      <c r="N8" s="10"/>
      <c r="O8" s="10"/>
      <c r="P8" s="10"/>
      <c r="Q8" s="10"/>
      <c r="R8" s="954"/>
      <c r="S8" s="954"/>
    </row>
    <row r="9" spans="1:19" ht="40" customHeight="1" x14ac:dyDescent="0.2">
      <c r="A9" s="8" t="s">
        <v>28</v>
      </c>
      <c r="B9" s="256">
        <f t="shared" ref="B9:H9" si="0">SUM(B10:B44)</f>
        <v>26359.302824524231</v>
      </c>
      <c r="C9" s="257">
        <f t="shared" si="0"/>
        <v>3955.8909394053185</v>
      </c>
      <c r="D9" s="258">
        <f t="shared" si="0"/>
        <v>2276.3407946990947</v>
      </c>
      <c r="E9" s="258">
        <f t="shared" si="0"/>
        <v>1679.5501447062243</v>
      </c>
      <c r="F9" s="257">
        <f t="shared" si="0"/>
        <v>22403.411885118912</v>
      </c>
      <c r="G9" s="258">
        <f t="shared" si="0"/>
        <v>13106.098911167552</v>
      </c>
      <c r="H9" s="259">
        <f t="shared" si="0"/>
        <v>9297.3123686798081</v>
      </c>
      <c r="I9" s="21">
        <f>C9/B9</f>
        <v>0.15007570441980078</v>
      </c>
      <c r="J9" s="260">
        <f>D9/(D9+G9)</f>
        <v>0.1479830792920924</v>
      </c>
      <c r="K9" s="261">
        <f>E9/(E9+H9)</f>
        <v>0.15300821547669485</v>
      </c>
      <c r="L9" s="954"/>
      <c r="M9" s="954"/>
      <c r="N9" s="268">
        <f>D9+G9-TableA2!C9</f>
        <v>0</v>
      </c>
      <c r="O9" s="268">
        <f>H9+E9-TableA2!G9-TableA2!D9</f>
        <v>0</v>
      </c>
      <c r="P9" s="10"/>
      <c r="Q9" s="10"/>
      <c r="R9" s="954"/>
      <c r="S9" s="954"/>
    </row>
    <row r="10" spans="1:19" ht="14.25" customHeight="1" x14ac:dyDescent="0.2">
      <c r="A10" s="1149" t="s">
        <v>29</v>
      </c>
      <c r="B10" s="299">
        <f>+TableA2!B10</f>
        <v>774.05825301069046</v>
      </c>
      <c r="C10" s="1150">
        <f>D10+E10</f>
        <v>197.29292981323601</v>
      </c>
      <c r="D10" s="1151">
        <f>+TableA6!F10/TableA7!N10</f>
        <v>103.34199428911158</v>
      </c>
      <c r="E10" s="1152">
        <f>TableA5!B10</f>
        <v>93.950935524124446</v>
      </c>
      <c r="F10" s="1150">
        <f>B10-C10</f>
        <v>576.76532319745445</v>
      </c>
      <c r="G10" s="1153">
        <f>+TableA2!C10-TableA4!D10</f>
        <v>393.64258226093392</v>
      </c>
      <c r="H10" s="1154">
        <f>+TableA2!D10+TableA2!G10-TableA4!E10</f>
        <v>183.12274093652056</v>
      </c>
      <c r="I10" s="9">
        <f t="shared" ref="I10:I43" si="1">C10/B10</f>
        <v>0.25488124316983574</v>
      </c>
      <c r="J10" s="1155">
        <f>D10/(D10+G10)</f>
        <v>0.20793803100790034</v>
      </c>
      <c r="K10" s="1156">
        <f>E10/(E10+H10)</f>
        <v>0.33908286317292596</v>
      </c>
      <c r="L10" s="1157"/>
      <c r="M10" s="1157"/>
      <c r="N10" s="268">
        <f>D10+G10-TableA2!C10</f>
        <v>0</v>
      </c>
      <c r="O10" s="268">
        <f>H10+E10-TableA2!G10-TableA2!D10</f>
        <v>0</v>
      </c>
      <c r="P10" s="318">
        <f>TableB2!K10/TableA1!B10</f>
        <v>0.43561327527257365</v>
      </c>
      <c r="Q10" s="319">
        <f>I10</f>
        <v>0.25488124316983574</v>
      </c>
      <c r="R10" s="954"/>
      <c r="S10" s="954">
        <v>1</v>
      </c>
    </row>
    <row r="11" spans="1:19" ht="14.25" customHeight="1" x14ac:dyDescent="0.2">
      <c r="A11" s="1149" t="s">
        <v>30</v>
      </c>
      <c r="B11" s="299">
        <f>+TableA2!B11</f>
        <v>216.83707476995184</v>
      </c>
      <c r="C11" s="1150">
        <f t="shared" ref="C11:C44" si="2">D11+E11</f>
        <v>58.214990623901087</v>
      </c>
      <c r="D11" s="1152">
        <f>J11*TableA2!C11</f>
        <v>34.166269406006975</v>
      </c>
      <c r="E11" s="1152">
        <f>K11*(TableA2!D11+TableA2!G11)</f>
        <v>24.048721217894112</v>
      </c>
      <c r="F11" s="1150">
        <f t="shared" ref="F11:F43" si="3">B11-C11</f>
        <v>158.62208414605075</v>
      </c>
      <c r="G11" s="1153">
        <f>+TableA2!C11-TableA4!D11</f>
        <v>90.16122025471843</v>
      </c>
      <c r="H11" s="1154">
        <f>+TableA2!D11+TableA2!G11-TableA4!E11</f>
        <v>68.46075298465918</v>
      </c>
      <c r="I11" s="9">
        <f t="shared" si="1"/>
        <v>0.26847341805206931</v>
      </c>
      <c r="J11" s="1155">
        <f>TableA9!M11/TableA9!E11</f>
        <v>0.27480864850760334</v>
      </c>
      <c r="K11" s="1156">
        <f>TableA9!N11/TableA9!J11</f>
        <v>0.25995954928074122</v>
      </c>
      <c r="L11" s="1157"/>
      <c r="M11" s="1157"/>
      <c r="N11" s="268">
        <f>D11+G11-TableA2!C11</f>
        <v>0</v>
      </c>
      <c r="O11" s="268">
        <f>H11+E11-TableA2!G11-TableA2!D11</f>
        <v>0</v>
      </c>
      <c r="P11" s="318">
        <f>TableB2!K11/TableA1!B11</f>
        <v>0.63707162800450889</v>
      </c>
      <c r="Q11" s="319">
        <f t="shared" ref="Q11:Q52" si="4">I11</f>
        <v>0.26847341805206931</v>
      </c>
      <c r="R11" s="954">
        <v>1</v>
      </c>
      <c r="S11" s="954"/>
    </row>
    <row r="12" spans="1:19" x14ac:dyDescent="0.2">
      <c r="A12" s="1149" t="s">
        <v>31</v>
      </c>
      <c r="B12" s="299">
        <f>+TableA2!B12</f>
        <v>283.38418404296965</v>
      </c>
      <c r="C12" s="1150">
        <f t="shared" si="2"/>
        <v>77.081904759105726</v>
      </c>
      <c r="D12" s="1152">
        <f>J12*TableA2!C12</f>
        <v>47.376726963536328</v>
      </c>
      <c r="E12" s="1152">
        <f>K12*(TableA2!D12+TableA2!G12)</f>
        <v>29.705177795569394</v>
      </c>
      <c r="F12" s="1150">
        <f t="shared" si="3"/>
        <v>206.30227928386392</v>
      </c>
      <c r="G12" s="1153">
        <f>+TableA2!C12-TableA4!D12</f>
        <v>119.14986457494996</v>
      </c>
      <c r="H12" s="1154">
        <f>+TableA2!D12+TableA2!G12-TableA4!E12</f>
        <v>87.152414708914009</v>
      </c>
      <c r="I12" s="9">
        <f t="shared" si="1"/>
        <v>0.27200496393058327</v>
      </c>
      <c r="J12" s="1155">
        <f>TableA9!M12/TableA9!E12</f>
        <v>0.28449946957922934</v>
      </c>
      <c r="K12" s="1156">
        <f>TableA9!N12/TableA9!J12</f>
        <v>0.25419980986198831</v>
      </c>
      <c r="L12" s="1157"/>
      <c r="M12" s="1157"/>
      <c r="N12" s="268">
        <f>D12+G12-TableA2!C12</f>
        <v>0</v>
      </c>
      <c r="O12" s="268">
        <f>H12+E12-TableA2!G12-TableA2!D12</f>
        <v>0</v>
      </c>
      <c r="P12" s="318"/>
      <c r="Q12" s="319"/>
      <c r="R12" s="954"/>
      <c r="S12" s="954"/>
    </row>
    <row r="13" spans="1:19" x14ac:dyDescent="0.2">
      <c r="A13" s="1149" t="s">
        <v>32</v>
      </c>
      <c r="B13" s="299">
        <f>+TableA2!B13</f>
        <v>963.75367641885134</v>
      </c>
      <c r="C13" s="1150">
        <f t="shared" si="2"/>
        <v>160.04835909901968</v>
      </c>
      <c r="D13" s="1151">
        <f>+TableA6!F13/TableA7!N13</f>
        <v>91.55391880071636</v>
      </c>
      <c r="E13" s="1152">
        <f>TableA5!B13</f>
        <v>68.494440298303317</v>
      </c>
      <c r="F13" s="1150">
        <f>B13-C13</f>
        <v>803.70531731983169</v>
      </c>
      <c r="G13" s="1153">
        <f>+TableA2!C13-TableA4!D13</f>
        <v>521.84036373275637</v>
      </c>
      <c r="H13" s="1154">
        <f>+TableA2!D13+TableA2!G13-TableA4!E13</f>
        <v>281.86495358707532</v>
      </c>
      <c r="I13" s="9">
        <f>C13/B13</f>
        <v>0.16606770279075128</v>
      </c>
      <c r="J13" s="1155">
        <f>D13/(D13+G13)</f>
        <v>0.14925786139149461</v>
      </c>
      <c r="K13" s="1156">
        <f>E13/(E13+H13)</f>
        <v>0.19549765610312572</v>
      </c>
      <c r="L13" s="1157"/>
      <c r="M13" s="1157"/>
      <c r="N13" s="268">
        <f>D13+G13-TableA2!C13</f>
        <v>0</v>
      </c>
      <c r="O13" s="268">
        <f>H13+E13-TableA2!G13-TableA2!D13</f>
        <v>0</v>
      </c>
      <c r="P13" s="318">
        <f>TableB2!K13/TableA1!B13</f>
        <v>0.51079708096514354</v>
      </c>
      <c r="Q13" s="319">
        <f t="shared" si="4"/>
        <v>0.16606770279075128</v>
      </c>
      <c r="R13" s="954"/>
      <c r="S13" s="954">
        <v>1</v>
      </c>
    </row>
    <row r="14" spans="1:19" x14ac:dyDescent="0.2">
      <c r="A14" s="1149" t="s">
        <v>33</v>
      </c>
      <c r="B14" s="299">
        <f>+TableA2!B14</f>
        <v>154.1756815022006</v>
      </c>
      <c r="C14" s="1150">
        <f>D14+E14</f>
        <v>27.305278745233569</v>
      </c>
      <c r="D14" s="1151">
        <f>+TableA6!F14/TableA7!N14</f>
        <v>9.9875864667598862</v>
      </c>
      <c r="E14" s="1152">
        <f>TableA5!B14</f>
        <v>17.317692278473682</v>
      </c>
      <c r="F14" s="1150">
        <f>B14-C14</f>
        <v>126.87040275696704</v>
      </c>
      <c r="G14" s="1153">
        <f>+TableA2!C14-TableA4!D14</f>
        <v>57.041887054532872</v>
      </c>
      <c r="H14" s="1154">
        <f>+TableA2!D14+TableA2!G14-TableA4!E14</f>
        <v>69.82851570243416</v>
      </c>
      <c r="I14" s="9">
        <f>C14/B14</f>
        <v>0.17710496544712098</v>
      </c>
      <c r="J14" s="1155">
        <f>D14/(D14+G14)</f>
        <v>0.14900290785645517</v>
      </c>
      <c r="K14" s="1156">
        <f>E14/(E14+H14)</f>
        <v>0.19871997508219377</v>
      </c>
      <c r="L14" s="1157"/>
      <c r="M14" s="1157"/>
      <c r="N14" s="268">
        <f>D14+G14-TableA2!C14</f>
        <v>0</v>
      </c>
      <c r="O14" s="268">
        <f>H14+E14-TableA2!G14-TableA2!D14</f>
        <v>0</v>
      </c>
      <c r="P14" s="318">
        <f>TableB2!K14/TableA1!B14</f>
        <v>1.0459478672026534</v>
      </c>
      <c r="Q14" s="319">
        <f t="shared" si="4"/>
        <v>0.17710496544712098</v>
      </c>
      <c r="R14" s="954"/>
      <c r="S14" s="954">
        <v>1</v>
      </c>
    </row>
    <row r="15" spans="1:19" x14ac:dyDescent="0.2">
      <c r="A15" s="1149" t="s">
        <v>34</v>
      </c>
      <c r="B15" s="299">
        <f>+TableA2!B15</f>
        <v>112.15354438741807</v>
      </c>
      <c r="C15" s="1150">
        <f t="shared" si="2"/>
        <v>46.856993653406334</v>
      </c>
      <c r="D15" s="1152">
        <f>J15*TableA2!C15</f>
        <v>22.880712544827599</v>
      </c>
      <c r="E15" s="1152">
        <f>K15*(TableA2!D15+TableA2!G15)</f>
        <v>23.976281108578732</v>
      </c>
      <c r="F15" s="1150">
        <f t="shared" si="3"/>
        <v>65.296550734011731</v>
      </c>
      <c r="G15" s="1153">
        <f>+TableA2!C15-TableA4!D15</f>
        <v>31.128617197537356</v>
      </c>
      <c r="H15" s="1154">
        <f>+TableA2!D15+TableA2!G15-TableA4!E15</f>
        <v>34.167933536474372</v>
      </c>
      <c r="I15" s="9">
        <f t="shared" si="1"/>
        <v>0.41779324861589467</v>
      </c>
      <c r="J15" s="1155">
        <f>TableA9!M15/TableA9!E15</f>
        <v>0.4236437047816195</v>
      </c>
      <c r="K15" s="1158">
        <f>TableA9!N15/TableA9!J15</f>
        <v>0.41235884352285473</v>
      </c>
      <c r="L15" s="1157"/>
      <c r="M15" s="1157"/>
      <c r="N15" s="268">
        <f>D15+G15-TableA2!C15</f>
        <v>0</v>
      </c>
      <c r="O15" s="268">
        <f>H15+E15-TableA2!G15-TableA2!D15</f>
        <v>0</v>
      </c>
      <c r="P15" s="318">
        <f>TableB2!K15/TableA1!B15</f>
        <v>0.62424587574706658</v>
      </c>
      <c r="Q15" s="319">
        <f t="shared" si="4"/>
        <v>0.41779324861589467</v>
      </c>
      <c r="R15" s="954">
        <v>1</v>
      </c>
      <c r="S15" s="954"/>
    </row>
    <row r="16" spans="1:19" x14ac:dyDescent="0.2">
      <c r="A16" s="1149" t="s">
        <v>35</v>
      </c>
      <c r="B16" s="299">
        <f>+TableA2!B16</f>
        <v>171.31642871995703</v>
      </c>
      <c r="C16" s="1150">
        <f t="shared" si="2"/>
        <v>36.60079380297519</v>
      </c>
      <c r="D16" s="1152">
        <f>J16*TableA2!C16</f>
        <v>22.761452923037087</v>
      </c>
      <c r="E16" s="1152">
        <f>K16*(TableA2!D16+TableA2!G16)</f>
        <v>13.839340879938103</v>
      </c>
      <c r="F16" s="1150">
        <f t="shared" si="3"/>
        <v>134.71563491698186</v>
      </c>
      <c r="G16" s="1153">
        <f>+TableA2!C16-TableA4!D16</f>
        <v>75.81853636635114</v>
      </c>
      <c r="H16" s="1154">
        <f>+TableA2!D16+TableA2!G16-TableA4!E16</f>
        <v>58.897098550630716</v>
      </c>
      <c r="I16" s="9">
        <f t="shared" si="1"/>
        <v>0.21364438937029676</v>
      </c>
      <c r="J16" s="1155">
        <f>TableA9!M16/TableA9!E16</f>
        <v>0.23089323793918565</v>
      </c>
      <c r="K16" s="1158">
        <f>TableA9!N16/TableA9!J16</f>
        <v>0.19026695543914493</v>
      </c>
      <c r="L16" s="1157"/>
      <c r="M16" s="1157"/>
      <c r="N16" s="268">
        <f>D16+G16-TableA2!C16</f>
        <v>0</v>
      </c>
      <c r="O16" s="268">
        <f>H16+E16-TableA2!G16-TableA2!D16</f>
        <v>0</v>
      </c>
      <c r="P16" s="318">
        <f>TableB2!K16/TableA1!B16</f>
        <v>0.37469158681083548</v>
      </c>
      <c r="Q16" s="319">
        <f t="shared" si="4"/>
        <v>0.21364438937029676</v>
      </c>
      <c r="R16" s="954">
        <v>1</v>
      </c>
      <c r="S16" s="954"/>
    </row>
    <row r="17" spans="1:19" x14ac:dyDescent="0.2">
      <c r="A17" s="1149" t="s">
        <v>36</v>
      </c>
      <c r="B17" s="299">
        <f>+TableA2!B17</f>
        <v>14.300084621791608</v>
      </c>
      <c r="C17" s="1150">
        <f t="shared" si="2"/>
        <v>5.8723090121622592</v>
      </c>
      <c r="D17" s="1152">
        <f>J17*TableA2!C17</f>
        <v>3.2197474636718431</v>
      </c>
      <c r="E17" s="1152">
        <f>K17*(TableA2!D17+TableA2!G17)</f>
        <v>2.6525615484904161</v>
      </c>
      <c r="F17" s="1150">
        <f t="shared" si="3"/>
        <v>8.4277756096293501</v>
      </c>
      <c r="G17" s="1153">
        <f>+TableA2!C17-TableA4!D17</f>
        <v>4.7380281477289197</v>
      </c>
      <c r="H17" s="1154">
        <f>+TableA2!D17+TableA2!G17-TableA4!E17</f>
        <v>3.6895256485541417</v>
      </c>
      <c r="I17" s="9">
        <f t="shared" si="1"/>
        <v>0.41064854981442322</v>
      </c>
      <c r="J17" s="1155">
        <f>TableA9!M17/TableA9!E17</f>
        <v>0.40460395227267398</v>
      </c>
      <c r="K17" s="1158">
        <f>TableA9!N17/TableA9!J17</f>
        <v>0.41824741068311427</v>
      </c>
      <c r="L17" s="1157"/>
      <c r="M17" s="1157"/>
      <c r="N17" s="268">
        <f>D17+G17-TableA2!C17</f>
        <v>0</v>
      </c>
      <c r="O17" s="268">
        <f>H17+E17-TableA2!G17-TableA2!D17</f>
        <v>0</v>
      </c>
      <c r="P17" s="318">
        <f>TableB2!K17/TableA1!B17</f>
        <v>0.83980010002856997</v>
      </c>
      <c r="Q17" s="319">
        <f t="shared" si="4"/>
        <v>0.41064854981442322</v>
      </c>
      <c r="R17" s="954">
        <v>1</v>
      </c>
      <c r="S17" s="954"/>
    </row>
    <row r="18" spans="1:19" x14ac:dyDescent="0.2">
      <c r="A18" s="1149" t="s">
        <v>37</v>
      </c>
      <c r="B18" s="299">
        <f>+TableA2!B18</f>
        <v>127.77114186183469</v>
      </c>
      <c r="C18" s="1150">
        <f t="shared" si="2"/>
        <v>28.12836736505291</v>
      </c>
      <c r="D18" s="1152">
        <f>J18*TableA2!C18</f>
        <v>16.339177250094341</v>
      </c>
      <c r="E18" s="1152">
        <f>K18*(TableA2!D18+TableA2!G18)</f>
        <v>11.789190114958569</v>
      </c>
      <c r="F18" s="1150">
        <f t="shared" si="3"/>
        <v>99.642774496781783</v>
      </c>
      <c r="G18" s="1153">
        <f>+TableA2!C18-TableA4!D18</f>
        <v>59.108414356045017</v>
      </c>
      <c r="H18" s="1154">
        <f>+TableA2!D18+TableA2!G18-TableA4!E18</f>
        <v>40.534360140736766</v>
      </c>
      <c r="I18" s="9">
        <f t="shared" si="1"/>
        <v>0.22014648186731803</v>
      </c>
      <c r="J18" s="1155">
        <f>TableA9!M18/TableA9!E18</f>
        <v>0.21656327130215222</v>
      </c>
      <c r="K18" s="1158">
        <f>TableA9!N18/TableA9!J18</f>
        <v>0.22531326825773512</v>
      </c>
      <c r="L18" s="1157"/>
      <c r="M18" s="1157"/>
      <c r="N18" s="268">
        <f>D18+G18-TableA2!C18</f>
        <v>0</v>
      </c>
      <c r="O18" s="268">
        <f>H18+E18-TableA2!G18-TableA2!D18</f>
        <v>0</v>
      </c>
      <c r="P18" s="318">
        <f>TableB2!K18/TableA1!B18</f>
        <v>0.35113512632375482</v>
      </c>
      <c r="Q18" s="319">
        <f t="shared" si="4"/>
        <v>0.22014648186731803</v>
      </c>
      <c r="R18" s="954">
        <v>1</v>
      </c>
      <c r="S18" s="954"/>
    </row>
    <row r="19" spans="1:19" x14ac:dyDescent="0.2">
      <c r="A19" s="1149" t="s">
        <v>38</v>
      </c>
      <c r="B19" s="299">
        <f>+TableA2!B19</f>
        <v>1308.4658390810716</v>
      </c>
      <c r="C19" s="1150">
        <f t="shared" si="2"/>
        <v>211.37422828897019</v>
      </c>
      <c r="D19" s="1152">
        <f>J19*TableA2!C19</f>
        <v>153.37468637532214</v>
      </c>
      <c r="E19" s="1152">
        <f>K19*(TableA2!D19+TableA2!G19)</f>
        <v>57.999541913648059</v>
      </c>
      <c r="F19" s="1150">
        <f t="shared" si="3"/>
        <v>1097.0916107921014</v>
      </c>
      <c r="G19" s="1153">
        <f>+TableA2!C19-TableA4!D19</f>
        <v>718.0057357132946</v>
      </c>
      <c r="H19" s="1154">
        <f>+TableA2!D19+TableA2!G19-TableA4!E19</f>
        <v>379.08587507880696</v>
      </c>
      <c r="I19" s="9">
        <f t="shared" si="1"/>
        <v>0.16154355885776669</v>
      </c>
      <c r="J19" s="1155">
        <f>TableA9!M19/TableA9!E19</f>
        <v>0.17601346379540808</v>
      </c>
      <c r="K19" s="1158">
        <f>TableA9!N19/TableA9!J19</f>
        <v>0.13269612679539305</v>
      </c>
      <c r="L19" s="1157"/>
      <c r="M19" s="1157"/>
      <c r="N19" s="268">
        <f>D19+G19-TableA2!C19</f>
        <v>0</v>
      </c>
      <c r="O19" s="268">
        <f>H19+E19-TableA2!G19-TableA2!D19</f>
        <v>0</v>
      </c>
      <c r="P19" s="318">
        <f>TableB2!K19/TableA1!B19</f>
        <v>0.28285909683503752</v>
      </c>
      <c r="Q19" s="319">
        <f t="shared" si="4"/>
        <v>0.16154355885776669</v>
      </c>
      <c r="R19" s="954">
        <v>1</v>
      </c>
      <c r="S19" s="954"/>
    </row>
    <row r="20" spans="1:19" x14ac:dyDescent="0.2">
      <c r="A20" s="1149" t="s">
        <v>39</v>
      </c>
      <c r="B20" s="299">
        <f>+TableA2!B20</f>
        <v>2072.973263728305</v>
      </c>
      <c r="C20" s="1150">
        <f t="shared" si="2"/>
        <v>418.34195930404996</v>
      </c>
      <c r="D20" s="1152">
        <f>J20*TableA2!C20</f>
        <v>234.01373793675208</v>
      </c>
      <c r="E20" s="1152">
        <f>K20*(TableA2!D20+TableA2!G20)</f>
        <v>184.32822136729789</v>
      </c>
      <c r="F20" s="1150">
        <f t="shared" si="3"/>
        <v>1654.6313044242552</v>
      </c>
      <c r="G20" s="1153">
        <f>+TableA2!C20-TableA4!D20</f>
        <v>988.99296415350591</v>
      </c>
      <c r="H20" s="1154">
        <f>+TableA2!D20+TableA2!G20-TableA4!E20</f>
        <v>665.63834027074927</v>
      </c>
      <c r="I20" s="9">
        <f t="shared" si="1"/>
        <v>0.20180769652168562</v>
      </c>
      <c r="J20" s="1155">
        <f>TableA9!M20/TableA9!E20</f>
        <v>0.1913429726401302</v>
      </c>
      <c r="K20" s="1158">
        <f>TableA9!N20/TableA9!J20</f>
        <v>0.21686526233698222</v>
      </c>
      <c r="L20" s="1157"/>
      <c r="M20" s="1157"/>
      <c r="N20" s="268">
        <f>D20+G20-TableA2!C20</f>
        <v>0</v>
      </c>
      <c r="O20" s="268">
        <f>H20+E20-TableA2!G20-TableA2!D20</f>
        <v>0</v>
      </c>
      <c r="P20" s="318">
        <f>TableB2!K20/TableA1!B20</f>
        <v>0.2338030357460614</v>
      </c>
      <c r="Q20" s="319">
        <f t="shared" si="4"/>
        <v>0.20180769652168562</v>
      </c>
      <c r="R20" s="954">
        <v>1</v>
      </c>
      <c r="S20" s="954"/>
    </row>
    <row r="21" spans="1:19" x14ac:dyDescent="0.2">
      <c r="A21" s="1149" t="s">
        <v>40</v>
      </c>
      <c r="B21" s="299">
        <f>+TableA2!B21</f>
        <v>65.374766181006336</v>
      </c>
      <c r="C21" s="1150">
        <f t="shared" si="2"/>
        <v>8.6576655673265428</v>
      </c>
      <c r="D21" s="1152">
        <f>J21*TableA2!C21</f>
        <v>4.1948249888750162</v>
      </c>
      <c r="E21" s="1152">
        <f>K21*(TableA2!D21+TableA2!G21)</f>
        <v>4.4628405784515266</v>
      </c>
      <c r="F21" s="1150">
        <f t="shared" si="3"/>
        <v>56.71710061367979</v>
      </c>
      <c r="G21" s="1153">
        <f>+TableA2!C21-TableA4!D21</f>
        <v>23.498553993644979</v>
      </c>
      <c r="H21" s="1154">
        <f>+TableA2!D21+TableA2!G21-TableA4!E21</f>
        <v>33.218546730941497</v>
      </c>
      <c r="I21" s="9">
        <f t="shared" si="1"/>
        <v>0.13243130450907675</v>
      </c>
      <c r="J21" s="1155">
        <f>TableA9!M21/TableA9!E21</f>
        <v>0.1514739314232034</v>
      </c>
      <c r="K21" s="1158">
        <f>TableA9!N21/TableA9!J21</f>
        <v>0.11843620676192707</v>
      </c>
      <c r="L21" s="1157"/>
      <c r="M21" s="1157"/>
      <c r="N21" s="268">
        <f>D21+G21-TableA2!C21</f>
        <v>0</v>
      </c>
      <c r="O21" s="268">
        <f>H21+E21-TableA2!G21-TableA2!D21</f>
        <v>0</v>
      </c>
      <c r="P21" s="318">
        <f>TableB2!K21/TableA1!B21</f>
        <v>0.13830806972928111</v>
      </c>
      <c r="Q21" s="319">
        <f t="shared" si="4"/>
        <v>0.13243130450907675</v>
      </c>
      <c r="R21" s="954">
        <v>1</v>
      </c>
      <c r="S21" s="954"/>
    </row>
    <row r="22" spans="1:19" x14ac:dyDescent="0.2">
      <c r="A22" s="1149" t="s">
        <v>41</v>
      </c>
      <c r="B22" s="299">
        <f>+TableA2!B22</f>
        <v>66.600399165868637</v>
      </c>
      <c r="C22" s="1150">
        <f t="shared" si="2"/>
        <v>34.774086885014654</v>
      </c>
      <c r="D22" s="1152">
        <f>J22*TableA2!C22</f>
        <v>15.828195934347765</v>
      </c>
      <c r="E22" s="1152">
        <f>K22*(TableA2!D22+TableA2!G22)</f>
        <v>18.945890950666893</v>
      </c>
      <c r="F22" s="1150">
        <f t="shared" si="3"/>
        <v>31.826312280853983</v>
      </c>
      <c r="G22" s="1153">
        <f>+TableA2!C22-TableA4!D22</f>
        <v>18.378063630865736</v>
      </c>
      <c r="H22" s="1154">
        <f>+TableA2!D22+TableA2!G22-TableA4!E22</f>
        <v>13.448248649988244</v>
      </c>
      <c r="I22" s="9">
        <f t="shared" si="1"/>
        <v>0.52213030733358834</v>
      </c>
      <c r="J22" s="1155">
        <f>TableA9!M22/TableA9!E22</f>
        <v>0.46272805432501757</v>
      </c>
      <c r="K22" s="1158">
        <f>TableA9!N22/TableA9!J22</f>
        <v>0.58485550733021263</v>
      </c>
      <c r="L22" s="1157"/>
      <c r="M22" s="1157"/>
      <c r="N22" s="268">
        <f>D22+G22-TableA2!C22</f>
        <v>0</v>
      </c>
      <c r="O22" s="268">
        <f>H22+E22-TableA2!G22-TableA2!D22</f>
        <v>0</v>
      </c>
      <c r="P22" s="318"/>
      <c r="Q22" s="319"/>
      <c r="R22" s="954">
        <v>1</v>
      </c>
      <c r="S22" s="954"/>
    </row>
    <row r="23" spans="1:19" x14ac:dyDescent="0.2">
      <c r="A23" s="1149" t="s">
        <v>42</v>
      </c>
      <c r="B23" s="299">
        <f>+TableA2!B23</f>
        <v>8.7968397543178742</v>
      </c>
      <c r="C23" s="1150">
        <f>D23+E23</f>
        <v>1.4368665366564288</v>
      </c>
      <c r="D23" s="1159">
        <f>+TableA2!C23*AVERAGE(J40,J34)</f>
        <v>1.4154993051686313</v>
      </c>
      <c r="E23" s="1152">
        <f>TableA5!B23</f>
        <v>2.1367231487797442E-2</v>
      </c>
      <c r="F23" s="1150">
        <f>B23-C23</f>
        <v>7.3599732176614454</v>
      </c>
      <c r="G23" s="1153">
        <f>+TableA2!C23-TableA4!D23</f>
        <v>3.7120509929743211</v>
      </c>
      <c r="H23" s="1154">
        <f>+TableA2!D23+TableA2!G23-TableA4!E23</f>
        <v>3.6479222246871243</v>
      </c>
      <c r="I23" s="9">
        <f>C23/B23</f>
        <v>0.16333894634731203</v>
      </c>
      <c r="J23" s="1155">
        <f>D23/TableA9!B23</f>
        <v>0.27605761481877289</v>
      </c>
      <c r="K23" s="1158">
        <f>E23/TableA9!G23</f>
        <v>5.8232613542764412E-3</v>
      </c>
      <c r="L23" s="1157"/>
      <c r="M23" s="1157"/>
      <c r="N23" s="268">
        <f>D23+G23-TableA2!C23</f>
        <v>0</v>
      </c>
      <c r="O23" s="268">
        <f>H23+E23-TableA2!G23-TableA2!D23</f>
        <v>0</v>
      </c>
      <c r="P23" s="318">
        <f>TableB2!K23/TableA1!B23</f>
        <v>0.67304135369080642</v>
      </c>
      <c r="Q23" s="319">
        <f t="shared" si="4"/>
        <v>0.16333894634731203</v>
      </c>
      <c r="R23" s="954">
        <v>1</v>
      </c>
      <c r="S23" s="954"/>
    </row>
    <row r="24" spans="1:19" x14ac:dyDescent="0.2">
      <c r="A24" s="1149" t="s">
        <v>43</v>
      </c>
      <c r="B24" s="299">
        <f>+TableA2!B24</f>
        <v>216.35996679454206</v>
      </c>
      <c r="C24" s="1150">
        <f t="shared" si="2"/>
        <v>129.43928440981816</v>
      </c>
      <c r="D24" s="1152">
        <f>J24*TableA2!C24</f>
        <v>14.534778765501809</v>
      </c>
      <c r="E24" s="1152">
        <f>K24*(TableA2!D24+TableA2!G24)</f>
        <v>114.90450564431634</v>
      </c>
      <c r="F24" s="1150">
        <f t="shared" si="3"/>
        <v>86.920682384723904</v>
      </c>
      <c r="G24" s="1153">
        <f>+TableA2!C24-TableA4!D24</f>
        <v>46.826255283955916</v>
      </c>
      <c r="H24" s="1154">
        <f>+TableA2!D24+TableA2!G24-TableA4!E24</f>
        <v>40.094427100768002</v>
      </c>
      <c r="I24" s="9">
        <f>C24/B24</f>
        <v>0.59825894007801916</v>
      </c>
      <c r="J24" s="1155">
        <f>TableA9!M24/TableA9!E24</f>
        <v>0.23687310669808145</v>
      </c>
      <c r="K24" s="1158">
        <f>TableA9!N24/TableA9!J24</f>
        <v>0.74132449565502212</v>
      </c>
      <c r="L24" s="1157"/>
      <c r="M24" s="1157"/>
      <c r="N24" s="268">
        <f>D24+G24-TableA2!C24</f>
        <v>0</v>
      </c>
      <c r="O24" s="268">
        <f>H24+E24-TableA2!G24-TableA2!D24</f>
        <v>0</v>
      </c>
      <c r="P24" s="318"/>
      <c r="Q24" s="319"/>
      <c r="R24" s="954"/>
      <c r="S24" s="954"/>
    </row>
    <row r="25" spans="1:19" x14ac:dyDescent="0.2">
      <c r="A25" s="1149" t="s">
        <v>44</v>
      </c>
      <c r="B25" s="299">
        <f>+TableA2!B25</f>
        <v>168.61095158963607</v>
      </c>
      <c r="C25" s="1150">
        <f>D25+E25</f>
        <v>20.001467408286921</v>
      </c>
      <c r="D25" s="1151">
        <f>+TableA6!F25/TableA7!N25</f>
        <v>11.482695813055287</v>
      </c>
      <c r="E25" s="1152">
        <f>TableA5!B25</f>
        <v>8.5187715952316321</v>
      </c>
      <c r="F25" s="1150">
        <f>B25-C25</f>
        <v>148.60948418134916</v>
      </c>
      <c r="G25" s="1153">
        <f>+TableA2!C25-TableA4!D25</f>
        <v>80.471637161888566</v>
      </c>
      <c r="H25" s="1154">
        <f>+TableA2!D25+TableA2!G25-TableA4!E25</f>
        <v>68.137847045188494</v>
      </c>
      <c r="I25" s="9">
        <f>C25/B25</f>
        <v>0.11862496012101471</v>
      </c>
      <c r="J25" s="1155">
        <f>D25/TableA9!B25</f>
        <v>0.12487389600427144</v>
      </c>
      <c r="K25" s="1158">
        <f>E25/TableA9!G25</f>
        <v>0.11112897681009615</v>
      </c>
      <c r="L25" s="1157"/>
      <c r="M25" s="1157"/>
      <c r="N25" s="268">
        <f>D25+G25-TableA2!C25</f>
        <v>0</v>
      </c>
      <c r="O25" s="268">
        <f>H25+E25-TableA2!G25-TableA2!D25</f>
        <v>0</v>
      </c>
      <c r="P25" s="318"/>
      <c r="Q25" s="319"/>
      <c r="R25" s="954"/>
      <c r="S25" s="954">
        <v>1</v>
      </c>
    </row>
    <row r="26" spans="1:19" x14ac:dyDescent="0.2">
      <c r="A26" s="1149" t="s">
        <v>45</v>
      </c>
      <c r="B26" s="299">
        <f>+TableA2!B26</f>
        <v>872.75122856867165</v>
      </c>
      <c r="C26" s="1150">
        <f t="shared" si="2"/>
        <v>133.17920652871467</v>
      </c>
      <c r="D26" s="1152">
        <f>J26*TableA2!C26</f>
        <v>81.299813448428011</v>
      </c>
      <c r="E26" s="1152">
        <f>K26*(TableA2!D26+TableA2!G26)</f>
        <v>51.879393080286654</v>
      </c>
      <c r="F26" s="1150">
        <f t="shared" si="3"/>
        <v>739.57202203995701</v>
      </c>
      <c r="G26" s="1153">
        <f>+TableA2!C26-TableA4!D26</f>
        <v>410.39638211996316</v>
      </c>
      <c r="H26" s="1154">
        <f>+TableA2!D26+TableA2!G26-TableA4!E26</f>
        <v>329.17552901332084</v>
      </c>
      <c r="I26" s="9">
        <f t="shared" si="1"/>
        <v>0.15259698545154851</v>
      </c>
      <c r="J26" s="1155">
        <f>TableA9!M26/TableA9!E26</f>
        <v>0.16534562231958502</v>
      </c>
      <c r="K26" s="1158">
        <f>TableA9!N26/TableA9!J26</f>
        <v>0.13614676014483365</v>
      </c>
      <c r="L26" s="1157"/>
      <c r="M26" s="1157"/>
      <c r="N26" s="268">
        <f>D26+G26-TableA2!C26</f>
        <v>0</v>
      </c>
      <c r="O26" s="268">
        <f>H26+E26-TableA2!G26-TableA2!D26</f>
        <v>0</v>
      </c>
      <c r="P26" s="318">
        <f>TableB2!K26/TableA1!B26</f>
        <v>0.18583546955900887</v>
      </c>
      <c r="Q26" s="319">
        <f t="shared" si="4"/>
        <v>0.15259698545154851</v>
      </c>
      <c r="R26" s="954">
        <v>1</v>
      </c>
      <c r="S26" s="954"/>
    </row>
    <row r="27" spans="1:19" x14ac:dyDescent="0.2">
      <c r="A27" s="1149" t="s">
        <v>46</v>
      </c>
      <c r="B27" s="299">
        <f>+TableA2!B27</f>
        <v>2733.7570791303033</v>
      </c>
      <c r="C27" s="1150">
        <f>D27+E27</f>
        <v>206.25682932165813</v>
      </c>
      <c r="D27" s="1159">
        <f>+TableA2!C27*J44</f>
        <v>135.22206240620594</v>
      </c>
      <c r="E27" s="1152">
        <f>TableA5!B27</f>
        <v>71.034766915452195</v>
      </c>
      <c r="F27" s="1150">
        <f>B27-C27</f>
        <v>2527.5002498086451</v>
      </c>
      <c r="G27" s="1153">
        <f>+TableA2!C27-TableA4!D27</f>
        <v>1378.7962158926975</v>
      </c>
      <c r="H27" s="1154">
        <f>+TableA2!D27+TableA2!G27-TableA4!E27</f>
        <v>1148.7040339159478</v>
      </c>
      <c r="I27" s="9">
        <f>C27/B27</f>
        <v>7.5448118962814031E-2</v>
      </c>
      <c r="J27" s="1155">
        <f>D27/TableA9!B27</f>
        <v>8.9313361895562174E-2</v>
      </c>
      <c r="K27" s="1158">
        <f>E27/TableA9!G27</f>
        <v>5.8237687336857191E-2</v>
      </c>
      <c r="L27" s="1157"/>
      <c r="M27" s="1157"/>
      <c r="N27" s="268">
        <f>D27+G27-TableA2!C27</f>
        <v>0</v>
      </c>
      <c r="O27" s="268">
        <f>H27+E27-TableA2!G27-TableA2!D27</f>
        <v>0</v>
      </c>
      <c r="P27" s="318">
        <f>TableB2!K27/TableA1!B27</f>
        <v>4.7053689258015251E-2</v>
      </c>
      <c r="Q27" s="319">
        <f t="shared" si="4"/>
        <v>7.5448118962814031E-2</v>
      </c>
      <c r="R27" s="954"/>
      <c r="S27" s="954">
        <v>1</v>
      </c>
    </row>
    <row r="28" spans="1:19" x14ac:dyDescent="0.2">
      <c r="A28" s="1149" t="s">
        <v>47</v>
      </c>
      <c r="B28" s="299">
        <f>+TableA2!B28</f>
        <v>843.46264777451415</v>
      </c>
      <c r="C28" s="1150">
        <f>D28+E28</f>
        <v>68.707525310376454</v>
      </c>
      <c r="D28" s="1159">
        <f>+TableA2!C28*$B$98</f>
        <v>64.003009513839302</v>
      </c>
      <c r="E28" s="1152">
        <f>TableA5!B28</f>
        <v>4.7045157965371542</v>
      </c>
      <c r="F28" s="1150">
        <f t="shared" si="3"/>
        <v>774.75512246413768</v>
      </c>
      <c r="G28" s="1153">
        <f>+TableA2!C28-TableA4!D28</f>
        <v>350.67717428019472</v>
      </c>
      <c r="H28" s="1154">
        <f>+TableA2!D28+TableA2!G28-TableA4!E28</f>
        <v>424.07794818394296</v>
      </c>
      <c r="I28" s="9">
        <f>C28/B28</f>
        <v>8.145888320207427E-2</v>
      </c>
      <c r="J28" s="1155">
        <f>D28/TableA9!B28</f>
        <v>0.15434306247348614</v>
      </c>
      <c r="K28" s="1158">
        <f>E28/TableA9!G28</f>
        <v>1.0971800835472886E-2</v>
      </c>
      <c r="L28" s="1157"/>
      <c r="M28" s="1157"/>
      <c r="N28" s="268">
        <f>D28+G28-TableA2!C28</f>
        <v>0</v>
      </c>
      <c r="O28" s="268">
        <f>H28+E28-TableA2!G28-TableA2!D28</f>
        <v>0</v>
      </c>
      <c r="P28" s="318">
        <f>TableB2!K28/TableA1!B28</f>
        <v>0.12269555518747587</v>
      </c>
      <c r="Q28" s="319">
        <f t="shared" si="4"/>
        <v>8.145888320207427E-2</v>
      </c>
      <c r="R28" s="954"/>
      <c r="S28" s="954">
        <v>1</v>
      </c>
    </row>
    <row r="29" spans="1:19" x14ac:dyDescent="0.2">
      <c r="A29" s="1149" t="s">
        <v>48</v>
      </c>
      <c r="B29" s="299">
        <f>+TableA2!B29</f>
        <v>16.865578894016473</v>
      </c>
      <c r="C29" s="1150">
        <f t="shared" si="2"/>
        <v>5.6429965651966789</v>
      </c>
      <c r="D29" s="1152">
        <f>J29*TableA2!C29</f>
        <v>2.9223870232507698</v>
      </c>
      <c r="E29" s="1152">
        <f>K29*(TableA2!D29+TableA2!G29)</f>
        <v>2.7206095419459095</v>
      </c>
      <c r="F29" s="1150">
        <f t="shared" si="3"/>
        <v>11.222582328819794</v>
      </c>
      <c r="G29" s="1153">
        <f>+TableA2!C29-TableA4!D29</f>
        <v>6.2797658970882937</v>
      </c>
      <c r="H29" s="1154">
        <f>+TableA2!D29+TableA2!G29-TableA4!E29</f>
        <v>4.9428175407982327</v>
      </c>
      <c r="I29" s="9">
        <f t="shared" si="1"/>
        <v>0.33458659205576913</v>
      </c>
      <c r="J29" s="1155">
        <f>TableA9!M29/TableA9!E29</f>
        <v>0.31757644635437021</v>
      </c>
      <c r="K29" s="1158">
        <f>TableA9!N29/TableA9!J29</f>
        <v>0.35501212611156019</v>
      </c>
      <c r="L29" s="1157"/>
      <c r="M29" s="1157"/>
      <c r="N29" s="268">
        <f>D29+G29-TableA2!C29</f>
        <v>0</v>
      </c>
      <c r="O29" s="268">
        <f>H29+E29-TableA2!G29-TableA2!D29</f>
        <v>0</v>
      </c>
      <c r="P29" s="318">
        <f>TableB2!K29/TableA1!B29</f>
        <v>0.54583244130060771</v>
      </c>
      <c r="Q29" s="319">
        <f t="shared" si="4"/>
        <v>0.33458659205576913</v>
      </c>
      <c r="R29" s="954">
        <v>1</v>
      </c>
      <c r="S29" s="954"/>
    </row>
    <row r="30" spans="1:19" x14ac:dyDescent="0.2">
      <c r="A30" s="1149" t="s">
        <v>49</v>
      </c>
      <c r="B30" s="299">
        <f>+TableA2!B30</f>
        <v>39.231128397764564</v>
      </c>
      <c r="C30" s="1150">
        <f t="shared" si="2"/>
        <v>25.429791085099801</v>
      </c>
      <c r="D30" s="1152">
        <f>J30*TableA2!C30</f>
        <v>11.134697263599653</v>
      </c>
      <c r="E30" s="1152">
        <f>K30*(TableA2!D30+TableA2!G30)</f>
        <v>14.295093821500146</v>
      </c>
      <c r="F30" s="1150">
        <f t="shared" si="3"/>
        <v>13.801337312664764</v>
      </c>
      <c r="G30" s="1153">
        <f>+TableA2!C30-TableA4!D30</f>
        <v>10.41757471505303</v>
      </c>
      <c r="H30" s="1154">
        <f>+TableA2!D30+TableA2!G30-TableA4!E30</f>
        <v>3.3837625976117351</v>
      </c>
      <c r="I30" s="28">
        <f t="shared" si="1"/>
        <v>0.64820442652750254</v>
      </c>
      <c r="J30" s="1160">
        <f>(TableA9!M30+TableA9!D30)/TableA9!B30</f>
        <v>0.51663682022148116</v>
      </c>
      <c r="K30" s="1161">
        <f>(TableA9!N30+TableA9!I30)/TableA9!G30</f>
        <v>0.80859833252824609</v>
      </c>
      <c r="L30" s="1157"/>
      <c r="M30" s="1157"/>
      <c r="N30" s="268">
        <f>D30+G30-TableA2!C30</f>
        <v>0</v>
      </c>
      <c r="O30" s="268">
        <f>H30+E30-TableA2!G30-TableA2!D30</f>
        <v>0</v>
      </c>
      <c r="P30" s="318"/>
      <c r="Q30" s="319"/>
      <c r="R30" s="954"/>
      <c r="S30" s="954"/>
    </row>
    <row r="31" spans="1:19" x14ac:dyDescent="0.2">
      <c r="A31" s="1148" t="s">
        <v>50</v>
      </c>
      <c r="B31" s="299">
        <f>+TableA2!B31</f>
        <v>580.51899302302263</v>
      </c>
      <c r="C31" s="1150">
        <f>D31+E31</f>
        <v>65.009276406836875</v>
      </c>
      <c r="D31" s="1151">
        <f>+TableA6!F31/TableA7!N31</f>
        <v>32.357373994477598</v>
      </c>
      <c r="E31" s="1152">
        <f>TableA5!B31</f>
        <v>32.651902412359277</v>
      </c>
      <c r="F31" s="1150">
        <f>B31-C31</f>
        <v>515.50971661618576</v>
      </c>
      <c r="G31" s="1153">
        <f>+TableA2!C31-TableA4!D31</f>
        <v>107.87082887464368</v>
      </c>
      <c r="H31" s="1154">
        <f>+TableA2!D31+TableA2!G31-TableA4!E31</f>
        <v>407.63882464316043</v>
      </c>
      <c r="I31" s="9">
        <f>C31/B31</f>
        <v>0.11198475362245158</v>
      </c>
      <c r="J31" s="1155">
        <f>D31/TableA9!B31</f>
        <v>0.23074797603073896</v>
      </c>
      <c r="K31" s="1158">
        <f>E31/TableA9!G31</f>
        <v>7.415986848217665E-2</v>
      </c>
      <c r="L31" s="1157"/>
      <c r="M31" s="1157"/>
      <c r="N31" s="268">
        <f>D31+G31-TableA2!C31</f>
        <v>0</v>
      </c>
      <c r="O31" s="268">
        <f>H31+E31-TableA2!G31-TableA2!D31</f>
        <v>0</v>
      </c>
      <c r="P31" s="318"/>
      <c r="Q31" s="319"/>
      <c r="R31" s="954"/>
      <c r="S31" s="954">
        <v>1</v>
      </c>
    </row>
    <row r="32" spans="1:19" x14ac:dyDescent="0.2">
      <c r="A32" s="1148" t="s">
        <v>51</v>
      </c>
      <c r="B32" s="299">
        <f>+TableA2!B32</f>
        <v>501.13845699981925</v>
      </c>
      <c r="C32" s="1150">
        <f t="shared" si="2"/>
        <v>140.66521226439096</v>
      </c>
      <c r="D32" s="1152">
        <f>J32*TableA2!C32</f>
        <v>77.710709775013825</v>
      </c>
      <c r="E32" s="1152">
        <f>K32*(TableA2!D32+TableA2!G32)</f>
        <v>62.954502489377148</v>
      </c>
      <c r="F32" s="1150">
        <f t="shared" si="3"/>
        <v>360.4732447354283</v>
      </c>
      <c r="G32" s="1153">
        <f>+TableA2!C32-TableA4!D32</f>
        <v>204.32828722939695</v>
      </c>
      <c r="H32" s="1154">
        <f>+TableA2!D32+TableA2!G32-TableA4!E32</f>
        <v>156.14495750603135</v>
      </c>
      <c r="I32" s="9">
        <f t="shared" si="1"/>
        <v>0.2806913145451172</v>
      </c>
      <c r="J32" s="1155">
        <f>TableA9!M32/TableA9!E32</f>
        <v>0.27553179028571895</v>
      </c>
      <c r="K32" s="1158">
        <f>TableA9!N32/TableA9!J32</f>
        <v>0.28733298790739348</v>
      </c>
      <c r="L32" s="1157"/>
      <c r="M32" s="1157"/>
      <c r="N32" s="268">
        <f>D32+G32-TableA2!C32</f>
        <v>0</v>
      </c>
      <c r="O32" s="268">
        <f>H32+E32-TableA2!G32-TableA2!D32</f>
        <v>0</v>
      </c>
      <c r="P32" s="318"/>
      <c r="Q32" s="319"/>
      <c r="R32" s="954"/>
      <c r="S32" s="954"/>
    </row>
    <row r="33" spans="1:19" x14ac:dyDescent="0.2">
      <c r="A33" s="1148" t="s">
        <v>52</v>
      </c>
      <c r="B33" s="299">
        <f>+TableA2!B33</f>
        <v>117.72450705207552</v>
      </c>
      <c r="C33" s="1150">
        <f>D33+E33</f>
        <v>18.692186411311809</v>
      </c>
      <c r="D33" s="1151">
        <f>+TableA6!F33/TableA7!N33</f>
        <v>9.1720055414100905</v>
      </c>
      <c r="E33" s="1152">
        <f>TableA5!B33</f>
        <v>9.5201808699017167</v>
      </c>
      <c r="F33" s="1150">
        <f>B33-C33</f>
        <v>99.032320640763714</v>
      </c>
      <c r="G33" s="1153">
        <f>+TableA2!C33-TableA4!D33</f>
        <v>47.969855369693661</v>
      </c>
      <c r="H33" s="1154">
        <f>+TableA2!D33+TableA2!G33-TableA4!E33</f>
        <v>51.06246527107006</v>
      </c>
      <c r="I33" s="9">
        <f>C33/B33</f>
        <v>0.15877905866314909</v>
      </c>
      <c r="J33" s="1155">
        <f>D33/TableA9!B33</f>
        <v>0.16051289536543245</v>
      </c>
      <c r="K33" s="1158">
        <f>E33/TableA9!G33</f>
        <v>0.1571436950401422</v>
      </c>
      <c r="L33" s="1157"/>
      <c r="M33" s="1157"/>
      <c r="N33" s="268">
        <f>D33+G33-TableA2!C33</f>
        <v>0</v>
      </c>
      <c r="O33" s="268">
        <f>H33+E33-TableA2!G33-TableA2!D33</f>
        <v>0</v>
      </c>
      <c r="P33" s="318">
        <f>TableB2!K33/TableA1!B33</f>
        <v>0.37935721698885838</v>
      </c>
      <c r="Q33" s="319">
        <f t="shared" si="4"/>
        <v>0.15877905866314909</v>
      </c>
      <c r="R33" s="954"/>
      <c r="S33" s="954">
        <v>1</v>
      </c>
    </row>
    <row r="34" spans="1:19" x14ac:dyDescent="0.2">
      <c r="A34" s="1148" t="s">
        <v>53</v>
      </c>
      <c r="B34" s="299">
        <f>+TableA2!B34</f>
        <v>244.0517414879925</v>
      </c>
      <c r="C34" s="1150">
        <f t="shared" si="2"/>
        <v>60.982347489637597</v>
      </c>
      <c r="D34" s="1152">
        <f>J34*TableA2!C34</f>
        <v>33.195608121398337</v>
      </c>
      <c r="E34" s="1152">
        <f>K34*(TableA2!D34+TableA2!G34)</f>
        <v>27.78673936823926</v>
      </c>
      <c r="F34" s="1150">
        <f t="shared" si="3"/>
        <v>183.06939399835491</v>
      </c>
      <c r="G34" s="1153">
        <f>+TableA2!C34-TableA4!D34</f>
        <v>87.25502242729938</v>
      </c>
      <c r="H34" s="1154">
        <f>+TableA2!D34+TableA2!G34-TableA4!E34</f>
        <v>95.814371571055545</v>
      </c>
      <c r="I34" s="9">
        <f t="shared" si="1"/>
        <v>0.24987466640404191</v>
      </c>
      <c r="J34" s="1155">
        <f>TableA9!M34/TableA9!E34</f>
        <v>0.27559513777702876</v>
      </c>
      <c r="K34" s="1158">
        <f>TableA9!N34/TableA9!J34</f>
        <v>0.22480978655512557</v>
      </c>
      <c r="L34" s="1157"/>
      <c r="M34" s="1157"/>
      <c r="N34" s="268">
        <f>D34+G34-TableA2!C34</f>
        <v>0</v>
      </c>
      <c r="O34" s="268">
        <f>H34+E34-TableA2!G34-TableA2!D34</f>
        <v>0</v>
      </c>
      <c r="P34" s="318">
        <f>TableB2!K34/TableA1!B34</f>
        <v>0.38665659545495995</v>
      </c>
      <c r="Q34" s="319">
        <f t="shared" si="4"/>
        <v>0.24987466640404191</v>
      </c>
      <c r="R34" s="954"/>
      <c r="S34" s="954">
        <v>1</v>
      </c>
    </row>
    <row r="35" spans="1:19" x14ac:dyDescent="0.2">
      <c r="A35" s="1148" t="s">
        <v>54</v>
      </c>
      <c r="B35" s="299">
        <f>+TableA2!B35</f>
        <v>234.89932351770796</v>
      </c>
      <c r="C35" s="1150">
        <f t="shared" si="2"/>
        <v>83.337596477929566</v>
      </c>
      <c r="D35" s="1152">
        <f>J35*TableA2!C35</f>
        <v>39.193037102238662</v>
      </c>
      <c r="E35" s="1152">
        <f>K35*(TableA2!D35+TableA2!G35)</f>
        <v>44.144559375690896</v>
      </c>
      <c r="F35" s="1150">
        <f t="shared" si="3"/>
        <v>151.56172703977839</v>
      </c>
      <c r="G35" s="1153">
        <f>+TableA2!C35-TableA4!D35</f>
        <v>71.641291057994792</v>
      </c>
      <c r="H35" s="1154">
        <f>+TableA2!D35+TableA2!G35-TableA4!E35</f>
        <v>79.920435981783555</v>
      </c>
      <c r="I35" s="9">
        <f t="shared" si="1"/>
        <v>0.3547800616447801</v>
      </c>
      <c r="J35" s="1155">
        <f>TableA9!M35/TableA9!E35</f>
        <v>0.35361821335333216</v>
      </c>
      <c r="K35" s="1158">
        <f>TableA9!N35/TableA9!J35</f>
        <v>0.3558180069123853</v>
      </c>
      <c r="L35" s="1157"/>
      <c r="M35" s="1157"/>
      <c r="N35" s="268">
        <f>D35+G35-TableA2!C35</f>
        <v>0</v>
      </c>
      <c r="O35" s="268">
        <f>H35+E35-TableA2!G35-TableA2!D35</f>
        <v>0</v>
      </c>
      <c r="P35" s="318">
        <f>TableB2!K35/TableA1!B35</f>
        <v>0.38815750454674208</v>
      </c>
      <c r="Q35" s="319">
        <f t="shared" si="4"/>
        <v>0.3547800616447801</v>
      </c>
      <c r="R35" s="954">
        <v>1</v>
      </c>
      <c r="S35" s="954"/>
    </row>
    <row r="36" spans="1:19" x14ac:dyDescent="0.2">
      <c r="A36" s="1148" t="s">
        <v>55</v>
      </c>
      <c r="B36" s="299">
        <f>+TableA2!B36</f>
        <v>101.75390252856124</v>
      </c>
      <c r="C36" s="1150">
        <f t="shared" si="2"/>
        <v>24.453109744915967</v>
      </c>
      <c r="D36" s="1152">
        <f>J36*TableA2!C36</f>
        <v>13.115654195957454</v>
      </c>
      <c r="E36" s="1152">
        <f>K36*(TableA2!D36+TableA2!G36)</f>
        <v>11.337455548958513</v>
      </c>
      <c r="F36" s="1150">
        <f t="shared" si="3"/>
        <v>77.300792783645278</v>
      </c>
      <c r="G36" s="1153">
        <f>+TableA2!C36-TableA4!D36</f>
        <v>44.878003051405457</v>
      </c>
      <c r="H36" s="1154">
        <f>+TableA2!D36+TableA2!G36-TableA4!E36</f>
        <v>32.422789732239821</v>
      </c>
      <c r="I36" s="9">
        <f t="shared" si="1"/>
        <v>0.24031618579004613</v>
      </c>
      <c r="J36" s="1155">
        <f>TableA9!M36/TableA9!E36</f>
        <v>0.2261567008960079</v>
      </c>
      <c r="K36" s="1158">
        <f>TableA9!N36/TableA9!J36</f>
        <v>0.25908117004613024</v>
      </c>
      <c r="L36" s="1157"/>
      <c r="M36" s="1157"/>
      <c r="N36" s="268">
        <f>D36+G36-TableA2!C36</f>
        <v>0</v>
      </c>
      <c r="O36" s="268">
        <f>H36+E36-TableA2!G36-TableA2!D36</f>
        <v>0</v>
      </c>
      <c r="P36" s="318">
        <f>TableB2!K36/TableA1!B36</f>
        <v>0.58760425366217361</v>
      </c>
      <c r="Q36" s="319">
        <f t="shared" si="4"/>
        <v>0.24031618579004613</v>
      </c>
      <c r="R36" s="954">
        <v>1</v>
      </c>
      <c r="S36" s="954"/>
    </row>
    <row r="37" spans="1:19" x14ac:dyDescent="0.2">
      <c r="A37" s="1148" t="s">
        <v>56</v>
      </c>
      <c r="B37" s="299">
        <f>+TableA2!B37</f>
        <v>43.35690211044308</v>
      </c>
      <c r="C37" s="1150">
        <f t="shared" si="2"/>
        <v>19.882539197567318</v>
      </c>
      <c r="D37" s="1152">
        <f>J37*TableA2!C37</f>
        <v>9.6007058772968481</v>
      </c>
      <c r="E37" s="1152">
        <f>K37*(TableA2!D37+TableA2!G37)</f>
        <v>10.281833320270469</v>
      </c>
      <c r="F37" s="1150">
        <f t="shared" si="3"/>
        <v>23.474362912875762</v>
      </c>
      <c r="G37" s="1153">
        <f>+TableA2!C37-TableA4!D37</f>
        <v>11.642195263821913</v>
      </c>
      <c r="H37" s="1154">
        <f>+TableA2!D37+TableA2!G37-TableA4!E37</f>
        <v>11.832167649053851</v>
      </c>
      <c r="I37" s="9">
        <f t="shared" si="1"/>
        <v>0.45857840919815962</v>
      </c>
      <c r="J37" s="1155">
        <f>TableA9!M37/TableA9!E37</f>
        <v>0.4519489034721943</v>
      </c>
      <c r="K37" s="1158">
        <f>TableA9!N37/TableA9!J37</f>
        <v>0.46494676990079847</v>
      </c>
      <c r="L37" s="1157"/>
      <c r="M37" s="1157"/>
      <c r="N37" s="268">
        <f>D37+G37-TableA2!C37</f>
        <v>0</v>
      </c>
      <c r="O37" s="268">
        <f>H37+E37-TableA2!G37-TableA2!D37</f>
        <v>0</v>
      </c>
      <c r="P37" s="318">
        <f>TableB2!K37/TableA1!B37</f>
        <v>0.52588557151835713</v>
      </c>
      <c r="Q37" s="319">
        <f t="shared" si="4"/>
        <v>0.45857840919815962</v>
      </c>
      <c r="R37" s="954">
        <v>1</v>
      </c>
      <c r="S37" s="954"/>
    </row>
    <row r="38" spans="1:19" x14ac:dyDescent="0.2">
      <c r="A38" s="1148" t="s">
        <v>57</v>
      </c>
      <c r="B38" s="299">
        <f>+TableA2!B38</f>
        <v>23.475728296395868</v>
      </c>
      <c r="C38" s="1150">
        <f t="shared" si="2"/>
        <v>6.1878086902872891</v>
      </c>
      <c r="D38" s="1152">
        <f>J38*TableA2!C38</f>
        <v>3.988545148405708</v>
      </c>
      <c r="E38" s="1152">
        <f>K38*(TableA2!D38+TableA2!G38)</f>
        <v>2.1992635418815816</v>
      </c>
      <c r="F38" s="1150">
        <f t="shared" si="3"/>
        <v>17.287919606108581</v>
      </c>
      <c r="G38" s="1153">
        <f>+TableA2!C38-TableA4!D38</f>
        <v>10.95434956012601</v>
      </c>
      <c r="H38" s="1154">
        <f>+TableA2!D38+TableA2!G38-TableA4!E38</f>
        <v>6.333570045982567</v>
      </c>
      <c r="I38" s="9">
        <f t="shared" si="1"/>
        <v>0.2635832470099459</v>
      </c>
      <c r="J38" s="1155">
        <f>TableA9!M38/TableA9!E38</f>
        <v>0.26691917638477564</v>
      </c>
      <c r="K38" s="1158">
        <f>TableA9!N38/TableA9!J38</f>
        <v>0.25774129065513379</v>
      </c>
      <c r="L38" s="1157"/>
      <c r="M38" s="1157"/>
      <c r="N38" s="268">
        <f>D38+G38-TableA2!C38</f>
        <v>0</v>
      </c>
      <c r="O38" s="268">
        <f>H38+E38-TableA2!G38-TableA2!D38</f>
        <v>0</v>
      </c>
      <c r="P38" s="318">
        <f>TableB2!K38/TableA1!B38</f>
        <v>0.29554344801039062</v>
      </c>
      <c r="Q38" s="319">
        <f t="shared" si="4"/>
        <v>0.2635832470099459</v>
      </c>
      <c r="R38" s="954">
        <v>1</v>
      </c>
      <c r="S38" s="954"/>
    </row>
    <row r="39" spans="1:19" x14ac:dyDescent="0.2">
      <c r="A39" s="1148" t="s">
        <v>58</v>
      </c>
      <c r="B39" s="299">
        <f>+TableA2!B39</f>
        <v>678.97508925214515</v>
      </c>
      <c r="C39" s="1150">
        <f t="shared" si="2"/>
        <v>149.10309882409237</v>
      </c>
      <c r="D39" s="1152">
        <f>J39*TableA2!C39</f>
        <v>84.581926770837981</v>
      </c>
      <c r="E39" s="1152">
        <f>K39*(TableA2!D39+TableA2!G39)</f>
        <v>64.521172053254389</v>
      </c>
      <c r="F39" s="1150">
        <f t="shared" si="3"/>
        <v>529.87199042805275</v>
      </c>
      <c r="G39" s="1153">
        <f>+TableA2!C39-TableA4!D39</f>
        <v>308.58999299040215</v>
      </c>
      <c r="H39" s="1154">
        <f>+TableA2!D39+TableA2!G39-TableA4!E39</f>
        <v>221.28199743765074</v>
      </c>
      <c r="I39" s="9">
        <f t="shared" si="1"/>
        <v>0.21960024923494834</v>
      </c>
      <c r="J39" s="1155">
        <f>TableA9!M39/TableA9!E39</f>
        <v>0.21512707932499781</v>
      </c>
      <c r="K39" s="1158">
        <f>TableA9!N39/TableA9!J39</f>
        <v>0.22575387168793307</v>
      </c>
      <c r="L39" s="1157"/>
      <c r="M39" s="1157"/>
      <c r="N39" s="268">
        <f>D39+G39-TableA2!C39</f>
        <v>0</v>
      </c>
      <c r="O39" s="268">
        <f>H39+E39-TableA2!G39-TableA2!D39</f>
        <v>0</v>
      </c>
      <c r="P39" s="318">
        <f>TableB2!K39/TableA1!B39</f>
        <v>0.45408528644092888</v>
      </c>
      <c r="Q39" s="319">
        <f t="shared" si="4"/>
        <v>0.21960024923494834</v>
      </c>
      <c r="R39" s="954">
        <v>1</v>
      </c>
      <c r="S39" s="954"/>
    </row>
    <row r="40" spans="1:19" x14ac:dyDescent="0.2">
      <c r="A40" s="1148" t="s">
        <v>59</v>
      </c>
      <c r="B40" s="299">
        <f>+TableA2!B40</f>
        <v>287.8253425286855</v>
      </c>
      <c r="C40" s="1150">
        <f t="shared" si="2"/>
        <v>78.161963173851206</v>
      </c>
      <c r="D40" s="1152">
        <f>J40*TableA2!C40</f>
        <v>45.364312208613207</v>
      </c>
      <c r="E40" s="1152">
        <f>K40*(TableA2!D40+TableA2!G40)</f>
        <v>32.797650965237999</v>
      </c>
      <c r="F40" s="1150">
        <f t="shared" si="3"/>
        <v>209.66337935483429</v>
      </c>
      <c r="G40" s="1153">
        <f>+TableA2!C40-TableA4!D40</f>
        <v>118.68999539481405</v>
      </c>
      <c r="H40" s="1154">
        <f>+TableA2!D40+TableA2!G40-TableA4!E40</f>
        <v>90.973383960020215</v>
      </c>
      <c r="I40" s="9">
        <f t="shared" si="1"/>
        <v>0.27156039314384334</v>
      </c>
      <c r="J40" s="1155">
        <f>TableA9!M40/TableA9!E40</f>
        <v>0.27652009186051696</v>
      </c>
      <c r="K40" s="1158">
        <f>TableA9!N40/TableA9!J40</f>
        <v>0.26498648076299564</v>
      </c>
      <c r="L40" s="1157"/>
      <c r="M40" s="1157"/>
      <c r="N40" s="268">
        <f>D40+G40-TableA2!C40</f>
        <v>0</v>
      </c>
      <c r="O40" s="268">
        <f>H40+E40-TableA2!G40-TableA2!D40</f>
        <v>0</v>
      </c>
      <c r="P40" s="318">
        <f>TableB2!K40/TableA1!B40</f>
        <v>0.60791032866305494</v>
      </c>
      <c r="Q40" s="319">
        <f t="shared" si="4"/>
        <v>0.27156039314384334</v>
      </c>
      <c r="R40" s="954">
        <v>1</v>
      </c>
      <c r="S40" s="954"/>
    </row>
    <row r="41" spans="1:19" x14ac:dyDescent="0.2">
      <c r="A41" s="1148" t="s">
        <v>60</v>
      </c>
      <c r="B41" s="299">
        <f>+TableA2!B41</f>
        <v>483.52057116672086</v>
      </c>
      <c r="C41" s="1150">
        <f t="shared" si="2"/>
        <v>79.990300559539349</v>
      </c>
      <c r="D41" s="1151">
        <f>+TableA6!F41/TableA7!N41</f>
        <v>18.886427858840669</v>
      </c>
      <c r="E41" s="1152">
        <f>TableA5!B41</f>
        <v>61.10387270069868</v>
      </c>
      <c r="F41" s="1150">
        <f t="shared" si="3"/>
        <v>403.53027060718148</v>
      </c>
      <c r="G41" s="1153">
        <f>+TableA2!C41-TableA4!D41</f>
        <v>302.26740144576951</v>
      </c>
      <c r="H41" s="1154">
        <f>+TableA2!D41+TableA2!G41-TableA4!E41</f>
        <v>101.26286936922997</v>
      </c>
      <c r="I41" s="9">
        <f t="shared" si="1"/>
        <v>0.16543308667617826</v>
      </c>
      <c r="J41" s="1155">
        <f>D41/TableA9!B41</f>
        <v>5.8808041927244599E-2</v>
      </c>
      <c r="K41" s="1158">
        <f>E41/TableA9!G41</f>
        <v>0.37633244297272567</v>
      </c>
      <c r="L41" s="1157"/>
      <c r="M41" s="1157"/>
      <c r="N41" s="268">
        <f>D41+G41-TableA2!C41</f>
        <v>0</v>
      </c>
      <c r="O41" s="268">
        <f>H41+E41-TableA2!G41-TableA2!D41</f>
        <v>0</v>
      </c>
      <c r="P41" s="318"/>
      <c r="Q41" s="319">
        <f t="shared" si="4"/>
        <v>0.16543308667617826</v>
      </c>
      <c r="R41" s="954"/>
      <c r="S41" s="954">
        <v>1</v>
      </c>
    </row>
    <row r="42" spans="1:19" x14ac:dyDescent="0.2">
      <c r="A42" s="1148" t="s">
        <v>61</v>
      </c>
      <c r="B42" s="299">
        <f>+TableA2!B42</f>
        <v>461.75718903871274</v>
      </c>
      <c r="C42" s="1150">
        <f t="shared" si="2"/>
        <v>13.18393403924207</v>
      </c>
      <c r="D42" s="1151">
        <f>+TableA6!F42/TableA7!N42</f>
        <v>8.3567244424339737</v>
      </c>
      <c r="E42" s="1152">
        <f>TableA5!B42</f>
        <v>4.8272095968080961</v>
      </c>
      <c r="F42" s="1150">
        <f t="shared" si="3"/>
        <v>448.57325499947069</v>
      </c>
      <c r="G42" s="1153">
        <f>+TableA2!C42-TableA4!D42</f>
        <v>172.01765299528776</v>
      </c>
      <c r="H42" s="1154">
        <f>+TableA2!D42+TableA2!G42-TableA4!E42</f>
        <v>276.5556020041829</v>
      </c>
      <c r="I42" s="9">
        <f t="shared" si="1"/>
        <v>2.8551659513278864E-2</v>
      </c>
      <c r="J42" s="1155">
        <f>D42/TableA9!B42</f>
        <v>4.6329886545661503E-2</v>
      </c>
      <c r="K42" s="1158">
        <f>E42/TableA9!G42</f>
        <v>1.715531083559297E-2</v>
      </c>
      <c r="L42" s="1157"/>
      <c r="M42" s="1157"/>
      <c r="N42" s="268">
        <f>D42+G42-TableA2!C42</f>
        <v>0</v>
      </c>
      <c r="O42" s="268">
        <f>H42+E42-TableA2!G42-TableA2!D42</f>
        <v>0</v>
      </c>
      <c r="P42" s="318">
        <f>TableB2!K42/TableA1!B42</f>
        <v>0.18138526162148752</v>
      </c>
      <c r="Q42" s="319">
        <f t="shared" si="4"/>
        <v>2.8551659513278864E-2</v>
      </c>
      <c r="R42" s="954"/>
      <c r="S42" s="954">
        <v>1</v>
      </c>
    </row>
    <row r="43" spans="1:19" x14ac:dyDescent="0.2">
      <c r="A43" s="1148" t="s">
        <v>62</v>
      </c>
      <c r="B43" s="299">
        <f>+TableA2!B43</f>
        <v>1619.5418191262634</v>
      </c>
      <c r="C43" s="1150">
        <f t="shared" si="2"/>
        <v>481.06573204045446</v>
      </c>
      <c r="D43" s="1152">
        <f>J43*TableA2!C43</f>
        <v>280.65878878006157</v>
      </c>
      <c r="E43" s="1152">
        <f>K43*(TableA2!D43+TableA2!G43)</f>
        <v>200.40694326039292</v>
      </c>
      <c r="F43" s="1150">
        <f t="shared" si="3"/>
        <v>1138.476087085809</v>
      </c>
      <c r="G43" s="1153">
        <f>+TableA2!C43-TableA4!D43</f>
        <v>731.91024772621381</v>
      </c>
      <c r="H43" s="1154">
        <f>+TableA2!D43+TableA2!G43-TableA4!E43</f>
        <v>406.56583935959486</v>
      </c>
      <c r="I43" s="9">
        <f t="shared" si="1"/>
        <v>0.29703816620183826</v>
      </c>
      <c r="J43" s="1155">
        <f>TableA9!M43/TableA9!E43</f>
        <v>0.27717496650740436</v>
      </c>
      <c r="K43" s="1158">
        <f>TableA9!N43/TableA9!J43</f>
        <v>0.33017451358418365</v>
      </c>
      <c r="L43" s="1157"/>
      <c r="M43" s="1157"/>
      <c r="N43" s="268">
        <f>D43+G43-TableA2!C43</f>
        <v>0</v>
      </c>
      <c r="O43" s="268">
        <f>H43+E43-TableA2!G43-TableA2!D43</f>
        <v>0</v>
      </c>
      <c r="P43" s="318">
        <f>TableB2!K43/TableA1!B43</f>
        <v>0.49212306945558248</v>
      </c>
      <c r="Q43" s="319">
        <f t="shared" si="4"/>
        <v>0.29703816620183826</v>
      </c>
      <c r="R43" s="954">
        <v>1</v>
      </c>
      <c r="S43" s="954"/>
    </row>
    <row r="44" spans="1:19" x14ac:dyDescent="0.2">
      <c r="A44" s="1074" t="s">
        <v>63</v>
      </c>
      <c r="B44" s="1162">
        <f>+TableA2!B44</f>
        <v>9749.7634999999991</v>
      </c>
      <c r="C44" s="1163">
        <f t="shared" si="2"/>
        <v>834.53200000000004</v>
      </c>
      <c r="D44" s="1164">
        <f>J44*TableA2!C44</f>
        <v>539.10500000000002</v>
      </c>
      <c r="E44" s="1164">
        <f>K44*(TableA2!D44+TableA2!G44)</f>
        <v>295.42700000000002</v>
      </c>
      <c r="F44" s="1163">
        <f>B44-C44</f>
        <v>8915.2314999999999</v>
      </c>
      <c r="G44" s="1107">
        <f>+TableA2!C44-TableA4!D44</f>
        <v>5497.0019000000011</v>
      </c>
      <c r="H44" s="1108">
        <f>+TableA2!D44+TableA2!G44-TableA4!E44</f>
        <v>3418.2294999999999</v>
      </c>
      <c r="I44" s="24">
        <f>C44/B44</f>
        <v>8.5595101870932569E-2</v>
      </c>
      <c r="J44" s="1155">
        <f>TableA9!M44/TableA9!E44</f>
        <v>8.9313361895562174E-2</v>
      </c>
      <c r="K44" s="1165">
        <f>TableA9!N44/TableA9!J44</f>
        <v>7.9551514794111947E-2</v>
      </c>
      <c r="L44" s="954"/>
      <c r="M44" s="23"/>
      <c r="N44" s="268">
        <f>D44+G44-TableA2!C44</f>
        <v>0</v>
      </c>
      <c r="O44" s="268">
        <f>H44+E44-TableA2!G44-TableA2!D44</f>
        <v>0</v>
      </c>
      <c r="P44" s="318">
        <f>TableB2!K44/TableA1!B44</f>
        <v>0.31509012804501185</v>
      </c>
      <c r="Q44" s="319">
        <f t="shared" si="4"/>
        <v>8.5595101870932569E-2</v>
      </c>
      <c r="R44" s="954"/>
      <c r="S44" s="954"/>
    </row>
    <row r="45" spans="1:19" ht="40" customHeight="1" x14ac:dyDescent="0.2">
      <c r="A45" s="7" t="s">
        <v>64</v>
      </c>
      <c r="B45" s="304">
        <f>SUM(B46:B52)</f>
        <v>9449.600738407149</v>
      </c>
      <c r="C45" s="1166">
        <f t="shared" ref="C45:H45" si="5">SUM(C46:C52)</f>
        <v>814.11043913941683</v>
      </c>
      <c r="D45" s="175">
        <f t="shared" si="5"/>
        <v>419.75893109651633</v>
      </c>
      <c r="E45" s="245">
        <f t="shared" si="5"/>
        <v>394.35150804290049</v>
      </c>
      <c r="F45" s="1166">
        <f t="shared" si="5"/>
        <v>8635.4902992677326</v>
      </c>
      <c r="G45" s="245">
        <f t="shared" si="5"/>
        <v>4215.6653759356486</v>
      </c>
      <c r="H45" s="623">
        <f t="shared" si="5"/>
        <v>4419.8249233322731</v>
      </c>
      <c r="I45" s="176">
        <f>C45/B45</f>
        <v>8.6152892770435252E-2</v>
      </c>
      <c r="J45" s="1155">
        <f>D45/(D45+G45)</f>
        <v>9.0554586439847928E-2</v>
      </c>
      <c r="K45" s="1156">
        <f>E45/(E45+H45)</f>
        <v>8.1914635590173757E-2</v>
      </c>
      <c r="L45" s="954"/>
      <c r="M45" s="954"/>
      <c r="N45" s="268">
        <f>D45+G45-TableA2!C45</f>
        <v>0</v>
      </c>
      <c r="O45" s="268">
        <f>H45+E45-TableA2!G45-TableA2!D45</f>
        <v>0</v>
      </c>
      <c r="P45" s="318"/>
      <c r="Q45" s="319"/>
      <c r="R45" s="954"/>
      <c r="S45" s="954"/>
    </row>
    <row r="46" spans="1:19" x14ac:dyDescent="0.2">
      <c r="A46" s="1149" t="s">
        <v>65</v>
      </c>
      <c r="B46" s="299">
        <f>+TableA2!B46</f>
        <v>1105.0676793002151</v>
      </c>
      <c r="C46" s="1150">
        <f>D46+E46</f>
        <v>171.85972585851067</v>
      </c>
      <c r="D46" s="1151">
        <f>+TableA6!F46/TableA7!N46</f>
        <v>104.04870666105121</v>
      </c>
      <c r="E46" s="1152">
        <f>TableA5!B46</f>
        <v>67.811019197459444</v>
      </c>
      <c r="F46" s="1150">
        <f>B46-C46</f>
        <v>933.20795344170438</v>
      </c>
      <c r="G46" s="1153">
        <f>+TableA2!C46-TableA4!D46</f>
        <v>579.79907263916391</v>
      </c>
      <c r="H46" s="1154">
        <f>+TableA2!D46+TableA2!G46-TableA4!E46</f>
        <v>353.40888080254058</v>
      </c>
      <c r="I46" s="9">
        <f>C46/B46</f>
        <v>0.15551963836942637</v>
      </c>
      <c r="J46" s="1155">
        <f>D46/TableA9!B46</f>
        <v>0.15215185281075969</v>
      </c>
      <c r="K46" s="1158">
        <f>E46/TableA9!G46</f>
        <v>0.16098721640990715</v>
      </c>
      <c r="L46" s="954"/>
      <c r="M46" s="954"/>
      <c r="N46" s="268">
        <f>D46+G46-TableA2!C46</f>
        <v>0</v>
      </c>
      <c r="O46" s="268">
        <f>H46+E46-TableA2!G46-TableA2!D46</f>
        <v>0</v>
      </c>
      <c r="P46" s="318">
        <f>TableB2!K46/TableA1!B46</f>
        <v>0.18729308232823494</v>
      </c>
      <c r="Q46" s="319">
        <f t="shared" si="4"/>
        <v>0.15551963836942637</v>
      </c>
      <c r="R46" s="954"/>
      <c r="S46" s="954"/>
    </row>
    <row r="47" spans="1:19" x14ac:dyDescent="0.2">
      <c r="A47" s="1148" t="s">
        <v>66</v>
      </c>
      <c r="B47" s="299">
        <f>+TableA2!B47</f>
        <v>6211.8447853385696</v>
      </c>
      <c r="C47" s="1150">
        <f t="shared" ref="C47:C52" si="6">D47+E47</f>
        <v>402.25088376888084</v>
      </c>
      <c r="D47" s="1151">
        <f>+TableA6!F47/TableA7!N47</f>
        <v>188.62094795395103</v>
      </c>
      <c r="E47" s="1152">
        <f>TableA5!B47</f>
        <v>213.62993581492978</v>
      </c>
      <c r="F47" s="1150">
        <f t="shared" ref="F47:F52" si="7">B47-C47</f>
        <v>5809.5939015696886</v>
      </c>
      <c r="G47" s="1153">
        <f>+TableA2!C47-TableA4!D47</f>
        <v>2811.7259151746216</v>
      </c>
      <c r="H47" s="1154">
        <f>+TableA2!D47+TableA2!G47-TableA4!E47</f>
        <v>2997.8679863950674</v>
      </c>
      <c r="I47" s="9">
        <f t="shared" ref="I47:I53" si="8">C47/B47</f>
        <v>6.4755462776257475E-2</v>
      </c>
      <c r="J47" s="1155">
        <f>D47/TableA9!B47</f>
        <v>6.2866380641493219E-2</v>
      </c>
      <c r="K47" s="1158">
        <f>E47/TableA9!G47</f>
        <v>6.6520340660198837E-2</v>
      </c>
      <c r="L47" s="954"/>
      <c r="M47" s="23"/>
      <c r="N47" s="268">
        <f>D47+G47-TableA2!C47</f>
        <v>0</v>
      </c>
      <c r="O47" s="268">
        <f>H47+E47-TableA2!G47-TableA2!D47</f>
        <v>0</v>
      </c>
      <c r="P47" s="318">
        <f>TableB2!K47/TableA1!B47</f>
        <v>0.23320832282540019</v>
      </c>
      <c r="Q47" s="319">
        <f t="shared" si="4"/>
        <v>6.4755462776257475E-2</v>
      </c>
      <c r="R47" s="954"/>
      <c r="S47" s="954"/>
    </row>
    <row r="48" spans="1:19" x14ac:dyDescent="0.2">
      <c r="A48" s="1148" t="s">
        <v>67</v>
      </c>
      <c r="B48" s="299">
        <f>+TableA2!B48</f>
        <v>135.02409969740114</v>
      </c>
      <c r="C48" s="1150">
        <f t="shared" si="6"/>
        <v>27.321661734164316</v>
      </c>
      <c r="D48" s="1151">
        <f>+TableA6!F48/TableA7!N48</f>
        <v>11.396413822804858</v>
      </c>
      <c r="E48" s="1152">
        <f>TableA5!B48</f>
        <v>15.925247911359456</v>
      </c>
      <c r="F48" s="1150">
        <f t="shared" si="7"/>
        <v>107.70243796323683</v>
      </c>
      <c r="G48" s="1153">
        <f>+TableA2!C48-TableA4!D48</f>
        <v>42.774064552094643</v>
      </c>
      <c r="H48" s="1154">
        <f>+TableA2!D48+TableA2!G48-TableA4!E48</f>
        <v>64.928373411142189</v>
      </c>
      <c r="I48" s="9">
        <f t="shared" si="8"/>
        <v>0.2023465573582357</v>
      </c>
      <c r="J48" s="1155">
        <f>D48/TableA9!B48</f>
        <v>0.21038052763598103</v>
      </c>
      <c r="K48" s="1158">
        <f>E48/TableA9!G48</f>
        <v>0.19696394114294846</v>
      </c>
      <c r="L48" s="954"/>
      <c r="M48" s="954"/>
      <c r="N48" s="268">
        <f>D48+G48-TableA2!C48</f>
        <v>0</v>
      </c>
      <c r="O48" s="268">
        <f>H48+E48-TableA2!G48-TableA2!D48</f>
        <v>0</v>
      </c>
      <c r="P48" s="318">
        <f>TableB2!K48/TableA1!B48</f>
        <v>0.12897932451908642</v>
      </c>
      <c r="Q48" s="319">
        <f t="shared" si="4"/>
        <v>0.2023465573582357</v>
      </c>
      <c r="R48" s="954"/>
      <c r="S48" s="954"/>
    </row>
    <row r="49" spans="1:17" x14ac:dyDescent="0.2">
      <c r="A49" s="1148" t="s">
        <v>68</v>
      </c>
      <c r="B49" s="299">
        <f>+TableA2!B49</f>
        <v>29.987501894855708</v>
      </c>
      <c r="C49" s="1150">
        <f t="shared" si="6"/>
        <v>5.2422977692851846</v>
      </c>
      <c r="D49" s="1151">
        <f>+TableA6!F49/TableA7!N49</f>
        <v>1.8941195373363828</v>
      </c>
      <c r="E49" s="1152">
        <f>TableA5!B49</f>
        <v>3.3481782319488018</v>
      </c>
      <c r="F49" s="1150">
        <f t="shared" si="7"/>
        <v>24.745204125570524</v>
      </c>
      <c r="G49" s="1153">
        <f>+TableA2!C49-TableA4!D49</f>
        <v>13.737700166719861</v>
      </c>
      <c r="H49" s="1154">
        <f>+TableA2!D49+TableA2!G49-TableA4!E49</f>
        <v>11.007503959037725</v>
      </c>
      <c r="I49" s="9">
        <f t="shared" si="8"/>
        <v>0.17481608797111872</v>
      </c>
      <c r="J49" s="1155">
        <f>D49/TableA9!B49</f>
        <v>0.12117076406945025</v>
      </c>
      <c r="K49" s="1158">
        <f>E49/TableA9!G49</f>
        <v>0.23323017237390609</v>
      </c>
      <c r="L49" s="954"/>
      <c r="M49" s="954"/>
      <c r="N49" s="268">
        <f>D49+G49-TableA2!C49</f>
        <v>0</v>
      </c>
      <c r="O49" s="268">
        <f>H49+E49-TableA2!G49-TableA2!D49</f>
        <v>0</v>
      </c>
      <c r="P49" s="318">
        <f>TableB2!K49/TableA1!B49</f>
        <v>0.55897274397359109</v>
      </c>
      <c r="Q49" s="319">
        <f t="shared" si="4"/>
        <v>0.17481608797111872</v>
      </c>
    </row>
    <row r="50" spans="1:17" x14ac:dyDescent="0.2">
      <c r="A50" s="1148" t="s">
        <v>69</v>
      </c>
      <c r="B50" s="299">
        <f>+TableA2!B50</f>
        <v>919.01579786888453</v>
      </c>
      <c r="C50" s="1150">
        <f>D50+E50</f>
        <v>40.810781580339878</v>
      </c>
      <c r="D50" s="1151">
        <f>+TableA6!F50/TableA7!N50</f>
        <v>21.047688887867366</v>
      </c>
      <c r="E50" s="1152">
        <f>TableA5!B50</f>
        <v>19.763092692472515</v>
      </c>
      <c r="F50" s="1150">
        <f t="shared" si="7"/>
        <v>878.2050162885447</v>
      </c>
      <c r="G50" s="1153">
        <f>+TableA2!C50-TableA4!D50</f>
        <v>297.57804130044929</v>
      </c>
      <c r="H50" s="1154">
        <f>+TableA2!D50+TableA2!G50-TableA4!E50</f>
        <v>580.62697498809541</v>
      </c>
      <c r="I50" s="9">
        <f>C50/B50</f>
        <v>4.4407051189953896E-2</v>
      </c>
      <c r="J50" s="1155">
        <f>D50/TableA9!B50</f>
        <v>6.6057718802017648E-2</v>
      </c>
      <c r="K50" s="1158">
        <f>E50/TableA9!G50</f>
        <v>3.2917088000508514E-2</v>
      </c>
      <c r="L50" s="954"/>
      <c r="M50" s="954"/>
      <c r="N50" s="268">
        <f>D50+G50-TableA2!C50</f>
        <v>0</v>
      </c>
      <c r="O50" s="268">
        <f>H50+E50-TableA2!G50-TableA2!D50</f>
        <v>0</v>
      </c>
      <c r="P50" s="318">
        <f>TableB2!K50/TableA1!B50</f>
        <v>0.14628968956737795</v>
      </c>
      <c r="Q50" s="319">
        <f t="shared" si="4"/>
        <v>4.4407051189953896E-2</v>
      </c>
    </row>
    <row r="51" spans="1:17" x14ac:dyDescent="0.2">
      <c r="A51" s="1148" t="s">
        <v>70</v>
      </c>
      <c r="B51" s="299">
        <f>+TableA2!B51</f>
        <v>856.3415010588692</v>
      </c>
      <c r="C51" s="1150">
        <f t="shared" si="6"/>
        <v>126.88808218662315</v>
      </c>
      <c r="D51" s="1151">
        <f>+TableA6!F51/TableA7!N51</f>
        <v>64.762767723495699</v>
      </c>
      <c r="E51" s="1152">
        <f>TableA5!B51</f>
        <v>62.125314463127452</v>
      </c>
      <c r="F51" s="1150">
        <f t="shared" si="7"/>
        <v>729.45341887224606</v>
      </c>
      <c r="G51" s="1153">
        <f>+TableA2!C51-TableA4!D51</f>
        <v>400.90172541005973</v>
      </c>
      <c r="H51" s="1154">
        <f>+TableA2!D51+TableA2!G51-TableA4!E51</f>
        <v>328.55169346218634</v>
      </c>
      <c r="I51" s="9">
        <f t="shared" si="8"/>
        <v>0.14817462662935943</v>
      </c>
      <c r="J51" s="1155">
        <f>D51/TableA9!B51</f>
        <v>0.13907602722228887</v>
      </c>
      <c r="K51" s="1158">
        <f>E51/TableA9!G51</f>
        <v>0.1590196331057292</v>
      </c>
      <c r="L51" s="954"/>
      <c r="M51" s="954"/>
      <c r="N51" s="268">
        <f>D51+G51-TableA2!C51</f>
        <v>0</v>
      </c>
      <c r="O51" s="268">
        <f>H51+E51-TableA2!G51-TableA2!D51</f>
        <v>0</v>
      </c>
      <c r="P51" s="318">
        <f>TableB2!K51/TableA1!B51</f>
        <v>0.18815911779605865</v>
      </c>
      <c r="Q51" s="319">
        <f t="shared" si="4"/>
        <v>0.14817462662935943</v>
      </c>
    </row>
    <row r="52" spans="1:17" x14ac:dyDescent="0.2">
      <c r="A52" s="1148" t="s">
        <v>71</v>
      </c>
      <c r="B52" s="299">
        <f>+TableA2!B52</f>
        <v>192.31937324835505</v>
      </c>
      <c r="C52" s="1150">
        <f t="shared" si="6"/>
        <v>39.737006241612832</v>
      </c>
      <c r="D52" s="1151">
        <f>+TableA6!F52/TableA7!N52</f>
        <v>27.988286510009779</v>
      </c>
      <c r="E52" s="1152">
        <f>TableA5!B52</f>
        <v>11.748719731603057</v>
      </c>
      <c r="F52" s="1150">
        <f t="shared" si="7"/>
        <v>152.58236700674223</v>
      </c>
      <c r="G52" s="1153">
        <f>+TableA2!C52-TableA4!D52</f>
        <v>69.14885669253897</v>
      </c>
      <c r="H52" s="1154">
        <f>+TableA2!D52+TableA2!G52-TableA4!E52</f>
        <v>83.433510314203232</v>
      </c>
      <c r="I52" s="9">
        <f t="shared" si="8"/>
        <v>0.20661988218055255</v>
      </c>
      <c r="J52" s="1155">
        <f>D52/TableA9!B52</f>
        <v>0.28813166197042739</v>
      </c>
      <c r="K52" s="1158">
        <f>E52/TableA9!G52</f>
        <v>0.12343396163284895</v>
      </c>
      <c r="L52" s="954"/>
      <c r="M52" s="954"/>
      <c r="N52" s="268">
        <f>D52+G52-TableA2!C52</f>
        <v>0</v>
      </c>
      <c r="O52" s="268">
        <f>H52+E52-TableA2!G52-TableA2!D52</f>
        <v>0</v>
      </c>
      <c r="P52" s="318">
        <f>TableB2!K52/TableA1!B52</f>
        <v>0.363045392813305</v>
      </c>
      <c r="Q52" s="319">
        <f t="shared" si="4"/>
        <v>0.20661988218055255</v>
      </c>
    </row>
    <row r="53" spans="1:17" ht="40" customHeight="1" x14ac:dyDescent="0.2">
      <c r="A53" s="7" t="s">
        <v>72</v>
      </c>
      <c r="B53" s="304">
        <f>SUM(B54:B89)</f>
        <v>687.54671431433303</v>
      </c>
      <c r="C53" s="1166">
        <f t="shared" ref="C53:H53" si="9">SUM(C54:C89)</f>
        <v>303.6332367588368</v>
      </c>
      <c r="D53" s="175">
        <f t="shared" si="9"/>
        <v>93.59346009202666</v>
      </c>
      <c r="E53" s="245">
        <f t="shared" si="9"/>
        <v>210.03977666681013</v>
      </c>
      <c r="F53" s="1166">
        <f t="shared" si="9"/>
        <v>383.91347755549617</v>
      </c>
      <c r="G53" s="245">
        <f t="shared" si="9"/>
        <v>221.08100266005408</v>
      </c>
      <c r="H53" s="623">
        <f t="shared" si="9"/>
        <v>162.83247489544209</v>
      </c>
      <c r="I53" s="176">
        <f t="shared" si="8"/>
        <v>0.4416183372523857</v>
      </c>
      <c r="J53" s="1155">
        <f>D53/(D53+G53)</f>
        <v>0.29742947449080148</v>
      </c>
      <c r="K53" s="1156">
        <f>E53/(E53+H53)</f>
        <v>0.56330224570691423</v>
      </c>
      <c r="L53" s="954"/>
      <c r="M53" s="954"/>
      <c r="N53" s="268">
        <f>D53+G53-TableA2!C53</f>
        <v>0</v>
      </c>
      <c r="O53" s="268">
        <f>H53+E53-TableA2!G53-TableA2!D53</f>
        <v>0</v>
      </c>
      <c r="P53" s="954"/>
      <c r="Q53" s="954"/>
    </row>
    <row r="54" spans="1:17" x14ac:dyDescent="0.2">
      <c r="A54" s="1148" t="s">
        <v>73</v>
      </c>
      <c r="B54" s="299">
        <f>TableA2!B54</f>
        <v>1.8902000000000001</v>
      </c>
      <c r="C54" s="1167">
        <f t="shared" ref="C54:C88" si="10">D54+E54</f>
        <v>0.16140384864391827</v>
      </c>
      <c r="D54" s="1159">
        <f>TableA2!C54*$B$97</f>
        <v>0.20364200000000002</v>
      </c>
      <c r="E54" s="1168">
        <f>TableA5!B54</f>
        <v>-4.2238151356081763E-2</v>
      </c>
      <c r="F54" s="1167">
        <f>B54-C54</f>
        <v>1.7287961513560819</v>
      </c>
      <c r="G54" s="1169">
        <f>+TableA2!C54-TableA4!D54</f>
        <v>0.30546300000000004</v>
      </c>
      <c r="H54" s="1170">
        <f>+TableA2!D54+TableA2!G54-TableA4!E54</f>
        <v>1.4233331513560818</v>
      </c>
      <c r="I54" s="9">
        <f>C54/B54</f>
        <v>8.5389825755961407E-2</v>
      </c>
      <c r="J54" s="1155">
        <f>D54/TableA9!B54</f>
        <v>0.4</v>
      </c>
      <c r="K54" s="1158">
        <f>E54/TableA9!G54</f>
        <v>-3.0583089038829159E-2</v>
      </c>
      <c r="L54" s="954"/>
      <c r="M54" s="1171"/>
      <c r="N54" s="268">
        <f>D54+G54-TableA2!C54</f>
        <v>0</v>
      </c>
      <c r="O54" s="268">
        <f>H54+E54-TableA2!G54-TableA2!D54</f>
        <v>0</v>
      </c>
      <c r="P54" s="954"/>
      <c r="Q54" s="954"/>
    </row>
    <row r="55" spans="1:17" x14ac:dyDescent="0.2">
      <c r="A55" s="1148" t="s">
        <v>74</v>
      </c>
      <c r="B55" s="299">
        <f>TableA2!B55</f>
        <v>0.17888200000000001</v>
      </c>
      <c r="C55" s="1167">
        <f t="shared" si="10"/>
        <v>0.14529533849679047</v>
      </c>
      <c r="D55" s="1159">
        <f>TableA2!C55*$B$97</f>
        <v>1.9271961600000002E-2</v>
      </c>
      <c r="E55" s="1168">
        <f>TableA5!B55</f>
        <v>0.12602337689679047</v>
      </c>
      <c r="F55" s="1167">
        <f>B55-C55</f>
        <v>3.3586661503209547E-2</v>
      </c>
      <c r="G55" s="1169">
        <f>+TableA2!C55-TableA4!D55</f>
        <v>2.8907942400000001E-2</v>
      </c>
      <c r="H55" s="1170">
        <f>+TableA2!D55+TableA2!G55-TableA4!E55</f>
        <v>4.6787191032095499E-3</v>
      </c>
      <c r="I55" s="9">
        <f t="shared" ref="I55:I90" si="11">C55/B55</f>
        <v>0.81224124560766575</v>
      </c>
      <c r="J55" s="1155">
        <f>D55/TableA9!B55</f>
        <v>0.4</v>
      </c>
      <c r="K55" s="1158">
        <f>E55/TableA9!G55</f>
        <v>0.96420318230237445</v>
      </c>
      <c r="L55" s="954"/>
      <c r="M55" s="1171"/>
      <c r="N55" s="268">
        <f>D55+G55-TableA2!C55</f>
        <v>0</v>
      </c>
      <c r="O55" s="268">
        <f>H55+E55-TableA2!G55-TableA2!D55</f>
        <v>0</v>
      </c>
      <c r="P55" s="954"/>
      <c r="Q55" s="954"/>
    </row>
    <row r="56" spans="1:17" x14ac:dyDescent="0.2">
      <c r="A56" s="1148" t="s">
        <v>76</v>
      </c>
      <c r="B56" s="299">
        <f>TableA2!B56</f>
        <v>0.91761499999999996</v>
      </c>
      <c r="C56" s="1150">
        <f t="shared" si="10"/>
        <v>0.13299863583449367</v>
      </c>
      <c r="D56" s="1159">
        <f>TableA2!C56*$B$97</f>
        <v>3.7688159999999998E-2</v>
      </c>
      <c r="E56" s="1168">
        <f>TableA5!B56</f>
        <v>9.5310475834493674E-2</v>
      </c>
      <c r="F56" s="1150">
        <f>B56-C56</f>
        <v>0.78461636416550629</v>
      </c>
      <c r="G56" s="1153">
        <f>+TableA2!C56-TableA4!D56</f>
        <v>5.6532239999999997E-2</v>
      </c>
      <c r="H56" s="1154">
        <f>+TableA2!D56+TableA2!G56-TableA4!E56</f>
        <v>0.72808412416550627</v>
      </c>
      <c r="I56" s="9">
        <f t="shared" si="11"/>
        <v>0.14493947443589489</v>
      </c>
      <c r="J56" s="1155">
        <f>D56/TableA9!B56</f>
        <v>0.4</v>
      </c>
      <c r="K56" s="1158">
        <f>E56/TableA9!G56</f>
        <v>0.11575309800974366</v>
      </c>
      <c r="L56" s="954"/>
      <c r="M56" s="1171"/>
      <c r="N56" s="268">
        <f>D56+G56-TableA2!C56</f>
        <v>0</v>
      </c>
      <c r="O56" s="268">
        <f>H56+E56-TableA2!G56-TableA2!D56</f>
        <v>0</v>
      </c>
      <c r="P56" s="954"/>
      <c r="Q56" s="954"/>
    </row>
    <row r="57" spans="1:17" x14ac:dyDescent="0.2">
      <c r="A57" s="1148" t="str">
        <f>+TableA1!A56</f>
        <v>Antigua and Barbuda</v>
      </c>
      <c r="B57" s="299">
        <f>TableA2!B57</f>
        <v>1.6807799999999999</v>
      </c>
      <c r="C57" s="1150">
        <f t="shared" si="10"/>
        <v>0.23496326669783862</v>
      </c>
      <c r="D57" s="1159">
        <f>TableA2!C57*$B$97</f>
        <v>0.18108040000000003</v>
      </c>
      <c r="E57" s="1168">
        <f>TableA5!B57</f>
        <v>5.388286669783858E-2</v>
      </c>
      <c r="F57" s="1150">
        <f t="shared" ref="F57:F69" si="12">B57-C57</f>
        <v>1.4458167333021614</v>
      </c>
      <c r="G57" s="1153">
        <f>+TableA2!C57-TableA4!D57</f>
        <v>0.27162059999999999</v>
      </c>
      <c r="H57" s="1154">
        <f>+TableA2!D57+TableA2!G57-TableA4!E57</f>
        <v>1.1741961333021613</v>
      </c>
      <c r="I57" s="9">
        <f t="shared" si="11"/>
        <v>0.13979418287809151</v>
      </c>
      <c r="J57" s="1155">
        <f>D57/TableA9!B57</f>
        <v>0.4</v>
      </c>
      <c r="K57" s="1158">
        <f>E57/TableA9!G57</f>
        <v>4.3875733318327718E-2</v>
      </c>
      <c r="L57" s="954"/>
      <c r="M57" s="1171"/>
      <c r="N57" s="268">
        <f>D57+G57-TableA2!C57</f>
        <v>0</v>
      </c>
      <c r="O57" s="268">
        <f>H57+E57-TableA2!G57-TableA2!D57</f>
        <v>0</v>
      </c>
      <c r="P57" s="954"/>
      <c r="Q57" s="954"/>
    </row>
    <row r="58" spans="1:17" x14ac:dyDescent="0.2">
      <c r="A58" s="1148" t="s">
        <v>152</v>
      </c>
      <c r="B58" s="299">
        <f>TableA2!B58</f>
        <v>7.5567900000000003</v>
      </c>
      <c r="C58" s="1150">
        <f t="shared" si="10"/>
        <v>1.0606760880178145</v>
      </c>
      <c r="D58" s="1159">
        <f>TableA2!C58*$B$97</f>
        <v>0.19690840000000001</v>
      </c>
      <c r="E58" s="1168">
        <f>TableA5!B58</f>
        <v>0.86376768801781456</v>
      </c>
      <c r="F58" s="1150">
        <f t="shared" si="12"/>
        <v>6.496113911982186</v>
      </c>
      <c r="G58" s="1153">
        <f>+TableA2!C58-TableA4!D58</f>
        <v>0.29536260000000003</v>
      </c>
      <c r="H58" s="1154">
        <f>+TableA2!D58+TableA2!G58-TableA4!E58</f>
        <v>6.2007513119821862</v>
      </c>
      <c r="I58" s="9">
        <f t="shared" si="11"/>
        <v>0.14036066742860587</v>
      </c>
      <c r="J58" s="1155">
        <f>D58/TableA9!B58</f>
        <v>0.4</v>
      </c>
      <c r="K58" s="1158">
        <f>E58/TableA9!G58</f>
        <v>0.12226843582950439</v>
      </c>
      <c r="L58" s="954"/>
      <c r="M58" s="1171"/>
      <c r="N58" s="268">
        <f>D58+G58-TableA2!C58</f>
        <v>0</v>
      </c>
      <c r="O58" s="268">
        <f>H58+E58-TableA2!G58-TableA2!D58</f>
        <v>0</v>
      </c>
      <c r="P58" s="954"/>
      <c r="Q58" s="954"/>
    </row>
    <row r="59" spans="1:17" x14ac:dyDescent="0.2">
      <c r="A59" s="1148" t="s">
        <v>78</v>
      </c>
      <c r="B59" s="299">
        <f>TableA2!B59</f>
        <v>22.1172</v>
      </c>
      <c r="C59" s="1150">
        <f t="shared" si="10"/>
        <v>4.7529171260279162</v>
      </c>
      <c r="D59" s="1159">
        <f>TableA2!C59*$B$97</f>
        <v>4.0490153658990335</v>
      </c>
      <c r="E59" s="1168">
        <f>TableA5!B59</f>
        <v>0.70390176012888261</v>
      </c>
      <c r="F59" s="1150">
        <f t="shared" si="12"/>
        <v>17.364282873972083</v>
      </c>
      <c r="G59" s="1153">
        <f>+TableA2!C59-TableA4!D59</f>
        <v>6.0735230488485508</v>
      </c>
      <c r="H59" s="1154">
        <f>+TableA2!D59+TableA2!G59-TableA4!E59</f>
        <v>11.290759825123533</v>
      </c>
      <c r="I59" s="9">
        <f t="shared" si="11"/>
        <v>0.21489687329444576</v>
      </c>
      <c r="J59" s="1155">
        <f>D59/TableA9!B59</f>
        <v>0.39999999999999997</v>
      </c>
      <c r="K59" s="1158">
        <f>E59/TableA9!G59</f>
        <v>5.8684586899420195E-2</v>
      </c>
      <c r="L59" s="954"/>
      <c r="M59" s="1171"/>
      <c r="N59" s="268">
        <f>D59+G59-TableA2!C59</f>
        <v>0</v>
      </c>
      <c r="O59" s="268">
        <f>H59+E59-TableA2!G59-TableA2!D59</f>
        <v>0</v>
      </c>
      <c r="P59" s="954"/>
      <c r="Q59" s="954"/>
    </row>
    <row r="60" spans="1:17" x14ac:dyDescent="0.2">
      <c r="A60" s="1148" t="str">
        <f>+TableA1!A60</f>
        <v>Barbados</v>
      </c>
      <c r="B60" s="299">
        <f>TableA2!B60</f>
        <v>3.0819800000000002</v>
      </c>
      <c r="C60" s="1150">
        <f t="shared" si="10"/>
        <v>2.4919779098343042</v>
      </c>
      <c r="D60" s="1159">
        <f>TableA2!C60*$B$97</f>
        <v>0.13797319999999999</v>
      </c>
      <c r="E60" s="1168">
        <f>TableA5!B60</f>
        <v>2.3540047098343044</v>
      </c>
      <c r="F60" s="1150">
        <f t="shared" si="12"/>
        <v>0.59000209016569594</v>
      </c>
      <c r="G60" s="1153">
        <f>+TableA2!C60-TableA4!D60</f>
        <v>0.2069598</v>
      </c>
      <c r="H60" s="1154">
        <f>+TableA2!D60+TableA2!G60-TableA4!E60</f>
        <v>0.38304229016569558</v>
      </c>
      <c r="I60" s="9">
        <f t="shared" si="11"/>
        <v>0.80856394585114244</v>
      </c>
      <c r="J60" s="1155">
        <f>D60/TableA9!B60</f>
        <v>0.39999999999999997</v>
      </c>
      <c r="K60" s="1158">
        <f>E60/TableA9!G60</f>
        <v>0.86005271733890742</v>
      </c>
      <c r="L60" s="954"/>
      <c r="M60" s="1171"/>
      <c r="N60" s="268">
        <f>D60+G60-TableA2!C60</f>
        <v>0</v>
      </c>
      <c r="O60" s="268">
        <f>H60+E60-TableA2!G60-TableA2!D60</f>
        <v>0</v>
      </c>
      <c r="P60" s="954"/>
      <c r="Q60" s="954"/>
    </row>
    <row r="61" spans="1:17" x14ac:dyDescent="0.2">
      <c r="A61" s="1148" t="s">
        <v>80</v>
      </c>
      <c r="B61" s="299">
        <f>TableA2!B61</f>
        <v>1.17154</v>
      </c>
      <c r="C61" s="1150">
        <f t="shared" si="10"/>
        <v>0.13025787396569335</v>
      </c>
      <c r="D61" s="1159">
        <f>TableA2!C61*$B$97</f>
        <v>5.3558399999999999E-2</v>
      </c>
      <c r="E61" s="1168">
        <f>TableA5!B61</f>
        <v>7.6699473965693349E-2</v>
      </c>
      <c r="F61" s="1150">
        <f t="shared" si="12"/>
        <v>1.0412821260343066</v>
      </c>
      <c r="G61" s="1153">
        <f>+TableA2!C61-TableA4!D61</f>
        <v>8.0337599999999981E-2</v>
      </c>
      <c r="H61" s="1154">
        <f>+TableA2!D61+TableA2!G61-TableA4!E61</f>
        <v>0.96094452603430669</v>
      </c>
      <c r="I61" s="9">
        <f t="shared" si="11"/>
        <v>0.11118516991796554</v>
      </c>
      <c r="J61" s="1155">
        <f>D61/TableA9!B61</f>
        <v>0.4</v>
      </c>
      <c r="K61" s="1158">
        <f>E61/TableA9!G61</f>
        <v>7.3916944506683749E-2</v>
      </c>
      <c r="L61" s="954"/>
      <c r="M61" s="1171"/>
      <c r="N61" s="268">
        <f>D61+G61-TableA2!C61</f>
        <v>0</v>
      </c>
      <c r="O61" s="268">
        <f>H61+E61-TableA2!G61-TableA2!D61</f>
        <v>0</v>
      </c>
      <c r="P61" s="954"/>
      <c r="Q61" s="954"/>
    </row>
    <row r="62" spans="1:17" x14ac:dyDescent="0.2">
      <c r="A62" s="1074" t="s">
        <v>81</v>
      </c>
      <c r="B62" s="299">
        <f>TableA2!B62</f>
        <v>4.8467700000000002</v>
      </c>
      <c r="C62" s="1163">
        <f t="shared" si="10"/>
        <v>1.2395480000000001</v>
      </c>
      <c r="D62" s="1159">
        <f>TableA2!C62*$B$97</f>
        <v>1.2395480000000001</v>
      </c>
      <c r="E62" s="1168">
        <v>0</v>
      </c>
      <c r="F62" s="1163">
        <f t="shared" si="12"/>
        <v>3.6072220000000002</v>
      </c>
      <c r="G62" s="1107">
        <f>+TableA2!C62-TableA4!D62</f>
        <v>1.8593219999999997</v>
      </c>
      <c r="H62" s="1108">
        <f>+TableA2!D62+TableA2!G62-TableA4!E62</f>
        <v>1.7479000000000005</v>
      </c>
      <c r="I62" s="24">
        <f t="shared" si="11"/>
        <v>0.25574722959826857</v>
      </c>
      <c r="J62" s="1155">
        <f>D62/TableA9!B62</f>
        <v>0.40000000000000008</v>
      </c>
      <c r="K62" s="1158">
        <f>E62/TableA9!G62</f>
        <v>0</v>
      </c>
      <c r="L62" s="954"/>
      <c r="M62" s="1171"/>
      <c r="N62" s="268">
        <f>D62+G62-TableA2!C62</f>
        <v>0</v>
      </c>
      <c r="O62" s="268">
        <f>H62+E62-TableA2!G62-TableA2!D62</f>
        <v>0</v>
      </c>
      <c r="P62" s="954"/>
      <c r="Q62" s="954"/>
    </row>
    <row r="63" spans="1:17" x14ac:dyDescent="0.2">
      <c r="A63" s="1148" t="s">
        <v>82</v>
      </c>
      <c r="B63" s="299">
        <f>TableA2!B63</f>
        <v>0.26904600000000001</v>
      </c>
      <c r="C63" s="1150">
        <f t="shared" si="10"/>
        <v>1.6844057443692596E-2</v>
      </c>
      <c r="D63" s="1159">
        <f>TableA2!C63*$B$97</f>
        <v>2.8985919999999998E-2</v>
      </c>
      <c r="E63" s="1168">
        <f>TableA5!B63</f>
        <v>-1.2141862556307403E-2</v>
      </c>
      <c r="F63" s="1150">
        <f t="shared" si="12"/>
        <v>0.2522019425563074</v>
      </c>
      <c r="G63" s="1153">
        <f>+TableA2!C63-TableA4!D63</f>
        <v>4.3478879999999998E-2</v>
      </c>
      <c r="H63" s="1154">
        <f>+TableA2!D63+TableA2!G63-TableA4!E63</f>
        <v>0.2087230625563074</v>
      </c>
      <c r="I63" s="9">
        <f t="shared" si="11"/>
        <v>6.2606607954374324E-2</v>
      </c>
      <c r="J63" s="1155">
        <f>D63/TableA9!B63</f>
        <v>0.4</v>
      </c>
      <c r="K63" s="1158">
        <f>E63/TableA9!G63</f>
        <v>-6.176512584269199E-2</v>
      </c>
      <c r="L63" s="954"/>
      <c r="M63" s="1171"/>
      <c r="N63" s="268">
        <f>D63+G63-TableA2!C63</f>
        <v>0</v>
      </c>
      <c r="O63" s="268">
        <f>H63+E63-TableA2!G63-TableA2!D63</f>
        <v>0</v>
      </c>
      <c r="P63" s="954"/>
      <c r="Q63" s="954"/>
    </row>
    <row r="64" spans="1:17" x14ac:dyDescent="0.2">
      <c r="A64" s="1148" t="s">
        <v>153</v>
      </c>
      <c r="B64" s="299">
        <f>TableA2!B64</f>
        <v>0.60508099999999998</v>
      </c>
      <c r="C64" s="1150">
        <f t="shared" si="10"/>
        <v>-4.8543913474907159</v>
      </c>
      <c r="D64" s="1159">
        <f>TableA2!C64*$B$97</f>
        <v>6.5188800000000005E-2</v>
      </c>
      <c r="E64" s="1168">
        <f>TableA5!B64</f>
        <v>-4.9195801474907155</v>
      </c>
      <c r="F64" s="1150">
        <f t="shared" si="12"/>
        <v>5.4594723474907161</v>
      </c>
      <c r="G64" s="1153">
        <f>+TableA2!C64-TableA4!D64</f>
        <v>9.7783200000000001E-2</v>
      </c>
      <c r="H64" s="1154">
        <f>+TableA2!D64+TableA2!G64-TableA4!E64</f>
        <v>5.3616891474907158</v>
      </c>
      <c r="I64" s="9">
        <f t="shared" si="11"/>
        <v>-8.0227132358985269</v>
      </c>
      <c r="J64" s="1155">
        <f>D64/TableA9!B64</f>
        <v>0.4</v>
      </c>
      <c r="K64" s="1158">
        <f>E64/TableA9!G64</f>
        <v>-11.127527708078134</v>
      </c>
      <c r="L64" s="954"/>
      <c r="M64" s="1171"/>
      <c r="N64" s="268">
        <f>D64+G64-TableA2!C64</f>
        <v>0</v>
      </c>
      <c r="O64" s="268">
        <f>H64+E64-TableA2!G64-TableA2!D64</f>
        <v>0</v>
      </c>
      <c r="P64" s="954"/>
      <c r="Q64" s="954"/>
    </row>
    <row r="65" spans="1:15" x14ac:dyDescent="0.2">
      <c r="A65" s="113" t="s">
        <v>84</v>
      </c>
      <c r="B65" s="299">
        <f>TableA2!B65</f>
        <v>2.3189600000000001</v>
      </c>
      <c r="C65" s="1150">
        <f t="shared" si="10"/>
        <v>25.149475082111486</v>
      </c>
      <c r="D65" s="1159">
        <f>TableA2!C65*$B$97</f>
        <v>0.56655600000000006</v>
      </c>
      <c r="E65" s="1168">
        <f>TableA5!B65</f>
        <v>24.582919082111488</v>
      </c>
      <c r="F65" s="1150">
        <f t="shared" si="12"/>
        <v>-22.830515082111486</v>
      </c>
      <c r="G65" s="1153">
        <f>+TableA2!C65-TableA4!D65</f>
        <v>0.84983399999999998</v>
      </c>
      <c r="H65" s="1154">
        <f>+TableA2!D65+TableA2!G65-TableA4!E65</f>
        <v>-23.680349082111487</v>
      </c>
      <c r="I65" s="9">
        <f t="shared" si="11"/>
        <v>10.845152603801482</v>
      </c>
      <c r="J65" s="1155">
        <f>D65/TableA9!B65</f>
        <v>0.4</v>
      </c>
      <c r="K65" s="1158">
        <f>E65/TableA9!G65</f>
        <v>27.236578971283652</v>
      </c>
      <c r="L65" s="954"/>
      <c r="M65" s="1171"/>
      <c r="N65" s="268">
        <f>D65+G65-TableA2!C65</f>
        <v>0</v>
      </c>
      <c r="O65" s="268">
        <f>H65+E65-TableA2!G65-TableA2!D65</f>
        <v>0</v>
      </c>
    </row>
    <row r="66" spans="1:15" x14ac:dyDescent="0.2">
      <c r="A66" s="1148" t="s">
        <v>85</v>
      </c>
      <c r="B66" s="299">
        <f>TableA2!B66</f>
        <v>2.0247299999999999</v>
      </c>
      <c r="C66" s="1150">
        <f t="shared" si="10"/>
        <v>-3.7772554797817461</v>
      </c>
      <c r="D66" s="1159">
        <f>TableA2!C66*$B$97</f>
        <v>0.54332400000000003</v>
      </c>
      <c r="E66" s="1168">
        <f>TableA5!B66</f>
        <v>-4.3205794797817463</v>
      </c>
      <c r="F66" s="1150">
        <f t="shared" si="12"/>
        <v>5.8019854797817461</v>
      </c>
      <c r="G66" s="1153">
        <f>+TableA2!C66-TableA4!D66</f>
        <v>0.81498599999999988</v>
      </c>
      <c r="H66" s="1154">
        <f>+TableA2!D66+TableA2!G66-TableA4!E66</f>
        <v>4.9869994797817458</v>
      </c>
      <c r="I66" s="9">
        <f t="shared" si="11"/>
        <v>-1.8655600893856199</v>
      </c>
      <c r="J66" s="1155">
        <f>D66/TableA9!B66</f>
        <v>0.4</v>
      </c>
      <c r="K66" s="1158">
        <f>E66/TableA9!G66</f>
        <v>-6.4832680288432911</v>
      </c>
      <c r="L66" s="954"/>
      <c r="M66" s="1171"/>
      <c r="N66" s="268">
        <f>D66+G66-TableA2!C66</f>
        <v>0</v>
      </c>
      <c r="O66" s="268">
        <f>H66+E66-TableA2!G66-TableA2!D66</f>
        <v>-4.4408920985006262E-16</v>
      </c>
    </row>
    <row r="67" spans="1:15" x14ac:dyDescent="0.2">
      <c r="A67" s="1074" t="str">
        <f>+TableA1!A67</f>
        <v>Cyprus</v>
      </c>
      <c r="B67" s="299">
        <f>TableA2!B67</f>
        <v>9.9627499999999998</v>
      </c>
      <c r="C67" s="1163">
        <f t="shared" si="10"/>
        <v>7.3633393969721084</v>
      </c>
      <c r="D67" s="1159">
        <f>TableA2!C67*$B$97</f>
        <v>2.2181320000000002</v>
      </c>
      <c r="E67" s="1168">
        <f>TableA5!B67</f>
        <v>5.1452073969721077</v>
      </c>
      <c r="F67" s="1163">
        <f t="shared" si="12"/>
        <v>2.5994106030278914</v>
      </c>
      <c r="G67" s="1107">
        <f>+TableA2!C67-TableA4!D67</f>
        <v>3.3271979999999997</v>
      </c>
      <c r="H67" s="1108">
        <f>+TableA2!D67+TableA2!G67-TableA4!E67</f>
        <v>-0.72778739697210781</v>
      </c>
      <c r="I67" s="24">
        <f t="shared" si="11"/>
        <v>0.73908703891717731</v>
      </c>
      <c r="J67" s="1155">
        <f>D67/TableA9!B67</f>
        <v>0.4</v>
      </c>
      <c r="K67" s="1158">
        <f>E67/TableA9!G67</f>
        <v>1.1647539507160531</v>
      </c>
      <c r="L67" s="954"/>
      <c r="M67" s="1171"/>
      <c r="N67" s="268">
        <f>D67+G67-TableA2!C67</f>
        <v>0</v>
      </c>
      <c r="O67" s="268">
        <f>H67+E67-TableA2!G67-TableA2!D67</f>
        <v>0</v>
      </c>
    </row>
    <row r="68" spans="1:15" x14ac:dyDescent="0.2">
      <c r="A68" s="1148" t="s">
        <v>87</v>
      </c>
      <c r="B68" s="299">
        <f>TableA2!B68</f>
        <v>4.6878599999999997</v>
      </c>
      <c r="C68" s="1150">
        <f t="shared" si="10"/>
        <v>3.1336845789067267</v>
      </c>
      <c r="D68" s="1159">
        <f>TableA2!C68*$B$97</f>
        <v>0.50505199999999995</v>
      </c>
      <c r="E68" s="1168">
        <f>TableA5!B68</f>
        <v>2.6286325789067266</v>
      </c>
      <c r="F68" s="1150">
        <f t="shared" si="12"/>
        <v>1.554175421093273</v>
      </c>
      <c r="G68" s="1153">
        <f>+TableA2!C68-TableA4!D68</f>
        <v>0.75757799999999997</v>
      </c>
      <c r="H68" s="1154">
        <f>+TableA2!D68+TableA2!G68-TableA4!E68</f>
        <v>0.79659742109327336</v>
      </c>
      <c r="I68" s="9">
        <f t="shared" si="11"/>
        <v>0.66846803848807923</v>
      </c>
      <c r="J68" s="1155">
        <f>D68/TableA9!B68</f>
        <v>0.39999999999999997</v>
      </c>
      <c r="K68" s="1158">
        <f>E68/TableA9!G68</f>
        <v>0.76743242903592657</v>
      </c>
      <c r="L68" s="954"/>
      <c r="M68" s="1171"/>
      <c r="N68" s="268">
        <f>D68+G68-TableA2!C68</f>
        <v>0</v>
      </c>
      <c r="O68" s="268">
        <f>H68+E68-TableA2!G68-TableA2!D68</f>
        <v>0</v>
      </c>
    </row>
    <row r="69" spans="1:15" x14ac:dyDescent="0.2">
      <c r="A69" s="1148" t="str">
        <f>+TableA1!A69</f>
        <v>Grenada</v>
      </c>
      <c r="B69" s="299">
        <f>TableA2!B69</f>
        <v>0.50683400000000001</v>
      </c>
      <c r="C69" s="1150">
        <f t="shared" si="10"/>
        <v>4.8885746177407069E-2</v>
      </c>
      <c r="D69" s="1159">
        <f>TableA2!C69*$B$97</f>
        <v>2.9562819200000003E-2</v>
      </c>
      <c r="E69" s="1168">
        <f>TableA5!B69</f>
        <v>1.9322926977407062E-2</v>
      </c>
      <c r="F69" s="1150">
        <f t="shared" si="12"/>
        <v>0.45794825382259297</v>
      </c>
      <c r="G69" s="1153">
        <f>+TableA2!C69-TableA4!D69</f>
        <v>4.4344228799999996E-2</v>
      </c>
      <c r="H69" s="1154">
        <f>+TableA2!D69+TableA2!G69-TableA4!E69</f>
        <v>0.41360402502259291</v>
      </c>
      <c r="I69" s="9">
        <f t="shared" si="11"/>
        <v>9.6453170421493165E-2</v>
      </c>
      <c r="J69" s="1155">
        <f>D69/TableA9!B69</f>
        <v>0.4</v>
      </c>
      <c r="K69" s="1158">
        <f>E69/TableA9!G69</f>
        <v>4.4633227125593845E-2</v>
      </c>
      <c r="L69" s="954"/>
      <c r="M69" s="1171"/>
      <c r="N69" s="268">
        <f>D69+G69-TableA2!C69</f>
        <v>0</v>
      </c>
      <c r="O69" s="268">
        <f>H69+E69-TableA2!G69-TableA2!D69</f>
        <v>0</v>
      </c>
    </row>
    <row r="70" spans="1:15" x14ac:dyDescent="0.2">
      <c r="A70" s="1148" t="s">
        <v>89</v>
      </c>
      <c r="B70" s="299">
        <f>TableA2!B70</f>
        <v>3.1522600000000001</v>
      </c>
      <c r="C70" s="1150">
        <f t="shared" si="10"/>
        <v>-2.0687888906068452</v>
      </c>
      <c r="D70" s="1159">
        <f>TableA2!C70*$B$97</f>
        <v>0.33961160000000001</v>
      </c>
      <c r="E70" s="1168">
        <f>TableA5!B70</f>
        <v>-2.4084004906068452</v>
      </c>
      <c r="F70" s="1150">
        <f t="shared" ref="F70:F81" si="13">B70-C70</f>
        <v>5.2210488906068449</v>
      </c>
      <c r="G70" s="1153">
        <f>+TableA2!C70-TableA4!D70</f>
        <v>0.50941740000000002</v>
      </c>
      <c r="H70" s="1154">
        <f>+TableA2!D70+TableA2!G70-TableA4!E70</f>
        <v>4.7116314906068455</v>
      </c>
      <c r="I70" s="9">
        <f t="shared" si="11"/>
        <v>-0.65628751771961868</v>
      </c>
      <c r="J70" s="1155">
        <f>D70/TableA9!B70</f>
        <v>0.4</v>
      </c>
      <c r="K70" s="1158">
        <f>E70/TableA9!G70</f>
        <v>-1.0456617206901284</v>
      </c>
      <c r="L70" s="954"/>
      <c r="M70" s="1171"/>
      <c r="N70" s="268">
        <f>D70+G70-TableA2!C70</f>
        <v>0</v>
      </c>
      <c r="O70" s="268">
        <f>H70+E70-TableA2!G70-TableA2!D70</f>
        <v>0</v>
      </c>
    </row>
    <row r="71" spans="1:15" x14ac:dyDescent="0.2">
      <c r="A71" s="1148" t="s">
        <v>154</v>
      </c>
      <c r="B71" s="299">
        <f>TableA2!B71</f>
        <v>1.6875</v>
      </c>
      <c r="C71" s="1150">
        <f t="shared" si="10"/>
        <v>-3.4119978828111419</v>
      </c>
      <c r="D71" s="1159">
        <f>TableA2!C71*$B$97</f>
        <v>0.18180480000000002</v>
      </c>
      <c r="E71" s="1168">
        <f>TableA5!B71</f>
        <v>-3.593802682811142</v>
      </c>
      <c r="F71" s="1150">
        <f t="shared" si="13"/>
        <v>5.0994978828111419</v>
      </c>
      <c r="G71" s="1153">
        <f>+TableA2!C71-TableA4!D71</f>
        <v>0.27270720000000004</v>
      </c>
      <c r="H71" s="1154">
        <f>+TableA2!D71+TableA2!G71-TableA4!E71</f>
        <v>4.8267906828111418</v>
      </c>
      <c r="I71" s="9">
        <f t="shared" si="11"/>
        <v>-2.0219246712954915</v>
      </c>
      <c r="J71" s="1155">
        <f>D71/TableA9!B71</f>
        <v>0.4</v>
      </c>
      <c r="K71" s="1158">
        <f>E71/TableA9!G71</f>
        <v>-2.9147101859962481</v>
      </c>
      <c r="L71" s="954"/>
      <c r="M71" s="1171"/>
      <c r="N71" s="268">
        <f>D71+G71-TableA2!C71</f>
        <v>0</v>
      </c>
      <c r="O71" s="268">
        <f>H71+E71-TableA2!G71-TableA2!D71</f>
        <v>0</v>
      </c>
    </row>
    <row r="72" spans="1:15" x14ac:dyDescent="0.2">
      <c r="A72" s="1148" t="s">
        <v>91</v>
      </c>
      <c r="B72" s="299">
        <f>TableA2!B72</f>
        <v>219.09200000000001</v>
      </c>
      <c r="C72" s="1150">
        <f t="shared" si="10"/>
        <v>51.525126827377107</v>
      </c>
      <c r="D72" s="1159">
        <f>TableA6!F72/TableA7!N72</f>
        <v>23.587237340311784</v>
      </c>
      <c r="E72" s="1168">
        <f>TableA5!B72</f>
        <v>27.93788948706532</v>
      </c>
      <c r="F72" s="1150">
        <f t="shared" si="13"/>
        <v>167.56687317262291</v>
      </c>
      <c r="G72" s="1153">
        <f>+TableA2!C72-TableA4!D72</f>
        <v>93.481762659688215</v>
      </c>
      <c r="H72" s="1154">
        <f>+TableA2!D72+TableA2!G72-TableA4!E72</f>
        <v>74.085110512934691</v>
      </c>
      <c r="I72" s="9">
        <f t="shared" si="11"/>
        <v>0.23517575642824523</v>
      </c>
      <c r="J72" s="1155">
        <f>D72/TableA9!B72</f>
        <v>0.20148149672681737</v>
      </c>
      <c r="K72" s="1158">
        <f>E72/TableA9!G72</f>
        <v>0.27383912928521331</v>
      </c>
      <c r="L72" s="954"/>
      <c r="M72" s="1171"/>
      <c r="N72" s="268">
        <f>D72+G72-TableA2!C72</f>
        <v>0</v>
      </c>
      <c r="O72" s="268">
        <f>H72+E72-TableA2!G72-TableA2!D72</f>
        <v>0</v>
      </c>
    </row>
    <row r="73" spans="1:15" x14ac:dyDescent="0.2">
      <c r="A73" s="1148" t="s">
        <v>92</v>
      </c>
      <c r="B73" s="299">
        <f>TableA2!B73</f>
        <v>4.56663</v>
      </c>
      <c r="C73" s="1150">
        <f t="shared" si="10"/>
        <v>1.2034496315253735</v>
      </c>
      <c r="D73" s="1159">
        <f>TableA2!C73*$B$97</f>
        <v>0.49198800000000004</v>
      </c>
      <c r="E73" s="1168">
        <f>TableA5!B73</f>
        <v>0.71146163152537345</v>
      </c>
      <c r="F73" s="1150">
        <f t="shared" si="13"/>
        <v>3.3631803684746266</v>
      </c>
      <c r="G73" s="1153">
        <f>+TableA2!C73-TableA4!D73</f>
        <v>0.73798199999999992</v>
      </c>
      <c r="H73" s="1154">
        <f>+TableA2!D73+TableA2!G73-TableA4!E73</f>
        <v>2.625198368474627</v>
      </c>
      <c r="I73" s="9">
        <f t="shared" si="11"/>
        <v>0.26353123233661879</v>
      </c>
      <c r="J73" s="1155">
        <f>D73/TableA9!B73</f>
        <v>0.4</v>
      </c>
      <c r="K73" s="1158">
        <f>E73/TableA9!G73</f>
        <v>0.21322569021877369</v>
      </c>
      <c r="L73" s="954"/>
      <c r="M73" s="1171"/>
      <c r="N73" s="268">
        <f>D73+G73-TableA2!C73</f>
        <v>0</v>
      </c>
      <c r="O73" s="268">
        <f>H73+E73-TableA2!G73-TableA2!D73</f>
        <v>0</v>
      </c>
    </row>
    <row r="74" spans="1:15" x14ac:dyDescent="0.2">
      <c r="A74" s="1148" t="s">
        <v>93</v>
      </c>
      <c r="B74" s="299">
        <f>TableA2!B74</f>
        <v>33.252099999999999</v>
      </c>
      <c r="C74" s="1150">
        <f t="shared" si="10"/>
        <v>6.0152157422435497</v>
      </c>
      <c r="D74" s="1159">
        <f>TableA2!C74*$B$97</f>
        <v>6.0874913573332634</v>
      </c>
      <c r="E74" s="1168">
        <f>TableA5!B74</f>
        <v>-7.2275615089713682E-2</v>
      </c>
      <c r="F74" s="1150">
        <f t="shared" si="13"/>
        <v>27.236884257756451</v>
      </c>
      <c r="G74" s="1153">
        <f>+TableA2!C74-TableA4!D74</f>
        <v>9.1312370359998933</v>
      </c>
      <c r="H74" s="1154">
        <f>+TableA2!D74+TableA2!G74-TableA4!E74</f>
        <v>18.105647221756552</v>
      </c>
      <c r="I74" s="9">
        <f t="shared" si="11"/>
        <v>0.18089731903379186</v>
      </c>
      <c r="J74" s="1155">
        <f>D74/TableA9!B74</f>
        <v>0.4</v>
      </c>
      <c r="K74" s="1158">
        <f>E74/TableA9!G74</f>
        <v>-4.0078814248464649E-3</v>
      </c>
      <c r="L74" s="954"/>
      <c r="M74" s="1171"/>
      <c r="N74" s="268">
        <f>D74+G74-TableA2!C74</f>
        <v>0</v>
      </c>
      <c r="O74" s="268">
        <f>H74+E74-TableA2!G74-TableA2!D74</f>
        <v>0</v>
      </c>
    </row>
    <row r="75" spans="1:15" x14ac:dyDescent="0.2">
      <c r="A75" s="1148" t="s">
        <v>94</v>
      </c>
      <c r="B75" s="299">
        <f>TableA2!B75</f>
        <v>4.7388899999999996</v>
      </c>
      <c r="C75" s="1150">
        <f t="shared" si="10"/>
        <v>-1.8038415681969429</v>
      </c>
      <c r="D75" s="1159">
        <f>TableA2!C75*$B$97</f>
        <v>1.1673600000000002</v>
      </c>
      <c r="E75" s="1168">
        <f>TableA5!B75</f>
        <v>-2.971201568196943</v>
      </c>
      <c r="F75" s="1150">
        <f t="shared" si="13"/>
        <v>6.5427315681969427</v>
      </c>
      <c r="G75" s="1153">
        <f>+TableA2!C75-TableA4!D75</f>
        <v>1.7510399999999999</v>
      </c>
      <c r="H75" s="1154">
        <f>+TableA2!D75+TableA2!G75-TableA4!E75</f>
        <v>4.7916915681969421</v>
      </c>
      <c r="I75" s="9">
        <f t="shared" si="11"/>
        <v>-0.38064643158987505</v>
      </c>
      <c r="J75" s="1155">
        <f>D75/TableA9!B75</f>
        <v>0.4</v>
      </c>
      <c r="K75" s="1158">
        <f>E75/TableA9!G75</f>
        <v>-1.6320889256172479</v>
      </c>
      <c r="L75" s="954"/>
      <c r="M75" s="1171"/>
      <c r="N75" s="268">
        <f>D75+G75-TableA2!C75</f>
        <v>0</v>
      </c>
      <c r="O75" s="268">
        <f>H75+E75-TableA2!G75-TableA2!D75</f>
        <v>0</v>
      </c>
    </row>
    <row r="76" spans="1:15" x14ac:dyDescent="0.2">
      <c r="A76" s="1148" t="s">
        <v>95</v>
      </c>
      <c r="B76" s="299">
        <f>TableA2!B76</f>
        <v>25.217500000000001</v>
      </c>
      <c r="C76" s="1150">
        <f t="shared" si="10"/>
        <v>12.385535326215198</v>
      </c>
      <c r="D76" s="1159">
        <f>TableA6!F76/TableA7!N76</f>
        <v>3.7507153715351045</v>
      </c>
      <c r="E76" s="1168">
        <f>TableA5!B76</f>
        <v>8.6348199546800934</v>
      </c>
      <c r="F76" s="1150">
        <f t="shared" si="13"/>
        <v>12.831964673784803</v>
      </c>
      <c r="G76" s="1153">
        <f>+TableA2!C76-TableA4!D76</f>
        <v>6.3518846284648962</v>
      </c>
      <c r="H76" s="1154">
        <f>+TableA2!D76+TableA2!G76-TableA4!E76</f>
        <v>6.480080045319907</v>
      </c>
      <c r="I76" s="9">
        <f t="shared" si="11"/>
        <v>0.49114842177912948</v>
      </c>
      <c r="J76" s="1155">
        <f>D76/TableA9!B76</f>
        <v>0.37126238508256332</v>
      </c>
      <c r="K76" s="1158">
        <f>E76/TableA9!G76</f>
        <v>0.57127866904048941</v>
      </c>
      <c r="L76" s="954"/>
      <c r="M76" s="1171"/>
      <c r="N76" s="268">
        <f>D76+G76-TableA2!C76</f>
        <v>0</v>
      </c>
      <c r="O76" s="268">
        <f>H76+E76-TableA2!G76-TableA2!D76</f>
        <v>0</v>
      </c>
    </row>
    <row r="77" spans="1:15" x14ac:dyDescent="0.2">
      <c r="A77" s="1074" t="s">
        <v>96</v>
      </c>
      <c r="B77" s="299">
        <f>TableA2!B77</f>
        <v>5.8736199999999998</v>
      </c>
      <c r="C77" s="1163">
        <f t="shared" si="10"/>
        <v>1.0993080000000002</v>
      </c>
      <c r="D77" s="1159">
        <f>TableA2!C77*$B$97</f>
        <v>1.0993080000000002</v>
      </c>
      <c r="E77" s="1168">
        <f>TableA5!B77</f>
        <v>0</v>
      </c>
      <c r="F77" s="1163">
        <f t="shared" si="13"/>
        <v>4.7743120000000001</v>
      </c>
      <c r="G77" s="1107">
        <f>+TableA2!C77-TableA4!D77</f>
        <v>1.648962</v>
      </c>
      <c r="H77" s="1108">
        <f>+TableA2!D77+TableA2!G77-TableA4!E77</f>
        <v>3.1253499999999996</v>
      </c>
      <c r="I77" s="24">
        <f t="shared" si="11"/>
        <v>0.18716021805973151</v>
      </c>
      <c r="J77" s="1155">
        <f>D77/TableA9!B77</f>
        <v>0.4</v>
      </c>
      <c r="K77" s="1158">
        <f>E77/TableA9!G77</f>
        <v>0</v>
      </c>
      <c r="L77" s="954"/>
      <c r="M77" s="1171"/>
      <c r="N77" s="268">
        <f>D77+G77-TableA2!C77</f>
        <v>0</v>
      </c>
      <c r="O77" s="268">
        <f>H77+E77-TableA2!G77-TableA2!D77</f>
        <v>0</v>
      </c>
    </row>
    <row r="78" spans="1:15" x14ac:dyDescent="0.2">
      <c r="A78" s="1148" t="s">
        <v>97</v>
      </c>
      <c r="B78" s="299">
        <f>TableA2!B78</f>
        <v>0.12894600000000001</v>
      </c>
      <c r="C78" s="1150">
        <f t="shared" si="10"/>
        <v>-0.42258460190344499</v>
      </c>
      <c r="D78" s="1159">
        <f>TableA2!C78*$B$97</f>
        <v>3.3394457600000003E-2</v>
      </c>
      <c r="E78" s="1168">
        <f>TableA5!B78</f>
        <v>-0.45597905950344497</v>
      </c>
      <c r="F78" s="1150">
        <f t="shared" si="13"/>
        <v>0.55153060190344494</v>
      </c>
      <c r="G78" s="1153">
        <f>+TableA2!C78-TableA4!D78</f>
        <v>5.0091686399999995E-2</v>
      </c>
      <c r="H78" s="1154">
        <f>+TableA2!D78+TableA2!G78-TableA4!E78</f>
        <v>0.50143891550344499</v>
      </c>
      <c r="I78" s="9">
        <f t="shared" si="11"/>
        <v>-3.2772214873159693</v>
      </c>
      <c r="J78" s="1155">
        <f>D78/TableA9!B78</f>
        <v>0.4</v>
      </c>
      <c r="K78" s="1158">
        <f>E78/TableA9!G78</f>
        <v>-10.030367441186899</v>
      </c>
      <c r="L78" s="954"/>
      <c r="M78" s="1171"/>
      <c r="N78" s="268">
        <f>D78+G78-TableA2!C78</f>
        <v>0</v>
      </c>
      <c r="O78" s="268">
        <f>H78+E78-TableA2!G78-TableA2!D78</f>
        <v>0</v>
      </c>
    </row>
    <row r="79" spans="1:15" x14ac:dyDescent="0.2">
      <c r="A79" s="1148" t="str">
        <f>+TableA1!A79</f>
        <v>Monaco</v>
      </c>
      <c r="B79" s="299">
        <f>TableA2!B79</f>
        <v>3.85907</v>
      </c>
      <c r="C79" s="1150">
        <f t="shared" si="10"/>
        <v>0.41576000000000007</v>
      </c>
      <c r="D79" s="1159">
        <f>TableA2!C79*$B$97</f>
        <v>0.41576000000000007</v>
      </c>
      <c r="E79" s="1168">
        <f>TableA5!B79</f>
        <v>0</v>
      </c>
      <c r="F79" s="1150">
        <f t="shared" si="13"/>
        <v>3.4433099999999999</v>
      </c>
      <c r="G79" s="1153">
        <f>+TableA2!C79-TableA4!D79</f>
        <v>0.62363999999999997</v>
      </c>
      <c r="H79" s="1154">
        <f>+TableA2!D79+TableA2!G79-TableA4!E79</f>
        <v>2.8196699999999999</v>
      </c>
      <c r="I79" s="9">
        <f t="shared" si="11"/>
        <v>0.10773580163096291</v>
      </c>
      <c r="J79" s="1155">
        <f>D79/TableA9!B79</f>
        <v>0.4</v>
      </c>
      <c r="K79" s="1158">
        <f>E79/TableA9!G79</f>
        <v>0</v>
      </c>
      <c r="L79" s="954"/>
      <c r="M79" s="1171"/>
      <c r="N79" s="268">
        <f>D79+G79-TableA2!C79</f>
        <v>0</v>
      </c>
      <c r="O79" s="268">
        <f>H79+E79-TableA2!G79-TableA2!D79</f>
        <v>0</v>
      </c>
    </row>
    <row r="80" spans="1:15" x14ac:dyDescent="0.2">
      <c r="A80" s="1148" t="s">
        <v>99</v>
      </c>
      <c r="B80" s="299">
        <f>TableA2!B80</f>
        <v>0.53428699999999996</v>
      </c>
      <c r="C80" s="1150">
        <f t="shared" si="10"/>
        <v>6.2111048138080972E-2</v>
      </c>
      <c r="D80" s="1159">
        <f>TableA2!C80*$B$97</f>
        <v>5.7562000000000002E-2</v>
      </c>
      <c r="E80" s="1168">
        <f>TableA5!B80</f>
        <v>4.5490481380809685E-3</v>
      </c>
      <c r="F80" s="1150">
        <f t="shared" si="13"/>
        <v>0.47217595186191896</v>
      </c>
      <c r="G80" s="1153">
        <f>+TableA2!C80-TableA4!D80</f>
        <v>8.6343000000000003E-2</v>
      </c>
      <c r="H80" s="1154">
        <f>+TableA2!D80+TableA2!G80-TableA4!E80</f>
        <v>0.38583295186191896</v>
      </c>
      <c r="I80" s="9">
        <f t="shared" si="11"/>
        <v>0.11625034511055103</v>
      </c>
      <c r="J80" s="1155">
        <f>D80/TableA9!B80</f>
        <v>0.4</v>
      </c>
      <c r="K80" s="1158">
        <f>E80/TableA9!G80</f>
        <v>1.1652812214909932E-2</v>
      </c>
      <c r="L80" s="954"/>
      <c r="M80" s="1171"/>
      <c r="N80" s="268">
        <f>D80+G80-TableA2!C80</f>
        <v>0</v>
      </c>
      <c r="O80" s="268">
        <f>H80+E80-TableA2!G80-TableA2!D80</f>
        <v>0</v>
      </c>
    </row>
    <row r="81" spans="1:15" x14ac:dyDescent="0.2">
      <c r="A81" s="1148" t="s">
        <v>100</v>
      </c>
      <c r="B81" s="299">
        <f>TableA2!B81</f>
        <v>7.8608700000000002</v>
      </c>
      <c r="C81" s="1150">
        <f t="shared" si="10"/>
        <v>0.57881763996199997</v>
      </c>
      <c r="D81" s="1159">
        <f>TableA6!F81/TableA7!N81</f>
        <v>0.18809294843367241</v>
      </c>
      <c r="E81" s="1168">
        <f>TableA5!B81</f>
        <v>0.39072469152832756</v>
      </c>
      <c r="F81" s="1150">
        <f t="shared" si="13"/>
        <v>7.2820523600380005</v>
      </c>
      <c r="G81" s="1153">
        <f>+TableA2!C81-TableA4!D81</f>
        <v>0.1749870515663276</v>
      </c>
      <c r="H81" s="1154">
        <f>+TableA2!D81+TableA2!G81-TableA4!E81</f>
        <v>7.1070653084716726</v>
      </c>
      <c r="I81" s="9">
        <f t="shared" si="11"/>
        <v>7.3632770922556906E-2</v>
      </c>
      <c r="J81" s="1155">
        <f>D81/TableA9!B81</f>
        <v>0.51804822197221656</v>
      </c>
      <c r="K81" s="1158">
        <f>E81/TableA9!G81</f>
        <v>5.2111981200904205E-2</v>
      </c>
      <c r="L81" s="954"/>
      <c r="M81" s="1171"/>
      <c r="N81" s="268">
        <f>D81+G81-TableA2!C81</f>
        <v>0</v>
      </c>
      <c r="O81" s="268">
        <f>H81+E81-TableA2!G81-TableA2!D81</f>
        <v>0</v>
      </c>
    </row>
    <row r="82" spans="1:15" x14ac:dyDescent="0.2">
      <c r="A82" s="1148" t="str">
        <f>+TableA1!A82</f>
        <v>Seychelles</v>
      </c>
      <c r="B82" s="299">
        <f>TableA2!B82</f>
        <v>0.96659899999999999</v>
      </c>
      <c r="C82" s="1150">
        <f t="shared" si="10"/>
        <v>0.12415270981953189</v>
      </c>
      <c r="D82" s="1159">
        <f>TableA6!F82/TableA7!N82</f>
        <v>4.0218179796021394E-2</v>
      </c>
      <c r="E82" s="1168">
        <f>TableA5!B82</f>
        <v>8.3934530023510492E-2</v>
      </c>
      <c r="F82" s="1150">
        <f t="shared" ref="F82:F88" si="14">B82-C82</f>
        <v>0.84244629018046813</v>
      </c>
      <c r="G82" s="1153">
        <f>+TableA2!C82-TableA4!D82</f>
        <v>2.9622644203978601E-2</v>
      </c>
      <c r="H82" s="1154">
        <f>+TableA2!D82+TableA2!G82-TableA4!E82</f>
        <v>0.81282364597648959</v>
      </c>
      <c r="I82" s="9">
        <f t="shared" si="11"/>
        <v>0.1284428287423553</v>
      </c>
      <c r="J82" s="1155">
        <f>D82/TableA9!B82</f>
        <v>0.57585488676395624</v>
      </c>
      <c r="K82" s="1158">
        <f>E82/TableA9!G82</f>
        <v>9.3597730435981533E-2</v>
      </c>
      <c r="L82" s="954"/>
      <c r="M82" s="1171"/>
      <c r="N82" s="268">
        <f>D82+G82-TableA2!C82</f>
        <v>0</v>
      </c>
      <c r="O82" s="268">
        <f>H82+E82-TableA2!G82-TableA2!D82</f>
        <v>0</v>
      </c>
    </row>
    <row r="83" spans="1:15" x14ac:dyDescent="0.2">
      <c r="A83" s="1148" t="s">
        <v>102</v>
      </c>
      <c r="B83" s="299">
        <f>TableA2!B83</f>
        <v>193.44101831433295</v>
      </c>
      <c r="C83" s="1172">
        <f t="shared" si="10"/>
        <v>148.14040087715458</v>
      </c>
      <c r="D83" s="1159">
        <f>TableA2!C83*$B$97</f>
        <v>41.384517600000002</v>
      </c>
      <c r="E83" s="1168">
        <f>TableA5!B83</f>
        <v>106.75588327715457</v>
      </c>
      <c r="F83" s="1150">
        <f t="shared" si="14"/>
        <v>45.300617437178374</v>
      </c>
      <c r="G83" s="1153">
        <f>+TableA2!C83-TableA4!D83</f>
        <v>62.076776399999993</v>
      </c>
      <c r="H83" s="1154">
        <f>+TableA2!D83+TableA2!G83-TableA4!E83</f>
        <v>-16.776158962821611</v>
      </c>
      <c r="I83" s="9">
        <f t="shared" si="11"/>
        <v>0.7658168994769925</v>
      </c>
      <c r="J83" s="1155">
        <f>D83/TableA9!B83</f>
        <v>0.4</v>
      </c>
      <c r="K83" s="1158">
        <f>E83/TableA9!G83</f>
        <v>1.1864437693120307</v>
      </c>
      <c r="L83" s="954"/>
      <c r="M83" s="1171"/>
      <c r="N83" s="268">
        <f>D83+G83-TableA2!C83</f>
        <v>0</v>
      </c>
      <c r="O83" s="268">
        <f>H83+E83-TableA2!G83-TableA2!D83</f>
        <v>0</v>
      </c>
    </row>
    <row r="84" spans="1:15" x14ac:dyDescent="0.2">
      <c r="A84" s="1148" t="str">
        <f>+TableA1!A84</f>
        <v>St. Kitts and Nevis</v>
      </c>
      <c r="B84" s="299">
        <f>TableA2!B84</f>
        <v>0.59048</v>
      </c>
      <c r="C84" s="1150">
        <f t="shared" si="10"/>
        <v>2.9868655712276579E-2</v>
      </c>
      <c r="D84" s="1159">
        <f>TableA2!C84*$B$97</f>
        <v>2.9495152000000004E-2</v>
      </c>
      <c r="E84" s="1168">
        <f>TableA5!B84</f>
        <v>3.7350371227657623E-4</v>
      </c>
      <c r="F84" s="1150">
        <f t="shared" si="14"/>
        <v>0.56061134428772341</v>
      </c>
      <c r="G84" s="1153">
        <f>+TableA2!C84-TableA4!D84</f>
        <v>4.4242728000000002E-2</v>
      </c>
      <c r="H84" s="1154">
        <f>+TableA2!D84+TableA2!G84-TableA4!E84</f>
        <v>0.51636861628772335</v>
      </c>
      <c r="I84" s="9">
        <f t="shared" si="11"/>
        <v>5.0583687359904789E-2</v>
      </c>
      <c r="J84" s="1155">
        <f>D84/TableA9!B84</f>
        <v>0.4</v>
      </c>
      <c r="K84" s="1158">
        <f>E84/TableA9!G84</f>
        <v>7.2280485336975481E-4</v>
      </c>
      <c r="L84" s="954"/>
      <c r="M84" s="1171"/>
      <c r="N84" s="268">
        <f>D84+G84-TableA2!C84</f>
        <v>0</v>
      </c>
      <c r="O84" s="268">
        <f>H84+E84-TableA2!G84-TableA2!D84</f>
        <v>0</v>
      </c>
    </row>
    <row r="85" spans="1:15" x14ac:dyDescent="0.2">
      <c r="A85" s="1148" t="str">
        <f>+TableA1!A85</f>
        <v>St. Lucia</v>
      </c>
      <c r="B85" s="299">
        <f>TableA2!B85</f>
        <v>1.1087400000000001</v>
      </c>
      <c r="C85" s="1150">
        <f t="shared" si="10"/>
        <v>0.13212946557604072</v>
      </c>
      <c r="D85" s="1159">
        <f>TableA2!C85*$B$97</f>
        <v>4.6093200000000001E-2</v>
      </c>
      <c r="E85" s="1168">
        <f>TableA5!B85</f>
        <v>8.6036265576040702E-2</v>
      </c>
      <c r="F85" s="1150">
        <f t="shared" si="14"/>
        <v>0.97661053442395929</v>
      </c>
      <c r="G85" s="1153">
        <f>+TableA2!C85-TableA4!D85</f>
        <v>6.9139800000000001E-2</v>
      </c>
      <c r="H85" s="1154">
        <f>+TableA2!D85+TableA2!G85-TableA4!E85</f>
        <v>0.90747073442395931</v>
      </c>
      <c r="I85" s="9">
        <f t="shared" si="11"/>
        <v>0.11917082956873633</v>
      </c>
      <c r="J85" s="1155">
        <f>D85/TableA9!B85</f>
        <v>0.4</v>
      </c>
      <c r="K85" s="1158">
        <f>E85/TableA9!G85</f>
        <v>8.6598549960937063E-2</v>
      </c>
      <c r="L85" s="954"/>
      <c r="M85" s="1171"/>
      <c r="N85" s="268">
        <f>D85+G85-TableA2!C85</f>
        <v>0</v>
      </c>
      <c r="O85" s="268">
        <f>H85+E85-TableA2!G85-TableA2!D85</f>
        <v>0</v>
      </c>
    </row>
    <row r="86" spans="1:15" x14ac:dyDescent="0.2">
      <c r="A86" s="1148" t="str">
        <f>+TableA1!A86</f>
        <v>St. Vincent and the Grenadines</v>
      </c>
      <c r="B86" s="299">
        <f>TableA2!B86</f>
        <v>0.50773400000000002</v>
      </c>
      <c r="C86" s="1150">
        <f t="shared" si="10"/>
        <v>4.9949939900137338E-2</v>
      </c>
      <c r="D86" s="1159">
        <f>TableA2!C86*$B$97</f>
        <v>2.9565977600000001E-2</v>
      </c>
      <c r="E86" s="1168">
        <f>TableA5!B86</f>
        <v>2.0383962300137334E-2</v>
      </c>
      <c r="F86" s="1150">
        <f t="shared" si="14"/>
        <v>0.45778406009986267</v>
      </c>
      <c r="G86" s="1153">
        <f>+TableA2!C86-TableA4!D86</f>
        <v>4.4348966399999995E-2</v>
      </c>
      <c r="H86" s="1154">
        <f>+TableA2!D86+TableA2!G86-TableA4!E86</f>
        <v>0.4134350936998627</v>
      </c>
      <c r="I86" s="9">
        <f t="shared" si="11"/>
        <v>9.8378166323581512E-2</v>
      </c>
      <c r="J86" s="1155">
        <f>D86/TableA9!B86</f>
        <v>0.4</v>
      </c>
      <c r="K86" s="1158">
        <f>E86/TableA9!G86</f>
        <v>4.698724506960647E-2</v>
      </c>
      <c r="L86" s="954"/>
      <c r="M86" s="1171"/>
      <c r="N86" s="268">
        <f>D86+G86-TableA2!C86</f>
        <v>0</v>
      </c>
      <c r="O86" s="268">
        <f>H86+E86-TableA2!G86-TableA2!D86</f>
        <v>0</v>
      </c>
    </row>
    <row r="87" spans="1:15" x14ac:dyDescent="0.2">
      <c r="A87" s="1148" t="str">
        <f>+TableA1!A87</f>
        <v>Turks and Caicos</v>
      </c>
      <c r="B87" s="299">
        <f>TableA2!B87</f>
        <v>0.424902</v>
      </c>
      <c r="C87" s="1167">
        <f t="shared" si="10"/>
        <v>4.5777200000000004E-2</v>
      </c>
      <c r="D87" s="1159">
        <f>TableA2!C87*$B$97</f>
        <v>4.5777200000000004E-2</v>
      </c>
      <c r="E87" s="1168">
        <f>TableA5!B87</f>
        <v>0</v>
      </c>
      <c r="F87" s="1167">
        <f t="shared" si="14"/>
        <v>0.37912479999999998</v>
      </c>
      <c r="G87" s="1169">
        <f>+TableA2!C87-TableA4!D87</f>
        <v>6.8665799999999999E-2</v>
      </c>
      <c r="H87" s="1170">
        <f>+TableA2!D87+TableA2!G87-TableA4!E87</f>
        <v>0.31045899999999998</v>
      </c>
      <c r="I87" s="9">
        <f t="shared" si="11"/>
        <v>0.10773590145492373</v>
      </c>
      <c r="J87" s="1155">
        <f>D87/TableA9!B87</f>
        <v>0.4</v>
      </c>
      <c r="K87" s="1158">
        <f>E87/TableA9!G87</f>
        <v>0</v>
      </c>
      <c r="L87" s="954"/>
      <c r="M87" s="1171"/>
      <c r="N87" s="268">
        <f>D87+G87-TableA2!C87</f>
        <v>0</v>
      </c>
      <c r="O87" s="268">
        <f>H87+E87-TableA2!G87-TableA2!D87</f>
        <v>0</v>
      </c>
    </row>
    <row r="88" spans="1:15" x14ac:dyDescent="0.2">
      <c r="A88" s="1148" t="str">
        <f>+TableA1!A88</f>
        <v>Panama</v>
      </c>
      <c r="B88" s="299">
        <f>TableA2!B88</f>
        <v>35.049199999999999</v>
      </c>
      <c r="C88" s="1150">
        <f t="shared" si="10"/>
        <v>6.3425300869724222</v>
      </c>
      <c r="D88" s="1159">
        <f>TableA6!F88/TableA7!N88</f>
        <v>1.9793235988718809</v>
      </c>
      <c r="E88" s="1168">
        <f>TableA5!B88</f>
        <v>4.3632064881005412</v>
      </c>
      <c r="F88" s="1150">
        <f t="shared" si="14"/>
        <v>28.706669913027575</v>
      </c>
      <c r="G88" s="1153">
        <f>+TableA2!C88-TableA4!D88</f>
        <v>8.2887764011281195</v>
      </c>
      <c r="H88" s="1154">
        <f>+TableA2!D88+TableA2!G88-TableA4!E88</f>
        <v>20.417893511899461</v>
      </c>
      <c r="I88" s="9">
        <f t="shared" si="11"/>
        <v>0.18096076620785703</v>
      </c>
      <c r="J88" s="1155">
        <f>D88/TableA9!B88</f>
        <v>0.19276434772468917</v>
      </c>
      <c r="K88" s="1158">
        <f>E88/TableA9!G88</f>
        <v>0.176069927811943</v>
      </c>
      <c r="L88" s="954"/>
      <c r="M88" s="1171"/>
      <c r="N88" s="268">
        <f>D88+G88-TableA2!C88</f>
        <v>0</v>
      </c>
      <c r="O88" s="268">
        <f>H88+E88-TableA2!G88-TableA2!D88</f>
        <v>0</v>
      </c>
    </row>
    <row r="89" spans="1:15" x14ac:dyDescent="0.2">
      <c r="A89" s="1148" t="s">
        <v>108</v>
      </c>
      <c r="B89" s="299">
        <f>TableA2!B89</f>
        <v>81.677350000000004</v>
      </c>
      <c r="C89" s="1150">
        <f>D89+E89</f>
        <v>45.759696429901176</v>
      </c>
      <c r="D89" s="1159">
        <f>TableA6!F89/TableA7!N89</f>
        <v>2.5626558818459046</v>
      </c>
      <c r="E89" s="1168">
        <f>TableA5!B89</f>
        <v>43.19704054805527</v>
      </c>
      <c r="F89" s="1150">
        <f>B89-C89</f>
        <v>35.917653570098828</v>
      </c>
      <c r="G89" s="1153">
        <f>+TableA2!C89-TableA4!D89</f>
        <v>20.526144118154097</v>
      </c>
      <c r="H89" s="1154">
        <f>+TableA2!D89+TableA2!G89-TableA4!E89</f>
        <v>15.391509451944728</v>
      </c>
      <c r="I89" s="9">
        <f t="shared" si="11"/>
        <v>0.56024952364273783</v>
      </c>
      <c r="J89" s="1155">
        <f>D89/TableA9!B89</f>
        <v>0.11099129802527218</v>
      </c>
      <c r="K89" s="1158">
        <f>E89/TableA9!G89</f>
        <v>0.73729492448704181</v>
      </c>
      <c r="L89" s="954"/>
      <c r="M89" s="1171"/>
      <c r="N89" s="268">
        <f>D89+G89-TableA2!C89</f>
        <v>0</v>
      </c>
      <c r="O89" s="268">
        <f>H89+E89-TableA2!G89-TableA2!D89</f>
        <v>0</v>
      </c>
    </row>
    <row r="90" spans="1:15" ht="40" customHeight="1" x14ac:dyDescent="0.2">
      <c r="A90" s="7" t="s">
        <v>155</v>
      </c>
      <c r="B90" s="304">
        <f>TableA2!B90</f>
        <v>4259.654706389314</v>
      </c>
      <c r="C90" s="1166">
        <f>D90+E90</f>
        <v>366.98157515863141</v>
      </c>
      <c r="D90" s="175">
        <f>J90*TableA2!C90</f>
        <v>189.21731784147516</v>
      </c>
      <c r="E90" s="175">
        <f>K90*(TableA2!D90+TableA2!G90)</f>
        <v>177.76425731715625</v>
      </c>
      <c r="F90" s="1166">
        <f>B90-C90</f>
        <v>3892.6731312306824</v>
      </c>
      <c r="G90" s="245">
        <f>+TableA2!C90-TableA4!D90</f>
        <v>1900.3214375164907</v>
      </c>
      <c r="H90" s="623">
        <f>+TableA2!D90+TableA2!G90-TableA4!E90</f>
        <v>1992.3516937141919</v>
      </c>
      <c r="I90" s="176">
        <f t="shared" si="11"/>
        <v>8.6152892770433601E-2</v>
      </c>
      <c r="J90" s="246">
        <f>J45</f>
        <v>9.0554586439847928E-2</v>
      </c>
      <c r="K90" s="269">
        <f>K45</f>
        <v>8.1914635590173757E-2</v>
      </c>
      <c r="L90" s="954"/>
      <c r="M90" s="954"/>
      <c r="N90" s="268">
        <f>D90+G90-TableA2!C90</f>
        <v>0</v>
      </c>
      <c r="O90" s="268">
        <f>H90+E90-TableA2!G90-TableA2!D90</f>
        <v>0</v>
      </c>
    </row>
    <row r="91" spans="1:15" ht="40" customHeight="1" thickBot="1" x14ac:dyDescent="0.25">
      <c r="A91" s="247" t="s">
        <v>110</v>
      </c>
      <c r="B91" s="248">
        <f>TableA2!B91</f>
        <v>40756.104983635028</v>
      </c>
      <c r="C91" s="249">
        <f t="shared" ref="C91:H91" si="15">C90+C53+C45+C9</f>
        <v>5440.616190462204</v>
      </c>
      <c r="D91" s="250">
        <f t="shared" si="15"/>
        <v>2978.9105037291129</v>
      </c>
      <c r="E91" s="251">
        <f t="shared" si="15"/>
        <v>2461.7056867330912</v>
      </c>
      <c r="F91" s="249">
        <f t="shared" si="15"/>
        <v>35315.488793172823</v>
      </c>
      <c r="G91" s="251">
        <f t="shared" si="15"/>
        <v>19443.166727279746</v>
      </c>
      <c r="H91" s="252">
        <f t="shared" si="15"/>
        <v>15872.321460621715</v>
      </c>
      <c r="I91" s="253">
        <f>C91/B91</f>
        <v>0.13349205456818794</v>
      </c>
      <c r="J91" s="254">
        <f>D91/(D91+G91)</f>
        <v>0.13285613429291895</v>
      </c>
      <c r="K91" s="255">
        <f>E91/(E91+H91)</f>
        <v>0.13426977428078374</v>
      </c>
      <c r="L91" s="954"/>
      <c r="M91" s="954"/>
      <c r="N91" s="268">
        <f>D91+G91-TableA2!C91</f>
        <v>0</v>
      </c>
      <c r="O91" s="268">
        <f>H91+E91-TableA2!G91-TableA2!D91</f>
        <v>0</v>
      </c>
    </row>
    <row r="92" spans="1:15" ht="18" customHeight="1" thickTop="1" x14ac:dyDescent="0.2">
      <c r="A92" s="1832"/>
      <c r="B92" s="245"/>
      <c r="C92" s="245"/>
      <c r="D92" s="175"/>
      <c r="E92" s="245"/>
      <c r="F92" s="245"/>
      <c r="G92" s="245"/>
      <c r="H92" s="245"/>
      <c r="I92" s="176"/>
      <c r="J92" s="246"/>
      <c r="K92" s="176"/>
      <c r="L92" s="954"/>
      <c r="M92" s="954"/>
      <c r="N92" s="954"/>
      <c r="O92" s="954"/>
    </row>
    <row r="93" spans="1:15" s="2" customFormat="1" ht="17" thickBot="1" x14ac:dyDescent="0.25">
      <c r="B93" s="954"/>
      <c r="C93" s="954"/>
      <c r="D93" s="954"/>
      <c r="E93" s="954"/>
      <c r="F93" s="954"/>
      <c r="G93" s="954"/>
      <c r="H93" s="954"/>
      <c r="I93" s="954"/>
      <c r="J93" s="954"/>
    </row>
    <row r="94" spans="1:15" s="2" customFormat="1" ht="47.25" customHeight="1" thickBot="1" x14ac:dyDescent="0.25">
      <c r="A94" s="1995" t="s">
        <v>171</v>
      </c>
      <c r="B94" s="1979"/>
      <c r="C94" s="1979"/>
      <c r="D94" s="1979"/>
      <c r="E94" s="1979"/>
      <c r="F94" s="1979"/>
      <c r="G94" s="1979"/>
      <c r="H94" s="1979"/>
      <c r="I94" s="1979"/>
      <c r="J94" s="1979"/>
      <c r="K94" s="1980"/>
    </row>
    <row r="95" spans="1:15" s="2" customFormat="1" x14ac:dyDescent="0.2">
      <c r="A95" s="954"/>
      <c r="B95" s="954"/>
      <c r="C95" s="954"/>
      <c r="D95" s="954"/>
      <c r="E95" s="954"/>
      <c r="F95" s="954"/>
      <c r="G95" s="954"/>
      <c r="H95" s="954"/>
      <c r="I95" s="954"/>
      <c r="J95" s="954"/>
    </row>
    <row r="96" spans="1:15" s="2" customFormat="1" x14ac:dyDescent="0.2">
      <c r="A96" s="954" t="s">
        <v>172</v>
      </c>
      <c r="B96" s="954">
        <v>0.90165899999999999</v>
      </c>
      <c r="C96" s="954"/>
      <c r="D96" s="954"/>
      <c r="E96" s="954"/>
      <c r="F96" s="954"/>
      <c r="G96" s="954"/>
      <c r="H96" s="954"/>
      <c r="I96" s="954"/>
      <c r="J96" s="954"/>
    </row>
    <row r="97" spans="1:10" s="2" customFormat="1" x14ac:dyDescent="0.2">
      <c r="A97" s="954" t="s">
        <v>173</v>
      </c>
      <c r="B97" s="1173">
        <v>0.4</v>
      </c>
      <c r="C97" s="954"/>
      <c r="D97" s="954"/>
      <c r="E97" s="954"/>
      <c r="F97" s="954"/>
      <c r="G97" s="954"/>
      <c r="H97" s="954"/>
      <c r="I97" s="954"/>
      <c r="J97" s="954"/>
    </row>
    <row r="98" spans="1:10" s="2" customFormat="1" x14ac:dyDescent="0.2">
      <c r="A98" s="954" t="s">
        <v>174</v>
      </c>
      <c r="B98" s="1173">
        <f>+SUM(D10:D22,D24:D26,D29:D44)/(SUM(G29:G44,G24:G26,G10:G22)+SUM(D10:D22,D24:D26,D29:D44))</f>
        <v>0.15434306247348614</v>
      </c>
      <c r="C98" s="954"/>
      <c r="D98" s="954"/>
      <c r="E98" s="954"/>
      <c r="F98" s="954"/>
      <c r="G98" s="954"/>
      <c r="H98" s="954"/>
      <c r="I98" s="954"/>
      <c r="J98" s="954"/>
    </row>
    <row r="99" spans="1:10" x14ac:dyDescent="0.2">
      <c r="A99" s="1000" t="s">
        <v>175</v>
      </c>
      <c r="B99" s="954"/>
      <c r="C99" s="954"/>
      <c r="D99" s="954"/>
      <c r="E99" s="954"/>
      <c r="F99" s="954"/>
      <c r="G99" s="954"/>
      <c r="H99" s="954"/>
      <c r="I99" s="954"/>
      <c r="J99" s="954"/>
    </row>
    <row r="100" spans="1:10" s="2" customFormat="1" x14ac:dyDescent="0.2">
      <c r="A100" s="954"/>
      <c r="B100" s="954"/>
      <c r="C100" s="954"/>
      <c r="D100" s="954"/>
      <c r="E100" s="954"/>
      <c r="F100" s="954"/>
      <c r="G100" s="954"/>
      <c r="H100" s="954"/>
      <c r="I100" s="954"/>
      <c r="J100" s="954"/>
    </row>
  </sheetData>
  <mergeCells count="10">
    <mergeCell ref="A94:K94"/>
    <mergeCell ref="A3:K3"/>
    <mergeCell ref="F7:F8"/>
    <mergeCell ref="B6:H6"/>
    <mergeCell ref="B7:B8"/>
    <mergeCell ref="C7:C8"/>
    <mergeCell ref="I6:K6"/>
    <mergeCell ref="I7:I8"/>
    <mergeCell ref="J7:J8"/>
    <mergeCell ref="K7:K8"/>
  </mergeCells>
  <phoneticPr fontId="37" type="noConversion"/>
  <pageMargins left="0.75" right="0.75" top="1" bottom="1" header="0.5" footer="0.5"/>
  <pageSetup scale="63" fitToHeight="2" orientation="portrait" horizontalDpi="4294967292" verticalDpi="4294967292"/>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AD10"/>
  <sheetViews>
    <sheetView workbookViewId="0">
      <selection activeCell="E21" sqref="E21"/>
    </sheetView>
  </sheetViews>
  <sheetFormatPr baseColWidth="10" defaultColWidth="8.83203125" defaultRowHeight="16" x14ac:dyDescent="0.2"/>
  <cols>
    <col min="2" max="2" width="21.5" bestFit="1" customWidth="1"/>
    <col min="3" max="4" width="10" bestFit="1" customWidth="1"/>
    <col min="5" max="5" width="10.6640625" bestFit="1" customWidth="1"/>
    <col min="6" max="7" width="8.33203125" bestFit="1" customWidth="1"/>
    <col min="8" max="8" width="10.6640625" bestFit="1" customWidth="1"/>
    <col min="11" max="11" width="10.6640625" bestFit="1" customWidth="1"/>
    <col min="12" max="12" width="10" bestFit="1" customWidth="1"/>
    <col min="13" max="13" width="15.33203125" bestFit="1" customWidth="1"/>
    <col min="14" max="14" width="12.6640625" customWidth="1"/>
  </cols>
  <sheetData>
    <row r="1" spans="2:30" ht="17" thickBot="1" x14ac:dyDescent="0.25"/>
    <row r="2" spans="2:30" x14ac:dyDescent="0.2">
      <c r="B2" s="941"/>
      <c r="C2" s="2438" t="s">
        <v>960</v>
      </c>
      <c r="D2" s="2438"/>
      <c r="E2" s="2438"/>
      <c r="F2" s="2438"/>
      <c r="G2" s="2438"/>
      <c r="H2" s="2438"/>
      <c r="I2" s="2438"/>
      <c r="J2" s="2438"/>
      <c r="K2" s="2438"/>
      <c r="L2" s="2438"/>
      <c r="M2" s="2438"/>
      <c r="N2" s="2439"/>
    </row>
    <row r="3" spans="2:30" x14ac:dyDescent="0.2">
      <c r="B3" s="527"/>
      <c r="C3" s="940" t="s">
        <v>1</v>
      </c>
      <c r="D3" s="940" t="s">
        <v>2</v>
      </c>
      <c r="E3" s="940" t="s">
        <v>3</v>
      </c>
      <c r="F3" s="940" t="s">
        <v>4</v>
      </c>
      <c r="G3" s="940" t="s">
        <v>5</v>
      </c>
      <c r="H3" s="940" t="s">
        <v>6</v>
      </c>
      <c r="I3" s="940" t="s">
        <v>7</v>
      </c>
      <c r="J3" s="940" t="s">
        <v>8</v>
      </c>
      <c r="K3" s="940" t="s">
        <v>9</v>
      </c>
      <c r="L3" s="940" t="s">
        <v>10</v>
      </c>
      <c r="M3" s="940" t="s">
        <v>11</v>
      </c>
      <c r="N3" s="939" t="s">
        <v>12</v>
      </c>
    </row>
    <row r="4" spans="2:30" s="690" customFormat="1" ht="50.25" customHeight="1" x14ac:dyDescent="0.2">
      <c r="B4" s="1719"/>
      <c r="C4" s="2435" t="s">
        <v>961</v>
      </c>
      <c r="D4" s="2436"/>
      <c r="E4" s="2440"/>
      <c r="F4" s="2435" t="s">
        <v>962</v>
      </c>
      <c r="G4" s="2436"/>
      <c r="H4" s="2437"/>
      <c r="I4" s="2441" t="s">
        <v>963</v>
      </c>
      <c r="J4" s="2436"/>
      <c r="K4" s="2440"/>
      <c r="L4" s="2435" t="s">
        <v>964</v>
      </c>
      <c r="M4" s="2436"/>
      <c r="N4" s="2437"/>
    </row>
    <row r="5" spans="2:30" x14ac:dyDescent="0.2">
      <c r="B5" s="938"/>
      <c r="C5" s="936">
        <v>2017</v>
      </c>
      <c r="D5" s="935">
        <v>2016</v>
      </c>
      <c r="E5" s="937" t="s">
        <v>965</v>
      </c>
      <c r="F5" s="936">
        <v>2017</v>
      </c>
      <c r="G5" s="935">
        <v>2016</v>
      </c>
      <c r="H5" s="937" t="s">
        <v>965</v>
      </c>
      <c r="I5" s="936">
        <v>2017</v>
      </c>
      <c r="J5" s="935">
        <v>2016</v>
      </c>
      <c r="K5" s="937" t="s">
        <v>965</v>
      </c>
      <c r="L5" s="936">
        <v>2017</v>
      </c>
      <c r="M5" s="935">
        <v>2016</v>
      </c>
      <c r="N5" s="934" t="s">
        <v>965</v>
      </c>
    </row>
    <row r="6" spans="2:30" x14ac:dyDescent="0.2">
      <c r="B6" s="933" t="s">
        <v>344</v>
      </c>
      <c r="C6" s="931">
        <v>2022023.8898980001</v>
      </c>
      <c r="D6" s="930">
        <v>1420512.5125050002</v>
      </c>
      <c r="E6" s="932">
        <f>+C6/D6</f>
        <v>1.4234467293302935</v>
      </c>
      <c r="F6" s="931"/>
      <c r="G6" s="930"/>
      <c r="H6" s="932"/>
      <c r="I6" s="931"/>
      <c r="J6" s="930"/>
      <c r="K6" s="932"/>
      <c r="L6" s="931"/>
      <c r="M6" s="930"/>
      <c r="N6" s="929"/>
    </row>
    <row r="7" spans="2:30" x14ac:dyDescent="0.2">
      <c r="B7" s="933" t="s">
        <v>652</v>
      </c>
      <c r="C7" s="931">
        <v>1179985.5616639999</v>
      </c>
      <c r="D7" s="930">
        <v>867852.04630299995</v>
      </c>
      <c r="E7" s="932">
        <f>+C7/D7</f>
        <v>1.3596621298419136</v>
      </c>
      <c r="F7" s="931"/>
      <c r="G7" s="930"/>
      <c r="H7" s="932"/>
      <c r="I7" s="931"/>
      <c r="J7" s="930"/>
      <c r="K7" s="932"/>
      <c r="L7" s="931">
        <v>1815428</v>
      </c>
      <c r="M7" s="930">
        <v>1801629.25</v>
      </c>
      <c r="N7" s="929">
        <f>+L7/M7</f>
        <v>1.0076590397275134</v>
      </c>
    </row>
    <row r="8" spans="2:30" x14ac:dyDescent="0.2">
      <c r="B8" s="933" t="s">
        <v>966</v>
      </c>
      <c r="C8" s="931">
        <v>203571.043317</v>
      </c>
      <c r="D8" s="930">
        <v>120847.25043</v>
      </c>
      <c r="E8" s="932">
        <f>+C8/D8</f>
        <v>1.6845318581320743</v>
      </c>
      <c r="F8" s="931"/>
      <c r="G8" s="930"/>
      <c r="H8" s="932"/>
      <c r="I8" s="931"/>
      <c r="J8" s="930"/>
      <c r="K8" s="932"/>
      <c r="L8" s="931"/>
      <c r="M8" s="930"/>
      <c r="N8" s="929"/>
    </row>
    <row r="9" spans="2:30" ht="17" thickBot="1" x14ac:dyDescent="0.25">
      <c r="B9" s="928" t="s">
        <v>967</v>
      </c>
      <c r="C9" s="926">
        <f>+C6-C7-C8</f>
        <v>638467.2849170001</v>
      </c>
      <c r="D9" s="925">
        <v>431813.21577200014</v>
      </c>
      <c r="E9" s="927">
        <f>+C9/D9</f>
        <v>1.4785728217593843</v>
      </c>
      <c r="F9" s="926">
        <f>+'Table G3'!J11</f>
        <v>563866.32756899996</v>
      </c>
      <c r="G9" s="925">
        <f>+'Table G3'!K11</f>
        <v>473632.9</v>
      </c>
      <c r="H9" s="927">
        <f>+IFERROR(F9/G9,"")</f>
        <v>1.1905134283724799</v>
      </c>
      <c r="I9" s="926">
        <f>+'Table G3'!S11</f>
        <v>588274.52756899991</v>
      </c>
      <c r="J9" s="925">
        <f>+'Table G3'!T11</f>
        <v>539160.29999999993</v>
      </c>
      <c r="K9" s="927">
        <f>+IFERROR(I9/J9,"")</f>
        <v>1.0910939243282562</v>
      </c>
      <c r="L9" s="926"/>
      <c r="M9" s="925"/>
      <c r="N9" s="924"/>
    </row>
    <row r="10" spans="2:30" ht="33" customHeight="1" thickBot="1" x14ac:dyDescent="0.25">
      <c r="B10" s="2432" t="s">
        <v>968</v>
      </c>
      <c r="C10" s="2433"/>
      <c r="D10" s="2433"/>
      <c r="E10" s="2433"/>
      <c r="F10" s="2433"/>
      <c r="G10" s="2433"/>
      <c r="H10" s="2433"/>
      <c r="I10" s="2433"/>
      <c r="J10" s="2433"/>
      <c r="K10" s="2433"/>
      <c r="L10" s="2433"/>
      <c r="M10" s="2433"/>
      <c r="N10" s="2434"/>
      <c r="O10" s="923"/>
      <c r="P10" s="923"/>
      <c r="Q10" s="923"/>
      <c r="R10" s="923"/>
      <c r="S10" s="923"/>
      <c r="T10" s="923"/>
      <c r="U10" s="923"/>
      <c r="V10" s="923"/>
      <c r="W10" s="923"/>
      <c r="X10" s="923"/>
      <c r="Y10" s="923"/>
      <c r="Z10" s="923"/>
      <c r="AA10" s="923"/>
      <c r="AB10" s="923"/>
      <c r="AC10" s="923"/>
      <c r="AD10" s="923"/>
    </row>
  </sheetData>
  <mergeCells count="6">
    <mergeCell ref="B10:N10"/>
    <mergeCell ref="L4:N4"/>
    <mergeCell ref="C2:N2"/>
    <mergeCell ref="C4:E4"/>
    <mergeCell ref="F4:H4"/>
    <mergeCell ref="I4:K4"/>
  </mergeCells>
  <pageMargins left="0.7" right="0.7" top="0.75" bottom="0.75" header="0.3" footer="0.3"/>
  <pageSetup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G18"/>
  <sheetViews>
    <sheetView workbookViewId="0">
      <selection activeCell="B20" sqref="B20"/>
    </sheetView>
  </sheetViews>
  <sheetFormatPr baseColWidth="10" defaultColWidth="8.83203125" defaultRowHeight="16" x14ac:dyDescent="0.2"/>
  <cols>
    <col min="2" max="2" width="44.1640625" bestFit="1" customWidth="1"/>
    <col min="3" max="4" width="13.6640625" customWidth="1"/>
    <col min="5" max="5" width="5.1640625" customWidth="1"/>
    <col min="6" max="7" width="13.6640625" customWidth="1"/>
  </cols>
  <sheetData>
    <row r="1" spans="2:7" ht="17" thickBot="1" x14ac:dyDescent="0.25"/>
    <row r="2" spans="2:7" ht="32.25" customHeight="1" x14ac:dyDescent="0.2">
      <c r="B2" s="2445" t="s">
        <v>969</v>
      </c>
      <c r="C2" s="2446"/>
      <c r="D2" s="2446"/>
      <c r="E2" s="2446"/>
      <c r="F2" s="2446"/>
      <c r="G2" s="2447"/>
    </row>
    <row r="3" spans="2:7" x14ac:dyDescent="0.2">
      <c r="B3" s="321"/>
      <c r="C3" s="1025"/>
      <c r="D3" s="1025"/>
      <c r="E3" s="1025"/>
      <c r="F3" s="1025"/>
      <c r="G3" s="962"/>
    </row>
    <row r="4" spans="2:7" ht="12.75" customHeight="1" x14ac:dyDescent="0.2">
      <c r="B4" s="1834"/>
      <c r="C4" s="1026" t="s">
        <v>1</v>
      </c>
      <c r="D4" s="1026" t="s">
        <v>2</v>
      </c>
      <c r="E4" s="528"/>
      <c r="F4" s="1026" t="s">
        <v>3</v>
      </c>
      <c r="G4" s="961" t="s">
        <v>4</v>
      </c>
    </row>
    <row r="5" spans="2:7" ht="27.75" customHeight="1" x14ac:dyDescent="0.2">
      <c r="B5" s="1367"/>
      <c r="C5" s="2442" t="s">
        <v>970</v>
      </c>
      <c r="D5" s="2442"/>
      <c r="E5" s="960"/>
      <c r="F5" s="2443" t="s">
        <v>971</v>
      </c>
      <c r="G5" s="2444"/>
    </row>
    <row r="6" spans="2:7" x14ac:dyDescent="0.2">
      <c r="B6" s="1654"/>
      <c r="C6" s="1720">
        <v>2017</v>
      </c>
      <c r="D6" s="1721">
        <v>2016</v>
      </c>
      <c r="E6" s="1721"/>
      <c r="F6" s="1720">
        <v>2017</v>
      </c>
      <c r="G6" s="1722">
        <v>2016</v>
      </c>
    </row>
    <row r="7" spans="2:7" x14ac:dyDescent="0.2">
      <c r="B7" s="1723" t="s">
        <v>972</v>
      </c>
      <c r="C7" s="952">
        <f>SUM(C8:C12)</f>
        <v>149602.66088400001</v>
      </c>
      <c r="D7" s="952">
        <f>SUM(D8:D12)</f>
        <v>67134.760000000009</v>
      </c>
      <c r="E7" s="952"/>
      <c r="F7" s="952">
        <f>SUM(F8:F12)</f>
        <v>189266</v>
      </c>
      <c r="G7" s="951">
        <f>SUM(G8:G12)</f>
        <v>168629</v>
      </c>
    </row>
    <row r="8" spans="2:7" x14ac:dyDescent="0.2">
      <c r="B8" s="933" t="s">
        <v>31</v>
      </c>
      <c r="C8" s="959">
        <f>+'Table G3'!D15</f>
        <v>5872.3124979999993</v>
      </c>
      <c r="D8" s="959">
        <f>+'Table G3'!E15</f>
        <v>6445.82</v>
      </c>
      <c r="E8" s="959"/>
      <c r="F8" s="959">
        <f>+'Table G3'!J15</f>
        <v>8622</v>
      </c>
      <c r="G8" s="958">
        <f>+'Table G3'!K15</f>
        <v>7544</v>
      </c>
    </row>
    <row r="9" spans="2:7" x14ac:dyDescent="0.2">
      <c r="B9" s="955" t="str">
        <f>+'Table G3'!C27</f>
        <v>Ireland</v>
      </c>
      <c r="C9" s="957">
        <f>+'Table G3'!D27</f>
        <v>29478.218004000002</v>
      </c>
      <c r="D9" s="957">
        <f>+'Table G3'!E27</f>
        <v>31390.5</v>
      </c>
      <c r="E9" s="957"/>
      <c r="F9" s="957">
        <f>+'Table G3'!J27</f>
        <v>83825</v>
      </c>
      <c r="G9" s="956">
        <f>+'Table G3'!K27</f>
        <v>76543</v>
      </c>
    </row>
    <row r="10" spans="2:7" x14ac:dyDescent="0.2">
      <c r="B10" s="955" t="str">
        <f>+'Table G3'!C33</f>
        <v>Luxembourg</v>
      </c>
      <c r="C10" s="957">
        <f>+'Table G3'!D33</f>
        <v>24865.511556000001</v>
      </c>
      <c r="D10" s="957">
        <f>+'Table G3'!E33</f>
        <v>-2139.73</v>
      </c>
      <c r="E10" s="957"/>
      <c r="F10" s="957">
        <f>+'Table G3'!J33</f>
        <v>5917</v>
      </c>
      <c r="G10" s="956">
        <f>+'Table G3'!K33</f>
        <v>305</v>
      </c>
    </row>
    <row r="11" spans="2:7" x14ac:dyDescent="0.2">
      <c r="B11" s="955" t="str">
        <f>+'Table G3'!C35</f>
        <v>Netherlands</v>
      </c>
      <c r="C11" s="957">
        <f>+'Table G3'!D35</f>
        <v>40010.225659999996</v>
      </c>
      <c r="D11" s="957">
        <f>+'Table G3'!E35</f>
        <v>37642.6</v>
      </c>
      <c r="E11" s="957"/>
      <c r="F11" s="957">
        <f>+'Table G3'!J35</f>
        <v>52678</v>
      </c>
      <c r="G11" s="956">
        <f>+'Table G3'!K35</f>
        <v>43310</v>
      </c>
    </row>
    <row r="12" spans="2:7" x14ac:dyDescent="0.2">
      <c r="B12" s="955" t="str">
        <f>+'Table G3'!C44</f>
        <v>Switzerland</v>
      </c>
      <c r="C12" s="957">
        <f>+'Table G3'!D44</f>
        <v>49376.393166000002</v>
      </c>
      <c r="D12" s="957">
        <f>+'Table G3'!E44</f>
        <v>-6204.43</v>
      </c>
      <c r="E12" s="957"/>
      <c r="F12" s="957">
        <f>+'Table G3'!J44</f>
        <v>38224</v>
      </c>
      <c r="G12" s="956">
        <f>+'Table G3'!K44</f>
        <v>40927</v>
      </c>
    </row>
    <row r="13" spans="2:7" ht="4.5" customHeight="1" x14ac:dyDescent="0.2">
      <c r="B13" s="955"/>
      <c r="C13" s="1027"/>
      <c r="D13" s="1027"/>
      <c r="E13" s="1027"/>
      <c r="F13" s="1027"/>
      <c r="G13" s="953"/>
    </row>
    <row r="14" spans="2:7" x14ac:dyDescent="0.2">
      <c r="B14" s="1723" t="s">
        <v>973</v>
      </c>
      <c r="C14" s="952">
        <f>+SUM('Table G3'!D57:D92)</f>
        <v>202536.921695536</v>
      </c>
      <c r="D14" s="952">
        <f>+SUM('Table G3'!E57:E92)</f>
        <v>159418.87767300001</v>
      </c>
      <c r="E14" s="952"/>
      <c r="F14" s="952">
        <v>124012.655138</v>
      </c>
      <c r="G14" s="951">
        <v>118835.79999999999</v>
      </c>
    </row>
    <row r="15" spans="2:7" ht="4.5" customHeight="1" x14ac:dyDescent="0.2">
      <c r="B15" s="1654"/>
      <c r="C15" s="1655"/>
      <c r="D15" s="1655"/>
      <c r="E15" s="1655"/>
      <c r="F15" s="1655"/>
      <c r="G15" s="1724"/>
    </row>
    <row r="16" spans="2:7" x14ac:dyDescent="0.2">
      <c r="B16" s="1723" t="s">
        <v>974</v>
      </c>
      <c r="C16" s="1028">
        <f>+C14+C7</f>
        <v>352139.58257953601</v>
      </c>
      <c r="D16" s="1028">
        <f>+D14+D7</f>
        <v>226553.63767300002</v>
      </c>
      <c r="E16" s="1028"/>
      <c r="F16" s="1028">
        <f>+F14+F7</f>
        <v>313278.65513800003</v>
      </c>
      <c r="G16" s="949">
        <f>+G14+G7</f>
        <v>287464.8</v>
      </c>
    </row>
    <row r="17" spans="2:7" ht="17" thickBot="1" x14ac:dyDescent="0.25">
      <c r="B17" s="948" t="s">
        <v>975</v>
      </c>
      <c r="C17" s="947">
        <f>+C16/'Table G3'!D11</f>
        <v>0.55153896041096873</v>
      </c>
      <c r="D17" s="947">
        <f>+D16/'Table G3'!E11</f>
        <v>0.52465656306503983</v>
      </c>
      <c r="E17" s="947"/>
      <c r="F17" s="947">
        <f>+F16/'Table G3'!J11</f>
        <v>0.55559028766381569</v>
      </c>
      <c r="G17" s="946">
        <f>+G16/'Table G3'!K11</f>
        <v>0.60693587797638204</v>
      </c>
    </row>
    <row r="18" spans="2:7" ht="17" thickBot="1" x14ac:dyDescent="0.25">
      <c r="B18" s="945" t="s">
        <v>976</v>
      </c>
      <c r="C18" s="943">
        <f>+C9+'Table G3'!D65</f>
        <v>61954.698269</v>
      </c>
      <c r="D18" s="943">
        <f>+D9+'Table G3'!E65</f>
        <v>56291</v>
      </c>
      <c r="E18" s="944"/>
      <c r="F18" s="943">
        <f>+F9+'Table G3'!J65</f>
        <v>74543</v>
      </c>
      <c r="G18" s="942">
        <f>+G9+'Table G3'!K65</f>
        <v>71297</v>
      </c>
    </row>
  </sheetData>
  <mergeCells count="3">
    <mergeCell ref="C5:D5"/>
    <mergeCell ref="F5:G5"/>
    <mergeCell ref="B2:G2"/>
  </mergeCells>
  <pageMargins left="0.7" right="0.7" top="0.75" bottom="0.75" header="0.3" footer="0.3"/>
  <pageSetup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AA203"/>
  <sheetViews>
    <sheetView zoomScale="70" zoomScaleNormal="70" workbookViewId="0">
      <selection activeCell="G396" sqref="G396"/>
    </sheetView>
  </sheetViews>
  <sheetFormatPr baseColWidth="10" defaultColWidth="8.83203125" defaultRowHeight="16" x14ac:dyDescent="0.2"/>
  <cols>
    <col min="2" max="2" width="12.1640625" hidden="1" customWidth="1"/>
    <col min="3" max="3" width="31.83203125" style="966" bestFit="1" customWidth="1"/>
    <col min="4" max="4" width="15" style="965" customWidth="1"/>
    <col min="5" max="5" width="14.6640625" style="965" bestFit="1" customWidth="1"/>
    <col min="6" max="6" width="12.83203125" style="964" customWidth="1"/>
    <col min="7" max="8" width="12.83203125" style="965" customWidth="1"/>
    <col min="9" max="9" width="9.33203125" style="964" bestFit="1" customWidth="1"/>
    <col min="10" max="11" width="12.83203125" style="965" customWidth="1"/>
    <col min="12" max="12" width="9.33203125" style="964" bestFit="1" customWidth="1"/>
    <col min="13" max="13" width="10.1640625" customWidth="1"/>
    <col min="14" max="14" width="42.33203125" bestFit="1" customWidth="1"/>
    <col min="15" max="16" width="11.1640625" bestFit="1" customWidth="1"/>
    <col min="17" max="17" width="12.6640625" customWidth="1"/>
    <col min="18" max="18" width="11.1640625" bestFit="1" customWidth="1"/>
    <col min="19" max="27" width="0" hidden="1" customWidth="1"/>
  </cols>
  <sheetData>
    <row r="1" spans="2:27" ht="17" thickBot="1" x14ac:dyDescent="0.25"/>
    <row r="2" spans="2:27" ht="33" customHeight="1" x14ac:dyDescent="0.2">
      <c r="C2" s="2090" t="s">
        <v>977</v>
      </c>
      <c r="D2" s="2091"/>
      <c r="E2" s="2091"/>
      <c r="F2" s="2091"/>
      <c r="G2" s="2091"/>
      <c r="H2" s="2091"/>
      <c r="I2" s="2091"/>
      <c r="J2" s="2091"/>
      <c r="K2" s="2091"/>
      <c r="L2" s="2092"/>
    </row>
    <row r="3" spans="2:27" x14ac:dyDescent="0.2">
      <c r="C3" s="321"/>
      <c r="D3" s="963"/>
      <c r="E3" s="963"/>
      <c r="F3" s="963"/>
      <c r="G3" s="963"/>
      <c r="H3" s="963"/>
      <c r="I3" s="963"/>
      <c r="J3" s="967"/>
      <c r="K3" s="967"/>
      <c r="L3" s="986"/>
    </row>
    <row r="4" spans="2:27" ht="17" thickBot="1" x14ac:dyDescent="0.25">
      <c r="C4" s="1834"/>
      <c r="D4" s="1725" t="s">
        <v>1</v>
      </c>
      <c r="E4" s="1725" t="s">
        <v>2</v>
      </c>
      <c r="F4" s="1725" t="s">
        <v>3</v>
      </c>
      <c r="G4" s="1725" t="s">
        <v>4</v>
      </c>
      <c r="H4" s="1725" t="s">
        <v>5</v>
      </c>
      <c r="I4" s="1725" t="s">
        <v>6</v>
      </c>
      <c r="J4" s="67" t="s">
        <v>7</v>
      </c>
      <c r="K4" s="1725" t="s">
        <v>8</v>
      </c>
      <c r="L4" s="1726" t="s">
        <v>9</v>
      </c>
    </row>
    <row r="5" spans="2:27" x14ac:dyDescent="0.2">
      <c r="C5" s="985"/>
      <c r="D5" s="2438" t="s">
        <v>961</v>
      </c>
      <c r="E5" s="2438"/>
      <c r="F5" s="2438"/>
      <c r="G5" s="2438"/>
      <c r="H5" s="2438"/>
      <c r="I5" s="2438"/>
      <c r="J5" s="2451" t="s">
        <v>978</v>
      </c>
      <c r="K5" s="2452"/>
      <c r="L5" s="2453"/>
    </row>
    <row r="6" spans="2:27" x14ac:dyDescent="0.2">
      <c r="C6" s="984"/>
      <c r="D6" s="2448" t="s">
        <v>979</v>
      </c>
      <c r="E6" s="2449"/>
      <c r="F6" s="2454"/>
      <c r="G6" s="2448" t="s">
        <v>244</v>
      </c>
      <c r="H6" s="2449"/>
      <c r="I6" s="2454"/>
      <c r="J6" s="2448" t="s">
        <v>980</v>
      </c>
      <c r="K6" s="2449"/>
      <c r="L6" s="2450"/>
      <c r="M6" s="983"/>
    </row>
    <row r="7" spans="2:27" x14ac:dyDescent="0.2">
      <c r="C7" s="938"/>
      <c r="D7" s="936">
        <v>2017</v>
      </c>
      <c r="E7" s="935">
        <v>2016</v>
      </c>
      <c r="F7" s="937" t="s">
        <v>965</v>
      </c>
      <c r="G7" s="936">
        <v>2017</v>
      </c>
      <c r="H7" s="935">
        <v>2016</v>
      </c>
      <c r="I7" s="937" t="s">
        <v>965</v>
      </c>
      <c r="J7" s="936">
        <v>2017</v>
      </c>
      <c r="K7" s="935">
        <v>2016</v>
      </c>
      <c r="L7" s="934" t="s">
        <v>965</v>
      </c>
      <c r="S7" s="982">
        <v>2017</v>
      </c>
      <c r="T7">
        <v>2016</v>
      </c>
    </row>
    <row r="8" spans="2:27" x14ac:dyDescent="0.2">
      <c r="C8" s="933" t="s">
        <v>344</v>
      </c>
      <c r="D8" s="931">
        <v>2022023.8898980001</v>
      </c>
      <c r="E8" s="930">
        <v>1420512.5125050002</v>
      </c>
      <c r="F8" s="932">
        <f t="shared" ref="F8:F30" si="0">+D8/E8</f>
        <v>1.4234467293302935</v>
      </c>
      <c r="G8" s="931">
        <v>37069101</v>
      </c>
      <c r="H8" s="930">
        <v>27553900</v>
      </c>
      <c r="I8" s="932">
        <f t="shared" ref="I8:I30" si="1">+G8/H8</f>
        <v>1.3453304613865913</v>
      </c>
      <c r="J8" s="931"/>
      <c r="K8" s="930"/>
      <c r="L8" s="929"/>
      <c r="T8" s="981"/>
    </row>
    <row r="9" spans="2:27" x14ac:dyDescent="0.2">
      <c r="C9" s="933" t="s">
        <v>652</v>
      </c>
      <c r="D9" s="931">
        <v>1179985.5616639999</v>
      </c>
      <c r="E9" s="930">
        <v>867852.04630299995</v>
      </c>
      <c r="F9" s="932">
        <f t="shared" si="0"/>
        <v>1.3596621298419136</v>
      </c>
      <c r="G9" s="931">
        <v>22903463</v>
      </c>
      <c r="H9" s="930">
        <v>16377437</v>
      </c>
      <c r="I9" s="932">
        <f t="shared" si="1"/>
        <v>1.3984766358740992</v>
      </c>
      <c r="J9" s="931"/>
      <c r="K9" s="930"/>
      <c r="L9" s="929"/>
    </row>
    <row r="10" spans="2:27" x14ac:dyDescent="0.2">
      <c r="C10" s="933" t="s">
        <v>966</v>
      </c>
      <c r="D10" s="931">
        <v>203571.043317</v>
      </c>
      <c r="E10" s="930">
        <v>120847.25043</v>
      </c>
      <c r="F10" s="932">
        <f t="shared" si="0"/>
        <v>1.6845318581320743</v>
      </c>
      <c r="G10" s="931">
        <v>1069528</v>
      </c>
      <c r="H10" s="930">
        <v>482627</v>
      </c>
      <c r="I10" s="932">
        <f t="shared" si="1"/>
        <v>2.2160550487229269</v>
      </c>
      <c r="J10" s="931"/>
      <c r="K10" s="930"/>
      <c r="L10" s="929"/>
      <c r="M10" s="979"/>
      <c r="S10" s="980">
        <v>461616</v>
      </c>
      <c r="T10" s="980">
        <v>416862</v>
      </c>
    </row>
    <row r="11" spans="2:27" ht="28.5" customHeight="1" x14ac:dyDescent="0.2">
      <c r="C11" s="933" t="s">
        <v>967</v>
      </c>
      <c r="D11" s="931">
        <f>+D8-D9-D10</f>
        <v>638467.2849170001</v>
      </c>
      <c r="E11" s="1727">
        <v>431813.21577200014</v>
      </c>
      <c r="F11" s="1728">
        <f t="shared" si="0"/>
        <v>1.4785728217593843</v>
      </c>
      <c r="G11" s="931">
        <f>+G8-G9-G10</f>
        <v>13096110</v>
      </c>
      <c r="H11" s="1727">
        <f>+H8-H9-H10</f>
        <v>10693836</v>
      </c>
      <c r="I11" s="1728">
        <f t="shared" si="1"/>
        <v>1.2246409987959419</v>
      </c>
      <c r="J11" s="931">
        <f>529531+J92</f>
        <v>563866.32756899996</v>
      </c>
      <c r="K11" s="1727">
        <f>434707+K92</f>
        <v>473632.9</v>
      </c>
      <c r="L11" s="1729">
        <f t="shared" ref="L11:L42" si="2">+IFERROR(J11/K11,"")</f>
        <v>1.1905134283724799</v>
      </c>
      <c r="M11" s="979"/>
      <c r="S11">
        <f>+S10*1.2+J92</f>
        <v>588274.52756899991</v>
      </c>
      <c r="T11">
        <f>+T10*1.2+K92</f>
        <v>539160.29999999993</v>
      </c>
    </row>
    <row r="12" spans="2:27" ht="28.5" customHeight="1" x14ac:dyDescent="0.2">
      <c r="C12" s="1730" t="s">
        <v>115</v>
      </c>
      <c r="D12" s="1731">
        <f>SUM(D13:D47)</f>
        <v>299624.66103200003</v>
      </c>
      <c r="E12" s="969">
        <f>SUM(E13:E47)</f>
        <v>200141.28033100005</v>
      </c>
      <c r="F12" s="978">
        <f t="shared" si="0"/>
        <v>1.4970657754186003</v>
      </c>
      <c r="G12" s="1731">
        <f>SUM(G13:G47)</f>
        <v>29709952</v>
      </c>
      <c r="H12" s="969">
        <f>SUM(H13:H47)</f>
        <v>22111436</v>
      </c>
      <c r="I12" s="978">
        <f t="shared" si="1"/>
        <v>1.343646428029369</v>
      </c>
      <c r="J12" s="1731">
        <f>SUM(J13:J47)</f>
        <v>366486</v>
      </c>
      <c r="K12" s="969">
        <f>SUM(K13:K47)</f>
        <v>306725</v>
      </c>
      <c r="L12" s="977">
        <f t="shared" si="2"/>
        <v>1.1948357649360175</v>
      </c>
      <c r="M12" s="976"/>
    </row>
    <row r="13" spans="2:27" x14ac:dyDescent="0.2">
      <c r="B13" s="145" t="s">
        <v>809</v>
      </c>
      <c r="C13" s="933" t="s">
        <v>29</v>
      </c>
      <c r="D13" s="931">
        <v>14812.275371</v>
      </c>
      <c r="E13" s="930">
        <f>+IFERROR(VLOOKUP(B13,'US CBCR 2016'!$A$1:$B$210,2,0)/1000000,"")</f>
        <v>2494.83</v>
      </c>
      <c r="F13" s="932">
        <f t="shared" si="0"/>
        <v>5.93718825370867</v>
      </c>
      <c r="G13" s="931">
        <v>271545</v>
      </c>
      <c r="H13" s="930">
        <f>+IFERROR(VLOOKUP(B13,'US CBCR 2016'!$A$442:$B$587,2,0),"")</f>
        <v>243078</v>
      </c>
      <c r="I13" s="932">
        <f t="shared" si="1"/>
        <v>1.1171105571051267</v>
      </c>
      <c r="J13" s="931">
        <v>7755</v>
      </c>
      <c r="K13" s="930">
        <v>3471</v>
      </c>
      <c r="L13" s="929">
        <f t="shared" si="2"/>
        <v>2.2342264477095939</v>
      </c>
    </row>
    <row r="14" spans="2:27" x14ac:dyDescent="0.2">
      <c r="B14" s="145" t="s">
        <v>810</v>
      </c>
      <c r="C14" s="933" t="s">
        <v>30</v>
      </c>
      <c r="D14" s="931">
        <v>290.751014</v>
      </c>
      <c r="E14" s="930">
        <f>+IFERROR(VLOOKUP(B14,'US CBCR 2016'!$A$1:$B$210,2,0)/1000000,"")</f>
        <v>685.154</v>
      </c>
      <c r="F14" s="932">
        <f t="shared" si="0"/>
        <v>0.42435863178205191</v>
      </c>
      <c r="G14" s="931">
        <v>28885</v>
      </c>
      <c r="H14" s="930">
        <f>+IFERROR(VLOOKUP(B14,'US CBCR 2016'!$A$442:$B$587,2,0),"")</f>
        <v>26312</v>
      </c>
      <c r="I14" s="932">
        <f t="shared" si="1"/>
        <v>1.0977880814837337</v>
      </c>
      <c r="J14" s="931">
        <v>1616</v>
      </c>
      <c r="K14" s="930">
        <v>1227</v>
      </c>
      <c r="L14" s="929">
        <f t="shared" si="2"/>
        <v>1.3170334148329259</v>
      </c>
    </row>
    <row r="15" spans="2:27" x14ac:dyDescent="0.2">
      <c r="B15" s="145" t="s">
        <v>811</v>
      </c>
      <c r="C15" s="933" t="s">
        <v>31</v>
      </c>
      <c r="D15" s="931">
        <v>5872.3124979999993</v>
      </c>
      <c r="E15" s="930">
        <f>+IFERROR(VLOOKUP(B15,'US CBCR 2016'!$A$1:$B$210,2,0)/1000000,"")</f>
        <v>6445.82</v>
      </c>
      <c r="F15" s="932">
        <f t="shared" si="0"/>
        <v>0.91102644783751319</v>
      </c>
      <c r="G15" s="931">
        <v>106179</v>
      </c>
      <c r="H15" s="930">
        <f>+IFERROR(VLOOKUP(B15,'US CBCR 2016'!$A$442:$B$587,2,0),"")</f>
        <v>90847</v>
      </c>
      <c r="I15" s="932">
        <f t="shared" si="1"/>
        <v>1.1687672680440742</v>
      </c>
      <c r="J15" s="931">
        <v>8622</v>
      </c>
      <c r="K15" s="930">
        <v>7544</v>
      </c>
      <c r="L15" s="929">
        <f t="shared" si="2"/>
        <v>1.1428950159066809</v>
      </c>
      <c r="S15" s="975"/>
      <c r="T15" s="975"/>
      <c r="U15" s="975"/>
      <c r="V15" s="975"/>
      <c r="Y15" s="975">
        <f>+L15</f>
        <v>1.1428950159066809</v>
      </c>
      <c r="Z15" s="975" t="str">
        <f>+'Table G2'!B8</f>
        <v>Belgium</v>
      </c>
      <c r="AA15" s="975">
        <f>+'Table G2'!C8</f>
        <v>5872.3124979999993</v>
      </c>
    </row>
    <row r="16" spans="2:27" x14ac:dyDescent="0.2">
      <c r="B16" s="145" t="s">
        <v>812</v>
      </c>
      <c r="C16" s="933" t="s">
        <v>32</v>
      </c>
      <c r="D16" s="931">
        <v>31651.886254999998</v>
      </c>
      <c r="E16" s="930">
        <f>+IFERROR(VLOOKUP(B16,'US CBCR 2016'!$A$1:$B$210,2,0)/1000000,"")</f>
        <v>17595</v>
      </c>
      <c r="F16" s="932">
        <f t="shared" si="0"/>
        <v>1.7989136831486217</v>
      </c>
      <c r="G16" s="931">
        <v>979512</v>
      </c>
      <c r="H16" s="930">
        <f>+IFERROR(VLOOKUP(B16,'US CBCR 2016'!$A$442:$B$587,2,0),"")</f>
        <v>761499</v>
      </c>
      <c r="I16" s="932">
        <f t="shared" si="1"/>
        <v>1.2862945322318218</v>
      </c>
      <c r="J16" s="931">
        <v>32713</v>
      </c>
      <c r="K16" s="930">
        <v>22950</v>
      </c>
      <c r="L16" s="929">
        <f t="shared" si="2"/>
        <v>1.4254030501089325</v>
      </c>
      <c r="Y16">
        <f>+L27</f>
        <v>1.0951360673085717</v>
      </c>
      <c r="Z16">
        <f>+N27</f>
        <v>0</v>
      </c>
      <c r="AA16">
        <f>+O27</f>
        <v>0</v>
      </c>
    </row>
    <row r="17" spans="2:27" x14ac:dyDescent="0.2">
      <c r="B17" s="145" t="s">
        <v>813</v>
      </c>
      <c r="C17" s="933" t="s">
        <v>33</v>
      </c>
      <c r="D17" s="931">
        <v>3447.6660929999998</v>
      </c>
      <c r="E17" s="930">
        <f>+IFERROR(VLOOKUP(B17,'US CBCR 2016'!$A$1:$B$210,2,0)/1000000,"")</f>
        <v>4252.5600000000004</v>
      </c>
      <c r="F17" s="932">
        <f t="shared" si="0"/>
        <v>0.81072720737626269</v>
      </c>
      <c r="G17" s="931">
        <v>125948</v>
      </c>
      <c r="H17" s="930">
        <f>+IFERROR(VLOOKUP(B17,'US CBCR 2016'!$A$442:$B$587,2,0),"")</f>
        <v>112241</v>
      </c>
      <c r="I17" s="932">
        <f t="shared" si="1"/>
        <v>1.1221211500253918</v>
      </c>
      <c r="J17" s="931">
        <v>3170</v>
      </c>
      <c r="K17" s="930">
        <v>2705</v>
      </c>
      <c r="L17" s="929">
        <f t="shared" si="2"/>
        <v>1.1719038817005545</v>
      </c>
      <c r="Y17">
        <f>+L33</f>
        <v>19.399999999999999</v>
      </c>
      <c r="Z17">
        <f>+N33</f>
        <v>0</v>
      </c>
      <c r="AA17">
        <f>+O33</f>
        <v>0</v>
      </c>
    </row>
    <row r="18" spans="2:27" x14ac:dyDescent="0.2">
      <c r="B18" s="145" t="s">
        <v>814</v>
      </c>
      <c r="C18" s="933" t="s">
        <v>34</v>
      </c>
      <c r="D18" s="931">
        <v>1229.291551</v>
      </c>
      <c r="E18" s="930">
        <f>+IFERROR(VLOOKUP(B18,'US CBCR 2016'!$A$1:$B$210,2,0)/1000000,"")</f>
        <v>942.54700000000003</v>
      </c>
      <c r="F18" s="932">
        <f t="shared" si="0"/>
        <v>1.3042230795917868</v>
      </c>
      <c r="G18" s="931">
        <v>98790</v>
      </c>
      <c r="H18" s="930">
        <f>+IFERROR(VLOOKUP(B18,'US CBCR 2016'!$A$442:$B$587,2,0),"")</f>
        <v>77576</v>
      </c>
      <c r="I18" s="932">
        <f t="shared" si="1"/>
        <v>1.2734608641847993</v>
      </c>
      <c r="J18" s="931">
        <v>1031</v>
      </c>
      <c r="K18" s="930">
        <v>865</v>
      </c>
      <c r="L18" s="929">
        <f t="shared" si="2"/>
        <v>1.1919075144508671</v>
      </c>
      <c r="Y18">
        <f>+L35</f>
        <v>1.2163010851997229</v>
      </c>
      <c r="Z18">
        <f>+N35</f>
        <v>0</v>
      </c>
      <c r="AA18">
        <f>+O35</f>
        <v>0</v>
      </c>
    </row>
    <row r="19" spans="2:27" x14ac:dyDescent="0.2">
      <c r="B19" s="145" t="s">
        <v>815</v>
      </c>
      <c r="C19" s="933" t="s">
        <v>35</v>
      </c>
      <c r="D19" s="931">
        <v>1036.7956830000001</v>
      </c>
      <c r="E19" s="930">
        <f>+IFERROR(VLOOKUP(B19,'US CBCR 2016'!$A$1:$B$210,2,0)/1000000,"")</f>
        <v>980.30499999999995</v>
      </c>
      <c r="F19" s="932">
        <f t="shared" si="0"/>
        <v>1.0576256195775806</v>
      </c>
      <c r="G19" s="931">
        <v>32279.000000000004</v>
      </c>
      <c r="H19" s="930">
        <f>+IFERROR(VLOOKUP(B19,'US CBCR 2016'!$A$442:$B$587,2,0),"")</f>
        <v>29025</v>
      </c>
      <c r="I19" s="932">
        <f t="shared" si="1"/>
        <v>1.1121102497846684</v>
      </c>
      <c r="J19" s="931">
        <v>452</v>
      </c>
      <c r="K19" s="930">
        <v>597</v>
      </c>
      <c r="L19" s="929">
        <f t="shared" si="2"/>
        <v>0.75711892797319935</v>
      </c>
      <c r="Y19">
        <f>+L44</f>
        <v>0.93395557944633123</v>
      </c>
      <c r="Z19">
        <f>+N44</f>
        <v>0</v>
      </c>
      <c r="AA19">
        <f>+O44</f>
        <v>0</v>
      </c>
    </row>
    <row r="20" spans="2:27" x14ac:dyDescent="0.2">
      <c r="B20" s="145" t="s">
        <v>816</v>
      </c>
      <c r="C20" s="933" t="s">
        <v>36</v>
      </c>
      <c r="D20" s="931">
        <v>38.911203999999998</v>
      </c>
      <c r="E20" s="930">
        <f>+IFERROR(VLOOKUP(B20,'US CBCR 2016'!$A$1:$B$210,2,0)/1000000,"")</f>
        <v>52.655330999999997</v>
      </c>
      <c r="F20" s="932">
        <f t="shared" si="0"/>
        <v>0.73897938273334562</v>
      </c>
      <c r="G20" s="931">
        <v>4660</v>
      </c>
      <c r="H20" s="930">
        <f>+IFERROR(VLOOKUP(B20,'US CBCR 2016'!$A$442:$B$587,2,0),"")</f>
        <v>3648</v>
      </c>
      <c r="I20" s="932">
        <f t="shared" si="1"/>
        <v>1.2774122807017543</v>
      </c>
      <c r="J20" s="931" t="s">
        <v>262</v>
      </c>
      <c r="K20" s="930" t="s">
        <v>262</v>
      </c>
      <c r="L20" s="929" t="str">
        <f t="shared" si="2"/>
        <v/>
      </c>
    </row>
    <row r="21" spans="2:27" x14ac:dyDescent="0.2">
      <c r="B21" s="145" t="s">
        <v>817</v>
      </c>
      <c r="C21" s="933" t="s">
        <v>37</v>
      </c>
      <c r="D21" s="931">
        <v>594.465867</v>
      </c>
      <c r="E21" s="930">
        <f>+IFERROR(VLOOKUP(B21,'US CBCR 2016'!$A$1:$B$210,2,0)/1000000,"")</f>
        <v>851.29100000000005</v>
      </c>
      <c r="F21" s="932">
        <f t="shared" si="0"/>
        <v>0.6983109970621092</v>
      </c>
      <c r="G21" s="931">
        <v>20605</v>
      </c>
      <c r="H21" s="930">
        <f>+IFERROR(VLOOKUP(B21,'US CBCR 2016'!$A$442:$B$587,2,0),"")</f>
        <v>18452</v>
      </c>
      <c r="I21" s="932">
        <f t="shared" si="1"/>
        <v>1.116681118577932</v>
      </c>
      <c r="J21" s="931">
        <v>761</v>
      </c>
      <c r="K21" s="930">
        <v>-1016</v>
      </c>
      <c r="L21" s="929">
        <f t="shared" si="2"/>
        <v>-0.74901574803149606</v>
      </c>
    </row>
    <row r="22" spans="2:27" x14ac:dyDescent="0.2">
      <c r="B22" s="145" t="s">
        <v>818</v>
      </c>
      <c r="C22" s="933" t="s">
        <v>38</v>
      </c>
      <c r="D22" s="931">
        <v>4851.349921</v>
      </c>
      <c r="E22" s="930">
        <f>+IFERROR(VLOOKUP(B22,'US CBCR 2016'!$A$1:$B$210,2,0)/1000000,"")</f>
        <v>4795.8999999999996</v>
      </c>
      <c r="F22" s="932">
        <f t="shared" si="0"/>
        <v>1.0115619427010571</v>
      </c>
      <c r="G22" s="931">
        <v>377747</v>
      </c>
      <c r="H22" s="930">
        <f>+IFERROR(VLOOKUP(B22,'US CBCR 2016'!$A$442:$B$587,2,0),"")</f>
        <v>309741</v>
      </c>
      <c r="I22" s="932">
        <f t="shared" si="1"/>
        <v>1.2195576304073403</v>
      </c>
      <c r="J22" s="931">
        <v>5875</v>
      </c>
      <c r="K22" s="930">
        <v>6072</v>
      </c>
      <c r="L22" s="929">
        <f t="shared" si="2"/>
        <v>0.96755599472990772</v>
      </c>
    </row>
    <row r="23" spans="2:27" x14ac:dyDescent="0.2">
      <c r="B23" s="145" t="s">
        <v>819</v>
      </c>
      <c r="C23" s="933" t="s">
        <v>39</v>
      </c>
      <c r="D23" s="931">
        <v>6815.2045900000003</v>
      </c>
      <c r="E23" s="930">
        <f>+IFERROR(VLOOKUP(B23,'US CBCR 2016'!$A$1:$B$210,2,0)/1000000,"")</f>
        <v>11109.5</v>
      </c>
      <c r="F23" s="932">
        <f t="shared" si="0"/>
        <v>0.6134573644178406</v>
      </c>
      <c r="G23" s="931">
        <v>563009</v>
      </c>
      <c r="H23" s="930">
        <f>+IFERROR(VLOOKUP(B23,'US CBCR 2016'!$A$442:$B$587,2,0),"")</f>
        <v>500806</v>
      </c>
      <c r="I23" s="932">
        <f t="shared" si="1"/>
        <v>1.1242057802821852</v>
      </c>
      <c r="J23" s="931">
        <v>11148</v>
      </c>
      <c r="K23" s="930">
        <v>9295</v>
      </c>
      <c r="L23" s="929">
        <f t="shared" si="2"/>
        <v>1.1993544916621839</v>
      </c>
    </row>
    <row r="24" spans="2:27" x14ac:dyDescent="0.2">
      <c r="B24" s="145" t="s">
        <v>820</v>
      </c>
      <c r="C24" s="933" t="s">
        <v>40</v>
      </c>
      <c r="D24" s="931">
        <v>501.41703999999999</v>
      </c>
      <c r="E24" s="930">
        <f>+IFERROR(VLOOKUP(B24,'US CBCR 2016'!$A$1:$B$210,2,0)/1000000,"")</f>
        <v>276.19</v>
      </c>
      <c r="F24" s="932">
        <f t="shared" si="0"/>
        <v>1.8154786197907238</v>
      </c>
      <c r="G24" s="931">
        <v>14937</v>
      </c>
      <c r="H24" s="930">
        <f>+IFERROR(VLOOKUP(B24,'US CBCR 2016'!$A$442:$B$587,2,0),"")</f>
        <v>13130</v>
      </c>
      <c r="I24" s="932">
        <f t="shared" si="1"/>
        <v>1.1376237623762375</v>
      </c>
      <c r="J24" s="931">
        <v>513</v>
      </c>
      <c r="K24" s="930">
        <v>116</v>
      </c>
      <c r="L24" s="929">
        <f t="shared" si="2"/>
        <v>4.4224137931034484</v>
      </c>
    </row>
    <row r="25" spans="2:27" x14ac:dyDescent="0.2">
      <c r="B25" s="145" t="s">
        <v>821</v>
      </c>
      <c r="C25" s="933" t="s">
        <v>41</v>
      </c>
      <c r="D25" s="931">
        <v>3179.8901809999998</v>
      </c>
      <c r="E25" s="930">
        <f>+IFERROR(VLOOKUP(B25,'US CBCR 2016'!$A$1:$B$210,2,0)/1000000,"")</f>
        <v>6030.49</v>
      </c>
      <c r="F25" s="932">
        <f t="shared" si="0"/>
        <v>0.5273021232105517</v>
      </c>
      <c r="G25" s="931">
        <v>78054</v>
      </c>
      <c r="H25" s="930">
        <f>+IFERROR(VLOOKUP(B25,'US CBCR 2016'!$A$442:$B$587,2,0),"")</f>
        <v>70413</v>
      </c>
      <c r="I25" s="932">
        <f t="shared" si="1"/>
        <v>1.1085168931873375</v>
      </c>
      <c r="J25" s="931">
        <v>1676</v>
      </c>
      <c r="K25" s="930">
        <v>1239</v>
      </c>
      <c r="L25" s="929">
        <f t="shared" si="2"/>
        <v>1.3527037933817594</v>
      </c>
    </row>
    <row r="26" spans="2:27" x14ac:dyDescent="0.2">
      <c r="B26" s="145" t="s">
        <v>822</v>
      </c>
      <c r="C26" s="933" t="s">
        <v>42</v>
      </c>
      <c r="D26" s="931">
        <v>26.396639</v>
      </c>
      <c r="E26" s="930">
        <f>+IFERROR(VLOOKUP(B26,'US CBCR 2016'!$A$1:$B$210,2,0)/1000000,"")</f>
        <v>-291.95800000000003</v>
      </c>
      <c r="F26" s="932">
        <f t="shared" si="0"/>
        <v>-9.0412453161071105E-2</v>
      </c>
      <c r="G26" s="931">
        <v>1353</v>
      </c>
      <c r="H26" s="930">
        <f>+IFERROR(VLOOKUP(B26,'US CBCR 2016'!$A$442:$B$587,2,0),"")</f>
        <v>1944</v>
      </c>
      <c r="I26" s="932">
        <f t="shared" si="1"/>
        <v>0.69598765432098764</v>
      </c>
      <c r="J26" s="931" t="s">
        <v>262</v>
      </c>
      <c r="K26" s="930" t="s">
        <v>262</v>
      </c>
      <c r="L26" s="929" t="str">
        <f t="shared" si="2"/>
        <v/>
      </c>
    </row>
    <row r="27" spans="2:27" x14ac:dyDescent="0.2">
      <c r="B27" s="145" t="s">
        <v>823</v>
      </c>
      <c r="C27" s="933" t="s">
        <v>43</v>
      </c>
      <c r="D27" s="931">
        <v>29478.218004000002</v>
      </c>
      <c r="E27" s="930">
        <f>+IFERROR(VLOOKUP(B27,'US CBCR 2016'!$A$1:$B$210,2,0)/1000000,"")</f>
        <v>31390.5</v>
      </c>
      <c r="F27" s="932">
        <f t="shared" si="0"/>
        <v>0.93908086854303063</v>
      </c>
      <c r="G27" s="931">
        <v>147860</v>
      </c>
      <c r="H27" s="930">
        <f>+IFERROR(VLOOKUP(B27,'US CBCR 2016'!$A$442:$B$587,2,0),"")</f>
        <v>108127</v>
      </c>
      <c r="I27" s="932">
        <f t="shared" si="1"/>
        <v>1.3674660353103296</v>
      </c>
      <c r="J27" s="931">
        <v>83825</v>
      </c>
      <c r="K27" s="930">
        <v>76543</v>
      </c>
      <c r="L27" s="929">
        <f t="shared" si="2"/>
        <v>1.0951360673085717</v>
      </c>
    </row>
    <row r="28" spans="2:27" x14ac:dyDescent="0.2">
      <c r="B28" s="145" t="s">
        <v>824</v>
      </c>
      <c r="C28" s="933" t="s">
        <v>44</v>
      </c>
      <c r="D28" s="931">
        <v>3445.855626</v>
      </c>
      <c r="E28" s="930">
        <f>+IFERROR(VLOOKUP(B28,'US CBCR 2016'!$A$1:$B$210,2,0)/1000000,"")</f>
        <v>2482.0100000000002</v>
      </c>
      <c r="F28" s="932">
        <f t="shared" si="0"/>
        <v>1.3883326924549053</v>
      </c>
      <c r="G28" s="931">
        <v>59362</v>
      </c>
      <c r="H28" s="930">
        <f>+IFERROR(VLOOKUP(B28,'US CBCR 2016'!$A$442:$B$587,2,0),"")</f>
        <v>43835</v>
      </c>
      <c r="I28" s="932">
        <f t="shared" si="1"/>
        <v>1.3542146686437777</v>
      </c>
      <c r="J28" s="931">
        <v>2642</v>
      </c>
      <c r="K28" s="930">
        <v>2372</v>
      </c>
      <c r="L28" s="929">
        <f t="shared" si="2"/>
        <v>1.1138279932546373</v>
      </c>
    </row>
    <row r="29" spans="2:27" x14ac:dyDescent="0.2">
      <c r="B29" s="145" t="s">
        <v>825</v>
      </c>
      <c r="C29" s="933" t="s">
        <v>45</v>
      </c>
      <c r="D29" s="931">
        <v>7146.3542630000002</v>
      </c>
      <c r="E29" s="930">
        <f>+IFERROR(VLOOKUP(B29,'US CBCR 2016'!$A$1:$B$210,2,0)/1000000,"")</f>
        <v>3399.82</v>
      </c>
      <c r="F29" s="932">
        <f t="shared" si="0"/>
        <v>2.1019801821861157</v>
      </c>
      <c r="G29" s="931">
        <v>182394</v>
      </c>
      <c r="H29" s="930">
        <f>+IFERROR(VLOOKUP(B29,'US CBCR 2016'!$A$442:$B$587,2,0),"")</f>
        <v>157598</v>
      </c>
      <c r="I29" s="932">
        <f t="shared" si="1"/>
        <v>1.1573370220434269</v>
      </c>
      <c r="J29" s="931">
        <v>5433</v>
      </c>
      <c r="K29" s="930">
        <v>3787</v>
      </c>
      <c r="L29" s="929">
        <f t="shared" si="2"/>
        <v>1.4346448376023238</v>
      </c>
    </row>
    <row r="30" spans="2:27" x14ac:dyDescent="0.2">
      <c r="B30" s="145" t="s">
        <v>826</v>
      </c>
      <c r="C30" s="933" t="s">
        <v>46</v>
      </c>
      <c r="D30" s="931">
        <v>24933.215374000003</v>
      </c>
      <c r="E30" s="930">
        <f>+IFERROR(VLOOKUP(B30,'US CBCR 2016'!$A$1:$B$210,2,0)/1000000,"")</f>
        <v>25952.400000000001</v>
      </c>
      <c r="F30" s="932">
        <f t="shared" si="0"/>
        <v>0.96072869461013244</v>
      </c>
      <c r="G30" s="931">
        <v>390536</v>
      </c>
      <c r="H30" s="930">
        <f>+IFERROR(VLOOKUP(B30,'US CBCR 2016'!$A$442:$B$587,2,0),"")</f>
        <v>310802</v>
      </c>
      <c r="I30" s="932">
        <f t="shared" si="1"/>
        <v>1.2565427506901501</v>
      </c>
      <c r="J30" s="931">
        <v>22156</v>
      </c>
      <c r="K30" s="930">
        <v>21489</v>
      </c>
      <c r="L30" s="929">
        <f t="shared" si="2"/>
        <v>1.0310391363022942</v>
      </c>
    </row>
    <row r="31" spans="2:27" x14ac:dyDescent="0.2">
      <c r="B31" s="145" t="s">
        <v>827</v>
      </c>
      <c r="C31" s="933" t="s">
        <v>47</v>
      </c>
      <c r="D31" s="931"/>
      <c r="E31" s="930">
        <f>+IFERROR(VLOOKUP(B31,'US CBCR 2016'!$A$1:$B$210,2,0)/1000000,"")</f>
        <v>4403.7700000000004</v>
      </c>
      <c r="F31" s="932"/>
      <c r="G31" s="931" t="s">
        <v>262</v>
      </c>
      <c r="H31" s="930">
        <f>+IFERROR(VLOOKUP(B31,'US CBCR 2016'!$A$442:$B$587,2,0),"")</f>
        <v>111232</v>
      </c>
      <c r="I31" s="932"/>
      <c r="J31" s="931" t="s">
        <v>262</v>
      </c>
      <c r="K31" s="930" t="s">
        <v>262</v>
      </c>
      <c r="L31" s="929" t="str">
        <f t="shared" si="2"/>
        <v/>
      </c>
    </row>
    <row r="32" spans="2:27" x14ac:dyDescent="0.2">
      <c r="B32" s="145" t="s">
        <v>828</v>
      </c>
      <c r="C32" s="933" t="s">
        <v>48</v>
      </c>
      <c r="D32" s="931">
        <v>30.570689999999999</v>
      </c>
      <c r="E32" s="930">
        <f>+IFERROR(VLOOKUP(B32,'US CBCR 2016'!$A$1:$B$210,2,0)/1000000,"")</f>
        <v>60.399870999999997</v>
      </c>
      <c r="F32" s="932">
        <f t="shared" ref="F32:F46" si="3">+D32/E32</f>
        <v>0.50613833264643893</v>
      </c>
      <c r="G32" s="931">
        <v>2146</v>
      </c>
      <c r="H32" s="930">
        <f>+IFERROR(VLOOKUP(B32,'US CBCR 2016'!$A$442:$B$587,2,0),"")</f>
        <v>1314</v>
      </c>
      <c r="I32" s="932">
        <f t="shared" ref="I32:I39" si="4">+G32/H32</f>
        <v>1.6331811263318112</v>
      </c>
      <c r="J32" s="931" t="s">
        <v>262</v>
      </c>
      <c r="K32" s="930" t="s">
        <v>262</v>
      </c>
      <c r="L32" s="929" t="str">
        <f t="shared" si="2"/>
        <v/>
      </c>
    </row>
    <row r="33" spans="2:12" x14ac:dyDescent="0.2">
      <c r="B33" s="145" t="s">
        <v>829</v>
      </c>
      <c r="C33" s="933" t="s">
        <v>49</v>
      </c>
      <c r="D33" s="931">
        <v>24865.511556000001</v>
      </c>
      <c r="E33" s="930">
        <f>+IFERROR(VLOOKUP(B33,'US CBCR 2016'!$A$1:$B$210,2,0)/1000000,"")</f>
        <v>-2139.73</v>
      </c>
      <c r="F33" s="932">
        <f t="shared" si="3"/>
        <v>-11.620864107153707</v>
      </c>
      <c r="G33" s="931">
        <v>12553</v>
      </c>
      <c r="H33" s="930">
        <f>+IFERROR(VLOOKUP(B33,'US CBCR 2016'!$A$442:$B$587,2,0),"")</f>
        <v>11361</v>
      </c>
      <c r="I33" s="932">
        <f t="shared" si="4"/>
        <v>1.1049203415192324</v>
      </c>
      <c r="J33" s="931">
        <v>5917</v>
      </c>
      <c r="K33" s="930">
        <v>305</v>
      </c>
      <c r="L33" s="929">
        <f t="shared" si="2"/>
        <v>19.399999999999999</v>
      </c>
    </row>
    <row r="34" spans="2:12" x14ac:dyDescent="0.2">
      <c r="B34" s="145" t="s">
        <v>830</v>
      </c>
      <c r="C34" s="933" t="s">
        <v>50</v>
      </c>
      <c r="D34" s="931">
        <v>15605.119307999999</v>
      </c>
      <c r="E34" s="930">
        <f>+IFERROR(VLOOKUP(B34,'US CBCR 2016'!$A$1:$B$210,2,0)/1000000,"")</f>
        <v>9844.0300000000007</v>
      </c>
      <c r="F34" s="932">
        <f t="shared" si="3"/>
        <v>1.5852368702655313</v>
      </c>
      <c r="G34" s="931">
        <v>1226718</v>
      </c>
      <c r="H34" s="930">
        <f>+IFERROR(VLOOKUP(B34,'US CBCR 2016'!$A$442:$B$587,2,0),"")</f>
        <v>975451</v>
      </c>
      <c r="I34" s="932">
        <f t="shared" si="4"/>
        <v>1.2575905914289902</v>
      </c>
      <c r="J34" s="931">
        <v>20338</v>
      </c>
      <c r="K34" s="930">
        <v>16508</v>
      </c>
      <c r="L34" s="929">
        <f t="shared" si="2"/>
        <v>1.2320087230433729</v>
      </c>
    </row>
    <row r="35" spans="2:12" x14ac:dyDescent="0.2">
      <c r="B35" s="145" t="s">
        <v>831</v>
      </c>
      <c r="C35" s="933" t="s">
        <v>51</v>
      </c>
      <c r="D35" s="931">
        <v>40010.225659999996</v>
      </c>
      <c r="E35" s="930">
        <f>+IFERROR(VLOOKUP(B35,'US CBCR 2016'!$A$1:$B$210,2,0)/1000000,"")</f>
        <v>37642.6</v>
      </c>
      <c r="F35" s="932">
        <f t="shared" si="3"/>
        <v>1.0628975060171189</v>
      </c>
      <c r="G35" s="931">
        <v>159393</v>
      </c>
      <c r="H35" s="930">
        <f>+IFERROR(VLOOKUP(B35,'US CBCR 2016'!$A$442:$B$587,2,0),"")</f>
        <v>135788</v>
      </c>
      <c r="I35" s="932">
        <f t="shared" si="4"/>
        <v>1.1738371579226441</v>
      </c>
      <c r="J35" s="931">
        <v>52678</v>
      </c>
      <c r="K35" s="930">
        <v>43310</v>
      </c>
      <c r="L35" s="929">
        <f t="shared" si="2"/>
        <v>1.2163010851997229</v>
      </c>
    </row>
    <row r="36" spans="2:12" x14ac:dyDescent="0.2">
      <c r="B36" s="145" t="s">
        <v>832</v>
      </c>
      <c r="C36" s="933" t="s">
        <v>52</v>
      </c>
      <c r="D36" s="931">
        <v>1412.7834010000001</v>
      </c>
      <c r="E36" s="930">
        <f>+IFERROR(VLOOKUP(B36,'US CBCR 2016'!$A$1:$B$210,2,0)/1000000,"")</f>
        <v>910.87400000000002</v>
      </c>
      <c r="F36" s="932">
        <f t="shared" si="3"/>
        <v>1.5510195713128272</v>
      </c>
      <c r="G36" s="931">
        <v>28780</v>
      </c>
      <c r="H36" s="930">
        <f>+IFERROR(VLOOKUP(B36,'US CBCR 2016'!$A$442:$B$587,2,0),"")</f>
        <v>26473</v>
      </c>
      <c r="I36" s="932">
        <f t="shared" si="4"/>
        <v>1.0871453934197106</v>
      </c>
      <c r="J36" s="931">
        <v>1185</v>
      </c>
      <c r="K36" s="930">
        <v>1094</v>
      </c>
      <c r="L36" s="929">
        <f t="shared" si="2"/>
        <v>1.083180987202925</v>
      </c>
    </row>
    <row r="37" spans="2:12" x14ac:dyDescent="0.2">
      <c r="B37" s="145" t="s">
        <v>833</v>
      </c>
      <c r="C37" s="933" t="s">
        <v>53</v>
      </c>
      <c r="D37" s="931">
        <v>1282.795734</v>
      </c>
      <c r="E37" s="930">
        <f>+IFERROR(VLOOKUP(B37,'US CBCR 2016'!$A$1:$B$210,2,0)/1000000,"")</f>
        <v>1082.3800000000001</v>
      </c>
      <c r="F37" s="932">
        <f t="shared" si="3"/>
        <v>1.1851620817088269</v>
      </c>
      <c r="G37" s="931">
        <v>32308</v>
      </c>
      <c r="H37" s="930">
        <f>+IFERROR(VLOOKUP(B37,'US CBCR 2016'!$A$442:$B$587,2,0),"")</f>
        <v>32668</v>
      </c>
      <c r="I37" s="932">
        <f t="shared" si="4"/>
        <v>0.98898004163095388</v>
      </c>
      <c r="J37" s="931">
        <v>4640</v>
      </c>
      <c r="K37" s="930">
        <v>3322</v>
      </c>
      <c r="L37" s="929">
        <f t="shared" si="2"/>
        <v>1.3967489464178207</v>
      </c>
    </row>
    <row r="38" spans="2:12" x14ac:dyDescent="0.2">
      <c r="B38" s="145" t="s">
        <v>834</v>
      </c>
      <c r="C38" s="933" t="s">
        <v>54</v>
      </c>
      <c r="D38" s="931">
        <v>3031.6982799999996</v>
      </c>
      <c r="E38" s="930">
        <f>+IFERROR(VLOOKUP(B38,'US CBCR 2016'!$A$1:$B$210,2,0)/1000000,"")</f>
        <v>1974.05</v>
      </c>
      <c r="F38" s="932">
        <f t="shared" si="3"/>
        <v>1.535775831412578</v>
      </c>
      <c r="G38" s="931">
        <v>237897</v>
      </c>
      <c r="H38" s="930">
        <f>+IFERROR(VLOOKUP(B38,'US CBCR 2016'!$A$442:$B$587,2,0),"")</f>
        <v>187607</v>
      </c>
      <c r="I38" s="932">
        <f t="shared" si="4"/>
        <v>1.2680603602211005</v>
      </c>
      <c r="J38" s="931">
        <v>2176</v>
      </c>
      <c r="K38" s="930">
        <v>2582</v>
      </c>
      <c r="L38" s="929">
        <f t="shared" si="2"/>
        <v>0.84275755228505034</v>
      </c>
    </row>
    <row r="39" spans="2:12" x14ac:dyDescent="0.2">
      <c r="B39" s="145" t="s">
        <v>835</v>
      </c>
      <c r="C39" s="933" t="s">
        <v>55</v>
      </c>
      <c r="D39" s="931">
        <v>598.04053199999998</v>
      </c>
      <c r="E39" s="930">
        <f>+IFERROR(VLOOKUP(B39,'US CBCR 2016'!$A$1:$B$210,2,0)/1000000,"")</f>
        <v>281.51400000000001</v>
      </c>
      <c r="F39" s="932">
        <f t="shared" si="3"/>
        <v>2.1243722585732856</v>
      </c>
      <c r="G39" s="931">
        <v>38955</v>
      </c>
      <c r="H39" s="930">
        <f>+IFERROR(VLOOKUP(B39,'US CBCR 2016'!$A$442:$B$587,2,0),"")</f>
        <v>35089</v>
      </c>
      <c r="I39" s="932">
        <f t="shared" si="4"/>
        <v>1.1101769785402833</v>
      </c>
      <c r="J39" s="931">
        <v>414</v>
      </c>
      <c r="K39" s="930">
        <v>427</v>
      </c>
      <c r="L39" s="929">
        <f t="shared" si="2"/>
        <v>0.96955503512880559</v>
      </c>
    </row>
    <row r="40" spans="2:12" x14ac:dyDescent="0.2">
      <c r="B40" s="145" t="s">
        <v>836</v>
      </c>
      <c r="C40" s="933" t="s">
        <v>336</v>
      </c>
      <c r="D40" s="931"/>
      <c r="E40" s="930">
        <f>+IFERROR(VLOOKUP(B40,'US CBCR 2016'!$A$1:$B$210,2,0)/1000000,"")</f>
        <v>415.24400000000003</v>
      </c>
      <c r="F40" s="932">
        <f t="shared" si="3"/>
        <v>0</v>
      </c>
      <c r="G40" s="931" t="s">
        <v>262</v>
      </c>
      <c r="H40" s="930">
        <f>+IFERROR(VLOOKUP(B40,'US CBCR 2016'!$A$442:$B$587,2,0),"")</f>
        <v>41391</v>
      </c>
      <c r="I40" s="932"/>
      <c r="J40" s="931" t="s">
        <v>262</v>
      </c>
      <c r="K40" s="930" t="s">
        <v>262</v>
      </c>
      <c r="L40" s="929" t="str">
        <f t="shared" si="2"/>
        <v/>
      </c>
    </row>
    <row r="41" spans="2:12" x14ac:dyDescent="0.2">
      <c r="B41" s="145" t="s">
        <v>837</v>
      </c>
      <c r="C41" s="933" t="s">
        <v>57</v>
      </c>
      <c r="D41" s="931">
        <v>83.628509000000008</v>
      </c>
      <c r="E41" s="930">
        <f>+IFERROR(VLOOKUP(B41,'US CBCR 2016'!$A$1:$B$210,2,0)/1000000,"")</f>
        <v>47.613129000000001</v>
      </c>
      <c r="F41" s="932">
        <f t="shared" si="3"/>
        <v>1.7564169958248281</v>
      </c>
      <c r="G41" s="931">
        <v>4279</v>
      </c>
      <c r="H41" s="930">
        <f>+IFERROR(VLOOKUP(B41,'US CBCR 2016'!$A$442:$B$587,2,0),"")</f>
        <v>3849</v>
      </c>
      <c r="I41" s="932">
        <f t="shared" ref="I41:I56" si="5">+G41/H41</f>
        <v>1.1117173291764095</v>
      </c>
      <c r="J41" s="931" t="s">
        <v>262</v>
      </c>
      <c r="K41" s="930" t="s">
        <v>262</v>
      </c>
      <c r="L41" s="929" t="str">
        <f t="shared" si="2"/>
        <v/>
      </c>
    </row>
    <row r="42" spans="2:12" x14ac:dyDescent="0.2">
      <c r="B42" s="145" t="s">
        <v>838</v>
      </c>
      <c r="C42" s="933" t="s">
        <v>58</v>
      </c>
      <c r="D42" s="931">
        <v>3785.3189130000001</v>
      </c>
      <c r="E42" s="930">
        <f>+IFERROR(VLOOKUP(B42,'US CBCR 2016'!$A$1:$B$210,2,0)/1000000,"")</f>
        <v>912.03300000000002</v>
      </c>
      <c r="F42" s="932">
        <f t="shared" si="3"/>
        <v>4.1504188039248584</v>
      </c>
      <c r="G42" s="931">
        <v>174980</v>
      </c>
      <c r="H42" s="930">
        <f>+IFERROR(VLOOKUP(B42,'US CBCR 2016'!$A$442:$B$587,2,0),"")</f>
        <v>147905</v>
      </c>
      <c r="I42" s="932">
        <f t="shared" si="5"/>
        <v>1.1830566917954093</v>
      </c>
      <c r="J42" s="931">
        <v>5122</v>
      </c>
      <c r="K42" s="930">
        <v>3492</v>
      </c>
      <c r="L42" s="929">
        <f t="shared" si="2"/>
        <v>1.4667812142038945</v>
      </c>
    </row>
    <row r="43" spans="2:12" x14ac:dyDescent="0.2">
      <c r="B43" s="145" t="s">
        <v>839</v>
      </c>
      <c r="C43" s="933" t="s">
        <v>59</v>
      </c>
      <c r="D43" s="931">
        <v>1085.9013580000001</v>
      </c>
      <c r="E43" s="930">
        <f>+IFERROR(VLOOKUP(B43,'US CBCR 2016'!$A$1:$B$210,2,0)/1000000,"")</f>
        <v>2191.5</v>
      </c>
      <c r="F43" s="932">
        <f t="shared" si="3"/>
        <v>0.49550598129135298</v>
      </c>
      <c r="G43" s="931">
        <v>54794</v>
      </c>
      <c r="H43" s="930">
        <f>+IFERROR(VLOOKUP(B43,'US CBCR 2016'!$A$442:$B$587,2,0),"")</f>
        <v>45381</v>
      </c>
      <c r="I43" s="932">
        <f t="shared" si="5"/>
        <v>1.2074216081620062</v>
      </c>
      <c r="J43" s="931">
        <v>3073</v>
      </c>
      <c r="K43" s="930">
        <v>2799</v>
      </c>
      <c r="L43" s="929">
        <f t="shared" ref="L43:L74" si="6">+IFERROR(J43/K43,"")</f>
        <v>1.0978921043229726</v>
      </c>
    </row>
    <row r="44" spans="2:12" x14ac:dyDescent="0.2">
      <c r="B44" s="145" t="s">
        <v>840</v>
      </c>
      <c r="C44" s="933" t="s">
        <v>60</v>
      </c>
      <c r="D44" s="931">
        <v>49376.393166000002</v>
      </c>
      <c r="E44" s="930">
        <f>+IFERROR(VLOOKUP(B44,'US CBCR 2016'!$A$1:$B$210,2,0)/1000000,"")</f>
        <v>-6204.43</v>
      </c>
      <c r="F44" s="932">
        <f t="shared" si="3"/>
        <v>-7.9582480849973321</v>
      </c>
      <c r="G44" s="931">
        <v>79928</v>
      </c>
      <c r="H44" s="930">
        <f>+IFERROR(VLOOKUP(B44,'US CBCR 2016'!$A$442:$B$587,2,0),"")</f>
        <v>73146</v>
      </c>
      <c r="I44" s="932">
        <f t="shared" si="5"/>
        <v>1.0927186722445521</v>
      </c>
      <c r="J44" s="931">
        <v>38224</v>
      </c>
      <c r="K44" s="930">
        <v>40927</v>
      </c>
      <c r="L44" s="929">
        <f t="shared" si="6"/>
        <v>0.93395557944633123</v>
      </c>
    </row>
    <row r="45" spans="2:12" x14ac:dyDescent="0.2">
      <c r="B45" s="145" t="s">
        <v>841</v>
      </c>
      <c r="C45" s="933" t="s">
        <v>61</v>
      </c>
      <c r="D45" s="931">
        <v>1010.4614350000001</v>
      </c>
      <c r="E45" s="930">
        <f>+IFERROR(VLOOKUP(B45,'US CBCR 2016'!$A$1:$B$210,2,0)/1000000,"")</f>
        <v>554.91800000000001</v>
      </c>
      <c r="F45" s="932">
        <f t="shared" si="3"/>
        <v>1.820920271103118</v>
      </c>
      <c r="G45" s="931">
        <v>57296</v>
      </c>
      <c r="H45" s="930">
        <f>+IFERROR(VLOOKUP(B45,'US CBCR 2016'!$A$442:$B$587,2,0),"")</f>
        <v>48017</v>
      </c>
      <c r="I45" s="932">
        <f t="shared" si="5"/>
        <v>1.1932440593956306</v>
      </c>
      <c r="J45" s="931">
        <v>1200</v>
      </c>
      <c r="K45" s="930">
        <v>1162</v>
      </c>
      <c r="L45" s="929">
        <f t="shared" si="6"/>
        <v>1.0327022375215147</v>
      </c>
    </row>
    <row r="46" spans="2:12" x14ac:dyDescent="0.2">
      <c r="B46" s="145" t="s">
        <v>842</v>
      </c>
      <c r="C46" s="933" t="s">
        <v>62</v>
      </c>
      <c r="D46" s="931">
        <v>18093.955316</v>
      </c>
      <c r="E46" s="930">
        <f>+IFERROR(VLOOKUP(B46,'US CBCR 2016'!$A$1:$B$210,2,0)/1000000,"")</f>
        <v>28719.5</v>
      </c>
      <c r="F46" s="932">
        <f t="shared" si="3"/>
        <v>0.63002334009993211</v>
      </c>
      <c r="G46" s="931">
        <v>1212807</v>
      </c>
      <c r="H46" s="930">
        <f>+IFERROR(VLOOKUP(B46,'US CBCR 2016'!$A$442:$B$587,2,0),"")</f>
        <v>978253</v>
      </c>
      <c r="I46" s="932">
        <f t="shared" si="5"/>
        <v>1.2397682399133967</v>
      </c>
      <c r="J46" s="931">
        <v>42131</v>
      </c>
      <c r="K46" s="930">
        <v>31541</v>
      </c>
      <c r="L46" s="929">
        <f t="shared" si="6"/>
        <v>1.335753463745601</v>
      </c>
    </row>
    <row r="47" spans="2:12" x14ac:dyDescent="0.2">
      <c r="B47" s="145" t="s">
        <v>242</v>
      </c>
      <c r="C47" s="933" t="s">
        <v>63</v>
      </c>
      <c r="D47" s="931"/>
      <c r="E47" s="930"/>
      <c r="F47" s="932"/>
      <c r="G47" s="931">
        <v>22903463</v>
      </c>
      <c r="H47" s="930">
        <f>+IFERROR(VLOOKUP(B47,'US CBCR 2016'!$A$442:$B$587,2,0),"")</f>
        <v>16377437</v>
      </c>
      <c r="I47" s="932">
        <f t="shared" si="5"/>
        <v>1.3984766358740992</v>
      </c>
      <c r="J47" s="931" t="s">
        <v>262</v>
      </c>
      <c r="K47" s="930" t="s">
        <v>262</v>
      </c>
      <c r="L47" s="929" t="str">
        <f t="shared" si="6"/>
        <v/>
      </c>
    </row>
    <row r="48" spans="2:12" ht="39" customHeight="1" x14ac:dyDescent="0.2">
      <c r="B48" s="853"/>
      <c r="C48" s="972" t="s">
        <v>64</v>
      </c>
      <c r="D48" s="970">
        <f>+SUM(D49:D55)</f>
        <v>48237.584421000007</v>
      </c>
      <c r="E48" s="969">
        <f>+SUM(E49:E55)</f>
        <v>36414.100999999995</v>
      </c>
      <c r="F48" s="974">
        <f t="shared" ref="F48:F56" si="7">+D48/E48</f>
        <v>1.3246951893992938</v>
      </c>
      <c r="G48" s="970">
        <f>+SUM(G49:G55)</f>
        <v>3799780</v>
      </c>
      <c r="H48" s="969">
        <f>+SUM(H49:H55)</f>
        <v>3154385</v>
      </c>
      <c r="I48" s="974">
        <f t="shared" si="5"/>
        <v>1.2046024819418049</v>
      </c>
      <c r="J48" s="970">
        <f>+SUM(J49:J55)</f>
        <v>46978</v>
      </c>
      <c r="K48" s="969">
        <f>+SUM(K49:K55)</f>
        <v>35876</v>
      </c>
      <c r="L48" s="973">
        <f t="shared" si="6"/>
        <v>1.3094547887166907</v>
      </c>
    </row>
    <row r="49" spans="2:12" x14ac:dyDescent="0.2">
      <c r="B49" s="145" t="s">
        <v>843</v>
      </c>
      <c r="C49" s="933" t="s">
        <v>65</v>
      </c>
      <c r="D49" s="931">
        <v>5932.5397750000002</v>
      </c>
      <c r="E49" s="930">
        <f>+IFERROR(VLOOKUP(B49,'US CBCR 2016'!$A$1:$B$210,2,0)/1000000,"")</f>
        <v>367.61399999999998</v>
      </c>
      <c r="F49" s="932">
        <f t="shared" si="7"/>
        <v>16.137959313301455</v>
      </c>
      <c r="G49" s="931">
        <v>563445</v>
      </c>
      <c r="H49" s="930">
        <f>+IFERROR(VLOOKUP(B49,'US CBCR 2016'!$A$442:$B$587,2,0),"")</f>
        <v>532715</v>
      </c>
      <c r="I49" s="932">
        <f t="shared" si="5"/>
        <v>1.0576856292764423</v>
      </c>
      <c r="J49" s="931">
        <v>4260</v>
      </c>
      <c r="K49" s="930">
        <v>1720</v>
      </c>
      <c r="L49" s="929">
        <f t="shared" si="6"/>
        <v>2.4767441860465116</v>
      </c>
    </row>
    <row r="50" spans="2:12" x14ac:dyDescent="0.2">
      <c r="B50" s="145" t="s">
        <v>844</v>
      </c>
      <c r="C50" s="933" t="s">
        <v>66</v>
      </c>
      <c r="D50" s="931">
        <v>26774.768893</v>
      </c>
      <c r="E50" s="930">
        <f>+IFERROR(VLOOKUP(B50,'US CBCR 2016'!$A$1:$B$210,2,0)/1000000,"")</f>
        <v>19083.099999999999</v>
      </c>
      <c r="F50" s="932">
        <f t="shared" si="7"/>
        <v>1.4030618134894226</v>
      </c>
      <c r="G50" s="931">
        <v>1322419</v>
      </c>
      <c r="H50" s="930">
        <f>+IFERROR(VLOOKUP(B50,'US CBCR 2016'!$A$442:$B$587,2,0),"")</f>
        <v>1055018</v>
      </c>
      <c r="I50" s="932">
        <f t="shared" si="5"/>
        <v>1.2534563391335503</v>
      </c>
      <c r="J50" s="931">
        <v>27340</v>
      </c>
      <c r="K50" s="930">
        <v>23023</v>
      </c>
      <c r="L50" s="929">
        <f t="shared" si="6"/>
        <v>1.1875081440298831</v>
      </c>
    </row>
    <row r="51" spans="2:12" x14ac:dyDescent="0.2">
      <c r="B51" s="145" t="s">
        <v>845</v>
      </c>
      <c r="C51" s="933" t="s">
        <v>67</v>
      </c>
      <c r="D51" s="931">
        <v>1429.2953170000001</v>
      </c>
      <c r="E51" s="930">
        <f>+IFERROR(VLOOKUP(B51,'US CBCR 2016'!$A$1:$B$210,2,0)/1000000,"")</f>
        <v>1055.4100000000001</v>
      </c>
      <c r="F51" s="932">
        <f t="shared" si="7"/>
        <v>1.3542559924579074</v>
      </c>
      <c r="G51" s="931">
        <v>93463</v>
      </c>
      <c r="H51" s="930">
        <f>+IFERROR(VLOOKUP(B51,'US CBCR 2016'!$A$442:$B$587,2,0),"")</f>
        <v>73043</v>
      </c>
      <c r="I51" s="932">
        <f t="shared" si="5"/>
        <v>1.279561354270772</v>
      </c>
      <c r="J51" s="931">
        <v>1117</v>
      </c>
      <c r="K51" s="930">
        <v>909</v>
      </c>
      <c r="L51" s="929">
        <f t="shared" si="6"/>
        <v>1.2288228822882288</v>
      </c>
    </row>
    <row r="52" spans="2:12" x14ac:dyDescent="0.2">
      <c r="B52" s="145" t="s">
        <v>846</v>
      </c>
      <c r="C52" s="933" t="s">
        <v>68</v>
      </c>
      <c r="D52" s="931">
        <v>1499.972066</v>
      </c>
      <c r="E52" s="930">
        <f>+IFERROR(VLOOKUP(B52,'US CBCR 2016'!$A$1:$B$210,2,0)/1000000,"")</f>
        <v>797.30700000000002</v>
      </c>
      <c r="F52" s="932">
        <f t="shared" si="7"/>
        <v>1.8812980018988921</v>
      </c>
      <c r="G52" s="931">
        <v>90353</v>
      </c>
      <c r="H52" s="930">
        <f>+IFERROR(VLOOKUP(B52,'US CBCR 2016'!$A$442:$B$587,2,0),"")</f>
        <v>69844</v>
      </c>
      <c r="I52" s="932">
        <f t="shared" si="5"/>
        <v>1.2936401122501575</v>
      </c>
      <c r="J52" s="931">
        <v>1127</v>
      </c>
      <c r="K52" s="930">
        <v>1087</v>
      </c>
      <c r="L52" s="929">
        <f t="shared" si="6"/>
        <v>1.0367985280588776</v>
      </c>
    </row>
    <row r="53" spans="2:12" x14ac:dyDescent="0.2">
      <c r="B53" s="145" t="s">
        <v>847</v>
      </c>
      <c r="C53" s="933" t="s">
        <v>69</v>
      </c>
      <c r="D53" s="931">
        <v>11799.551782</v>
      </c>
      <c r="E53" s="930">
        <f>+IFERROR(VLOOKUP(B53,'US CBCR 2016'!$A$1:$B$210,2,0)/1000000,"")</f>
        <v>12030.9</v>
      </c>
      <c r="F53" s="932">
        <f t="shared" si="7"/>
        <v>0.9807704978014945</v>
      </c>
      <c r="G53" s="931">
        <v>1416861</v>
      </c>
      <c r="H53" s="930">
        <f>+IFERROR(VLOOKUP(B53,'US CBCR 2016'!$A$442:$B$587,2,0),"")</f>
        <v>1149992</v>
      </c>
      <c r="I53" s="932">
        <f t="shared" si="5"/>
        <v>1.2320616143416649</v>
      </c>
      <c r="J53" s="931">
        <v>9921</v>
      </c>
      <c r="K53" s="930">
        <v>6760</v>
      </c>
      <c r="L53" s="929">
        <f t="shared" si="6"/>
        <v>1.467603550295858</v>
      </c>
    </row>
    <row r="54" spans="2:12" x14ac:dyDescent="0.2">
      <c r="B54" s="145" t="s">
        <v>848</v>
      </c>
      <c r="C54" s="933" t="s">
        <v>70</v>
      </c>
      <c r="D54" s="931"/>
      <c r="E54" s="930">
        <f>+IFERROR(VLOOKUP(B54,'US CBCR 2016'!$A$1:$B$210,2,0)/1000000,"")</f>
        <v>1967.68</v>
      </c>
      <c r="F54" s="932">
        <f t="shared" si="7"/>
        <v>0</v>
      </c>
      <c r="G54" s="931">
        <v>191930</v>
      </c>
      <c r="H54" s="930">
        <f>+IFERROR(VLOOKUP(B54,'US CBCR 2016'!$A$442:$B$587,2,0),"")</f>
        <v>171424</v>
      </c>
      <c r="I54" s="932">
        <f t="shared" si="5"/>
        <v>1.1196215232406197</v>
      </c>
      <c r="J54" s="931">
        <v>2664</v>
      </c>
      <c r="K54" s="930">
        <v>1582</v>
      </c>
      <c r="L54" s="929">
        <f t="shared" si="6"/>
        <v>1.683944374209861</v>
      </c>
    </row>
    <row r="55" spans="2:12" x14ac:dyDescent="0.2">
      <c r="B55" s="145" t="s">
        <v>849</v>
      </c>
      <c r="C55" s="933" t="s">
        <v>71</v>
      </c>
      <c r="D55" s="931">
        <v>801.45658800000001</v>
      </c>
      <c r="E55" s="930">
        <f>+IFERROR(VLOOKUP(B55,'US CBCR 2016'!$A$1:$B$210,2,0)/1000000,"")</f>
        <v>1112.0899999999999</v>
      </c>
      <c r="F55" s="932">
        <f t="shared" si="7"/>
        <v>0.7206760136319903</v>
      </c>
      <c r="G55" s="931">
        <v>121309</v>
      </c>
      <c r="H55" s="930">
        <f>+IFERROR(VLOOKUP(B55,'US CBCR 2016'!$A$442:$B$587,2,0),"")</f>
        <v>102349</v>
      </c>
      <c r="I55" s="932">
        <f t="shared" si="5"/>
        <v>1.1852485124427206</v>
      </c>
      <c r="J55" s="931">
        <v>549</v>
      </c>
      <c r="K55" s="930">
        <v>795</v>
      </c>
      <c r="L55" s="929">
        <f t="shared" si="6"/>
        <v>0.69056603773584901</v>
      </c>
    </row>
    <row r="56" spans="2:12" ht="30" customHeight="1" x14ac:dyDescent="0.2">
      <c r="B56" s="862"/>
      <c r="C56" s="972" t="s">
        <v>72</v>
      </c>
      <c r="D56" s="970">
        <f>SUM(D57:D92)</f>
        <v>202536.921695536</v>
      </c>
      <c r="E56" s="969">
        <f>SUM(E57:E92)</f>
        <v>159418.87767300001</v>
      </c>
      <c r="F56" s="971">
        <f t="shared" si="7"/>
        <v>1.2704701265742173</v>
      </c>
      <c r="G56" s="970">
        <f>SUM(G57:G92)</f>
        <v>323777</v>
      </c>
      <c r="H56" s="969">
        <f>SUM(H57:H92)</f>
        <v>338492</v>
      </c>
      <c r="I56" s="971">
        <f t="shared" si="5"/>
        <v>0.9565277761365113</v>
      </c>
      <c r="J56" s="970">
        <f>SUM(J57:J92)</f>
        <v>73436.327569000001</v>
      </c>
      <c r="K56" s="969">
        <f>SUM(K57:K92)</f>
        <v>66848.899999999994</v>
      </c>
      <c r="L56" s="968">
        <f t="shared" si="6"/>
        <v>1.0985420488444837</v>
      </c>
    </row>
    <row r="57" spans="2:12" x14ac:dyDescent="0.2">
      <c r="B57" s="145" t="s">
        <v>850</v>
      </c>
      <c r="C57" s="933" t="s">
        <v>73</v>
      </c>
      <c r="D57" s="931"/>
      <c r="E57" s="930" t="str">
        <f>+IFERROR(VLOOKUP(B57,'US CBCR 2016'!$A$1:$B$210,2,0)/1000000,"")</f>
        <v/>
      </c>
      <c r="F57" s="932"/>
      <c r="G57" s="931" t="s">
        <v>262</v>
      </c>
      <c r="H57" s="930" t="str">
        <f>+IFERROR(VLOOKUP(B57,'US CBCR 2016'!$A$442:$B$587,2,0),"")</f>
        <v/>
      </c>
      <c r="I57" s="932"/>
      <c r="J57" s="931" t="s">
        <v>262</v>
      </c>
      <c r="K57" s="930" t="s">
        <v>262</v>
      </c>
      <c r="L57" s="929" t="str">
        <f t="shared" si="6"/>
        <v/>
      </c>
    </row>
    <row r="58" spans="2:12" x14ac:dyDescent="0.2">
      <c r="B58" s="145" t="s">
        <v>851</v>
      </c>
      <c r="C58" s="933" t="s">
        <v>74</v>
      </c>
      <c r="D58" s="931"/>
      <c r="E58" s="930" t="str">
        <f>+IFERROR(VLOOKUP(B58,'US CBCR 2016'!$A$1:$B$210,2,0)/1000000,"")</f>
        <v/>
      </c>
      <c r="F58" s="932"/>
      <c r="G58" s="931" t="s">
        <v>262</v>
      </c>
      <c r="H58" s="930" t="str">
        <f>+IFERROR(VLOOKUP(B58,'US CBCR 2016'!$A$442:$B$587,2,0),"")</f>
        <v/>
      </c>
      <c r="I58" s="932"/>
      <c r="J58" s="931" t="s">
        <v>262</v>
      </c>
      <c r="K58" s="930" t="s">
        <v>262</v>
      </c>
      <c r="L58" s="929" t="str">
        <f t="shared" si="6"/>
        <v/>
      </c>
    </row>
    <row r="59" spans="2:12" x14ac:dyDescent="0.2">
      <c r="B59" s="145" t="s">
        <v>852</v>
      </c>
      <c r="C59" s="933" t="s">
        <v>75</v>
      </c>
      <c r="D59" s="931"/>
      <c r="E59" s="930" t="str">
        <f>+IFERROR(VLOOKUP(B59,'US CBCR 2016'!$A$1:$B$210,2,0)/1000000,"")</f>
        <v/>
      </c>
      <c r="F59" s="932"/>
      <c r="G59" s="931" t="s">
        <v>262</v>
      </c>
      <c r="H59" s="930" t="str">
        <f>+IFERROR(VLOOKUP(B59,'US CBCR 2016'!$A$442:$B$587,2,0),"")</f>
        <v/>
      </c>
      <c r="I59" s="932"/>
      <c r="J59" s="931" t="s">
        <v>262</v>
      </c>
      <c r="K59" s="930" t="s">
        <v>262</v>
      </c>
      <c r="L59" s="929" t="str">
        <f t="shared" si="6"/>
        <v/>
      </c>
    </row>
    <row r="60" spans="2:12" x14ac:dyDescent="0.2">
      <c r="B60" s="145" t="s">
        <v>853</v>
      </c>
      <c r="C60" s="933" t="s">
        <v>76</v>
      </c>
      <c r="D60" s="931">
        <v>27.886282999999999</v>
      </c>
      <c r="E60" s="930">
        <f>+IFERROR(VLOOKUP(B60,'US CBCR 2016'!$A$1:$B$210,2,0)/1000000,"")</f>
        <v>176.18799999999999</v>
      </c>
      <c r="F60" s="932">
        <f>+D60/E60</f>
        <v>0.15827572252366789</v>
      </c>
      <c r="G60" s="931">
        <v>939</v>
      </c>
      <c r="H60" s="930">
        <f>+IFERROR(VLOOKUP(B60,'US CBCR 2016'!$A$442:$B$587,2,0),"")</f>
        <v>805</v>
      </c>
      <c r="I60" s="932">
        <f>+G60/H60</f>
        <v>1.1664596273291925</v>
      </c>
      <c r="J60" s="931" t="s">
        <v>262</v>
      </c>
      <c r="K60" s="930" t="s">
        <v>262</v>
      </c>
      <c r="L60" s="929" t="str">
        <f t="shared" si="6"/>
        <v/>
      </c>
    </row>
    <row r="61" spans="2:12" x14ac:dyDescent="0.2">
      <c r="B61" s="145" t="s">
        <v>854</v>
      </c>
      <c r="C61" s="933" t="s">
        <v>152</v>
      </c>
      <c r="D61" s="931">
        <v>-988.05941000000007</v>
      </c>
      <c r="E61" s="930">
        <f>+IFERROR(VLOOKUP(B61,'US CBCR 2016'!$A$1:$B$210,2,0)/1000000,"")</f>
        <v>21809.599999999999</v>
      </c>
      <c r="F61" s="932">
        <f>+D61/E61</f>
        <v>-4.530387581615436E-2</v>
      </c>
      <c r="G61" s="931">
        <v>2943</v>
      </c>
      <c r="H61" s="930">
        <f>+IFERROR(VLOOKUP(B61,'US CBCR 2016'!$A$442:$B$587,2,0),"")</f>
        <v>2839</v>
      </c>
      <c r="I61" s="932">
        <f>+G61/H61</f>
        <v>1.0366326171187037</v>
      </c>
      <c r="J61" s="931" t="s">
        <v>262</v>
      </c>
      <c r="K61" s="930" t="s">
        <v>262</v>
      </c>
      <c r="L61" s="929" t="str">
        <f t="shared" si="6"/>
        <v/>
      </c>
    </row>
    <row r="62" spans="2:12" x14ac:dyDescent="0.2">
      <c r="B62" s="145" t="s">
        <v>981</v>
      </c>
      <c r="C62" s="933" t="s">
        <v>78</v>
      </c>
      <c r="D62" s="931">
        <v>218.418171</v>
      </c>
      <c r="E62" s="930">
        <f>+IFERROR(VLOOKUP(B62,'US CBCR 2016'!$A$1:$B$210,2,0)/1000000,"")</f>
        <v>223.15799999999999</v>
      </c>
      <c r="F62" s="932">
        <f>+D62/E62</f>
        <v>0.9787602102546179</v>
      </c>
      <c r="G62" s="931">
        <v>5677</v>
      </c>
      <c r="H62" s="930">
        <f>+IFERROR(VLOOKUP(B62,'US CBCR 2016'!$A$442:$B$587,2,0),"")</f>
        <v>3630</v>
      </c>
      <c r="I62" s="932">
        <f>+G62/H62</f>
        <v>1.5639118457300276</v>
      </c>
      <c r="J62" s="931" t="s">
        <v>262</v>
      </c>
      <c r="K62" s="930" t="s">
        <v>262</v>
      </c>
      <c r="L62" s="929" t="str">
        <f t="shared" si="6"/>
        <v/>
      </c>
    </row>
    <row r="63" spans="2:12" x14ac:dyDescent="0.2">
      <c r="B63" s="145" t="s">
        <v>855</v>
      </c>
      <c r="C63" s="933" t="s">
        <v>79</v>
      </c>
      <c r="D63" s="931">
        <v>6170.2162550000003</v>
      </c>
      <c r="E63" s="930">
        <f>+IFERROR(VLOOKUP(B63,'US CBCR 2016'!$A$1:$B$210,2,0)/1000000,"")</f>
        <v>1276.9100000000001</v>
      </c>
      <c r="F63" s="932">
        <f>+D63/E63</f>
        <v>4.8321465530068677</v>
      </c>
      <c r="G63" s="931">
        <v>638</v>
      </c>
      <c r="H63" s="930">
        <f>+IFERROR(VLOOKUP(B63,'US CBCR 2016'!$A$442:$B$587,2,0),"")</f>
        <v>403</v>
      </c>
      <c r="I63" s="932">
        <f>+G63/H63</f>
        <v>1.5831265508684864</v>
      </c>
      <c r="J63" s="931">
        <v>5304</v>
      </c>
      <c r="K63" s="930">
        <v>1189</v>
      </c>
      <c r="L63" s="929">
        <f t="shared" si="6"/>
        <v>4.4608915054667788</v>
      </c>
    </row>
    <row r="64" spans="2:12" x14ac:dyDescent="0.2">
      <c r="B64" s="145" t="s">
        <v>856</v>
      </c>
      <c r="C64" s="933" t="s">
        <v>80</v>
      </c>
      <c r="D64" s="931"/>
      <c r="E64" s="930" t="str">
        <f>+IFERROR(VLOOKUP(B64,'US CBCR 2016'!$A$1:$B$210,2,0)/1000000,"")</f>
        <v/>
      </c>
      <c r="F64" s="932"/>
      <c r="G64" s="931" t="s">
        <v>262</v>
      </c>
      <c r="H64" s="930" t="str">
        <f>+IFERROR(VLOOKUP(B64,'US CBCR 2016'!$A$442:$B$587,2,0),"")</f>
        <v/>
      </c>
      <c r="I64" s="932"/>
      <c r="J64" s="931" t="s">
        <v>262</v>
      </c>
      <c r="K64" s="930" t="s">
        <v>262</v>
      </c>
      <c r="L64" s="929" t="str">
        <f t="shared" si="6"/>
        <v/>
      </c>
    </row>
    <row r="65" spans="2:12" x14ac:dyDescent="0.2">
      <c r="B65" s="145" t="s">
        <v>857</v>
      </c>
      <c r="C65" s="933" t="s">
        <v>81</v>
      </c>
      <c r="D65" s="931">
        <v>32476.480265000002</v>
      </c>
      <c r="E65" s="930">
        <f>+IFERROR(VLOOKUP(B65,'US CBCR 2016'!$A$1:$B$210,2,0)/1000000,"")</f>
        <v>24900.5</v>
      </c>
      <c r="F65" s="932">
        <f>+D65/E65</f>
        <v>1.3042501261018855</v>
      </c>
      <c r="G65" s="931">
        <v>547</v>
      </c>
      <c r="H65" s="930">
        <f>+IFERROR(VLOOKUP(B65,'US CBCR 2016'!$A$442:$B$587,2,0),"")</f>
        <v>551</v>
      </c>
      <c r="I65" s="932">
        <f>+G65/H65</f>
        <v>0.99274047186932846</v>
      </c>
      <c r="J65" s="931">
        <v>-9282</v>
      </c>
      <c r="K65" s="930">
        <v>-5246</v>
      </c>
      <c r="L65" s="929">
        <f t="shared" si="6"/>
        <v>1.769348074723599</v>
      </c>
    </row>
    <row r="66" spans="2:12" x14ac:dyDescent="0.2">
      <c r="B66" s="145" t="s">
        <v>858</v>
      </c>
      <c r="C66" s="933" t="s">
        <v>82</v>
      </c>
      <c r="D66" s="931"/>
      <c r="E66" s="930" t="str">
        <f>+IFERROR(VLOOKUP(B66,'US CBCR 2016'!$A$1:$B$210,2,0)/1000000,"")</f>
        <v/>
      </c>
      <c r="F66" s="932"/>
      <c r="G66" s="931" t="s">
        <v>262</v>
      </c>
      <c r="H66" s="930" t="str">
        <f>+IFERROR(VLOOKUP(B66,'US CBCR 2016'!$A$442:$B$587,2,0),"")</f>
        <v/>
      </c>
      <c r="I66" s="932"/>
      <c r="J66" s="931" t="s">
        <v>262</v>
      </c>
      <c r="K66" s="930" t="s">
        <v>262</v>
      </c>
      <c r="L66" s="929" t="str">
        <f t="shared" si="6"/>
        <v/>
      </c>
    </row>
    <row r="67" spans="2:12" x14ac:dyDescent="0.2">
      <c r="B67" s="145" t="s">
        <v>982</v>
      </c>
      <c r="C67" s="933" t="s">
        <v>83</v>
      </c>
      <c r="D67" s="931">
        <v>2.9005435359999998</v>
      </c>
      <c r="E67" s="930">
        <f>+IFERROR(VLOOKUP(B67,'US CBCR 2016'!$A$1:$B$210,2,0)/1000000,"")</f>
        <v>2289.7800000000002</v>
      </c>
      <c r="F67" s="932">
        <f>+D67/E67</f>
        <v>1.2667345928429803E-3</v>
      </c>
      <c r="G67" s="931">
        <v>63</v>
      </c>
      <c r="H67" s="930">
        <f>+IFERROR(VLOOKUP(B67,'US CBCR 2016'!$A$442:$B$587,2,0),"")</f>
        <v>456</v>
      </c>
      <c r="I67" s="932">
        <f>+G67/H67</f>
        <v>0.13815789473684212</v>
      </c>
      <c r="J67" s="931" t="s">
        <v>262</v>
      </c>
      <c r="K67" s="930" t="s">
        <v>262</v>
      </c>
      <c r="L67" s="929" t="str">
        <f t="shared" si="6"/>
        <v/>
      </c>
    </row>
    <row r="68" spans="2:12" x14ac:dyDescent="0.2">
      <c r="B68" s="145" t="s">
        <v>859</v>
      </c>
      <c r="C68" s="933" t="s">
        <v>84</v>
      </c>
      <c r="D68" s="931">
        <v>58540.240003999999</v>
      </c>
      <c r="E68" s="930">
        <f>+IFERROR(VLOOKUP(B68,'US CBCR 2016'!$A$1:$B$210,2,0)/1000000,"")</f>
        <v>23792.3</v>
      </c>
      <c r="F68" s="932">
        <f>+D68/E68</f>
        <v>2.4604699841545377</v>
      </c>
      <c r="G68" s="931">
        <v>1567</v>
      </c>
      <c r="H68" s="930">
        <f>+IFERROR(VLOOKUP(B68,'US CBCR 2016'!$A$442:$B$587,2,0),"")</f>
        <v>3139</v>
      </c>
      <c r="I68" s="932">
        <f>+G68/H68</f>
        <v>0.49920356801529148</v>
      </c>
      <c r="J68" s="931" t="s">
        <v>262</v>
      </c>
      <c r="K68" s="930" t="s">
        <v>262</v>
      </c>
      <c r="L68" s="929" t="str">
        <f t="shared" si="6"/>
        <v/>
      </c>
    </row>
    <row r="69" spans="2:12" x14ac:dyDescent="0.2">
      <c r="B69" s="145" t="s">
        <v>860</v>
      </c>
      <c r="C69" s="933" t="s">
        <v>85</v>
      </c>
      <c r="D69" s="931">
        <v>167.75585599999999</v>
      </c>
      <c r="E69" s="930">
        <f>+IFERROR(VLOOKUP(B69,'US CBCR 2016'!$A$1:$B$210,2,0)/1000000,"")</f>
        <v>178.547</v>
      </c>
      <c r="F69" s="932">
        <f>+D69/E69</f>
        <v>0.93956132558934058</v>
      </c>
      <c r="G69" s="931">
        <v>200</v>
      </c>
      <c r="H69" s="930">
        <f>+IFERROR(VLOOKUP(B69,'US CBCR 2016'!$A$442:$B$587,2,0),"")</f>
        <v>288</v>
      </c>
      <c r="I69" s="932">
        <f>+G69/H69</f>
        <v>0.69444444444444442</v>
      </c>
      <c r="J69" s="931" t="s">
        <v>262</v>
      </c>
      <c r="K69" s="930" t="s">
        <v>262</v>
      </c>
      <c r="L69" s="929" t="str">
        <f t="shared" si="6"/>
        <v/>
      </c>
    </row>
    <row r="70" spans="2:12" x14ac:dyDescent="0.2">
      <c r="B70" s="145" t="s">
        <v>861</v>
      </c>
      <c r="C70" s="933" t="s">
        <v>86</v>
      </c>
      <c r="D70" s="931">
        <v>-70.184334000000007</v>
      </c>
      <c r="E70" s="930">
        <f>+IFERROR(VLOOKUP(B70,'US CBCR 2016'!$A$1:$B$210,2,0)/1000000,"")</f>
        <v>1523.09</v>
      </c>
      <c r="F70" s="932">
        <f>+D70/E70</f>
        <v>-4.6080227695014749E-2</v>
      </c>
      <c r="G70" s="931">
        <v>1750</v>
      </c>
      <c r="H70" s="930">
        <f>+IFERROR(VLOOKUP(B70,'US CBCR 2016'!$A$442:$B$587,2,0),"")</f>
        <v>1542</v>
      </c>
      <c r="I70" s="932">
        <f>+G70/H70</f>
        <v>1.1348897535667963</v>
      </c>
      <c r="J70" s="931" t="s">
        <v>262</v>
      </c>
      <c r="K70" s="930" t="s">
        <v>262</v>
      </c>
      <c r="L70" s="929" t="str">
        <f t="shared" si="6"/>
        <v/>
      </c>
    </row>
    <row r="71" spans="2:12" x14ac:dyDescent="0.2">
      <c r="B71" s="145" t="s">
        <v>862</v>
      </c>
      <c r="C71" s="933" t="s">
        <v>87</v>
      </c>
      <c r="D71" s="931">
        <v>11687.595963</v>
      </c>
      <c r="E71" s="930">
        <f>+IFERROR(VLOOKUP(B71,'US CBCR 2016'!$A$1:$B$210,2,0)/1000000,"")</f>
        <v>89.081266999999997</v>
      </c>
      <c r="F71" s="932">
        <f>+D71/E71</f>
        <v>131.20150124267991</v>
      </c>
      <c r="G71" s="931">
        <v>531</v>
      </c>
      <c r="H71" s="930">
        <f>+IFERROR(VLOOKUP(B71,'US CBCR 2016'!$A$442:$B$587,2,0),"")</f>
        <v>459</v>
      </c>
      <c r="I71" s="932">
        <f>+G71/H71</f>
        <v>1.1568627450980393</v>
      </c>
      <c r="J71" s="931" t="s">
        <v>262</v>
      </c>
      <c r="K71" s="930" t="s">
        <v>262</v>
      </c>
      <c r="L71" s="929" t="str">
        <f t="shared" si="6"/>
        <v/>
      </c>
    </row>
    <row r="72" spans="2:12" x14ac:dyDescent="0.2">
      <c r="B72" s="145" t="s">
        <v>863</v>
      </c>
      <c r="C72" s="933" t="s">
        <v>88</v>
      </c>
      <c r="D72" s="931"/>
      <c r="E72" s="930" t="str">
        <f>+IFERROR(VLOOKUP(B72,'US CBCR 2016'!$A$1:$B$210,2,0)/1000000,"")</f>
        <v/>
      </c>
      <c r="F72" s="932"/>
      <c r="G72" s="931" t="s">
        <v>262</v>
      </c>
      <c r="H72" s="930" t="str">
        <f>+IFERROR(VLOOKUP(B72,'US CBCR 2016'!$A$442:$B$587,2,0),"")</f>
        <v/>
      </c>
      <c r="I72" s="932"/>
      <c r="J72" s="931" t="s">
        <v>262</v>
      </c>
      <c r="K72" s="930" t="s">
        <v>262</v>
      </c>
      <c r="L72" s="929" t="str">
        <f t="shared" si="6"/>
        <v/>
      </c>
    </row>
    <row r="73" spans="2:12" x14ac:dyDescent="0.2">
      <c r="B73" s="145" t="s">
        <v>864</v>
      </c>
      <c r="C73" s="933" t="s">
        <v>89</v>
      </c>
      <c r="D73" s="931">
        <v>-1645.845155</v>
      </c>
      <c r="E73" s="930">
        <f>+IFERROR(VLOOKUP(B73,'US CBCR 2016'!$A$1:$B$210,2,0)/1000000,"")</f>
        <v>236.39099999999999</v>
      </c>
      <c r="F73" s="932">
        <f>+D73/E73</f>
        <v>-6.9623850104276395</v>
      </c>
      <c r="G73" s="931">
        <v>4956</v>
      </c>
      <c r="H73" s="930">
        <f>+IFERROR(VLOOKUP(B73,'US CBCR 2016'!$A$442:$B$587,2,0),"")</f>
        <v>1529</v>
      </c>
      <c r="I73" s="932">
        <f>+G73/H73</f>
        <v>3.2413342053629823</v>
      </c>
      <c r="J73" s="931" t="s">
        <v>262</v>
      </c>
      <c r="K73" s="930" t="s">
        <v>262</v>
      </c>
      <c r="L73" s="929" t="str">
        <f t="shared" si="6"/>
        <v/>
      </c>
    </row>
    <row r="74" spans="2:12" x14ac:dyDescent="0.2">
      <c r="B74" s="145" t="s">
        <v>865</v>
      </c>
      <c r="C74" s="933" t="s">
        <v>90</v>
      </c>
      <c r="D74" s="931"/>
      <c r="E74" s="930" t="str">
        <f>+IFERROR(VLOOKUP(B74,'US CBCR 2016'!$A$1:$B$210,2,0)/1000000,"")</f>
        <v/>
      </c>
      <c r="F74" s="932"/>
      <c r="G74" s="931" t="s">
        <v>262</v>
      </c>
      <c r="H74" s="930" t="str">
        <f>+IFERROR(VLOOKUP(B74,'US CBCR 2016'!$A$442:$B$587,2,0),"")</f>
        <v/>
      </c>
      <c r="I74" s="932"/>
      <c r="J74" s="931" t="s">
        <v>262</v>
      </c>
      <c r="K74" s="930" t="s">
        <v>262</v>
      </c>
      <c r="L74" s="929" t="str">
        <f t="shared" si="6"/>
        <v/>
      </c>
    </row>
    <row r="75" spans="2:12" x14ac:dyDescent="0.2">
      <c r="B75" s="145" t="s">
        <v>866</v>
      </c>
      <c r="C75" s="933" t="s">
        <v>341</v>
      </c>
      <c r="D75" s="931"/>
      <c r="E75" s="930">
        <f>+IFERROR(VLOOKUP(B75,'US CBCR 2016'!$A$1:$B$210,2,0)/1000000,"")</f>
        <v>9714.42</v>
      </c>
      <c r="F75" s="932">
        <f>+D75/E75</f>
        <v>0</v>
      </c>
      <c r="G75" s="931" t="s">
        <v>262</v>
      </c>
      <c r="H75" s="930">
        <f>+IFERROR(VLOOKUP(B75,'US CBCR 2016'!$A$442:$B$587,2,0),"")</f>
        <v>85285</v>
      </c>
      <c r="I75" s="932"/>
      <c r="J75" s="931">
        <v>7654</v>
      </c>
      <c r="K75" s="930">
        <v>5420</v>
      </c>
      <c r="L75" s="929">
        <f t="shared" ref="L75:L92" si="8">+IFERROR(J75/K75,"")</f>
        <v>1.4121771217712178</v>
      </c>
    </row>
    <row r="76" spans="2:12" x14ac:dyDescent="0.2">
      <c r="B76" s="145" t="s">
        <v>867</v>
      </c>
      <c r="C76" s="933" t="s">
        <v>92</v>
      </c>
      <c r="D76" s="931"/>
      <c r="E76" s="930" t="str">
        <f>+IFERROR(VLOOKUP(B76,'US CBCR 2016'!$A$1:$B$210,2,0)/1000000,"")</f>
        <v/>
      </c>
      <c r="F76" s="932"/>
      <c r="G76" s="931" t="s">
        <v>262</v>
      </c>
      <c r="H76" s="930" t="str">
        <f>+IFERROR(VLOOKUP(B76,'US CBCR 2016'!$A$442:$B$587,2,0),"")</f>
        <v/>
      </c>
      <c r="I76" s="932"/>
      <c r="J76" s="931" t="s">
        <v>262</v>
      </c>
      <c r="K76" s="930" t="s">
        <v>262</v>
      </c>
      <c r="L76" s="929" t="str">
        <f t="shared" si="8"/>
        <v/>
      </c>
    </row>
    <row r="77" spans="2:12" x14ac:dyDescent="0.2">
      <c r="B77" s="145" t="s">
        <v>868</v>
      </c>
      <c r="C77" s="933" t="s">
        <v>93</v>
      </c>
      <c r="D77" s="931">
        <v>48.439442</v>
      </c>
      <c r="E77" s="930">
        <f>+IFERROR(VLOOKUP(B77,'US CBCR 2016'!$A$1:$B$210,2,0)/1000000,"")</f>
        <v>62.190390999999998</v>
      </c>
      <c r="F77" s="932">
        <f>+D77/E77</f>
        <v>0.77888949114341477</v>
      </c>
      <c r="G77" s="931">
        <v>918</v>
      </c>
      <c r="H77" s="930">
        <f>+IFERROR(VLOOKUP(B77,'US CBCR 2016'!$A$442:$B$587,2,0),"")</f>
        <v>845</v>
      </c>
      <c r="I77" s="932">
        <f>+G77/H77</f>
        <v>1.0863905325443788</v>
      </c>
      <c r="J77" s="931" t="s">
        <v>262</v>
      </c>
      <c r="K77" s="930" t="s">
        <v>262</v>
      </c>
      <c r="L77" s="929" t="str">
        <f t="shared" si="8"/>
        <v/>
      </c>
    </row>
    <row r="78" spans="2:12" x14ac:dyDescent="0.2">
      <c r="B78" s="145" t="s">
        <v>869</v>
      </c>
      <c r="C78" s="933" t="s">
        <v>94</v>
      </c>
      <c r="D78" s="931"/>
      <c r="E78" s="930" t="str">
        <f>+IFERROR(VLOOKUP(B78,'US CBCR 2016'!$A$1:$B$210,2,0)/1000000,"")</f>
        <v/>
      </c>
      <c r="F78" s="932"/>
      <c r="G78" s="931" t="s">
        <v>262</v>
      </c>
      <c r="H78" s="930" t="str">
        <f>+IFERROR(VLOOKUP(B78,'US CBCR 2016'!$A$442:$B$587,2,0),"")</f>
        <v/>
      </c>
      <c r="I78" s="932"/>
      <c r="J78" s="931" t="s">
        <v>262</v>
      </c>
      <c r="K78" s="930" t="s">
        <v>262</v>
      </c>
      <c r="L78" s="929" t="str">
        <f t="shared" si="8"/>
        <v/>
      </c>
    </row>
    <row r="79" spans="2:12" x14ac:dyDescent="0.2">
      <c r="B79" s="145" t="s">
        <v>983</v>
      </c>
      <c r="C79" s="933" t="s">
        <v>95</v>
      </c>
      <c r="D79" s="931">
        <v>3065.5717480000003</v>
      </c>
      <c r="E79" s="930">
        <f>+IFERROR(VLOOKUP(B79,'US CBCR 2016'!$A$1:$B$210,2,0)/1000000,"")</f>
        <v>1528.01</v>
      </c>
      <c r="F79" s="932">
        <f>+D79/E79</f>
        <v>2.0062511030686974</v>
      </c>
      <c r="G79" s="931">
        <v>51287</v>
      </c>
      <c r="H79" s="930">
        <f>+IFERROR(VLOOKUP(B79,'US CBCR 2016'!$A$442:$B$587,2,0),"")</f>
        <v>29073</v>
      </c>
      <c r="I79" s="932">
        <f>+G79/H79</f>
        <v>1.7640766346782237</v>
      </c>
      <c r="J79" s="931" t="s">
        <v>262</v>
      </c>
      <c r="K79" s="930" t="s">
        <v>262</v>
      </c>
      <c r="L79" s="929" t="str">
        <f t="shared" si="8"/>
        <v/>
      </c>
    </row>
    <row r="80" spans="2:12" x14ac:dyDescent="0.2">
      <c r="B80" s="145" t="s">
        <v>870</v>
      </c>
      <c r="C80" s="933" t="s">
        <v>96</v>
      </c>
      <c r="D80" s="931">
        <v>-251.88258100000002</v>
      </c>
      <c r="E80" s="930">
        <f>+IFERROR(VLOOKUP(B80,'US CBCR 2016'!$A$1:$B$210,2,0)/1000000,"")</f>
        <v>133.898</v>
      </c>
      <c r="F80" s="932">
        <f>+D80/E80</f>
        <v>-1.8811526759174897</v>
      </c>
      <c r="G80" s="931">
        <v>836</v>
      </c>
      <c r="H80" s="930">
        <f>+IFERROR(VLOOKUP(B80,'US CBCR 2016'!$A$442:$B$587,2,0),"")</f>
        <v>422</v>
      </c>
      <c r="I80" s="932">
        <f>+G80/H80</f>
        <v>1.981042654028436</v>
      </c>
      <c r="J80" s="931" t="s">
        <v>262</v>
      </c>
      <c r="K80" s="930" t="s">
        <v>262</v>
      </c>
      <c r="L80" s="929" t="str">
        <f t="shared" si="8"/>
        <v/>
      </c>
    </row>
    <row r="81" spans="2:12" x14ac:dyDescent="0.2">
      <c r="B81" s="145" t="s">
        <v>984</v>
      </c>
      <c r="C81" s="933" t="s">
        <v>97</v>
      </c>
      <c r="D81" s="931"/>
      <c r="E81" s="930" t="str">
        <f>+IFERROR(VLOOKUP(B81,'US CBCR 2016'!$A$1:$B$210,2,0)/1000000,"")</f>
        <v/>
      </c>
      <c r="F81" s="932"/>
      <c r="G81" s="931" t="s">
        <v>262</v>
      </c>
      <c r="H81" s="930" t="str">
        <f>+IFERROR(VLOOKUP(B81,'US CBCR 2016'!$A$442:$B$587,2,0),"")</f>
        <v/>
      </c>
      <c r="I81" s="932"/>
      <c r="J81" s="931" t="s">
        <v>262</v>
      </c>
      <c r="K81" s="930" t="s">
        <v>262</v>
      </c>
      <c r="L81" s="929" t="str">
        <f t="shared" si="8"/>
        <v/>
      </c>
    </row>
    <row r="82" spans="2:12" x14ac:dyDescent="0.2">
      <c r="B82" s="145" t="s">
        <v>871</v>
      </c>
      <c r="C82" s="933" t="s">
        <v>98</v>
      </c>
      <c r="D82" s="931">
        <v>8.5976239999999997</v>
      </c>
      <c r="E82" s="930">
        <f>+IFERROR(VLOOKUP(B82,'US CBCR 2016'!$A$1:$B$210,2,0)/1000000,"")</f>
        <v>7.4733640000000001</v>
      </c>
      <c r="F82" s="932">
        <f>+D82/E82</f>
        <v>1.1504356003534686</v>
      </c>
      <c r="G82" s="931">
        <v>240</v>
      </c>
      <c r="H82" s="930">
        <f>+IFERROR(VLOOKUP(B82,'US CBCR 2016'!$A$442:$B$587,2,0),"")</f>
        <v>250</v>
      </c>
      <c r="I82" s="932">
        <f>+G82/H82</f>
        <v>0.96</v>
      </c>
      <c r="J82" s="931" t="s">
        <v>262</v>
      </c>
      <c r="K82" s="930" t="s">
        <v>262</v>
      </c>
      <c r="L82" s="929" t="str">
        <f t="shared" si="8"/>
        <v/>
      </c>
    </row>
    <row r="83" spans="2:12" x14ac:dyDescent="0.2">
      <c r="B83" s="145" t="s">
        <v>872</v>
      </c>
      <c r="C83" s="933" t="s">
        <v>99</v>
      </c>
      <c r="D83" s="931"/>
      <c r="E83" s="930" t="str">
        <f>+IFERROR(VLOOKUP(B83,'US CBCR 2016'!$A$1:$B$210,2,0)/1000000,"")</f>
        <v/>
      </c>
      <c r="F83" s="932"/>
      <c r="G83" s="931" t="s">
        <v>262</v>
      </c>
      <c r="H83" s="930" t="str">
        <f>+IFERROR(VLOOKUP(B83,'US CBCR 2016'!$A$442:$B$587,2,0),"")</f>
        <v/>
      </c>
      <c r="I83" s="932"/>
      <c r="J83" s="931" t="s">
        <v>262</v>
      </c>
      <c r="K83" s="930" t="s">
        <v>262</v>
      </c>
      <c r="L83" s="929" t="str">
        <f t="shared" si="8"/>
        <v/>
      </c>
    </row>
    <row r="84" spans="2:12" x14ac:dyDescent="0.2">
      <c r="B84" s="145" t="s">
        <v>873</v>
      </c>
      <c r="C84" s="933" t="s">
        <v>100</v>
      </c>
      <c r="D84" s="931">
        <v>3212.1146060000001</v>
      </c>
      <c r="E84" s="930">
        <f>+IFERROR(VLOOKUP(B84,'US CBCR 2016'!$A$1:$B$210,2,0)/1000000,"")</f>
        <v>2507.67</v>
      </c>
      <c r="F84" s="932">
        <f>+D84/E84</f>
        <v>1.2809159921361264</v>
      </c>
      <c r="G84" s="931">
        <v>2938</v>
      </c>
      <c r="H84" s="930">
        <f>+IFERROR(VLOOKUP(B84,'US CBCR 2016'!$A$442:$B$587,2,0),"")</f>
        <v>3321</v>
      </c>
      <c r="I84" s="932">
        <f>+G84/H84</f>
        <v>0.88467329117735627</v>
      </c>
      <c r="J84" s="931" t="s">
        <v>262</v>
      </c>
      <c r="K84" s="930" t="s">
        <v>262</v>
      </c>
      <c r="L84" s="929" t="str">
        <f t="shared" si="8"/>
        <v/>
      </c>
    </row>
    <row r="85" spans="2:12" x14ac:dyDescent="0.2">
      <c r="B85" s="145" t="s">
        <v>874</v>
      </c>
      <c r="C85" s="933" t="s">
        <v>101</v>
      </c>
      <c r="D85" s="931"/>
      <c r="E85" s="930" t="str">
        <f>+IFERROR(VLOOKUP(B85,'US CBCR 2016'!$A$1:$B$210,2,0)/1000000,"")</f>
        <v/>
      </c>
      <c r="F85" s="932"/>
      <c r="G85" s="931" t="s">
        <v>262</v>
      </c>
      <c r="H85" s="930" t="str">
        <f>+IFERROR(VLOOKUP(B85,'US CBCR 2016'!$A$442:$B$587,2,0),"")</f>
        <v/>
      </c>
      <c r="I85" s="932"/>
      <c r="J85" s="931" t="s">
        <v>262</v>
      </c>
      <c r="K85" s="930" t="s">
        <v>262</v>
      </c>
      <c r="L85" s="929" t="str">
        <f t="shared" si="8"/>
        <v/>
      </c>
    </row>
    <row r="86" spans="2:12" x14ac:dyDescent="0.2">
      <c r="B86" s="145" t="s">
        <v>875</v>
      </c>
      <c r="C86" s="933" t="s">
        <v>102</v>
      </c>
      <c r="D86" s="931">
        <v>54642.381560999995</v>
      </c>
      <c r="E86" s="930">
        <f>+IFERROR(VLOOKUP(B86,'US CBCR 2016'!$A$1:$B$210,2,0)/1000000,"")</f>
        <v>29040.6</v>
      </c>
      <c r="F86" s="932">
        <f>+D86/E86</f>
        <v>1.8815858336604614</v>
      </c>
      <c r="G86" s="931">
        <v>162019</v>
      </c>
      <c r="H86" s="930">
        <f>+IFERROR(VLOOKUP(B86,'US CBCR 2016'!$A$442:$B$587,2,0),"")</f>
        <v>126190</v>
      </c>
      <c r="I86" s="932">
        <f>+G86/H86</f>
        <v>1.2839289959584752</v>
      </c>
      <c r="J86" s="931">
        <v>35179</v>
      </c>
      <c r="K86" s="930">
        <v>26392</v>
      </c>
      <c r="L86" s="929">
        <f t="shared" si="8"/>
        <v>1.3329418005456199</v>
      </c>
    </row>
    <row r="87" spans="2:12" x14ac:dyDescent="0.2">
      <c r="B87" s="145" t="s">
        <v>876</v>
      </c>
      <c r="C87" s="933" t="s">
        <v>425</v>
      </c>
      <c r="D87" s="931"/>
      <c r="E87" s="930">
        <f>+IFERROR(VLOOKUP(B87,'US CBCR 2016'!$A$1:$B$210,2,0)/1000000,"")</f>
        <v>66.165643000000003</v>
      </c>
      <c r="F87" s="932">
        <f>+D87/E87</f>
        <v>0</v>
      </c>
      <c r="G87" s="931" t="s">
        <v>262</v>
      </c>
      <c r="H87" s="930">
        <f>+IFERROR(VLOOKUP(B87,'US CBCR 2016'!$A$442:$B$587,2,0),"")</f>
        <v>916</v>
      </c>
      <c r="I87" s="932"/>
      <c r="J87" s="931" t="s">
        <v>262</v>
      </c>
      <c r="K87" s="930" t="s">
        <v>262</v>
      </c>
      <c r="L87" s="929" t="str">
        <f t="shared" si="8"/>
        <v/>
      </c>
    </row>
    <row r="88" spans="2:12" x14ac:dyDescent="0.2">
      <c r="B88" s="145" t="s">
        <v>877</v>
      </c>
      <c r="C88" s="933" t="s">
        <v>426</v>
      </c>
      <c r="D88" s="931"/>
      <c r="E88" s="930">
        <f>+IFERROR(VLOOKUP(B88,'US CBCR 2016'!$A$1:$B$210,2,0)/1000000,"")</f>
        <v>55.876007999999999</v>
      </c>
      <c r="F88" s="932">
        <f>+D88/E88</f>
        <v>0</v>
      </c>
      <c r="G88" s="931" t="s">
        <v>262</v>
      </c>
      <c r="H88" s="930">
        <f>+IFERROR(VLOOKUP(B88,'US CBCR 2016'!$A$442:$B$587,2,0),"")</f>
        <v>292</v>
      </c>
      <c r="I88" s="932"/>
      <c r="J88" s="931" t="s">
        <v>262</v>
      </c>
      <c r="K88" s="930" t="s">
        <v>262</v>
      </c>
      <c r="L88" s="929" t="str">
        <f t="shared" si="8"/>
        <v/>
      </c>
    </row>
    <row r="89" spans="2:12" x14ac:dyDescent="0.2">
      <c r="B89" s="145" t="s">
        <v>878</v>
      </c>
      <c r="C89" s="933" t="s">
        <v>427</v>
      </c>
      <c r="D89" s="931"/>
      <c r="E89" s="930" t="str">
        <f>+IFERROR(VLOOKUP(B89,'US CBCR 2016'!$A$1:$B$210,2,0)/1000000,"")</f>
        <v/>
      </c>
      <c r="F89" s="932"/>
      <c r="G89" s="931" t="s">
        <v>262</v>
      </c>
      <c r="H89" s="930" t="str">
        <f>+IFERROR(VLOOKUP(B89,'US CBCR 2016'!$A$442:$B$587,2,0),"")</f>
        <v/>
      </c>
      <c r="I89" s="932"/>
      <c r="J89" s="931" t="s">
        <v>262</v>
      </c>
      <c r="K89" s="930" t="s">
        <v>262</v>
      </c>
      <c r="L89" s="929" t="str">
        <f t="shared" si="8"/>
        <v/>
      </c>
    </row>
    <row r="90" spans="2:12" x14ac:dyDescent="0.2">
      <c r="B90" s="145" t="s">
        <v>879</v>
      </c>
      <c r="C90" s="933" t="s">
        <v>106</v>
      </c>
      <c r="D90" s="931"/>
      <c r="E90" s="930" t="str">
        <f>+IFERROR(VLOOKUP(B90,'US CBCR 2016'!$A$1:$B$210,2,0)/1000000,"")</f>
        <v/>
      </c>
      <c r="F90" s="932"/>
      <c r="G90" s="931" t="s">
        <v>262</v>
      </c>
      <c r="H90" s="930" t="str">
        <f>+IFERROR(VLOOKUP(B90,'US CBCR 2016'!$A$442:$B$587,2,0),"")</f>
        <v/>
      </c>
      <c r="I90" s="932"/>
      <c r="J90" s="931" t="s">
        <v>262</v>
      </c>
      <c r="K90" s="930" t="s">
        <v>262</v>
      </c>
      <c r="L90" s="929" t="str">
        <f t="shared" si="8"/>
        <v/>
      </c>
    </row>
    <row r="91" spans="2:12" x14ac:dyDescent="0.2">
      <c r="B91" s="145" t="s">
        <v>880</v>
      </c>
      <c r="C91" s="933" t="s">
        <v>107</v>
      </c>
      <c r="D91" s="931">
        <v>888.96728500000006</v>
      </c>
      <c r="E91" s="930">
        <f>+IFERROR(VLOOKUP(B91,'US CBCR 2016'!$A$1:$B$210,2,0)/1000000,"")</f>
        <v>881.12900000000002</v>
      </c>
      <c r="F91" s="932">
        <f>+D91/E91</f>
        <v>1.0088957292292049</v>
      </c>
      <c r="G91" s="931">
        <v>14109</v>
      </c>
      <c r="H91" s="930">
        <f>+IFERROR(VLOOKUP(B91,'US CBCR 2016'!$A$442:$B$587,2,0),"")</f>
        <v>9931</v>
      </c>
      <c r="I91" s="932">
        <f>+G91/H91</f>
        <v>1.4207028496626724</v>
      </c>
      <c r="J91" s="931">
        <v>246</v>
      </c>
      <c r="K91" s="930">
        <v>168</v>
      </c>
      <c r="L91" s="929">
        <f t="shared" si="8"/>
        <v>1.4642857142857142</v>
      </c>
    </row>
    <row r="92" spans="2:12" ht="17" thickBot="1" x14ac:dyDescent="0.25">
      <c r="B92" s="145" t="s">
        <v>881</v>
      </c>
      <c r="C92" s="928" t="s">
        <v>108</v>
      </c>
      <c r="D92" s="926">
        <v>34335.327569000001</v>
      </c>
      <c r="E92" s="925">
        <f>+IFERROR(VLOOKUP(B92,'US CBCR 2016'!$A$1:$B$210,2,0)/1000000,"")</f>
        <v>38925.9</v>
      </c>
      <c r="F92" s="927">
        <f>+D92/E92</f>
        <v>0.88206894558635762</v>
      </c>
      <c r="G92" s="926">
        <v>71619</v>
      </c>
      <c r="H92" s="925">
        <f>+IFERROR(VLOOKUP(B92,'US CBCR 2016'!$A$442:$B$587,2,0),"")</f>
        <v>66326</v>
      </c>
      <c r="I92" s="927">
        <f>+G92/H92</f>
        <v>1.0798027922684921</v>
      </c>
      <c r="J92" s="926">
        <f>+D92</f>
        <v>34335.327569000001</v>
      </c>
      <c r="K92" s="925">
        <f>+E92</f>
        <v>38925.9</v>
      </c>
      <c r="L92" s="924">
        <f t="shared" si="8"/>
        <v>0.88206894558635762</v>
      </c>
    </row>
    <row r="93" spans="2:12" x14ac:dyDescent="0.2">
      <c r="E93" s="967"/>
    </row>
    <row r="94" spans="2:12" x14ac:dyDescent="0.2">
      <c r="E94" s="967"/>
    </row>
    <row r="95" spans="2:12" x14ac:dyDescent="0.2">
      <c r="E95" s="967"/>
    </row>
    <row r="96" spans="2:12" x14ac:dyDescent="0.2">
      <c r="E96" s="967"/>
    </row>
    <row r="97" spans="5:5" x14ac:dyDescent="0.2">
      <c r="E97" s="967"/>
    </row>
    <row r="98" spans="5:5" x14ac:dyDescent="0.2">
      <c r="E98" s="967"/>
    </row>
    <row r="99" spans="5:5" x14ac:dyDescent="0.2">
      <c r="E99" s="967"/>
    </row>
    <row r="100" spans="5:5" x14ac:dyDescent="0.2">
      <c r="E100" s="967"/>
    </row>
    <row r="101" spans="5:5" x14ac:dyDescent="0.2">
      <c r="E101" s="967"/>
    </row>
    <row r="102" spans="5:5" x14ac:dyDescent="0.2">
      <c r="E102" s="967"/>
    </row>
    <row r="103" spans="5:5" x14ac:dyDescent="0.2">
      <c r="E103" s="967"/>
    </row>
    <row r="104" spans="5:5" x14ac:dyDescent="0.2">
      <c r="E104" s="967"/>
    </row>
    <row r="105" spans="5:5" x14ac:dyDescent="0.2">
      <c r="E105" s="967"/>
    </row>
    <row r="106" spans="5:5" x14ac:dyDescent="0.2">
      <c r="E106" s="967"/>
    </row>
    <row r="107" spans="5:5" x14ac:dyDescent="0.2">
      <c r="E107" s="967"/>
    </row>
    <row r="108" spans="5:5" x14ac:dyDescent="0.2">
      <c r="E108" s="967"/>
    </row>
    <row r="109" spans="5:5" x14ac:dyDescent="0.2">
      <c r="E109" s="967"/>
    </row>
    <row r="110" spans="5:5" x14ac:dyDescent="0.2">
      <c r="E110" s="967"/>
    </row>
    <row r="111" spans="5:5" x14ac:dyDescent="0.2">
      <c r="E111" s="967"/>
    </row>
    <row r="112" spans="5:5" x14ac:dyDescent="0.2">
      <c r="E112" s="967"/>
    </row>
    <row r="113" spans="5:5" x14ac:dyDescent="0.2">
      <c r="E113" s="967"/>
    </row>
    <row r="114" spans="5:5" x14ac:dyDescent="0.2">
      <c r="E114" s="967"/>
    </row>
    <row r="115" spans="5:5" x14ac:dyDescent="0.2">
      <c r="E115" s="967"/>
    </row>
    <row r="116" spans="5:5" x14ac:dyDescent="0.2">
      <c r="E116" s="967"/>
    </row>
    <row r="117" spans="5:5" x14ac:dyDescent="0.2">
      <c r="E117" s="967"/>
    </row>
    <row r="118" spans="5:5" x14ac:dyDescent="0.2">
      <c r="E118" s="967"/>
    </row>
    <row r="119" spans="5:5" x14ac:dyDescent="0.2">
      <c r="E119" s="967"/>
    </row>
    <row r="120" spans="5:5" x14ac:dyDescent="0.2">
      <c r="E120" s="967"/>
    </row>
    <row r="121" spans="5:5" x14ac:dyDescent="0.2">
      <c r="E121" s="967"/>
    </row>
    <row r="122" spans="5:5" x14ac:dyDescent="0.2">
      <c r="E122" s="967"/>
    </row>
    <row r="123" spans="5:5" x14ac:dyDescent="0.2">
      <c r="E123" s="967"/>
    </row>
    <row r="124" spans="5:5" x14ac:dyDescent="0.2">
      <c r="E124" s="967"/>
    </row>
    <row r="125" spans="5:5" x14ac:dyDescent="0.2">
      <c r="E125" s="967"/>
    </row>
    <row r="126" spans="5:5" x14ac:dyDescent="0.2">
      <c r="E126" s="967"/>
    </row>
    <row r="127" spans="5:5" x14ac:dyDescent="0.2">
      <c r="E127" s="967"/>
    </row>
    <row r="128" spans="5:5" x14ac:dyDescent="0.2">
      <c r="E128" s="967"/>
    </row>
    <row r="129" spans="5:5" x14ac:dyDescent="0.2">
      <c r="E129" s="967"/>
    </row>
    <row r="130" spans="5:5" x14ac:dyDescent="0.2">
      <c r="E130" s="967"/>
    </row>
    <row r="131" spans="5:5" x14ac:dyDescent="0.2">
      <c r="E131" s="967"/>
    </row>
    <row r="132" spans="5:5" x14ac:dyDescent="0.2">
      <c r="E132" s="967"/>
    </row>
    <row r="133" spans="5:5" x14ac:dyDescent="0.2">
      <c r="E133" s="967"/>
    </row>
    <row r="134" spans="5:5" x14ac:dyDescent="0.2">
      <c r="E134" s="967"/>
    </row>
    <row r="135" spans="5:5" x14ac:dyDescent="0.2">
      <c r="E135" s="967"/>
    </row>
    <row r="136" spans="5:5" x14ac:dyDescent="0.2">
      <c r="E136" s="967"/>
    </row>
    <row r="137" spans="5:5" x14ac:dyDescent="0.2">
      <c r="E137" s="967"/>
    </row>
    <row r="138" spans="5:5" x14ac:dyDescent="0.2">
      <c r="E138" s="967"/>
    </row>
    <row r="139" spans="5:5" x14ac:dyDescent="0.2">
      <c r="E139" s="967"/>
    </row>
    <row r="140" spans="5:5" x14ac:dyDescent="0.2">
      <c r="E140" s="967"/>
    </row>
    <row r="141" spans="5:5" x14ac:dyDescent="0.2">
      <c r="E141" s="967"/>
    </row>
    <row r="142" spans="5:5" x14ac:dyDescent="0.2">
      <c r="E142" s="967"/>
    </row>
    <row r="143" spans="5:5" x14ac:dyDescent="0.2">
      <c r="E143" s="967"/>
    </row>
    <row r="144" spans="5:5" x14ac:dyDescent="0.2">
      <c r="E144" s="967"/>
    </row>
    <row r="145" spans="5:5" x14ac:dyDescent="0.2">
      <c r="E145" s="967"/>
    </row>
    <row r="146" spans="5:5" x14ac:dyDescent="0.2">
      <c r="E146" s="967"/>
    </row>
    <row r="147" spans="5:5" x14ac:dyDescent="0.2">
      <c r="E147" s="967"/>
    </row>
    <row r="148" spans="5:5" x14ac:dyDescent="0.2">
      <c r="E148" s="967"/>
    </row>
    <row r="149" spans="5:5" x14ac:dyDescent="0.2">
      <c r="E149" s="967"/>
    </row>
    <row r="150" spans="5:5" x14ac:dyDescent="0.2">
      <c r="E150" s="967"/>
    </row>
    <row r="151" spans="5:5" x14ac:dyDescent="0.2">
      <c r="E151" s="967"/>
    </row>
    <row r="152" spans="5:5" x14ac:dyDescent="0.2">
      <c r="E152" s="967"/>
    </row>
    <row r="153" spans="5:5" x14ac:dyDescent="0.2">
      <c r="E153" s="967"/>
    </row>
    <row r="154" spans="5:5" x14ac:dyDescent="0.2">
      <c r="E154" s="967"/>
    </row>
    <row r="155" spans="5:5" x14ac:dyDescent="0.2">
      <c r="E155" s="967"/>
    </row>
    <row r="156" spans="5:5" x14ac:dyDescent="0.2">
      <c r="E156" s="967"/>
    </row>
    <row r="157" spans="5:5" x14ac:dyDescent="0.2">
      <c r="E157" s="967"/>
    </row>
    <row r="158" spans="5:5" x14ac:dyDescent="0.2">
      <c r="E158" s="967"/>
    </row>
    <row r="159" spans="5:5" x14ac:dyDescent="0.2">
      <c r="E159" s="967"/>
    </row>
    <row r="160" spans="5:5" x14ac:dyDescent="0.2">
      <c r="E160" s="967"/>
    </row>
    <row r="161" spans="5:5" x14ac:dyDescent="0.2">
      <c r="E161" s="967"/>
    </row>
    <row r="162" spans="5:5" x14ac:dyDescent="0.2">
      <c r="E162" s="967"/>
    </row>
    <row r="163" spans="5:5" x14ac:dyDescent="0.2">
      <c r="E163" s="967"/>
    </row>
    <row r="164" spans="5:5" x14ac:dyDescent="0.2">
      <c r="E164" s="967"/>
    </row>
    <row r="165" spans="5:5" x14ac:dyDescent="0.2">
      <c r="E165" s="967"/>
    </row>
    <row r="166" spans="5:5" x14ac:dyDescent="0.2">
      <c r="E166" s="967"/>
    </row>
    <row r="167" spans="5:5" x14ac:dyDescent="0.2">
      <c r="E167" s="967"/>
    </row>
    <row r="168" spans="5:5" x14ac:dyDescent="0.2">
      <c r="E168" s="967"/>
    </row>
    <row r="169" spans="5:5" x14ac:dyDescent="0.2">
      <c r="E169" s="967"/>
    </row>
    <row r="170" spans="5:5" x14ac:dyDescent="0.2">
      <c r="E170" s="967"/>
    </row>
    <row r="171" spans="5:5" x14ac:dyDescent="0.2">
      <c r="E171" s="967"/>
    </row>
    <row r="172" spans="5:5" x14ac:dyDescent="0.2">
      <c r="E172" s="967"/>
    </row>
    <row r="173" spans="5:5" x14ac:dyDescent="0.2">
      <c r="E173" s="967"/>
    </row>
    <row r="174" spans="5:5" x14ac:dyDescent="0.2">
      <c r="E174" s="967"/>
    </row>
    <row r="175" spans="5:5" x14ac:dyDescent="0.2">
      <c r="E175" s="967"/>
    </row>
    <row r="176" spans="5:5" x14ac:dyDescent="0.2">
      <c r="E176" s="967"/>
    </row>
    <row r="177" spans="5:5" x14ac:dyDescent="0.2">
      <c r="E177" s="967"/>
    </row>
    <row r="178" spans="5:5" x14ac:dyDescent="0.2">
      <c r="E178" s="967"/>
    </row>
    <row r="179" spans="5:5" x14ac:dyDescent="0.2">
      <c r="E179" s="967"/>
    </row>
    <row r="180" spans="5:5" x14ac:dyDescent="0.2">
      <c r="E180" s="967"/>
    </row>
    <row r="181" spans="5:5" x14ac:dyDescent="0.2">
      <c r="E181" s="967"/>
    </row>
    <row r="182" spans="5:5" x14ac:dyDescent="0.2">
      <c r="E182" s="967"/>
    </row>
    <row r="183" spans="5:5" x14ac:dyDescent="0.2">
      <c r="E183" s="967"/>
    </row>
    <row r="184" spans="5:5" x14ac:dyDescent="0.2">
      <c r="E184" s="967"/>
    </row>
    <row r="185" spans="5:5" x14ac:dyDescent="0.2">
      <c r="E185" s="967"/>
    </row>
    <row r="186" spans="5:5" x14ac:dyDescent="0.2">
      <c r="E186" s="967"/>
    </row>
    <row r="187" spans="5:5" x14ac:dyDescent="0.2">
      <c r="E187" s="967"/>
    </row>
    <row r="188" spans="5:5" x14ac:dyDescent="0.2">
      <c r="E188" s="967"/>
    </row>
    <row r="189" spans="5:5" x14ac:dyDescent="0.2">
      <c r="E189" s="967"/>
    </row>
    <row r="190" spans="5:5" x14ac:dyDescent="0.2">
      <c r="E190" s="967"/>
    </row>
    <row r="191" spans="5:5" x14ac:dyDescent="0.2">
      <c r="E191" s="967"/>
    </row>
    <row r="192" spans="5:5" x14ac:dyDescent="0.2">
      <c r="E192" s="967"/>
    </row>
    <row r="193" spans="5:5" x14ac:dyDescent="0.2">
      <c r="E193" s="967"/>
    </row>
    <row r="194" spans="5:5" x14ac:dyDescent="0.2">
      <c r="E194" s="967"/>
    </row>
    <row r="195" spans="5:5" x14ac:dyDescent="0.2">
      <c r="E195" s="967"/>
    </row>
    <row r="196" spans="5:5" x14ac:dyDescent="0.2">
      <c r="E196" s="967"/>
    </row>
    <row r="197" spans="5:5" x14ac:dyDescent="0.2">
      <c r="E197" s="967"/>
    </row>
    <row r="198" spans="5:5" x14ac:dyDescent="0.2">
      <c r="E198" s="967"/>
    </row>
    <row r="199" spans="5:5" x14ac:dyDescent="0.2">
      <c r="E199" s="967"/>
    </row>
    <row r="200" spans="5:5" x14ac:dyDescent="0.2">
      <c r="E200" s="967"/>
    </row>
    <row r="201" spans="5:5" x14ac:dyDescent="0.2">
      <c r="E201" s="967"/>
    </row>
    <row r="202" spans="5:5" x14ac:dyDescent="0.2">
      <c r="E202" s="967"/>
    </row>
    <row r="203" spans="5:5" x14ac:dyDescent="0.2">
      <c r="E203" s="967"/>
    </row>
  </sheetData>
  <mergeCells count="6">
    <mergeCell ref="C2:L2"/>
    <mergeCell ref="D5:I5"/>
    <mergeCell ref="J6:L6"/>
    <mergeCell ref="J5:L5"/>
    <mergeCell ref="D6:F6"/>
    <mergeCell ref="G6:I6"/>
  </mergeCells>
  <pageMargins left="0.7" right="0.7" top="0.75" bottom="0.75" header="0.3" footer="0.3"/>
  <pageSetup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E17"/>
  <sheetViews>
    <sheetView workbookViewId="0">
      <selection activeCell="G396" sqref="G396"/>
    </sheetView>
  </sheetViews>
  <sheetFormatPr baseColWidth="10" defaultColWidth="8.83203125" defaultRowHeight="16" x14ac:dyDescent="0.2"/>
  <cols>
    <col min="2" max="2" width="45.83203125" bestFit="1" customWidth="1"/>
    <col min="3" max="3" width="20.5" customWidth="1"/>
    <col min="4" max="4" width="27" bestFit="1" customWidth="1"/>
    <col min="5" max="5" width="28.1640625" customWidth="1"/>
  </cols>
  <sheetData>
    <row r="2" spans="2:5" ht="17" thickBot="1" x14ac:dyDescent="0.25"/>
    <row r="3" spans="2:5" ht="30.75" customHeight="1" x14ac:dyDescent="0.2">
      <c r="B3" s="2445" t="s">
        <v>985</v>
      </c>
      <c r="C3" s="2446"/>
      <c r="D3" s="2446"/>
      <c r="E3" s="2447"/>
    </row>
    <row r="4" spans="2:5" ht="11.25" customHeight="1" x14ac:dyDescent="0.2">
      <c r="B4" s="310"/>
      <c r="C4" s="998"/>
      <c r="D4" s="998"/>
      <c r="E4" s="652"/>
    </row>
    <row r="5" spans="2:5" ht="15.75" customHeight="1" x14ac:dyDescent="0.2">
      <c r="B5" s="310"/>
      <c r="C5" s="997" t="s">
        <v>1</v>
      </c>
      <c r="D5" s="997" t="s">
        <v>2</v>
      </c>
      <c r="E5" s="996" t="s">
        <v>3</v>
      </c>
    </row>
    <row r="6" spans="2:5" ht="33" customHeight="1" x14ac:dyDescent="0.2">
      <c r="B6" s="1654"/>
      <c r="C6" s="1836" t="s">
        <v>961</v>
      </c>
      <c r="D6" s="1836" t="s">
        <v>986</v>
      </c>
      <c r="E6" s="1506" t="s">
        <v>987</v>
      </c>
    </row>
    <row r="7" spans="2:5" ht="33" customHeight="1" x14ac:dyDescent="0.2">
      <c r="B7" s="994" t="s">
        <v>988</v>
      </c>
      <c r="C7" s="995"/>
      <c r="D7" s="995"/>
      <c r="E7" s="1859"/>
    </row>
    <row r="8" spans="2:5" x14ac:dyDescent="0.2">
      <c r="B8" s="955" t="s">
        <v>989</v>
      </c>
      <c r="C8" s="992">
        <v>1373</v>
      </c>
      <c r="D8" s="992">
        <v>1840.9666013593485</v>
      </c>
      <c r="E8" s="990">
        <f>+C8/D8</f>
        <v>0.74580386139878507</v>
      </c>
    </row>
    <row r="9" spans="2:5" x14ac:dyDescent="0.2">
      <c r="B9" s="955" t="s">
        <v>990</v>
      </c>
      <c r="C9" s="993">
        <v>992</v>
      </c>
      <c r="D9" s="992">
        <v>1840.9666013593485</v>
      </c>
      <c r="E9" s="990">
        <f>+C9/D9</f>
        <v>0.53884736380742526</v>
      </c>
    </row>
    <row r="10" spans="2:5" x14ac:dyDescent="0.2">
      <c r="B10" s="955" t="s">
        <v>991</v>
      </c>
      <c r="C10" s="993">
        <v>121</v>
      </c>
      <c r="D10" s="991">
        <v>0</v>
      </c>
      <c r="E10" s="990" t="s">
        <v>992</v>
      </c>
    </row>
    <row r="11" spans="2:5" x14ac:dyDescent="0.2">
      <c r="B11" s="955" t="s">
        <v>993</v>
      </c>
      <c r="C11" s="992">
        <f>+C8-C9-C10</f>
        <v>260</v>
      </c>
      <c r="D11" s="991">
        <v>79</v>
      </c>
      <c r="E11" s="990">
        <f>+C11/D11</f>
        <v>3.2911392405063293</v>
      </c>
    </row>
    <row r="12" spans="2:5" x14ac:dyDescent="0.2">
      <c r="B12" s="955"/>
      <c r="C12" s="993"/>
      <c r="D12" s="991"/>
      <c r="E12" s="990"/>
    </row>
    <row r="13" spans="2:5" x14ac:dyDescent="0.2">
      <c r="B13" s="994" t="s">
        <v>994</v>
      </c>
      <c r="C13" s="993"/>
      <c r="D13" s="991"/>
      <c r="E13" s="990"/>
    </row>
    <row r="14" spans="2:5" x14ac:dyDescent="0.2">
      <c r="B14" s="955" t="s">
        <v>990</v>
      </c>
      <c r="C14" s="992">
        <f>+'Table G5'!Q9</f>
        <v>394.62637537853607</v>
      </c>
      <c r="D14" s="991">
        <v>767.37367713650679</v>
      </c>
      <c r="E14" s="990">
        <f>+C14/D14</f>
        <v>0.51425581452194724</v>
      </c>
    </row>
    <row r="15" spans="2:5" ht="17" thickBot="1" x14ac:dyDescent="0.25">
      <c r="B15" s="989" t="s">
        <v>995</v>
      </c>
      <c r="C15" s="988">
        <f>+C14/C9</f>
        <v>0.39780884614771783</v>
      </c>
      <c r="D15" s="988">
        <f>+D14/D9</f>
        <v>0.41683193848812189</v>
      </c>
      <c r="E15" s="987"/>
    </row>
    <row r="17" spans="4:4" x14ac:dyDescent="0.2">
      <c r="D17" s="109"/>
    </row>
  </sheetData>
  <mergeCells count="1">
    <mergeCell ref="B3:E3"/>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R98"/>
  <sheetViews>
    <sheetView zoomScale="70" zoomScaleNormal="70" workbookViewId="0">
      <pane xSplit="2" ySplit="7" topLeftCell="C29" activePane="bottomRight" state="frozen"/>
      <selection pane="topRight" activeCell="G396" sqref="G396"/>
      <selection pane="bottomLeft" activeCell="G396" sqref="G396"/>
      <selection pane="bottomRight" activeCell="T29" sqref="T29"/>
    </sheetView>
  </sheetViews>
  <sheetFormatPr baseColWidth="10" defaultColWidth="10.6640625" defaultRowHeight="16" outlineLevelCol="1" x14ac:dyDescent="0.2"/>
  <cols>
    <col min="1" max="1" width="5.1640625" style="999" bestFit="1" customWidth="1"/>
    <col min="2" max="2" width="19" style="954" customWidth="1"/>
    <col min="3" max="3" width="17.83203125" style="954" customWidth="1"/>
    <col min="4" max="4" width="17.83203125" style="954" customWidth="1" outlineLevel="1"/>
    <col min="5" max="5" width="19.1640625" style="954" customWidth="1" outlineLevel="1"/>
    <col min="6" max="6" width="10.6640625" style="954"/>
    <col min="7" max="12" width="0" style="954" hidden="1" customWidth="1"/>
    <col min="13" max="13" width="22" style="954" hidden="1" customWidth="1"/>
    <col min="14" max="14" width="36.33203125" style="954" hidden="1" customWidth="1"/>
    <col min="15" max="15" width="0" style="954" hidden="1" customWidth="1"/>
    <col min="16" max="16" width="19.6640625" style="954" hidden="1" customWidth="1"/>
    <col min="17" max="17" width="0" style="954" hidden="1" customWidth="1"/>
    <col min="18" max="18" width="14.1640625" style="954" hidden="1" customWidth="1"/>
    <col min="19" max="16384" width="10.6640625" style="954"/>
  </cols>
  <sheetData>
    <row r="2" spans="1:18" ht="17" thickBot="1" x14ac:dyDescent="0.25"/>
    <row r="3" spans="1:18" ht="32.25" customHeight="1" x14ac:dyDescent="0.2">
      <c r="B3" s="1023"/>
      <c r="C3" s="2091" t="s">
        <v>996</v>
      </c>
      <c r="D3" s="2091"/>
      <c r="E3" s="2092"/>
    </row>
    <row r="4" spans="1:18" ht="17.25" customHeight="1" x14ac:dyDescent="0.2">
      <c r="B4" s="118"/>
      <c r="C4" s="2461" t="s">
        <v>997</v>
      </c>
      <c r="D4" s="2462"/>
      <c r="E4" s="2463"/>
    </row>
    <row r="5" spans="1:18" ht="14.25" customHeight="1" x14ac:dyDescent="0.2">
      <c r="B5" s="1732"/>
      <c r="C5" s="940" t="s">
        <v>1</v>
      </c>
      <c r="D5" s="940" t="s">
        <v>2</v>
      </c>
      <c r="E5" s="939" t="s">
        <v>3</v>
      </c>
    </row>
    <row r="6" spans="1:18" ht="85.5" customHeight="1" x14ac:dyDescent="0.2">
      <c r="B6" s="933"/>
      <c r="C6" s="2457" t="s">
        <v>998</v>
      </c>
      <c r="D6" s="2455" t="s">
        <v>999</v>
      </c>
      <c r="E6" s="2459" t="s">
        <v>1000</v>
      </c>
      <c r="F6" s="2"/>
      <c r="G6" s="2"/>
      <c r="H6" s="2"/>
      <c r="M6" s="2" t="s">
        <v>1001</v>
      </c>
      <c r="N6" s="2" t="s">
        <v>1002</v>
      </c>
    </row>
    <row r="7" spans="1:18" ht="65.25" customHeight="1" x14ac:dyDescent="0.2">
      <c r="A7" s="1022"/>
      <c r="B7" s="933"/>
      <c r="C7" s="2458"/>
      <c r="D7" s="2456"/>
      <c r="E7" s="2460"/>
    </row>
    <row r="8" spans="1:18" ht="40.5" customHeight="1" x14ac:dyDescent="0.2">
      <c r="A8" s="1022"/>
      <c r="B8" s="1730" t="s">
        <v>28</v>
      </c>
      <c r="C8" s="1020">
        <v>1046.0335104629648</v>
      </c>
      <c r="D8" s="1008">
        <v>496.9494922841489</v>
      </c>
      <c r="E8" s="1021">
        <v>549.08401817881588</v>
      </c>
      <c r="G8" s="1003">
        <v>75.205105454963132</v>
      </c>
      <c r="M8" s="1020">
        <f>SUM(M9:M43)</f>
        <v>496.9494922841489</v>
      </c>
      <c r="N8" s="1020">
        <f>SUM(N9:N43)</f>
        <v>549.08401817881588</v>
      </c>
      <c r="P8" s="2"/>
      <c r="Q8" s="2" t="s">
        <v>1003</v>
      </c>
      <c r="R8" s="2" t="s">
        <v>1004</v>
      </c>
    </row>
    <row r="9" spans="1:18" ht="14.25" customHeight="1" x14ac:dyDescent="0.2">
      <c r="A9" s="999" t="s">
        <v>809</v>
      </c>
      <c r="B9" s="933" t="s">
        <v>29</v>
      </c>
      <c r="C9" s="1009">
        <v>34.989894108238531</v>
      </c>
      <c r="D9" s="1008">
        <v>10.3535</v>
      </c>
      <c r="E9" s="1013">
        <v>24.63639410823853</v>
      </c>
      <c r="G9" s="1003">
        <v>5.9397256575711843</v>
      </c>
      <c r="M9" s="1002">
        <v>10.3535</v>
      </c>
      <c r="N9" s="1001">
        <f t="shared" ref="N9:N40" si="0">+C9-M9</f>
        <v>24.63639410823853</v>
      </c>
      <c r="P9" s="2" t="s">
        <v>974</v>
      </c>
      <c r="Q9" s="950">
        <f>+M11+M23+M29+M31+M40+M52</f>
        <v>394.62637537853607</v>
      </c>
      <c r="R9" s="950">
        <f>+Q9+N11+N23+N29+N31+N40+N52</f>
        <v>767.3736771365069</v>
      </c>
    </row>
    <row r="10" spans="1:18" ht="14.25" customHeight="1" x14ac:dyDescent="0.2">
      <c r="A10" s="999" t="s">
        <v>810</v>
      </c>
      <c r="B10" s="933" t="s">
        <v>30</v>
      </c>
      <c r="C10" s="1009">
        <v>14.729860112306165</v>
      </c>
      <c r="D10" s="1008">
        <v>2.8082400000000001</v>
      </c>
      <c r="E10" s="1013">
        <v>11.921620112306165</v>
      </c>
      <c r="G10" s="1003">
        <v>3.0738299699783926</v>
      </c>
      <c r="M10" s="1002">
        <v>2.8082400000000001</v>
      </c>
      <c r="N10" s="1001">
        <f t="shared" si="0"/>
        <v>11.921620112306165</v>
      </c>
      <c r="P10" s="2" t="s">
        <v>966</v>
      </c>
      <c r="Q10" s="2">
        <v>121.113</v>
      </c>
      <c r="R10" s="2"/>
    </row>
    <row r="11" spans="1:18" ht="14.25" customHeight="1" x14ac:dyDescent="0.2">
      <c r="A11" s="999" t="s">
        <v>811</v>
      </c>
      <c r="B11" s="933" t="s">
        <v>31</v>
      </c>
      <c r="C11" s="1009">
        <v>31.107659577911136</v>
      </c>
      <c r="D11" s="1008">
        <v>14.8108</v>
      </c>
      <c r="E11" s="1013">
        <v>16.296859577911135</v>
      </c>
      <c r="G11" s="1003">
        <v>-2.078173502330209</v>
      </c>
      <c r="M11" s="1017">
        <v>14.8108</v>
      </c>
      <c r="N11" s="1016">
        <f t="shared" si="0"/>
        <v>16.296859577911135</v>
      </c>
    </row>
    <row r="12" spans="1:18" x14ac:dyDescent="0.2">
      <c r="A12" s="999" t="s">
        <v>812</v>
      </c>
      <c r="B12" s="933" t="s">
        <v>32</v>
      </c>
      <c r="C12" s="1009">
        <v>36.903713666263677</v>
      </c>
      <c r="D12" s="1008">
        <v>20.6572</v>
      </c>
      <c r="E12" s="1013">
        <v>16.246513666263699</v>
      </c>
      <c r="G12" s="1003">
        <v>-9.2526227226123581</v>
      </c>
      <c r="M12" s="1002">
        <v>20.6572</v>
      </c>
      <c r="N12" s="1001">
        <f t="shared" si="0"/>
        <v>16.246513666263677</v>
      </c>
    </row>
    <row r="13" spans="1:18" x14ac:dyDescent="0.2">
      <c r="A13" s="999" t="s">
        <v>813</v>
      </c>
      <c r="B13" s="933" t="s">
        <v>33</v>
      </c>
      <c r="C13" s="1009">
        <v>8.7231514201492431</v>
      </c>
      <c r="D13" s="1008">
        <v>11.307399999999999</v>
      </c>
      <c r="E13" s="1013">
        <v>-2.5842485798507564</v>
      </c>
      <c r="G13" s="1003">
        <v>-1.4298606363942916</v>
      </c>
      <c r="M13" s="1002">
        <v>11.307399999999999</v>
      </c>
      <c r="N13" s="1001">
        <f t="shared" si="0"/>
        <v>-2.5842485798507564</v>
      </c>
    </row>
    <row r="14" spans="1:18" x14ac:dyDescent="0.2">
      <c r="A14" s="999" t="s">
        <v>814</v>
      </c>
      <c r="B14" s="933" t="s">
        <v>34</v>
      </c>
      <c r="C14" s="1009">
        <v>17.670947870106176</v>
      </c>
      <c r="D14" s="1008">
        <v>4.6360599999999996</v>
      </c>
      <c r="E14" s="1013">
        <v>13.034887870106175</v>
      </c>
      <c r="G14" s="1003">
        <v>-0.59309786186205926</v>
      </c>
      <c r="M14" s="1002">
        <v>4.6360599999999996</v>
      </c>
      <c r="N14" s="1001">
        <f t="shared" si="0"/>
        <v>13.034887870106175</v>
      </c>
    </row>
    <row r="15" spans="1:18" x14ac:dyDescent="0.2">
      <c r="A15" s="999" t="s">
        <v>815</v>
      </c>
      <c r="B15" s="933" t="s">
        <v>35</v>
      </c>
      <c r="C15" s="1009">
        <v>6.0614959264176704</v>
      </c>
      <c r="D15" s="1008">
        <v>1.75312</v>
      </c>
      <c r="E15" s="1013">
        <v>4.3083759264176704</v>
      </c>
      <c r="G15" s="1003">
        <v>0.79493678202300444</v>
      </c>
      <c r="M15" s="1002">
        <v>1.75312</v>
      </c>
      <c r="N15" s="1001">
        <f t="shared" si="0"/>
        <v>4.3083759264176704</v>
      </c>
    </row>
    <row r="16" spans="1:18" x14ac:dyDescent="0.2">
      <c r="A16" s="999" t="s">
        <v>816</v>
      </c>
      <c r="B16" s="933" t="s">
        <v>36</v>
      </c>
      <c r="C16" s="1009">
        <v>1.7476260494749656</v>
      </c>
      <c r="D16" s="1008">
        <v>7.9734546665999995E-2</v>
      </c>
      <c r="E16" s="1013">
        <v>1.6678915028089656</v>
      </c>
      <c r="G16" s="1003">
        <v>0.22414552838493917</v>
      </c>
      <c r="M16" s="1002">
        <v>7.9734546665999995E-2</v>
      </c>
      <c r="N16" s="1001">
        <f t="shared" si="0"/>
        <v>1.6678915028089656</v>
      </c>
    </row>
    <row r="17" spans="1:14" x14ac:dyDescent="0.2">
      <c r="A17" s="999" t="s">
        <v>817</v>
      </c>
      <c r="B17" s="933" t="s">
        <v>37</v>
      </c>
      <c r="C17" s="1009">
        <v>7.174666864410173</v>
      </c>
      <c r="D17" s="1008">
        <v>2.3459099999999999</v>
      </c>
      <c r="E17" s="1013">
        <v>4.828756864410173</v>
      </c>
      <c r="G17" s="1003">
        <v>2.8081334170633028</v>
      </c>
      <c r="M17" s="1002">
        <v>2.3459099999999999</v>
      </c>
      <c r="N17" s="1001">
        <f t="shared" si="0"/>
        <v>4.828756864410173</v>
      </c>
    </row>
    <row r="18" spans="1:14" x14ac:dyDescent="0.2">
      <c r="A18" s="999" t="s">
        <v>818</v>
      </c>
      <c r="B18" s="933" t="s">
        <v>38</v>
      </c>
      <c r="C18" s="1009">
        <v>35.297208160983295</v>
      </c>
      <c r="D18" s="1008">
        <v>10.5999</v>
      </c>
      <c r="E18" s="1013">
        <v>24.697308160983297</v>
      </c>
      <c r="G18" s="1003">
        <v>3.1704151362056194</v>
      </c>
      <c r="M18" s="1002">
        <v>10.5999</v>
      </c>
      <c r="N18" s="1001">
        <f t="shared" si="0"/>
        <v>24.697308160983297</v>
      </c>
    </row>
    <row r="19" spans="1:14" x14ac:dyDescent="0.2">
      <c r="A19" s="999" t="s">
        <v>819</v>
      </c>
      <c r="B19" s="933" t="s">
        <v>39</v>
      </c>
      <c r="C19" s="1009">
        <v>34.58356112978359</v>
      </c>
      <c r="D19" s="1008">
        <v>28.889199999999999</v>
      </c>
      <c r="E19" s="1013">
        <v>5.6943611297835908</v>
      </c>
      <c r="G19" s="1003">
        <v>-9.6894479162922593</v>
      </c>
      <c r="M19" s="1002">
        <v>28.889199999999999</v>
      </c>
      <c r="N19" s="1001">
        <f t="shared" si="0"/>
        <v>5.6943611297835908</v>
      </c>
    </row>
    <row r="20" spans="1:14" x14ac:dyDescent="0.2">
      <c r="A20" s="999" t="s">
        <v>820</v>
      </c>
      <c r="B20" s="933" t="s">
        <v>40</v>
      </c>
      <c r="C20" s="1009">
        <v>1.3042807040679436</v>
      </c>
      <c r="D20" s="1008">
        <v>0.57931299999999997</v>
      </c>
      <c r="E20" s="1013">
        <v>0.72496770406794364</v>
      </c>
      <c r="G20" s="1003">
        <v>-2.924402134726134E-2</v>
      </c>
      <c r="M20" s="1002">
        <v>0.57931299999999997</v>
      </c>
      <c r="N20" s="1001">
        <f t="shared" si="0"/>
        <v>0.72496770406794364</v>
      </c>
    </row>
    <row r="21" spans="1:14" x14ac:dyDescent="0.2">
      <c r="A21" s="999" t="s">
        <v>821</v>
      </c>
      <c r="B21" s="933" t="s">
        <v>41</v>
      </c>
      <c r="C21" s="1009">
        <v>7.7999658814152051</v>
      </c>
      <c r="D21" s="1008">
        <v>7.7014800000000001</v>
      </c>
      <c r="E21" s="1013">
        <v>9.8485881415204979E-2</v>
      </c>
      <c r="G21" s="1003">
        <v>-2.1481137636505645</v>
      </c>
      <c r="M21" s="1002">
        <v>7.7014800000000001</v>
      </c>
      <c r="N21" s="1001">
        <f t="shared" si="0"/>
        <v>9.8485881415204979E-2</v>
      </c>
    </row>
    <row r="22" spans="1:14" x14ac:dyDescent="0.2">
      <c r="A22" s="999" t="s">
        <v>822</v>
      </c>
      <c r="B22" s="933" t="s">
        <v>42</v>
      </c>
      <c r="C22" s="1009">
        <v>-0.12036359802335883</v>
      </c>
      <c r="D22" s="1008">
        <v>-0.28886099999999998</v>
      </c>
      <c r="E22" s="1013">
        <v>0.16849740197664115</v>
      </c>
      <c r="G22" s="1003">
        <v>-6.3158254763436422E-3</v>
      </c>
      <c r="M22" s="1002">
        <v>-0.28886099999999998</v>
      </c>
      <c r="N22" s="1001">
        <f t="shared" si="0"/>
        <v>0.16849740197664115</v>
      </c>
    </row>
    <row r="23" spans="1:14" x14ac:dyDescent="0.2">
      <c r="A23" s="999" t="s">
        <v>823</v>
      </c>
      <c r="B23" s="933" t="s">
        <v>43</v>
      </c>
      <c r="C23" s="1009">
        <v>120.97418055310273</v>
      </c>
      <c r="D23" s="1008">
        <v>36.898699999999998</v>
      </c>
      <c r="E23" s="1013">
        <v>84.075480553102722</v>
      </c>
      <c r="G23" s="1003">
        <v>0.259417759305407</v>
      </c>
      <c r="L23" s="1019"/>
      <c r="M23" s="1017">
        <v>36.898699999999998</v>
      </c>
      <c r="N23" s="1016">
        <f t="shared" si="0"/>
        <v>84.075480553102722</v>
      </c>
    </row>
    <row r="24" spans="1:14" x14ac:dyDescent="0.2">
      <c r="A24" s="999" t="s">
        <v>824</v>
      </c>
      <c r="B24" s="933" t="s">
        <v>44</v>
      </c>
      <c r="C24" s="1009">
        <v>16.521955415395304</v>
      </c>
      <c r="D24" s="1008">
        <v>2.6156100000000002</v>
      </c>
      <c r="E24" s="1013">
        <v>13.906345415395304</v>
      </c>
      <c r="G24" s="1003">
        <v>10.327828789071626</v>
      </c>
      <c r="M24" s="1002">
        <v>2.6156100000000002</v>
      </c>
      <c r="N24" s="1001">
        <f t="shared" si="0"/>
        <v>13.906345415395304</v>
      </c>
    </row>
    <row r="25" spans="1:14" x14ac:dyDescent="0.2">
      <c r="A25" s="999" t="s">
        <v>825</v>
      </c>
      <c r="B25" s="933" t="s">
        <v>45</v>
      </c>
      <c r="C25" s="1009">
        <v>15.875701329617428</v>
      </c>
      <c r="D25" s="1008">
        <v>9.1840499999999992</v>
      </c>
      <c r="E25" s="1013">
        <v>6.6916513296174287</v>
      </c>
      <c r="G25" s="1003">
        <v>2.4130629938076193</v>
      </c>
      <c r="M25" s="1002">
        <v>9.1840499999999992</v>
      </c>
      <c r="N25" s="1001">
        <f t="shared" si="0"/>
        <v>6.6916513296174287</v>
      </c>
    </row>
    <row r="26" spans="1:14" x14ac:dyDescent="0.2">
      <c r="A26" s="999" t="s">
        <v>826</v>
      </c>
      <c r="B26" s="933" t="s">
        <v>46</v>
      </c>
      <c r="C26" s="1009">
        <v>38.441987088900703</v>
      </c>
      <c r="D26" s="1008">
        <v>30.217199999999998</v>
      </c>
      <c r="E26" s="1013">
        <v>8.2247870889007046</v>
      </c>
      <c r="G26" s="1003">
        <v>2.422943670054309</v>
      </c>
      <c r="M26" s="1002">
        <v>30.217199999999998</v>
      </c>
      <c r="N26" s="1001">
        <f t="shared" si="0"/>
        <v>8.2247870889007046</v>
      </c>
    </row>
    <row r="27" spans="1:14" x14ac:dyDescent="0.2">
      <c r="A27" s="999" t="s">
        <v>827</v>
      </c>
      <c r="B27" s="933" t="s">
        <v>47</v>
      </c>
      <c r="C27" s="1009">
        <v>4.9071193726732165</v>
      </c>
      <c r="D27" s="1008">
        <v>11.196099999999999</v>
      </c>
      <c r="E27" s="1013">
        <v>-6.288980627326783</v>
      </c>
      <c r="G27" s="1003">
        <v>2.3040942801583317</v>
      </c>
      <c r="M27" s="1002">
        <v>11.196099999999999</v>
      </c>
      <c r="N27" s="1001">
        <f t="shared" si="0"/>
        <v>-6.288980627326783</v>
      </c>
    </row>
    <row r="28" spans="1:14" x14ac:dyDescent="0.2">
      <c r="A28" s="999" t="s">
        <v>828</v>
      </c>
      <c r="B28" s="933" t="s">
        <v>48</v>
      </c>
      <c r="C28" s="1009">
        <v>1.1901566598717574</v>
      </c>
      <c r="D28" s="1008">
        <v>-3.7122625170000001E-3</v>
      </c>
      <c r="E28" s="1013">
        <v>1.1938689223887575</v>
      </c>
      <c r="G28" s="1003">
        <v>-6.6779294176420478E-2</v>
      </c>
      <c r="M28" s="1002">
        <v>-3.7122625170000001E-3</v>
      </c>
      <c r="N28" s="1001">
        <f t="shared" si="0"/>
        <v>1.1938689223887575</v>
      </c>
    </row>
    <row r="29" spans="1:14" x14ac:dyDescent="0.2">
      <c r="A29" s="999" t="s">
        <v>829</v>
      </c>
      <c r="B29" s="933" t="s">
        <v>49</v>
      </c>
      <c r="C29" s="1009">
        <v>51.581034504854152</v>
      </c>
      <c r="D29" s="1008">
        <v>3.9131100000000001</v>
      </c>
      <c r="E29" s="1013">
        <v>47.667924504854149</v>
      </c>
      <c r="G29" s="1003">
        <v>-1.2942385907827045</v>
      </c>
      <c r="M29" s="1017">
        <v>3.9131100000000001</v>
      </c>
      <c r="N29" s="1016">
        <f t="shared" si="0"/>
        <v>47.667924504854149</v>
      </c>
    </row>
    <row r="30" spans="1:14" x14ac:dyDescent="0.2">
      <c r="A30" s="999" t="s">
        <v>830</v>
      </c>
      <c r="B30" s="933" t="s">
        <v>50</v>
      </c>
      <c r="C30" s="1009">
        <v>19.659289355649214</v>
      </c>
      <c r="D30" s="1008">
        <v>18.133299999999998</v>
      </c>
      <c r="E30" s="1013">
        <v>1.5259893556492159</v>
      </c>
      <c r="G30" s="1003">
        <v>-1.9426456371239453</v>
      </c>
      <c r="M30" s="1002">
        <v>18.133299999999998</v>
      </c>
      <c r="N30" s="1001">
        <f t="shared" si="0"/>
        <v>1.5259893556492159</v>
      </c>
    </row>
    <row r="31" spans="1:14" x14ac:dyDescent="0.2">
      <c r="A31" s="999" t="s">
        <v>831</v>
      </c>
      <c r="B31" s="933" t="s">
        <v>51</v>
      </c>
      <c r="C31" s="1009">
        <v>116.79073172782384</v>
      </c>
      <c r="D31" s="1008">
        <v>99.539100000000005</v>
      </c>
      <c r="E31" s="1013">
        <v>17.251631727823835</v>
      </c>
      <c r="G31" s="1003">
        <v>25.333316788198985</v>
      </c>
      <c r="M31" s="1017">
        <v>99.539100000000005</v>
      </c>
      <c r="N31" s="1016">
        <f t="shared" si="0"/>
        <v>17.251631727823835</v>
      </c>
    </row>
    <row r="32" spans="1:14" x14ac:dyDescent="0.2">
      <c r="A32" s="999" t="s">
        <v>832</v>
      </c>
      <c r="B32" s="933" t="s">
        <v>52</v>
      </c>
      <c r="C32" s="1009">
        <v>6.7788749878910295</v>
      </c>
      <c r="D32" s="1008">
        <v>4.7012799999999997</v>
      </c>
      <c r="E32" s="1013">
        <v>2.0775949878910298</v>
      </c>
      <c r="G32" s="1003">
        <v>0.19923375424348944</v>
      </c>
      <c r="M32" s="1002">
        <v>4.7012799999999997</v>
      </c>
      <c r="N32" s="1001">
        <f t="shared" si="0"/>
        <v>2.0775949878910298</v>
      </c>
    </row>
    <row r="33" spans="1:14" x14ac:dyDescent="0.2">
      <c r="A33" s="999" t="s">
        <v>833</v>
      </c>
      <c r="B33" s="933" t="s">
        <v>53</v>
      </c>
      <c r="C33" s="1009">
        <v>6.3016376424689327</v>
      </c>
      <c r="D33" s="1008">
        <v>2.3354699999999999</v>
      </c>
      <c r="E33" s="1013">
        <v>3.9661676424689327</v>
      </c>
      <c r="G33" s="1003">
        <v>-0.33369579702551633</v>
      </c>
      <c r="M33" s="1002">
        <v>2.3354699999999999</v>
      </c>
      <c r="N33" s="1001">
        <f t="shared" si="0"/>
        <v>3.9661676424689327</v>
      </c>
    </row>
    <row r="34" spans="1:14" x14ac:dyDescent="0.2">
      <c r="A34" s="999" t="s">
        <v>834</v>
      </c>
      <c r="B34" s="933" t="s">
        <v>54</v>
      </c>
      <c r="C34" s="1009">
        <v>20.896402519913561</v>
      </c>
      <c r="D34" s="1008">
        <v>3.89418</v>
      </c>
      <c r="E34" s="1013">
        <v>17.002222519913563</v>
      </c>
      <c r="G34" s="1003">
        <v>1.7446115989723587</v>
      </c>
      <c r="M34" s="1002">
        <v>3.89418</v>
      </c>
      <c r="N34" s="1001">
        <f t="shared" si="0"/>
        <v>17.002222519913563</v>
      </c>
    </row>
    <row r="35" spans="1:14" x14ac:dyDescent="0.2">
      <c r="A35" s="999" t="s">
        <v>835</v>
      </c>
      <c r="B35" s="933" t="s">
        <v>55</v>
      </c>
      <c r="C35" s="1009">
        <v>5.6966183871865246</v>
      </c>
      <c r="D35" s="1008">
        <v>1.1522699999999999</v>
      </c>
      <c r="E35" s="1013">
        <v>4.5443483871865249</v>
      </c>
      <c r="G35" s="1003">
        <v>0.70952661699010822</v>
      </c>
      <c r="M35" s="1002">
        <v>1.1522699999999999</v>
      </c>
      <c r="N35" s="1001">
        <f t="shared" si="0"/>
        <v>4.5443483871865249</v>
      </c>
    </row>
    <row r="36" spans="1:14" x14ac:dyDescent="0.2">
      <c r="A36" s="999" t="s">
        <v>836</v>
      </c>
      <c r="B36" s="933" t="s">
        <v>336</v>
      </c>
      <c r="C36" s="1009">
        <v>5.6827296351281689</v>
      </c>
      <c r="D36" s="1008">
        <v>1.55504</v>
      </c>
      <c r="E36" s="1013">
        <v>4.1276896351281689</v>
      </c>
      <c r="G36" s="1003">
        <v>5.9232472250386969E-2</v>
      </c>
      <c r="M36" s="1002">
        <v>1.55504</v>
      </c>
      <c r="N36" s="1001">
        <f t="shared" si="0"/>
        <v>4.1276896351281689</v>
      </c>
    </row>
    <row r="37" spans="1:14" x14ac:dyDescent="0.2">
      <c r="A37" s="999" t="s">
        <v>837</v>
      </c>
      <c r="B37" s="933" t="s">
        <v>57</v>
      </c>
      <c r="C37" s="1009">
        <v>1.4722810724484763</v>
      </c>
      <c r="D37" s="1008">
        <v>0.20626800000000001</v>
      </c>
      <c r="E37" s="1013">
        <v>1.2660130724484762</v>
      </c>
      <c r="G37" s="1003">
        <v>0.17541429427980759</v>
      </c>
      <c r="M37" s="1002">
        <v>0.20626800000000001</v>
      </c>
      <c r="N37" s="1001">
        <f t="shared" si="0"/>
        <v>1.2660130724484762</v>
      </c>
    </row>
    <row r="38" spans="1:14" x14ac:dyDescent="0.2">
      <c r="A38" s="999" t="s">
        <v>838</v>
      </c>
      <c r="B38" s="933" t="s">
        <v>58</v>
      </c>
      <c r="C38" s="1009">
        <v>23.86000412090284</v>
      </c>
      <c r="D38" s="1008">
        <v>15.59</v>
      </c>
      <c r="E38" s="1013">
        <v>8.2700041209028399</v>
      </c>
      <c r="G38" s="1003">
        <v>2.3500796782907898</v>
      </c>
      <c r="M38" s="1002">
        <v>15.59</v>
      </c>
      <c r="N38" s="1001">
        <f t="shared" si="0"/>
        <v>8.2700041209028399</v>
      </c>
    </row>
    <row r="39" spans="1:14" x14ac:dyDescent="0.2">
      <c r="A39" s="999" t="s">
        <v>839</v>
      </c>
      <c r="B39" s="933" t="s">
        <v>59</v>
      </c>
      <c r="C39" s="1009">
        <v>23.138033012430562</v>
      </c>
      <c r="D39" s="1008">
        <v>4.8305800000000003</v>
      </c>
      <c r="E39" s="1013">
        <v>18.30745301243056</v>
      </c>
      <c r="G39" s="1003">
        <v>-2.0280014961016235</v>
      </c>
      <c r="K39" s="1018"/>
      <c r="M39" s="1002">
        <v>4.8305800000000003</v>
      </c>
      <c r="N39" s="1001">
        <f t="shared" si="0"/>
        <v>18.30745301243056</v>
      </c>
    </row>
    <row r="40" spans="1:14" x14ac:dyDescent="0.2">
      <c r="A40" s="999" t="s">
        <v>840</v>
      </c>
      <c r="B40" s="933" t="s">
        <v>60</v>
      </c>
      <c r="C40" s="1009">
        <v>74.475091338037956</v>
      </c>
      <c r="D40" s="1008">
        <v>4.0603899999999999</v>
      </c>
      <c r="E40" s="1013">
        <v>70.414701338037958</v>
      </c>
      <c r="G40" s="1003">
        <v>15.002729189836039</v>
      </c>
      <c r="M40" s="1017">
        <v>4.0603899999999999</v>
      </c>
      <c r="N40" s="1016">
        <f t="shared" si="0"/>
        <v>70.414701338037958</v>
      </c>
    </row>
    <row r="41" spans="1:14" x14ac:dyDescent="0.2">
      <c r="A41" s="999" t="s">
        <v>841</v>
      </c>
      <c r="B41" s="933" t="s">
        <v>61</v>
      </c>
      <c r="C41" s="1009">
        <v>3.0949831637283318</v>
      </c>
      <c r="D41" s="1008">
        <v>1.79166</v>
      </c>
      <c r="E41" s="1013">
        <v>1.3033231637283318</v>
      </c>
      <c r="G41" s="1003">
        <v>-0.52968178720452386</v>
      </c>
      <c r="M41" s="1002">
        <v>1.79166</v>
      </c>
      <c r="N41" s="1001">
        <f t="shared" ref="N41:N72" si="1">+C41-M41</f>
        <v>1.3033231637283318</v>
      </c>
    </row>
    <row r="42" spans="1:14" x14ac:dyDescent="0.2">
      <c r="A42" s="999" t="s">
        <v>842</v>
      </c>
      <c r="B42" s="933" t="s">
        <v>62</v>
      </c>
      <c r="C42" s="1009">
        <v>77.12171185508565</v>
      </c>
      <c r="D42" s="1008">
        <v>47.438000000000002</v>
      </c>
      <c r="E42" s="1013">
        <v>29.683711855085647</v>
      </c>
      <c r="G42" s="1003">
        <v>10.607011084307615</v>
      </c>
      <c r="M42" s="1002">
        <v>47.438000000000002</v>
      </c>
      <c r="N42" s="1001">
        <f t="shared" si="1"/>
        <v>29.683711855085647</v>
      </c>
    </row>
    <row r="43" spans="1:14" x14ac:dyDescent="0.2">
      <c r="A43" s="999" t="s">
        <v>242</v>
      </c>
      <c r="B43" s="933" t="s">
        <v>63</v>
      </c>
      <c r="C43" s="1009">
        <v>173.59931884635012</v>
      </c>
      <c r="D43" s="1008">
        <v>81.4679</v>
      </c>
      <c r="E43" s="1013">
        <v>92.131418846350115</v>
      </c>
      <c r="G43" s="1003">
        <v>16.707334846350136</v>
      </c>
      <c r="M43" s="1002">
        <v>81.4679</v>
      </c>
      <c r="N43" s="1001">
        <f t="shared" si="1"/>
        <v>92.131418846350115</v>
      </c>
    </row>
    <row r="44" spans="1:14" s="2" customFormat="1" ht="40.5" customHeight="1" x14ac:dyDescent="0.2">
      <c r="A44" s="1015"/>
      <c r="B44" s="972" t="s">
        <v>64</v>
      </c>
      <c r="C44" s="1009">
        <v>299.45141460636631</v>
      </c>
      <c r="D44" s="969">
        <v>117.04582600000001</v>
      </c>
      <c r="E44" s="1014">
        <v>182.40558860636631</v>
      </c>
      <c r="G44" s="1003">
        <v>39.635499883679472</v>
      </c>
      <c r="M44" s="1009">
        <f>+SUM(M45:M51)</f>
        <v>117.04582600000001</v>
      </c>
      <c r="N44" s="950">
        <f t="shared" si="1"/>
        <v>182.40558860636631</v>
      </c>
    </row>
    <row r="45" spans="1:14" x14ac:dyDescent="0.2">
      <c r="A45" s="999" t="s">
        <v>843</v>
      </c>
      <c r="B45" s="933" t="s">
        <v>65</v>
      </c>
      <c r="C45" s="1009">
        <v>36.592139372351674</v>
      </c>
      <c r="D45" s="1008">
        <v>4.4921899999999999</v>
      </c>
      <c r="E45" s="1013">
        <v>32.099949372351674</v>
      </c>
      <c r="G45" s="1003">
        <v>7.0226794726332358</v>
      </c>
      <c r="M45" s="1002">
        <v>4.4921899999999999</v>
      </c>
      <c r="N45" s="1001">
        <f t="shared" si="1"/>
        <v>32.099949372351674</v>
      </c>
    </row>
    <row r="46" spans="1:14" x14ac:dyDescent="0.2">
      <c r="A46" s="999" t="s">
        <v>844</v>
      </c>
      <c r="B46" s="933" t="s">
        <v>66</v>
      </c>
      <c r="C46" s="1009">
        <v>170.74535649676403</v>
      </c>
      <c r="D46" s="1008">
        <v>99.093100000000007</v>
      </c>
      <c r="E46" s="1013">
        <v>71.652256496764025</v>
      </c>
      <c r="G46" s="1003">
        <v>8.5163998852483758</v>
      </c>
      <c r="M46" s="1002">
        <v>99.093100000000007</v>
      </c>
      <c r="N46" s="1001">
        <f t="shared" si="1"/>
        <v>71.652256496764025</v>
      </c>
    </row>
    <row r="47" spans="1:14" x14ac:dyDescent="0.2">
      <c r="A47" s="999" t="s">
        <v>845</v>
      </c>
      <c r="B47" s="933" t="s">
        <v>67</v>
      </c>
      <c r="C47" s="1009">
        <v>6.6938160931741955</v>
      </c>
      <c r="D47" s="1008">
        <v>-9.8330099999999998</v>
      </c>
      <c r="E47" s="1013">
        <v>16.526826093174193</v>
      </c>
      <c r="G47" s="1003">
        <v>0.18374958927641849</v>
      </c>
      <c r="M47" s="1002">
        <v>-9.8330099999999998</v>
      </c>
      <c r="N47" s="1001">
        <f t="shared" si="1"/>
        <v>16.526826093174193</v>
      </c>
    </row>
    <row r="48" spans="1:14" x14ac:dyDescent="0.2">
      <c r="A48" s="999" t="s">
        <v>846</v>
      </c>
      <c r="B48" s="933" t="s">
        <v>68</v>
      </c>
      <c r="C48" s="1009">
        <v>2.1003162704202181</v>
      </c>
      <c r="D48" s="1008">
        <v>0.93594599999999994</v>
      </c>
      <c r="E48" s="1013">
        <v>1.1643702704202181</v>
      </c>
      <c r="G48" s="1003">
        <v>0.95311440578458728</v>
      </c>
      <c r="M48" s="1002">
        <v>0.93594599999999994</v>
      </c>
      <c r="N48" s="1001">
        <f t="shared" si="1"/>
        <v>1.1643702704202181</v>
      </c>
    </row>
    <row r="49" spans="1:14" x14ac:dyDescent="0.2">
      <c r="A49" s="999" t="s">
        <v>847</v>
      </c>
      <c r="B49" s="933" t="s">
        <v>69</v>
      </c>
      <c r="C49" s="1009">
        <v>22.339691046068683</v>
      </c>
      <c r="D49" s="1008">
        <v>13.8314</v>
      </c>
      <c r="E49" s="1013">
        <v>8.5082910460686829</v>
      </c>
      <c r="G49" s="1003">
        <v>13.922352193264606</v>
      </c>
      <c r="M49" s="1002">
        <v>13.8314</v>
      </c>
      <c r="N49" s="1001">
        <f t="shared" si="1"/>
        <v>8.5082910460686829</v>
      </c>
    </row>
    <row r="50" spans="1:14" x14ac:dyDescent="0.2">
      <c r="A50" s="999" t="s">
        <v>848</v>
      </c>
      <c r="B50" s="933" t="s">
        <v>70</v>
      </c>
      <c r="C50" s="1009">
        <v>53.138658872858791</v>
      </c>
      <c r="D50" s="1008">
        <v>5.62751</v>
      </c>
      <c r="E50" s="1013">
        <v>47.51114887285879</v>
      </c>
      <c r="G50" s="1003">
        <v>18.304360443398899</v>
      </c>
      <c r="M50" s="1002">
        <v>5.62751</v>
      </c>
      <c r="N50" s="1001">
        <f t="shared" si="1"/>
        <v>47.51114887285879</v>
      </c>
    </row>
    <row r="51" spans="1:14" x14ac:dyDescent="0.2">
      <c r="A51" s="999" t="s">
        <v>849</v>
      </c>
      <c r="B51" s="933" t="s">
        <v>71</v>
      </c>
      <c r="C51" s="1009">
        <v>7.8414364547286777</v>
      </c>
      <c r="D51" s="1008">
        <v>2.8986900000000002</v>
      </c>
      <c r="E51" s="1013">
        <v>4.9427464547286775</v>
      </c>
      <c r="G51" s="1003">
        <v>-0.31516724653629424</v>
      </c>
      <c r="M51" s="1002">
        <v>2.8986900000000002</v>
      </c>
      <c r="N51" s="1001">
        <f t="shared" si="1"/>
        <v>4.9427464547286775</v>
      </c>
    </row>
    <row r="52" spans="1:14" s="1010" customFormat="1" ht="40.5" customHeight="1" x14ac:dyDescent="0.2">
      <c r="A52" s="1012"/>
      <c r="B52" s="972" t="s">
        <v>72</v>
      </c>
      <c r="C52" s="1009">
        <v>372.44497943477711</v>
      </c>
      <c r="D52" s="969">
        <v>235.40427537853603</v>
      </c>
      <c r="E52" s="1011">
        <v>137.04070405624108</v>
      </c>
      <c r="G52" s="1003" t="e">
        <v>#REF!</v>
      </c>
      <c r="M52" s="1009">
        <f>SUM(M53:M88)</f>
        <v>235.40427537853603</v>
      </c>
      <c r="N52" s="950">
        <f t="shared" si="1"/>
        <v>137.04070405624108</v>
      </c>
    </row>
    <row r="53" spans="1:14" ht="15.75" customHeight="1" x14ac:dyDescent="0.2">
      <c r="A53" s="999" t="s">
        <v>850</v>
      </c>
      <c r="B53" s="933" t="s">
        <v>73</v>
      </c>
      <c r="C53" s="1009">
        <v>1.0988663489993817</v>
      </c>
      <c r="D53" s="1008">
        <v>-1.99635E-6</v>
      </c>
      <c r="E53" s="1007">
        <v>1.0988683453493817</v>
      </c>
      <c r="G53" s="1003">
        <v>-1.1565081536213384E-5</v>
      </c>
      <c r="J53" s="954" t="s">
        <v>1005</v>
      </c>
      <c r="K53" s="954" t="s">
        <v>303</v>
      </c>
      <c r="L53" s="954" t="s">
        <v>1006</v>
      </c>
      <c r="M53" s="1002">
        <v>-1.99635E-6</v>
      </c>
      <c r="N53" s="1001">
        <f t="shared" si="1"/>
        <v>1.0988683453493817</v>
      </c>
    </row>
    <row r="54" spans="1:14" ht="15.75" customHeight="1" x14ac:dyDescent="0.2">
      <c r="A54" s="999" t="s">
        <v>851</v>
      </c>
      <c r="B54" s="933" t="s">
        <v>74</v>
      </c>
      <c r="C54" s="1009">
        <v>0.13585863030987044</v>
      </c>
      <c r="D54" s="1008">
        <v>0</v>
      </c>
      <c r="E54" s="1007">
        <v>0.13585863030987044</v>
      </c>
      <c r="G54" s="1003">
        <v>-9.6040879385723171E-2</v>
      </c>
      <c r="K54" s="954" t="s">
        <v>1007</v>
      </c>
      <c r="L54" s="954" t="s">
        <v>1008</v>
      </c>
      <c r="M54" s="1002">
        <v>0</v>
      </c>
      <c r="N54" s="1001">
        <f t="shared" si="1"/>
        <v>0.13585863030987044</v>
      </c>
    </row>
    <row r="55" spans="1:14" ht="15.75" customHeight="1" x14ac:dyDescent="0.2">
      <c r="A55" s="999" t="s">
        <v>852</v>
      </c>
      <c r="B55" s="933" t="s">
        <v>75</v>
      </c>
      <c r="C55" s="1009">
        <v>0.77298716932806955</v>
      </c>
      <c r="D55" s="1008">
        <v>0</v>
      </c>
      <c r="E55" s="1007">
        <v>0.77298716932806955</v>
      </c>
      <c r="G55" s="1003">
        <v>-9.9930426056821786E-2</v>
      </c>
      <c r="J55" s="954" t="s">
        <v>1009</v>
      </c>
      <c r="K55" s="954" t="s">
        <v>1007</v>
      </c>
      <c r="L55" s="954" t="s">
        <v>1008</v>
      </c>
      <c r="M55" s="1002">
        <v>0</v>
      </c>
      <c r="N55" s="1001">
        <f t="shared" si="1"/>
        <v>0.77298716932806955</v>
      </c>
    </row>
    <row r="56" spans="1:14" ht="15.75" customHeight="1" x14ac:dyDescent="0.2">
      <c r="A56" s="999" t="s">
        <v>853</v>
      </c>
      <c r="B56" s="933" t="s">
        <v>76</v>
      </c>
      <c r="C56" s="1009">
        <v>1.0500939649939438</v>
      </c>
      <c r="D56" s="1008">
        <v>0.17943600000000001</v>
      </c>
      <c r="E56" s="1007">
        <v>0.87065796499394377</v>
      </c>
      <c r="G56" s="1003">
        <v>0.11303351864874878</v>
      </c>
      <c r="J56" s="954" t="s">
        <v>1010</v>
      </c>
      <c r="K56" s="954" t="s">
        <v>1007</v>
      </c>
      <c r="L56" s="954" t="s">
        <v>1008</v>
      </c>
      <c r="M56" s="1002">
        <v>0.17943600000000001</v>
      </c>
      <c r="N56" s="1001">
        <f t="shared" si="1"/>
        <v>0.87065796499394377</v>
      </c>
    </row>
    <row r="57" spans="1:14" ht="15.75" customHeight="1" x14ac:dyDescent="0.2">
      <c r="A57" s="999" t="s">
        <v>854</v>
      </c>
      <c r="B57" s="933" t="s">
        <v>77</v>
      </c>
      <c r="C57" s="1009">
        <v>23.01295048795701</v>
      </c>
      <c r="D57" s="1008">
        <v>21.8063</v>
      </c>
      <c r="E57" s="1007">
        <v>1.2066504879570097</v>
      </c>
      <c r="G57" s="1003">
        <v>15.557634387209866</v>
      </c>
      <c r="J57" s="954" t="s">
        <v>1009</v>
      </c>
      <c r="K57" s="954" t="s">
        <v>1007</v>
      </c>
      <c r="L57" s="954" t="s">
        <v>1008</v>
      </c>
      <c r="M57" s="1002">
        <v>21.8063</v>
      </c>
      <c r="N57" s="1001">
        <f t="shared" si="1"/>
        <v>1.2066504879570097</v>
      </c>
    </row>
    <row r="58" spans="1:14" ht="15.75" customHeight="1" x14ac:dyDescent="0.2">
      <c r="A58" s="999" t="s">
        <v>981</v>
      </c>
      <c r="B58" s="933" t="s">
        <v>78</v>
      </c>
      <c r="C58" s="1009">
        <v>9.3510785996380665</v>
      </c>
      <c r="D58" s="1008">
        <v>0.130801</v>
      </c>
      <c r="E58" s="1007">
        <v>9.2202775996380666</v>
      </c>
      <c r="G58" s="1003">
        <v>-0.80710578998650995</v>
      </c>
      <c r="J58" s="954" t="s">
        <v>1011</v>
      </c>
      <c r="K58" s="954" t="e">
        <v>#N/A</v>
      </c>
      <c r="L58" s="954" t="e">
        <v>#N/A</v>
      </c>
      <c r="M58" s="1002">
        <v>0.130801</v>
      </c>
      <c r="N58" s="1001">
        <f t="shared" si="1"/>
        <v>9.2202775996380666</v>
      </c>
    </row>
    <row r="59" spans="1:14" ht="15.75" customHeight="1" x14ac:dyDescent="0.2">
      <c r="A59" s="999" t="s">
        <v>855</v>
      </c>
      <c r="B59" s="933" t="s">
        <v>79</v>
      </c>
      <c r="C59" s="1009">
        <v>3.1948373065139912</v>
      </c>
      <c r="D59" s="1008">
        <v>1.3211900000000001</v>
      </c>
      <c r="E59" s="1007">
        <v>1.8736473065139911</v>
      </c>
      <c r="G59" s="1003">
        <v>-1.613845944093995</v>
      </c>
      <c r="K59" s="954" t="s">
        <v>1007</v>
      </c>
      <c r="L59" s="954" t="s">
        <v>1008</v>
      </c>
      <c r="M59" s="1002">
        <v>1.3211900000000001</v>
      </c>
      <c r="N59" s="1001">
        <f t="shared" si="1"/>
        <v>1.8736473065139911</v>
      </c>
    </row>
    <row r="60" spans="1:14" ht="15.75" customHeight="1" x14ac:dyDescent="0.2">
      <c r="A60" s="999" t="s">
        <v>856</v>
      </c>
      <c r="B60" s="933" t="s">
        <v>80</v>
      </c>
      <c r="C60" s="1009">
        <v>0.92037547804379038</v>
      </c>
      <c r="D60" s="1008">
        <v>-3.4558400000000001E-7</v>
      </c>
      <c r="E60" s="1007">
        <v>0.92037582362779036</v>
      </c>
      <c r="G60" s="1003">
        <v>-2.64112901128436E-2</v>
      </c>
      <c r="J60" s="954" t="s">
        <v>1009</v>
      </c>
      <c r="K60" s="954" t="s">
        <v>1007</v>
      </c>
      <c r="L60" s="954" t="s">
        <v>1008</v>
      </c>
      <c r="M60" s="1002">
        <v>-3.4558400000000001E-7</v>
      </c>
      <c r="N60" s="1001">
        <f t="shared" si="1"/>
        <v>0.92037582362779036</v>
      </c>
    </row>
    <row r="61" spans="1:14" s="23" customFormat="1" ht="15.75" customHeight="1" x14ac:dyDescent="0.2">
      <c r="A61" s="999" t="s">
        <v>857</v>
      </c>
      <c r="B61" s="933" t="s">
        <v>81</v>
      </c>
      <c r="C61" s="1009">
        <v>17.853004838754249</v>
      </c>
      <c r="D61" s="1008">
        <v>25.8203</v>
      </c>
      <c r="E61" s="1007">
        <v>-7.967295161245751</v>
      </c>
      <c r="G61" s="1003">
        <v>-7.3236811061375811</v>
      </c>
      <c r="K61" s="954" t="s">
        <v>1007</v>
      </c>
      <c r="L61" s="954" t="s">
        <v>1012</v>
      </c>
      <c r="M61" s="1002">
        <v>25.8203</v>
      </c>
      <c r="N61" s="1001">
        <f t="shared" si="1"/>
        <v>-7.967295161245751</v>
      </c>
    </row>
    <row r="62" spans="1:14" ht="15.75" customHeight="1" x14ac:dyDescent="0.2">
      <c r="A62" s="999" t="s">
        <v>858</v>
      </c>
      <c r="B62" s="933" t="s">
        <v>82</v>
      </c>
      <c r="C62" s="1009">
        <v>0.15640939255467917</v>
      </c>
      <c r="D62" s="1008">
        <v>0</v>
      </c>
      <c r="E62" s="1007">
        <v>0.15640939255467917</v>
      </c>
      <c r="G62" s="1003">
        <v>-1.6461463165917678E-6</v>
      </c>
      <c r="K62" s="954" t="s">
        <v>1007</v>
      </c>
      <c r="L62" s="954" t="s">
        <v>1008</v>
      </c>
      <c r="M62" s="1002">
        <v>0</v>
      </c>
      <c r="N62" s="1001">
        <f t="shared" si="1"/>
        <v>0.15640939255467917</v>
      </c>
    </row>
    <row r="63" spans="1:14" ht="15.75" customHeight="1" x14ac:dyDescent="0.2">
      <c r="A63" s="999" t="s">
        <v>982</v>
      </c>
      <c r="B63" s="933" t="s">
        <v>83</v>
      </c>
      <c r="C63" s="1009">
        <v>34.354154352304938</v>
      </c>
      <c r="D63" s="1008">
        <v>23.590599999999998</v>
      </c>
      <c r="E63" s="1007">
        <v>10.76355435230494</v>
      </c>
      <c r="G63" s="1003">
        <v>4.5284160179053146</v>
      </c>
      <c r="K63" s="954" t="e">
        <v>#N/A</v>
      </c>
      <c r="L63" s="954" t="e">
        <v>#N/A</v>
      </c>
      <c r="M63" s="1002">
        <v>23.590599999999998</v>
      </c>
      <c r="N63" s="1001">
        <f t="shared" si="1"/>
        <v>10.76355435230494</v>
      </c>
    </row>
    <row r="64" spans="1:14" ht="15.75" customHeight="1" x14ac:dyDescent="0.2">
      <c r="A64" s="999" t="s">
        <v>859</v>
      </c>
      <c r="B64" s="933" t="s">
        <v>84</v>
      </c>
      <c r="C64" s="1009">
        <v>15.174604288417083</v>
      </c>
      <c r="D64" s="1008">
        <v>25.371099999999998</v>
      </c>
      <c r="E64" s="1007">
        <v>-10.196495711582916</v>
      </c>
      <c r="G64" s="1003">
        <v>-7.9171384684479698</v>
      </c>
      <c r="K64" s="954" t="s">
        <v>1007</v>
      </c>
      <c r="L64" s="954" t="s">
        <v>1008</v>
      </c>
      <c r="M64" s="1002">
        <v>25.371099999999998</v>
      </c>
      <c r="N64" s="1001">
        <f t="shared" si="1"/>
        <v>-10.196495711582916</v>
      </c>
    </row>
    <row r="65" spans="1:14" ht="15.75" customHeight="1" x14ac:dyDescent="0.2">
      <c r="A65" s="999" t="s">
        <v>860</v>
      </c>
      <c r="B65" s="933" t="s">
        <v>85</v>
      </c>
      <c r="C65" s="1009">
        <v>13.315782372124771</v>
      </c>
      <c r="D65" s="1008">
        <v>0.17893000000000001</v>
      </c>
      <c r="E65" s="1007">
        <v>13.136852372124771</v>
      </c>
      <c r="G65" s="1003">
        <v>1.7291714303428538</v>
      </c>
      <c r="K65" s="954" t="s">
        <v>1007</v>
      </c>
      <c r="L65" s="954" t="s">
        <v>1008</v>
      </c>
      <c r="M65" s="1002">
        <v>0.17893000000000001</v>
      </c>
      <c r="N65" s="1001">
        <f t="shared" si="1"/>
        <v>13.136852372124771</v>
      </c>
    </row>
    <row r="66" spans="1:14" ht="15.75" customHeight="1" x14ac:dyDescent="0.2">
      <c r="A66" s="999" t="s">
        <v>861</v>
      </c>
      <c r="B66" s="933" t="s">
        <v>86</v>
      </c>
      <c r="C66" s="1009">
        <v>5.3579042617860004</v>
      </c>
      <c r="D66" s="1008">
        <v>2.26172</v>
      </c>
      <c r="E66" s="1007">
        <v>3.0961842617860005</v>
      </c>
      <c r="G66" s="1003" t="e">
        <v>#REF!</v>
      </c>
      <c r="K66" s="954" t="s">
        <v>1013</v>
      </c>
      <c r="L66" s="954" t="s">
        <v>1014</v>
      </c>
      <c r="M66" s="1002">
        <v>2.26172</v>
      </c>
      <c r="N66" s="1001">
        <f t="shared" si="1"/>
        <v>3.0961842617860005</v>
      </c>
    </row>
    <row r="67" spans="1:14" ht="15.75" customHeight="1" x14ac:dyDescent="0.2">
      <c r="A67" s="999" t="s">
        <v>862</v>
      </c>
      <c r="B67" s="933" t="s">
        <v>87</v>
      </c>
      <c r="C67" s="1009">
        <v>2.7252758299838886</v>
      </c>
      <c r="D67" s="1008">
        <v>-5.2532200000000001E-2</v>
      </c>
      <c r="E67" s="1007">
        <v>2.7778080299838885</v>
      </c>
      <c r="G67" s="1003">
        <v>-2.562920720603926</v>
      </c>
      <c r="K67" s="954" t="s">
        <v>303</v>
      </c>
      <c r="L67" s="954" t="s">
        <v>1015</v>
      </c>
      <c r="M67" s="1002">
        <v>-5.2532200000000001E-2</v>
      </c>
      <c r="N67" s="1001">
        <f t="shared" si="1"/>
        <v>2.7778080299838885</v>
      </c>
    </row>
    <row r="68" spans="1:14" ht="15.75" customHeight="1" x14ac:dyDescent="0.2">
      <c r="A68" s="999" t="s">
        <v>863</v>
      </c>
      <c r="B68" s="933" t="s">
        <v>88</v>
      </c>
      <c r="C68" s="1009">
        <v>0.38558316196483711</v>
      </c>
      <c r="D68" s="1008">
        <v>0</v>
      </c>
      <c r="E68" s="1007">
        <v>0.38558316196483711</v>
      </c>
      <c r="G68" s="1003">
        <v>-1.9518947831985156E-2</v>
      </c>
      <c r="K68" s="954" t="s">
        <v>1007</v>
      </c>
      <c r="L68" s="954" t="s">
        <v>1008</v>
      </c>
      <c r="M68" s="1002">
        <v>0</v>
      </c>
      <c r="N68" s="1001">
        <f t="shared" si="1"/>
        <v>0.38558316196483711</v>
      </c>
    </row>
    <row r="69" spans="1:14" ht="15.75" customHeight="1" x14ac:dyDescent="0.2">
      <c r="A69" s="999" t="s">
        <v>864</v>
      </c>
      <c r="B69" s="933" t="s">
        <v>89</v>
      </c>
      <c r="C69" s="1009">
        <v>1.8325605201823425</v>
      </c>
      <c r="D69" s="1008">
        <v>0.37750699999999998</v>
      </c>
      <c r="E69" s="1007">
        <v>1.4550535201823425</v>
      </c>
      <c r="G69" s="1003">
        <v>-1.9286963615527952E-5</v>
      </c>
      <c r="K69" s="954" t="s">
        <v>303</v>
      </c>
      <c r="L69" s="954" t="s">
        <v>1015</v>
      </c>
      <c r="M69" s="1002">
        <v>0.37750699999999998</v>
      </c>
      <c r="N69" s="1001">
        <f t="shared" si="1"/>
        <v>1.4550535201823425</v>
      </c>
    </row>
    <row r="70" spans="1:14" ht="15.75" customHeight="1" x14ac:dyDescent="0.2">
      <c r="A70" s="999" t="s">
        <v>865</v>
      </c>
      <c r="B70" s="933" t="s">
        <v>90</v>
      </c>
      <c r="C70" s="1009">
        <v>0.94969028110890008</v>
      </c>
      <c r="D70" s="1008">
        <v>3.9790705326E-2</v>
      </c>
      <c r="E70" s="1007">
        <v>0.90989957578290004</v>
      </c>
      <c r="G70" s="1003">
        <v>-9.9951537977371885E-6</v>
      </c>
      <c r="K70" s="954" t="s">
        <v>303</v>
      </c>
      <c r="L70" s="954" t="s">
        <v>1006</v>
      </c>
      <c r="M70" s="1002">
        <v>3.9790705326E-2</v>
      </c>
      <c r="N70" s="1001">
        <f t="shared" si="1"/>
        <v>0.90989957578290004</v>
      </c>
    </row>
    <row r="71" spans="1:14" s="23" customFormat="1" ht="15.75" customHeight="1" x14ac:dyDescent="0.2">
      <c r="A71" s="999" t="s">
        <v>866</v>
      </c>
      <c r="B71" s="933" t="s">
        <v>91</v>
      </c>
      <c r="C71" s="1009">
        <v>41.247754455415667</v>
      </c>
      <c r="D71" s="1008">
        <v>59.546100000000003</v>
      </c>
      <c r="E71" s="1007">
        <v>-18.298345544584336</v>
      </c>
      <c r="G71" s="1003" t="e">
        <v>#REF!</v>
      </c>
      <c r="K71" s="954" t="e">
        <v>#N/A</v>
      </c>
      <c r="L71" s="954" t="e">
        <v>#N/A</v>
      </c>
      <c r="M71" s="1002">
        <v>59.546100000000003</v>
      </c>
      <c r="N71" s="1001">
        <f t="shared" si="1"/>
        <v>-18.298345544584336</v>
      </c>
    </row>
    <row r="72" spans="1:14" ht="15.75" customHeight="1" x14ac:dyDescent="0.2">
      <c r="A72" s="999" t="s">
        <v>867</v>
      </c>
      <c r="B72" s="933" t="s">
        <v>92</v>
      </c>
      <c r="C72" s="1009">
        <v>2.6686585922329056</v>
      </c>
      <c r="D72" s="1008">
        <v>-3.0309599999999999E-2</v>
      </c>
      <c r="E72" s="1007">
        <v>2.6989681922329054</v>
      </c>
      <c r="G72" s="1003">
        <v>-0.70667162533526584</v>
      </c>
      <c r="K72" s="954" t="s">
        <v>303</v>
      </c>
      <c r="L72" s="954" t="s">
        <v>1015</v>
      </c>
      <c r="M72" s="1002">
        <v>-3.0309599999999999E-2</v>
      </c>
      <c r="N72" s="1001">
        <f t="shared" si="1"/>
        <v>2.6989681922329054</v>
      </c>
    </row>
    <row r="73" spans="1:14" ht="15.75" customHeight="1" x14ac:dyDescent="0.2">
      <c r="A73" s="999" t="s">
        <v>868</v>
      </c>
      <c r="B73" s="933" t="s">
        <v>93</v>
      </c>
      <c r="C73" s="1009">
        <v>11.053105073537282</v>
      </c>
      <c r="D73" s="1008">
        <v>0.13980000000000001</v>
      </c>
      <c r="E73" s="1007">
        <v>10.913305073537282</v>
      </c>
      <c r="G73" s="1003">
        <v>-6.9829331338723932E-2</v>
      </c>
      <c r="K73" s="954" t="s">
        <v>1013</v>
      </c>
      <c r="L73" s="954" t="s">
        <v>1014</v>
      </c>
      <c r="M73" s="1002">
        <v>0.13980000000000001</v>
      </c>
      <c r="N73" s="1001">
        <f t="shared" ref="N73:N88" si="2">+C73-M73</f>
        <v>10.913305073537282</v>
      </c>
    </row>
    <row r="74" spans="1:14" ht="15.75" customHeight="1" x14ac:dyDescent="0.2">
      <c r="A74" s="999" t="s">
        <v>869</v>
      </c>
      <c r="B74" s="933" t="s">
        <v>94</v>
      </c>
      <c r="C74" s="1009">
        <v>0.55824105720097961</v>
      </c>
      <c r="D74" s="1008">
        <v>0</v>
      </c>
      <c r="E74" s="1007">
        <v>0.55824105720097961</v>
      </c>
      <c r="G74" s="1003">
        <v>-6.6295821009920708E-5</v>
      </c>
      <c r="K74" s="954" t="s">
        <v>303</v>
      </c>
      <c r="L74" s="954" t="s">
        <v>1016</v>
      </c>
      <c r="M74" s="1002">
        <v>0</v>
      </c>
      <c r="N74" s="1001">
        <f t="shared" si="2"/>
        <v>0.55824105720097961</v>
      </c>
    </row>
    <row r="75" spans="1:14" ht="15.75" customHeight="1" x14ac:dyDescent="0.2">
      <c r="A75" s="999" t="s">
        <v>983</v>
      </c>
      <c r="B75" s="933" t="s">
        <v>95</v>
      </c>
      <c r="C75" s="1009">
        <v>10.286567109700968</v>
      </c>
      <c r="D75" s="1008">
        <v>3.6612100000000001</v>
      </c>
      <c r="E75" s="1007">
        <v>6.6253571097009676</v>
      </c>
      <c r="G75" s="1003">
        <v>-0.798852694928609</v>
      </c>
      <c r="K75" s="954" t="e">
        <v>#N/A</v>
      </c>
      <c r="L75" s="954" t="e">
        <v>#N/A</v>
      </c>
      <c r="M75" s="1002">
        <v>3.6612100000000001</v>
      </c>
      <c r="N75" s="1001">
        <f t="shared" si="2"/>
        <v>6.6253571097009676</v>
      </c>
    </row>
    <row r="76" spans="1:14" ht="15.75" customHeight="1" x14ac:dyDescent="0.2">
      <c r="A76" s="999" t="s">
        <v>870</v>
      </c>
      <c r="B76" s="933" t="s">
        <v>96</v>
      </c>
      <c r="C76" s="1009">
        <v>11.371342760819482</v>
      </c>
      <c r="D76" s="1008">
        <v>0.372726</v>
      </c>
      <c r="E76" s="1007">
        <v>10.998616760819482</v>
      </c>
      <c r="G76" s="1003">
        <v>-2.3786803347262762</v>
      </c>
      <c r="K76" s="954" t="s">
        <v>303</v>
      </c>
      <c r="L76" s="954" t="s">
        <v>1006</v>
      </c>
      <c r="M76" s="1002">
        <v>0.372726</v>
      </c>
      <c r="N76" s="1001">
        <f t="shared" si="2"/>
        <v>10.998616760819482</v>
      </c>
    </row>
    <row r="77" spans="1:14" ht="15.75" customHeight="1" x14ac:dyDescent="0.2">
      <c r="A77" s="999" t="s">
        <v>984</v>
      </c>
      <c r="B77" s="933" t="s">
        <v>97</v>
      </c>
      <c r="C77" s="1009">
        <v>3.0894454039654223E-2</v>
      </c>
      <c r="D77" s="1008">
        <v>3.6561687209999997E-3</v>
      </c>
      <c r="E77" s="1007">
        <v>2.7238285318654222E-2</v>
      </c>
      <c r="G77" s="1003">
        <v>2.034211719341962E-2</v>
      </c>
      <c r="K77" s="954" t="e">
        <v>#N/A</v>
      </c>
      <c r="L77" s="954" t="e">
        <v>#N/A</v>
      </c>
      <c r="M77" s="1002">
        <v>3.6561687209999997E-3</v>
      </c>
      <c r="N77" s="1001">
        <f t="shared" si="2"/>
        <v>2.7238285318654222E-2</v>
      </c>
    </row>
    <row r="78" spans="1:14" ht="15.75" customHeight="1" x14ac:dyDescent="0.2">
      <c r="A78" s="999" t="s">
        <v>871</v>
      </c>
      <c r="B78" s="933" t="s">
        <v>98</v>
      </c>
      <c r="C78" s="1009">
        <v>2.2492864285899197</v>
      </c>
      <c r="D78" s="1008">
        <v>0.31755899999999998</v>
      </c>
      <c r="E78" s="1007">
        <v>1.9317274285899197</v>
      </c>
      <c r="G78" s="1003">
        <v>5.7976885460129246E-3</v>
      </c>
      <c r="K78" s="954" t="s">
        <v>303</v>
      </c>
      <c r="L78" s="954" t="s">
        <v>1016</v>
      </c>
      <c r="M78" s="1002">
        <v>0.31755899999999998</v>
      </c>
      <c r="N78" s="1001">
        <f t="shared" si="2"/>
        <v>1.9317274285899197</v>
      </c>
    </row>
    <row r="79" spans="1:14" ht="15.75" customHeight="1" x14ac:dyDescent="0.2">
      <c r="A79" s="999" t="s">
        <v>872</v>
      </c>
      <c r="B79" s="933" t="s">
        <v>99</v>
      </c>
      <c r="C79" s="1009">
        <v>0.31060656026282224</v>
      </c>
      <c r="D79" s="1008">
        <v>0</v>
      </c>
      <c r="E79" s="1007">
        <v>0.31060656026282224</v>
      </c>
      <c r="G79" s="1003" t="e">
        <v>#REF!</v>
      </c>
      <c r="K79" s="954" t="s">
        <v>1007</v>
      </c>
      <c r="L79" s="954" t="s">
        <v>1008</v>
      </c>
      <c r="M79" s="1002">
        <v>0</v>
      </c>
      <c r="N79" s="1001">
        <f t="shared" si="2"/>
        <v>0.31060656026282224</v>
      </c>
    </row>
    <row r="80" spans="1:14" ht="15.75" customHeight="1" x14ac:dyDescent="0.2">
      <c r="A80" s="999" t="s">
        <v>873</v>
      </c>
      <c r="B80" s="933" t="s">
        <v>100</v>
      </c>
      <c r="C80" s="1009">
        <v>7.5028811322830036</v>
      </c>
      <c r="D80" s="1008">
        <v>1.9911700000000001</v>
      </c>
      <c r="E80" s="1007">
        <v>5.5117111322830032</v>
      </c>
      <c r="G80" s="1003">
        <v>-0.19721876540762651</v>
      </c>
      <c r="K80" s="954" t="s">
        <v>305</v>
      </c>
      <c r="L80" s="954" t="s">
        <v>1017</v>
      </c>
      <c r="M80" s="1002">
        <v>1.9911700000000001</v>
      </c>
      <c r="N80" s="1001">
        <f t="shared" si="2"/>
        <v>5.5117111322830032</v>
      </c>
    </row>
    <row r="81" spans="1:14" ht="15.75" customHeight="1" x14ac:dyDescent="0.2">
      <c r="A81" s="999" t="s">
        <v>874</v>
      </c>
      <c r="B81" s="933" t="s">
        <v>101</v>
      </c>
      <c r="C81" s="1009">
        <v>1.2355773667622216</v>
      </c>
      <c r="D81" s="1008">
        <v>6.739544888E-3</v>
      </c>
      <c r="E81" s="1007">
        <v>1.2288378218742215</v>
      </c>
      <c r="G81" s="1003">
        <v>0.39618786183211985</v>
      </c>
      <c r="K81" s="954" t="s">
        <v>305</v>
      </c>
      <c r="L81" s="954" t="s">
        <v>1017</v>
      </c>
      <c r="M81" s="1002">
        <v>6.739544888E-3</v>
      </c>
      <c r="N81" s="1001">
        <f t="shared" si="2"/>
        <v>1.2288378218742215</v>
      </c>
    </row>
    <row r="82" spans="1:14" s="23" customFormat="1" ht="15.75" customHeight="1" x14ac:dyDescent="0.2">
      <c r="A82" s="999" t="s">
        <v>875</v>
      </c>
      <c r="B82" s="933" t="s">
        <v>102</v>
      </c>
      <c r="C82" s="1009">
        <v>86.989256538472546</v>
      </c>
      <c r="D82" s="1008">
        <v>28.290500000000002</v>
      </c>
      <c r="E82" s="1007">
        <v>58.698756538472544</v>
      </c>
      <c r="G82" s="1003">
        <v>-6.3279548686591056</v>
      </c>
      <c r="K82" s="954" t="s">
        <v>1013</v>
      </c>
      <c r="L82" s="954" t="s">
        <v>1018</v>
      </c>
      <c r="M82" s="1002">
        <v>28.290500000000002</v>
      </c>
      <c r="N82" s="1001">
        <f t="shared" si="2"/>
        <v>58.698756538472544</v>
      </c>
    </row>
    <row r="83" spans="1:14" ht="15.75" customHeight="1" x14ac:dyDescent="0.2">
      <c r="A83" s="999" t="s">
        <v>876</v>
      </c>
      <c r="B83" s="933" t="s">
        <v>103</v>
      </c>
      <c r="C83" s="1009">
        <v>0.48984553221642657</v>
      </c>
      <c r="D83" s="1008">
        <v>6.5713192907999998E-2</v>
      </c>
      <c r="E83" s="1007">
        <v>0.42413233930842659</v>
      </c>
      <c r="G83" s="1003" t="e">
        <v>#REF!</v>
      </c>
      <c r="K83" s="954" t="s">
        <v>1007</v>
      </c>
      <c r="L83" s="954" t="s">
        <v>1008</v>
      </c>
      <c r="M83" s="1002">
        <v>6.5713192907999998E-2</v>
      </c>
      <c r="N83" s="1001">
        <f t="shared" si="2"/>
        <v>0.42413233930842659</v>
      </c>
    </row>
    <row r="84" spans="1:14" ht="15.75" customHeight="1" x14ac:dyDescent="0.2">
      <c r="A84" s="999" t="s">
        <v>877</v>
      </c>
      <c r="B84" s="933" t="s">
        <v>104</v>
      </c>
      <c r="C84" s="1009">
        <v>0.8893833966607867</v>
      </c>
      <c r="D84" s="1008">
        <v>5.5390908626999996E-2</v>
      </c>
      <c r="E84" s="1007">
        <v>0.83399248803378667</v>
      </c>
      <c r="G84" s="1003">
        <v>-8.6455280772847143E-2</v>
      </c>
      <c r="K84" s="954" t="s">
        <v>1007</v>
      </c>
      <c r="L84" s="954" t="s">
        <v>1008</v>
      </c>
      <c r="M84" s="1002">
        <v>5.5390908626999996E-2</v>
      </c>
      <c r="N84" s="1001">
        <f t="shared" si="2"/>
        <v>0.83399248803378667</v>
      </c>
    </row>
    <row r="85" spans="1:14" ht="15.75" customHeight="1" x14ac:dyDescent="0.2">
      <c r="A85" s="999" t="s">
        <v>878</v>
      </c>
      <c r="B85" s="933" t="s">
        <v>105</v>
      </c>
      <c r="C85" s="1009">
        <v>0.37672398905719778</v>
      </c>
      <c r="D85" s="1008">
        <v>0</v>
      </c>
      <c r="E85" s="1007">
        <v>0.37672398905719778</v>
      </c>
      <c r="G85" s="1003" t="e">
        <v>#REF!</v>
      </c>
      <c r="K85" s="954" t="s">
        <v>1007</v>
      </c>
      <c r="L85" s="954" t="s">
        <v>1008</v>
      </c>
      <c r="M85" s="1002">
        <v>0</v>
      </c>
      <c r="N85" s="1001">
        <f t="shared" si="2"/>
        <v>0.37672398905719778</v>
      </c>
    </row>
    <row r="86" spans="1:14" ht="15.75" customHeight="1" x14ac:dyDescent="0.2">
      <c r="A86" s="999" t="s">
        <v>879</v>
      </c>
      <c r="B86" s="933" t="s">
        <v>106</v>
      </c>
      <c r="C86" s="1009">
        <v>0.30631060215142369</v>
      </c>
      <c r="D86" s="1008">
        <v>0</v>
      </c>
      <c r="E86" s="1007">
        <v>0.30631060215142369</v>
      </c>
      <c r="G86" s="1003">
        <v>3.2455948916383315E-2</v>
      </c>
      <c r="K86" s="954" t="s">
        <v>1007</v>
      </c>
      <c r="L86" s="954" t="s">
        <v>1008</v>
      </c>
      <c r="M86" s="1002">
        <v>0</v>
      </c>
      <c r="N86" s="1001">
        <f t="shared" si="2"/>
        <v>0.30631060215142369</v>
      </c>
    </row>
    <row r="87" spans="1:14" ht="15.75" customHeight="1" x14ac:dyDescent="0.2">
      <c r="A87" s="999" t="s">
        <v>880</v>
      </c>
      <c r="B87" s="933" t="s">
        <v>107</v>
      </c>
      <c r="C87" s="1009">
        <v>23.264968868592899</v>
      </c>
      <c r="D87" s="1008">
        <v>1.0861799999999999</v>
      </c>
      <c r="E87" s="1007">
        <v>22.1787888685929</v>
      </c>
      <c r="G87" s="1003">
        <v>4.1270990230241829</v>
      </c>
      <c r="K87" s="954" t="s">
        <v>1007</v>
      </c>
      <c r="L87" s="954" t="s">
        <v>1008</v>
      </c>
      <c r="M87" s="1002">
        <v>1.0861799999999999</v>
      </c>
      <c r="N87" s="1001">
        <f t="shared" si="2"/>
        <v>22.1787888685929</v>
      </c>
    </row>
    <row r="88" spans="1:14" s="23" customFormat="1" ht="15.75" customHeight="1" thickBot="1" x14ac:dyDescent="0.25">
      <c r="A88" s="999" t="s">
        <v>881</v>
      </c>
      <c r="B88" s="928" t="s">
        <v>108</v>
      </c>
      <c r="C88" s="1006">
        <v>39.971558231815095</v>
      </c>
      <c r="D88" s="1005">
        <v>38.872700000000002</v>
      </c>
      <c r="E88" s="1004">
        <v>1.0988582318150932</v>
      </c>
      <c r="G88" s="1003">
        <v>-3.1843724027236178</v>
      </c>
      <c r="K88" s="954" t="s">
        <v>1007</v>
      </c>
      <c r="L88" s="954" t="s">
        <v>1008</v>
      </c>
      <c r="M88" s="1002">
        <v>38.872700000000002</v>
      </c>
      <c r="N88" s="1001">
        <f t="shared" si="2"/>
        <v>1.0988582318150932</v>
      </c>
    </row>
    <row r="89" spans="1:14" s="2" customFormat="1" x14ac:dyDescent="0.2">
      <c r="A89" s="999"/>
      <c r="B89" s="954"/>
      <c r="C89" s="954"/>
      <c r="D89" s="954"/>
      <c r="E89" s="954"/>
    </row>
    <row r="90" spans="1:14" s="2" customFormat="1" x14ac:dyDescent="0.2">
      <c r="A90" s="999"/>
      <c r="B90" s="954"/>
      <c r="C90" s="954"/>
      <c r="D90" s="954"/>
      <c r="E90" s="954"/>
    </row>
    <row r="91" spans="1:14" s="2" customFormat="1" x14ac:dyDescent="0.2">
      <c r="A91" s="999"/>
      <c r="B91" s="1000"/>
      <c r="C91" s="954"/>
      <c r="D91" s="954"/>
      <c r="E91" s="954"/>
    </row>
    <row r="92" spans="1:14" s="2" customFormat="1" x14ac:dyDescent="0.2">
      <c r="A92" s="999"/>
      <c r="B92" s="954"/>
      <c r="C92" s="268"/>
      <c r="D92" s="268"/>
      <c r="E92" s="268"/>
    </row>
    <row r="94" spans="1:14" s="2" customFormat="1" ht="30" customHeight="1" x14ac:dyDescent="0.2">
      <c r="A94" s="999"/>
      <c r="B94" s="128"/>
      <c r="C94" s="954"/>
      <c r="D94" s="954"/>
      <c r="E94" s="954"/>
    </row>
    <row r="98" ht="15" customHeight="1" x14ac:dyDescent="0.2"/>
  </sheetData>
  <mergeCells count="5">
    <mergeCell ref="D6:D7"/>
    <mergeCell ref="C6:C7"/>
    <mergeCell ref="E6:E7"/>
    <mergeCell ref="C3:E3"/>
    <mergeCell ref="C4:E4"/>
  </mergeCells>
  <pageMargins left="0.7" right="0.7" top="0.75" bottom="0.75" header="0.3" footer="0.3"/>
  <pageSetup scale="42" fitToHeight="0" orientation="portrait" horizontalDpi="4294967292" verticalDpi="4294967292"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843"/>
  <sheetViews>
    <sheetView workbookViewId="0">
      <selection activeCell="G396" sqref="G396"/>
    </sheetView>
  </sheetViews>
  <sheetFormatPr baseColWidth="10" defaultColWidth="8.83203125" defaultRowHeight="16" x14ac:dyDescent="0.2"/>
  <cols>
    <col min="2" max="2" width="16.6640625" bestFit="1" customWidth="1"/>
  </cols>
  <sheetData>
    <row r="1" spans="1:2" x14ac:dyDescent="0.2">
      <c r="A1" t="s">
        <v>1019</v>
      </c>
      <c r="B1" t="s">
        <v>1020</v>
      </c>
    </row>
    <row r="2" spans="1:2" x14ac:dyDescent="0.2">
      <c r="B2" t="s">
        <v>1021</v>
      </c>
    </row>
    <row r="3" spans="1:2" x14ac:dyDescent="0.2">
      <c r="A3" t="s">
        <v>853</v>
      </c>
      <c r="B3" s="1024">
        <v>176188000</v>
      </c>
    </row>
    <row r="4" spans="1:2" x14ac:dyDescent="0.2">
      <c r="A4" t="s">
        <v>1022</v>
      </c>
      <c r="B4" s="105">
        <v>-477367000</v>
      </c>
    </row>
    <row r="5" spans="1:2" x14ac:dyDescent="0.2">
      <c r="A5" t="s">
        <v>1023</v>
      </c>
      <c r="B5" s="1024">
        <v>2550835</v>
      </c>
    </row>
    <row r="6" spans="1:2" x14ac:dyDescent="0.2">
      <c r="A6" t="s">
        <v>1024</v>
      </c>
      <c r="B6" s="1024">
        <v>3300030000</v>
      </c>
    </row>
    <row r="7" spans="1:2" x14ac:dyDescent="0.2">
      <c r="A7" t="s">
        <v>1025</v>
      </c>
      <c r="B7" s="105">
        <v>2478640000</v>
      </c>
    </row>
    <row r="8" spans="1:2" x14ac:dyDescent="0.2">
      <c r="A8" t="s">
        <v>1026</v>
      </c>
      <c r="B8" s="105">
        <v>352205</v>
      </c>
    </row>
    <row r="9" spans="1:2" x14ac:dyDescent="0.2">
      <c r="A9" t="s">
        <v>809</v>
      </c>
      <c r="B9" s="105">
        <v>2494830000</v>
      </c>
    </row>
    <row r="10" spans="1:2" x14ac:dyDescent="0.2">
      <c r="A10" t="s">
        <v>810</v>
      </c>
      <c r="B10" s="1024">
        <v>685154000</v>
      </c>
    </row>
    <row r="11" spans="1:2" x14ac:dyDescent="0.2">
      <c r="A11" t="s">
        <v>1027</v>
      </c>
      <c r="B11" s="1024">
        <v>-123259000</v>
      </c>
    </row>
    <row r="12" spans="1:2" x14ac:dyDescent="0.2">
      <c r="A12" t="s">
        <v>811</v>
      </c>
      <c r="B12" s="105">
        <v>6445820000</v>
      </c>
    </row>
    <row r="13" spans="1:2" x14ac:dyDescent="0.2">
      <c r="A13" t="s">
        <v>1028</v>
      </c>
      <c r="B13" s="1024">
        <v>431317000</v>
      </c>
    </row>
    <row r="14" spans="1:2" x14ac:dyDescent="0.2">
      <c r="A14" t="s">
        <v>1029</v>
      </c>
      <c r="B14" s="105">
        <v>207567000</v>
      </c>
    </row>
    <row r="15" spans="1:2" x14ac:dyDescent="0.2">
      <c r="A15" t="s">
        <v>981</v>
      </c>
      <c r="B15" s="1024">
        <v>223158000</v>
      </c>
    </row>
    <row r="16" spans="1:2" x14ac:dyDescent="0.2">
      <c r="A16" t="s">
        <v>854</v>
      </c>
      <c r="B16" s="1024">
        <v>21809600000</v>
      </c>
    </row>
    <row r="17" spans="1:2" x14ac:dyDescent="0.2">
      <c r="A17" t="s">
        <v>1030</v>
      </c>
      <c r="B17" s="105">
        <v>12453334</v>
      </c>
    </row>
    <row r="18" spans="1:2" x14ac:dyDescent="0.2">
      <c r="A18" t="s">
        <v>1031</v>
      </c>
      <c r="B18" s="1024">
        <v>12202232</v>
      </c>
    </row>
    <row r="19" spans="1:2" x14ac:dyDescent="0.2">
      <c r="A19" t="s">
        <v>857</v>
      </c>
      <c r="B19" s="105">
        <v>24900500000</v>
      </c>
    </row>
    <row r="20" spans="1:2" x14ac:dyDescent="0.2">
      <c r="A20" t="s">
        <v>1032</v>
      </c>
      <c r="B20" s="1024">
        <v>17050125</v>
      </c>
    </row>
    <row r="21" spans="1:2" x14ac:dyDescent="0.2">
      <c r="A21" t="s">
        <v>843</v>
      </c>
      <c r="B21" s="1024">
        <v>367614000</v>
      </c>
    </row>
    <row r="22" spans="1:2" x14ac:dyDescent="0.2">
      <c r="A22" t="s">
        <v>855</v>
      </c>
      <c r="B22" s="1024">
        <v>1276910000</v>
      </c>
    </row>
    <row r="23" spans="1:2" x14ac:dyDescent="0.2">
      <c r="A23" t="s">
        <v>1033</v>
      </c>
      <c r="B23" s="1024">
        <v>-591701</v>
      </c>
    </row>
    <row r="24" spans="1:2" x14ac:dyDescent="0.2">
      <c r="A24" t="s">
        <v>1034</v>
      </c>
      <c r="B24" s="1024">
        <v>12152580</v>
      </c>
    </row>
    <row r="25" spans="1:2" x14ac:dyDescent="0.2">
      <c r="A25" t="s">
        <v>812</v>
      </c>
      <c r="B25" s="105">
        <v>17595000000</v>
      </c>
    </row>
    <row r="26" spans="1:2" x14ac:dyDescent="0.2">
      <c r="A26" t="s">
        <v>840</v>
      </c>
      <c r="B26" s="1024">
        <v>-6204430000</v>
      </c>
    </row>
    <row r="27" spans="1:2" x14ac:dyDescent="0.2">
      <c r="A27" t="s">
        <v>813</v>
      </c>
      <c r="B27" s="105">
        <v>4252560000</v>
      </c>
    </row>
    <row r="28" spans="1:2" x14ac:dyDescent="0.2">
      <c r="A28" t="s">
        <v>844</v>
      </c>
      <c r="B28" s="1024">
        <v>19083100000</v>
      </c>
    </row>
    <row r="29" spans="1:2" x14ac:dyDescent="0.2">
      <c r="A29" t="s">
        <v>1035</v>
      </c>
      <c r="B29" s="1024">
        <v>-51869500</v>
      </c>
    </row>
    <row r="30" spans="1:2" x14ac:dyDescent="0.2">
      <c r="A30" t="s">
        <v>1036</v>
      </c>
      <c r="B30" s="1024">
        <v>-34590600</v>
      </c>
    </row>
    <row r="31" spans="1:2" x14ac:dyDescent="0.2">
      <c r="A31" t="s">
        <v>1037</v>
      </c>
      <c r="B31" s="1024">
        <v>-429417000</v>
      </c>
    </row>
    <row r="32" spans="1:2" x14ac:dyDescent="0.2">
      <c r="A32" t="s">
        <v>845</v>
      </c>
      <c r="B32" s="105">
        <v>1055410000</v>
      </c>
    </row>
    <row r="33" spans="1:2" x14ac:dyDescent="0.2">
      <c r="A33" t="s">
        <v>846</v>
      </c>
      <c r="B33" s="105">
        <v>797307000</v>
      </c>
    </row>
    <row r="34" spans="1:2" x14ac:dyDescent="0.2">
      <c r="A34" t="s">
        <v>860</v>
      </c>
      <c r="B34" s="105">
        <v>178547000</v>
      </c>
    </row>
    <row r="35" spans="1:2" x14ac:dyDescent="0.2">
      <c r="A35" t="s">
        <v>859</v>
      </c>
      <c r="B35" s="1024">
        <v>23792300000</v>
      </c>
    </row>
    <row r="36" spans="1:2" x14ac:dyDescent="0.2">
      <c r="A36" t="s">
        <v>861</v>
      </c>
      <c r="B36" s="105">
        <v>1523090000</v>
      </c>
    </row>
    <row r="37" spans="1:2" x14ac:dyDescent="0.2">
      <c r="A37" t="s">
        <v>814</v>
      </c>
      <c r="B37" s="1024">
        <v>942547000</v>
      </c>
    </row>
    <row r="38" spans="1:2" x14ac:dyDescent="0.2">
      <c r="A38" t="s">
        <v>819</v>
      </c>
      <c r="B38" s="1024">
        <v>11109500000</v>
      </c>
    </row>
    <row r="39" spans="1:2" x14ac:dyDescent="0.2">
      <c r="A39" t="s">
        <v>815</v>
      </c>
      <c r="B39" s="1024">
        <v>980305000</v>
      </c>
    </row>
    <row r="40" spans="1:2" x14ac:dyDescent="0.2">
      <c r="A40" t="s">
        <v>1038</v>
      </c>
      <c r="B40" s="1024">
        <v>448577000</v>
      </c>
    </row>
    <row r="41" spans="1:2" x14ac:dyDescent="0.2">
      <c r="A41" t="s">
        <v>1039</v>
      </c>
      <c r="B41" s="1024">
        <v>1219730000</v>
      </c>
    </row>
    <row r="42" spans="1:2" x14ac:dyDescent="0.2">
      <c r="A42" t="s">
        <v>1040</v>
      </c>
      <c r="B42" s="105">
        <v>23713515</v>
      </c>
    </row>
    <row r="43" spans="1:2" x14ac:dyDescent="0.2">
      <c r="A43" t="s">
        <v>1041</v>
      </c>
      <c r="B43" s="1024">
        <v>430614000</v>
      </c>
    </row>
    <row r="44" spans="1:2" x14ac:dyDescent="0.2">
      <c r="A44" t="s">
        <v>838</v>
      </c>
      <c r="B44" s="1024">
        <v>912033000</v>
      </c>
    </row>
    <row r="45" spans="1:2" x14ac:dyDescent="0.2">
      <c r="A45" t="s">
        <v>816</v>
      </c>
      <c r="B45" s="1024">
        <v>52655331</v>
      </c>
    </row>
    <row r="46" spans="1:2" x14ac:dyDescent="0.2">
      <c r="A46" t="s">
        <v>817</v>
      </c>
      <c r="B46" s="1024">
        <v>851291000</v>
      </c>
    </row>
    <row r="47" spans="1:2" x14ac:dyDescent="0.2">
      <c r="A47" t="s">
        <v>1042</v>
      </c>
      <c r="B47" s="1024">
        <v>18984874</v>
      </c>
    </row>
    <row r="48" spans="1:2" x14ac:dyDescent="0.2">
      <c r="A48" t="s">
        <v>1043</v>
      </c>
      <c r="B48" s="1024">
        <v>552660000000</v>
      </c>
    </row>
    <row r="49" spans="1:2" x14ac:dyDescent="0.2">
      <c r="A49" t="s">
        <v>818</v>
      </c>
      <c r="B49" s="1024">
        <v>4795900000</v>
      </c>
    </row>
    <row r="50" spans="1:2" x14ac:dyDescent="0.2">
      <c r="A50" t="s">
        <v>1044</v>
      </c>
      <c r="B50" s="1024">
        <v>-127245000</v>
      </c>
    </row>
    <row r="51" spans="1:2" x14ac:dyDescent="0.2">
      <c r="A51" t="s">
        <v>842</v>
      </c>
      <c r="B51" s="1024">
        <v>28719500000</v>
      </c>
    </row>
    <row r="52" spans="1:2" x14ac:dyDescent="0.2">
      <c r="A52" t="s">
        <v>1045</v>
      </c>
      <c r="B52" s="1024">
        <v>31141377</v>
      </c>
    </row>
    <row r="53" spans="1:2" x14ac:dyDescent="0.2">
      <c r="A53" t="s">
        <v>864</v>
      </c>
      <c r="B53" s="1024">
        <v>236391000</v>
      </c>
    </row>
    <row r="54" spans="1:2" x14ac:dyDescent="0.2">
      <c r="A54" t="s">
        <v>1046</v>
      </c>
      <c r="B54" s="1024">
        <v>-5242612</v>
      </c>
    </row>
    <row r="55" spans="1:2" x14ac:dyDescent="0.2">
      <c r="A55" t="s">
        <v>1047</v>
      </c>
      <c r="B55" s="1024">
        <v>439638000</v>
      </c>
    </row>
    <row r="56" spans="1:2" x14ac:dyDescent="0.2">
      <c r="A56" t="s">
        <v>820</v>
      </c>
      <c r="B56" s="1024">
        <v>276190000</v>
      </c>
    </row>
    <row r="57" spans="1:2" x14ac:dyDescent="0.2">
      <c r="A57" t="s">
        <v>1048</v>
      </c>
      <c r="B57" s="1024">
        <v>29906307</v>
      </c>
    </row>
    <row r="58" spans="1:2" x14ac:dyDescent="0.2">
      <c r="A58" t="s">
        <v>1049</v>
      </c>
      <c r="B58" s="105">
        <v>74599310</v>
      </c>
    </row>
    <row r="59" spans="1:2" x14ac:dyDescent="0.2">
      <c r="A59" t="s">
        <v>866</v>
      </c>
      <c r="B59" s="1024">
        <v>9714420000</v>
      </c>
    </row>
    <row r="60" spans="1:2" x14ac:dyDescent="0.2">
      <c r="A60" t="s">
        <v>1050</v>
      </c>
      <c r="B60" s="1024">
        <v>143953000</v>
      </c>
    </row>
    <row r="61" spans="1:2" x14ac:dyDescent="0.2">
      <c r="A61" t="s">
        <v>1051</v>
      </c>
      <c r="B61" s="1024">
        <v>77213871</v>
      </c>
    </row>
    <row r="62" spans="1:2" x14ac:dyDescent="0.2">
      <c r="A62" t="s">
        <v>821</v>
      </c>
      <c r="B62" s="105">
        <v>6030490000</v>
      </c>
    </row>
    <row r="63" spans="1:2" x14ac:dyDescent="0.2">
      <c r="A63" t="s">
        <v>1052</v>
      </c>
      <c r="B63" s="1024">
        <v>3293650000</v>
      </c>
    </row>
    <row r="64" spans="1:2" x14ac:dyDescent="0.2">
      <c r="A64" t="s">
        <v>847</v>
      </c>
      <c r="B64" s="1024">
        <v>12030900000</v>
      </c>
    </row>
    <row r="65" spans="1:2" x14ac:dyDescent="0.2">
      <c r="A65" t="s">
        <v>823</v>
      </c>
      <c r="B65" s="105">
        <v>31390500000</v>
      </c>
    </row>
    <row r="66" spans="1:2" x14ac:dyDescent="0.2">
      <c r="A66" t="s">
        <v>1053</v>
      </c>
      <c r="B66" s="1024">
        <v>-154333000</v>
      </c>
    </row>
    <row r="67" spans="1:2" x14ac:dyDescent="0.2">
      <c r="A67" t="s">
        <v>822</v>
      </c>
      <c r="B67" s="1024">
        <v>-291958000</v>
      </c>
    </row>
    <row r="68" spans="1:2" x14ac:dyDescent="0.2">
      <c r="A68" t="s">
        <v>824</v>
      </c>
      <c r="B68" s="105">
        <v>2482010000</v>
      </c>
    </row>
    <row r="69" spans="1:2" x14ac:dyDescent="0.2">
      <c r="A69" t="s">
        <v>825</v>
      </c>
      <c r="B69" s="1024">
        <v>3399820000</v>
      </c>
    </row>
    <row r="70" spans="1:2" x14ac:dyDescent="0.2">
      <c r="A70" t="s">
        <v>1054</v>
      </c>
      <c r="B70" s="1024">
        <v>59665571</v>
      </c>
    </row>
    <row r="71" spans="1:2" x14ac:dyDescent="0.2">
      <c r="A71" t="s">
        <v>862</v>
      </c>
      <c r="B71" s="105">
        <v>89081267</v>
      </c>
    </row>
    <row r="72" spans="1:2" x14ac:dyDescent="0.2">
      <c r="A72" t="s">
        <v>1055</v>
      </c>
      <c r="B72" s="1024">
        <v>228208000</v>
      </c>
    </row>
    <row r="73" spans="1:2" x14ac:dyDescent="0.2">
      <c r="A73" t="s">
        <v>826</v>
      </c>
      <c r="B73" s="1024">
        <v>25952400000</v>
      </c>
    </row>
    <row r="74" spans="1:2" x14ac:dyDescent="0.2">
      <c r="A74" t="s">
        <v>1056</v>
      </c>
      <c r="B74" s="105">
        <v>513976000</v>
      </c>
    </row>
    <row r="75" spans="1:2" x14ac:dyDescent="0.2">
      <c r="A75" t="s">
        <v>1057</v>
      </c>
      <c r="B75" s="105">
        <v>19275331</v>
      </c>
    </row>
    <row r="76" spans="1:2" x14ac:dyDescent="0.2">
      <c r="A76" t="s">
        <v>1058</v>
      </c>
      <c r="B76" s="1024">
        <v>26541819</v>
      </c>
    </row>
    <row r="77" spans="1:2" x14ac:dyDescent="0.2">
      <c r="A77" t="s">
        <v>876</v>
      </c>
      <c r="B77" s="1024">
        <v>66165643</v>
      </c>
    </row>
    <row r="78" spans="1:2" x14ac:dyDescent="0.2">
      <c r="A78" t="s">
        <v>827</v>
      </c>
      <c r="B78" s="105">
        <v>4403770000</v>
      </c>
    </row>
    <row r="79" spans="1:2" x14ac:dyDescent="0.2">
      <c r="A79" t="s">
        <v>1059</v>
      </c>
      <c r="B79" s="1024">
        <v>179830000</v>
      </c>
    </row>
    <row r="80" spans="1:2" x14ac:dyDescent="0.2">
      <c r="A80" t="s">
        <v>868</v>
      </c>
      <c r="B80" s="1024">
        <v>62190391</v>
      </c>
    </row>
    <row r="81" spans="1:2" x14ac:dyDescent="0.2">
      <c r="A81" t="s">
        <v>1060</v>
      </c>
      <c r="B81" s="105">
        <v>-166555000</v>
      </c>
    </row>
    <row r="82" spans="1:2" x14ac:dyDescent="0.2">
      <c r="A82" t="s">
        <v>877</v>
      </c>
      <c r="B82" s="105">
        <v>55876008</v>
      </c>
    </row>
    <row r="83" spans="1:2" x14ac:dyDescent="0.2">
      <c r="A83" t="s">
        <v>1061</v>
      </c>
      <c r="B83" s="1024">
        <v>66051756</v>
      </c>
    </row>
    <row r="84" spans="1:2" x14ac:dyDescent="0.2">
      <c r="A84" t="s">
        <v>1062</v>
      </c>
      <c r="B84" s="1024">
        <v>121022000</v>
      </c>
    </row>
    <row r="85" spans="1:2" x14ac:dyDescent="0.2">
      <c r="A85" t="s">
        <v>829</v>
      </c>
      <c r="B85" s="1024">
        <v>-2139730000</v>
      </c>
    </row>
    <row r="86" spans="1:2" x14ac:dyDescent="0.2">
      <c r="A86" t="s">
        <v>828</v>
      </c>
      <c r="B86" s="105">
        <v>60399871</v>
      </c>
    </row>
    <row r="87" spans="1:2" x14ac:dyDescent="0.2">
      <c r="A87" t="s">
        <v>983</v>
      </c>
      <c r="B87" s="1024">
        <v>1528010000</v>
      </c>
    </row>
    <row r="88" spans="1:2" x14ac:dyDescent="0.2">
      <c r="A88" t="s">
        <v>1063</v>
      </c>
      <c r="B88" s="1024">
        <v>193907000</v>
      </c>
    </row>
    <row r="89" spans="1:2" x14ac:dyDescent="0.2">
      <c r="A89" t="s">
        <v>871</v>
      </c>
      <c r="B89" s="1024">
        <v>7473364</v>
      </c>
    </row>
    <row r="90" spans="1:2" x14ac:dyDescent="0.2">
      <c r="A90" t="s">
        <v>830</v>
      </c>
      <c r="B90" s="1024">
        <v>9844030000</v>
      </c>
    </row>
    <row r="91" spans="1:2" x14ac:dyDescent="0.2">
      <c r="A91" t="s">
        <v>1064</v>
      </c>
      <c r="B91" s="1024">
        <v>7282987</v>
      </c>
    </row>
    <row r="92" spans="1:2" x14ac:dyDescent="0.2">
      <c r="A92" t="s">
        <v>870</v>
      </c>
      <c r="B92" s="1024">
        <v>133898000</v>
      </c>
    </row>
    <row r="93" spans="1:2" x14ac:dyDescent="0.2">
      <c r="A93" t="s">
        <v>1065</v>
      </c>
      <c r="B93" s="1024">
        <v>25001023</v>
      </c>
    </row>
    <row r="94" spans="1:2" x14ac:dyDescent="0.2">
      <c r="A94" t="s">
        <v>1066</v>
      </c>
      <c r="B94" s="1024">
        <v>-113205000</v>
      </c>
    </row>
    <row r="95" spans="1:2" x14ac:dyDescent="0.2">
      <c r="A95" t="s">
        <v>873</v>
      </c>
      <c r="B95" s="1024">
        <v>2507670000</v>
      </c>
    </row>
    <row r="96" spans="1:2" x14ac:dyDescent="0.2">
      <c r="A96" t="s">
        <v>1067</v>
      </c>
      <c r="B96" s="1024">
        <v>3113580000</v>
      </c>
    </row>
    <row r="97" spans="1:2" x14ac:dyDescent="0.2">
      <c r="A97" t="s">
        <v>1068</v>
      </c>
      <c r="B97" s="105">
        <v>3681039</v>
      </c>
    </row>
    <row r="98" spans="1:2" x14ac:dyDescent="0.2">
      <c r="A98" t="s">
        <v>1069</v>
      </c>
      <c r="B98" s="1024">
        <v>836401000</v>
      </c>
    </row>
    <row r="99" spans="1:2" x14ac:dyDescent="0.2">
      <c r="A99" t="s">
        <v>1070</v>
      </c>
      <c r="B99" s="1024">
        <v>70998583</v>
      </c>
    </row>
    <row r="100" spans="1:2" x14ac:dyDescent="0.2">
      <c r="A100" t="s">
        <v>831</v>
      </c>
      <c r="B100" s="1024">
        <v>37642600000</v>
      </c>
    </row>
    <row r="101" spans="1:2" x14ac:dyDescent="0.2">
      <c r="A101" t="s">
        <v>833</v>
      </c>
      <c r="B101" s="1024">
        <v>1082380000</v>
      </c>
    </row>
    <row r="102" spans="1:2" x14ac:dyDescent="0.2">
      <c r="A102" t="s">
        <v>832</v>
      </c>
      <c r="B102" s="1024">
        <v>910874000</v>
      </c>
    </row>
    <row r="103" spans="1:2" x14ac:dyDescent="0.2">
      <c r="A103" t="s">
        <v>1071</v>
      </c>
      <c r="B103" s="105">
        <v>-122877000</v>
      </c>
    </row>
    <row r="104" spans="1:2" x14ac:dyDescent="0.2">
      <c r="A104" t="s">
        <v>1072</v>
      </c>
      <c r="B104" s="105">
        <v>-6209700</v>
      </c>
    </row>
    <row r="105" spans="1:2" x14ac:dyDescent="0.2">
      <c r="A105" t="s">
        <v>1073</v>
      </c>
      <c r="B105" s="105">
        <v>200093000</v>
      </c>
    </row>
    <row r="106" spans="1:2" x14ac:dyDescent="0.2">
      <c r="A106" t="s">
        <v>1074</v>
      </c>
      <c r="B106" s="1024">
        <v>-382714000</v>
      </c>
    </row>
    <row r="107" spans="1:2" x14ac:dyDescent="0.2">
      <c r="A107" t="s">
        <v>1075</v>
      </c>
      <c r="B107" s="105">
        <v>8063310000</v>
      </c>
    </row>
    <row r="108" spans="1:2" x14ac:dyDescent="0.2">
      <c r="A108" t="s">
        <v>1076</v>
      </c>
      <c r="B108" s="1024">
        <v>428443000</v>
      </c>
    </row>
    <row r="109" spans="1:2" x14ac:dyDescent="0.2">
      <c r="A109" t="s">
        <v>880</v>
      </c>
      <c r="B109" s="1024">
        <v>881129000</v>
      </c>
    </row>
    <row r="110" spans="1:2" x14ac:dyDescent="0.2">
      <c r="A110" t="s">
        <v>1077</v>
      </c>
      <c r="B110" s="1024">
        <v>481913000</v>
      </c>
    </row>
    <row r="111" spans="1:2" x14ac:dyDescent="0.2">
      <c r="A111" t="s">
        <v>1078</v>
      </c>
      <c r="B111" s="105">
        <v>1929070000</v>
      </c>
    </row>
    <row r="112" spans="1:2" x14ac:dyDescent="0.2">
      <c r="A112" t="s">
        <v>1079</v>
      </c>
      <c r="B112" s="1024">
        <v>158403000</v>
      </c>
    </row>
    <row r="113" spans="1:2" x14ac:dyDescent="0.2">
      <c r="A113" t="s">
        <v>834</v>
      </c>
      <c r="B113" s="105">
        <v>1974050000</v>
      </c>
    </row>
    <row r="114" spans="1:2" x14ac:dyDescent="0.2">
      <c r="A114" t="s">
        <v>881</v>
      </c>
      <c r="B114" s="1024">
        <v>38925900000</v>
      </c>
    </row>
    <row r="115" spans="1:2" x14ac:dyDescent="0.2">
      <c r="A115" t="s">
        <v>835</v>
      </c>
      <c r="B115" s="105">
        <v>281514000</v>
      </c>
    </row>
    <row r="116" spans="1:2" x14ac:dyDescent="0.2">
      <c r="A116" t="s">
        <v>1080</v>
      </c>
      <c r="B116" s="1024">
        <v>90949759</v>
      </c>
    </row>
    <row r="117" spans="1:2" x14ac:dyDescent="0.2">
      <c r="A117" t="s">
        <v>1081</v>
      </c>
      <c r="B117" s="1024">
        <v>1426130000</v>
      </c>
    </row>
    <row r="118" spans="1:2" x14ac:dyDescent="0.2">
      <c r="A118" t="s">
        <v>1082</v>
      </c>
      <c r="B118" s="105">
        <v>302336000</v>
      </c>
    </row>
    <row r="119" spans="1:2" x14ac:dyDescent="0.2">
      <c r="A119" t="s">
        <v>848</v>
      </c>
      <c r="B119" s="1024">
        <v>1967680000</v>
      </c>
    </row>
    <row r="120" spans="1:2" x14ac:dyDescent="0.2">
      <c r="A120" t="s">
        <v>1083</v>
      </c>
      <c r="B120" s="1024">
        <v>753475000</v>
      </c>
    </row>
    <row r="121" spans="1:2" x14ac:dyDescent="0.2">
      <c r="A121" t="s">
        <v>1084</v>
      </c>
      <c r="B121" s="1024">
        <v>67678367</v>
      </c>
    </row>
    <row r="122" spans="1:2" x14ac:dyDescent="0.2">
      <c r="A122" t="s">
        <v>875</v>
      </c>
      <c r="B122" s="105">
        <v>29040600000</v>
      </c>
    </row>
    <row r="123" spans="1:2" x14ac:dyDescent="0.2">
      <c r="A123" t="s">
        <v>1085</v>
      </c>
      <c r="B123" s="105">
        <v>336080000</v>
      </c>
    </row>
    <row r="124" spans="1:2" x14ac:dyDescent="0.2">
      <c r="A124" t="s">
        <v>1086</v>
      </c>
      <c r="B124" s="105">
        <v>2124611</v>
      </c>
    </row>
    <row r="125" spans="1:2" x14ac:dyDescent="0.2">
      <c r="A125" t="s">
        <v>1087</v>
      </c>
      <c r="B125" s="1024">
        <v>120847000000</v>
      </c>
    </row>
    <row r="126" spans="1:2" x14ac:dyDescent="0.2">
      <c r="A126" t="s">
        <v>836</v>
      </c>
      <c r="B126" s="105">
        <v>415244000</v>
      </c>
    </row>
    <row r="127" spans="1:2" x14ac:dyDescent="0.2">
      <c r="A127" t="s">
        <v>837</v>
      </c>
      <c r="B127" s="105">
        <v>47613129</v>
      </c>
    </row>
    <row r="128" spans="1:2" x14ac:dyDescent="0.2">
      <c r="A128" t="s">
        <v>839</v>
      </c>
      <c r="B128" s="105">
        <v>2191500000</v>
      </c>
    </row>
    <row r="129" spans="1:2" x14ac:dyDescent="0.2">
      <c r="A129" t="s">
        <v>1088</v>
      </c>
      <c r="B129" s="1024">
        <v>4676130000</v>
      </c>
    </row>
    <row r="130" spans="1:2" x14ac:dyDescent="0.2">
      <c r="A130" t="s">
        <v>1089</v>
      </c>
      <c r="B130" s="1024">
        <v>-349382000</v>
      </c>
    </row>
    <row r="131" spans="1:2" x14ac:dyDescent="0.2">
      <c r="A131" t="s">
        <v>1090</v>
      </c>
      <c r="B131" s="105">
        <v>25517038</v>
      </c>
    </row>
    <row r="132" spans="1:2" x14ac:dyDescent="0.2">
      <c r="A132" t="s">
        <v>841</v>
      </c>
      <c r="B132" s="1024">
        <v>554918000</v>
      </c>
    </row>
    <row r="133" spans="1:2" x14ac:dyDescent="0.2">
      <c r="A133" t="s">
        <v>1091</v>
      </c>
      <c r="B133" s="1024">
        <v>2818340000</v>
      </c>
    </row>
    <row r="134" spans="1:2" x14ac:dyDescent="0.2">
      <c r="A134" t="s">
        <v>1092</v>
      </c>
      <c r="B134" s="105">
        <v>-36826200</v>
      </c>
    </row>
    <row r="135" spans="1:2" x14ac:dyDescent="0.2">
      <c r="A135" t="s">
        <v>1093</v>
      </c>
      <c r="B135" s="1024">
        <v>3140810</v>
      </c>
    </row>
    <row r="136" spans="1:2" x14ac:dyDescent="0.2">
      <c r="A136" t="s">
        <v>1094</v>
      </c>
      <c r="B136" s="105">
        <v>176375000</v>
      </c>
    </row>
    <row r="137" spans="1:2" x14ac:dyDescent="0.2">
      <c r="A137" t="s">
        <v>1095</v>
      </c>
      <c r="B137" s="1024">
        <v>921603000</v>
      </c>
    </row>
    <row r="138" spans="1:2" x14ac:dyDescent="0.2">
      <c r="A138" t="s">
        <v>242</v>
      </c>
      <c r="B138" s="1024">
        <v>867852000000</v>
      </c>
    </row>
    <row r="139" spans="1:2" x14ac:dyDescent="0.2">
      <c r="A139" t="s">
        <v>1096</v>
      </c>
      <c r="B139" s="1024">
        <v>-3216950000</v>
      </c>
    </row>
    <row r="140" spans="1:2" x14ac:dyDescent="0.2">
      <c r="A140" t="s">
        <v>982</v>
      </c>
      <c r="B140" s="105">
        <v>2289780000</v>
      </c>
    </row>
    <row r="141" spans="1:2" x14ac:dyDescent="0.2">
      <c r="A141" t="s">
        <v>1097</v>
      </c>
      <c r="B141" s="1024">
        <v>18881793</v>
      </c>
    </row>
    <row r="142" spans="1:2" x14ac:dyDescent="0.2">
      <c r="A142" t="s">
        <v>1098</v>
      </c>
      <c r="B142" s="1024">
        <v>591520000</v>
      </c>
    </row>
    <row r="143" spans="1:2" x14ac:dyDescent="0.2">
      <c r="A143" t="s">
        <v>849</v>
      </c>
      <c r="B143" s="1024">
        <v>1112090000</v>
      </c>
    </row>
    <row r="144" spans="1:2" x14ac:dyDescent="0.2">
      <c r="A144" t="s">
        <v>1099</v>
      </c>
      <c r="B144" s="1024">
        <v>-50771200</v>
      </c>
    </row>
    <row r="145" spans="1:2" x14ac:dyDescent="0.2">
      <c r="A145" t="s">
        <v>1100</v>
      </c>
      <c r="B145" s="1024">
        <v>45277106</v>
      </c>
    </row>
    <row r="146" spans="1:2" x14ac:dyDescent="0.2">
      <c r="A146" t="s">
        <v>231</v>
      </c>
      <c r="B146" s="1024">
        <v>1973170000000</v>
      </c>
    </row>
    <row r="147" spans="1:2" x14ac:dyDescent="0.2">
      <c r="B147" s="1024"/>
    </row>
    <row r="148" spans="1:2" x14ac:dyDescent="0.2">
      <c r="A148" t="s">
        <v>1019</v>
      </c>
      <c r="B148" s="1024" t="s">
        <v>1020</v>
      </c>
    </row>
    <row r="149" spans="1:2" x14ac:dyDescent="0.2">
      <c r="B149" s="1024" t="s">
        <v>1101</v>
      </c>
    </row>
    <row r="150" spans="1:2" x14ac:dyDescent="0.2">
      <c r="A150" t="s">
        <v>853</v>
      </c>
      <c r="B150" s="1024">
        <v>125946000</v>
      </c>
    </row>
    <row r="151" spans="1:2" x14ac:dyDescent="0.2">
      <c r="A151" t="s">
        <v>1022</v>
      </c>
      <c r="B151" s="1024">
        <v>17038200000</v>
      </c>
    </row>
    <row r="152" spans="1:2" x14ac:dyDescent="0.2">
      <c r="A152" t="s">
        <v>1023</v>
      </c>
      <c r="B152" s="1024">
        <v>15881193</v>
      </c>
    </row>
    <row r="153" spans="1:2" x14ac:dyDescent="0.2">
      <c r="A153" t="s">
        <v>1024</v>
      </c>
      <c r="B153" s="1024">
        <v>11203600000</v>
      </c>
    </row>
    <row r="154" spans="1:2" x14ac:dyDescent="0.2">
      <c r="A154" t="s">
        <v>1025</v>
      </c>
      <c r="B154" s="1024">
        <v>10002800000</v>
      </c>
    </row>
    <row r="155" spans="1:2" x14ac:dyDescent="0.2">
      <c r="A155" t="s">
        <v>1026</v>
      </c>
      <c r="B155" s="1024">
        <v>4117372</v>
      </c>
    </row>
    <row r="156" spans="1:2" x14ac:dyDescent="0.2">
      <c r="A156" t="s">
        <v>809</v>
      </c>
      <c r="B156" s="1024">
        <v>106377000000</v>
      </c>
    </row>
    <row r="157" spans="1:2" x14ac:dyDescent="0.2">
      <c r="A157" t="s">
        <v>810</v>
      </c>
      <c r="B157" s="1024">
        <v>3612650000</v>
      </c>
    </row>
    <row r="158" spans="1:2" x14ac:dyDescent="0.2">
      <c r="A158" t="s">
        <v>1027</v>
      </c>
      <c r="B158" s="1024">
        <v>2672320000</v>
      </c>
    </row>
    <row r="159" spans="1:2" x14ac:dyDescent="0.2">
      <c r="A159" t="s">
        <v>811</v>
      </c>
      <c r="B159" s="105">
        <v>36494200000</v>
      </c>
    </row>
    <row r="160" spans="1:2" x14ac:dyDescent="0.2">
      <c r="A160" t="s">
        <v>1028</v>
      </c>
      <c r="B160" s="1024">
        <v>1645980000</v>
      </c>
    </row>
    <row r="161" spans="1:2" x14ac:dyDescent="0.2">
      <c r="A161" t="s">
        <v>1029</v>
      </c>
      <c r="B161" s="1024">
        <v>1499880000</v>
      </c>
    </row>
    <row r="162" spans="1:2" x14ac:dyDescent="0.2">
      <c r="A162" t="s">
        <v>981</v>
      </c>
      <c r="B162" s="105">
        <v>387146000</v>
      </c>
    </row>
    <row r="163" spans="1:2" x14ac:dyDescent="0.2">
      <c r="A163" t="s">
        <v>854</v>
      </c>
      <c r="B163" s="1024">
        <v>2470310000</v>
      </c>
    </row>
    <row r="164" spans="1:2" x14ac:dyDescent="0.2">
      <c r="A164" t="s">
        <v>1030</v>
      </c>
      <c r="B164" s="1024">
        <v>12356625</v>
      </c>
    </row>
    <row r="165" spans="1:2" x14ac:dyDescent="0.2">
      <c r="A165" t="s">
        <v>1031</v>
      </c>
      <c r="B165" s="1024">
        <v>41582755</v>
      </c>
    </row>
    <row r="166" spans="1:2" x14ac:dyDescent="0.2">
      <c r="A166" t="s">
        <v>857</v>
      </c>
      <c r="B166" s="1024">
        <v>11864000000</v>
      </c>
    </row>
    <row r="167" spans="1:2" x14ac:dyDescent="0.2">
      <c r="A167" t="s">
        <v>1032</v>
      </c>
      <c r="B167" s="1024">
        <v>300863000</v>
      </c>
    </row>
    <row r="168" spans="1:2" x14ac:dyDescent="0.2">
      <c r="A168" t="s">
        <v>843</v>
      </c>
      <c r="B168" s="1024">
        <v>57082500000</v>
      </c>
    </row>
    <row r="169" spans="1:2" x14ac:dyDescent="0.2">
      <c r="A169" t="s">
        <v>855</v>
      </c>
      <c r="B169" s="105">
        <v>5465860000</v>
      </c>
    </row>
    <row r="170" spans="1:2" x14ac:dyDescent="0.2">
      <c r="A170" t="s">
        <v>1033</v>
      </c>
      <c r="B170" s="1024">
        <v>152140000</v>
      </c>
    </row>
    <row r="171" spans="1:2" x14ac:dyDescent="0.2">
      <c r="A171" t="s">
        <v>1034</v>
      </c>
      <c r="B171" s="105">
        <v>42759061</v>
      </c>
    </row>
    <row r="172" spans="1:2" x14ac:dyDescent="0.2">
      <c r="A172" t="s">
        <v>812</v>
      </c>
      <c r="B172" s="1024">
        <v>172437000000</v>
      </c>
    </row>
    <row r="173" spans="1:2" x14ac:dyDescent="0.2">
      <c r="A173" t="s">
        <v>840</v>
      </c>
      <c r="B173" s="1024">
        <v>42853600000</v>
      </c>
    </row>
    <row r="174" spans="1:2" x14ac:dyDescent="0.2">
      <c r="A174" t="s">
        <v>813</v>
      </c>
      <c r="B174" s="1024">
        <v>17335300000</v>
      </c>
    </row>
    <row r="175" spans="1:2" x14ac:dyDescent="0.2">
      <c r="A175" t="s">
        <v>844</v>
      </c>
      <c r="B175" s="105">
        <v>68076400000</v>
      </c>
    </row>
    <row r="176" spans="1:2" x14ac:dyDescent="0.2">
      <c r="A176" t="s">
        <v>1035</v>
      </c>
      <c r="B176" s="1024">
        <v>199283000</v>
      </c>
    </row>
    <row r="177" spans="1:2" x14ac:dyDescent="0.2">
      <c r="A177" t="s">
        <v>1036</v>
      </c>
      <c r="B177" s="1024">
        <v>28962338</v>
      </c>
    </row>
    <row r="178" spans="1:2" x14ac:dyDescent="0.2">
      <c r="A178" t="s">
        <v>1037</v>
      </c>
      <c r="B178" s="1024">
        <v>3607470000</v>
      </c>
    </row>
    <row r="179" spans="1:2" x14ac:dyDescent="0.2">
      <c r="A179" t="s">
        <v>845</v>
      </c>
      <c r="B179" s="1024">
        <v>7330860000</v>
      </c>
    </row>
    <row r="180" spans="1:2" x14ac:dyDescent="0.2">
      <c r="A180" t="s">
        <v>846</v>
      </c>
      <c r="B180" s="105">
        <v>2790300000</v>
      </c>
    </row>
    <row r="181" spans="1:2" x14ac:dyDescent="0.2">
      <c r="A181" t="s">
        <v>860</v>
      </c>
      <c r="B181" s="105">
        <v>27997583</v>
      </c>
    </row>
    <row r="182" spans="1:2" x14ac:dyDescent="0.2">
      <c r="A182" t="s">
        <v>859</v>
      </c>
      <c r="B182" s="105">
        <v>7249280000</v>
      </c>
    </row>
    <row r="183" spans="1:2" x14ac:dyDescent="0.2">
      <c r="A183" t="s">
        <v>861</v>
      </c>
      <c r="B183" s="1024">
        <v>213194000</v>
      </c>
    </row>
    <row r="184" spans="1:2" x14ac:dyDescent="0.2">
      <c r="A184" t="s">
        <v>814</v>
      </c>
      <c r="B184" s="105">
        <v>3811100000</v>
      </c>
    </row>
    <row r="185" spans="1:2" x14ac:dyDescent="0.2">
      <c r="A185" t="s">
        <v>819</v>
      </c>
      <c r="B185" s="1024">
        <v>59742900000</v>
      </c>
    </row>
    <row r="186" spans="1:2" x14ac:dyDescent="0.2">
      <c r="A186" t="s">
        <v>815</v>
      </c>
      <c r="B186" s="105">
        <v>4820870000</v>
      </c>
    </row>
    <row r="187" spans="1:2" x14ac:dyDescent="0.2">
      <c r="A187" t="s">
        <v>1038</v>
      </c>
      <c r="B187" s="1024">
        <v>1310240000</v>
      </c>
    </row>
    <row r="188" spans="1:2" x14ac:dyDescent="0.2">
      <c r="A188" t="s">
        <v>1039</v>
      </c>
      <c r="B188" s="105">
        <v>1615040000</v>
      </c>
    </row>
    <row r="189" spans="1:2" x14ac:dyDescent="0.2">
      <c r="A189" t="s">
        <v>1040</v>
      </c>
      <c r="B189" s="105">
        <v>1306580000</v>
      </c>
    </row>
    <row r="190" spans="1:2" x14ac:dyDescent="0.2">
      <c r="A190" t="s">
        <v>1041</v>
      </c>
      <c r="B190" s="1024">
        <v>5294260000</v>
      </c>
    </row>
    <row r="191" spans="1:2" x14ac:dyDescent="0.2">
      <c r="A191" t="s">
        <v>838</v>
      </c>
      <c r="B191" s="1024">
        <v>17246000000</v>
      </c>
    </row>
    <row r="192" spans="1:2" x14ac:dyDescent="0.2">
      <c r="A192" t="s">
        <v>816</v>
      </c>
      <c r="B192" s="1024">
        <v>131653000</v>
      </c>
    </row>
    <row r="193" spans="1:2" x14ac:dyDescent="0.2">
      <c r="A193" t="s">
        <v>817</v>
      </c>
      <c r="B193" s="1024">
        <v>3884520000</v>
      </c>
    </row>
    <row r="194" spans="1:2" x14ac:dyDescent="0.2">
      <c r="A194" t="s">
        <v>1042</v>
      </c>
      <c r="B194" s="105">
        <v>316303000</v>
      </c>
    </row>
    <row r="195" spans="1:2" x14ac:dyDescent="0.2">
      <c r="A195" t="s">
        <v>1043</v>
      </c>
      <c r="B195" s="1024">
        <v>1992440000000</v>
      </c>
    </row>
    <row r="196" spans="1:2" x14ac:dyDescent="0.2">
      <c r="A196" t="s">
        <v>818</v>
      </c>
      <c r="B196" s="1024">
        <v>39017700000</v>
      </c>
    </row>
    <row r="197" spans="1:2" x14ac:dyDescent="0.2">
      <c r="A197" t="s">
        <v>1044</v>
      </c>
      <c r="B197" s="1024">
        <v>206860000</v>
      </c>
    </row>
    <row r="198" spans="1:2" x14ac:dyDescent="0.2">
      <c r="A198" t="s">
        <v>842</v>
      </c>
      <c r="B198" s="1024">
        <v>197548000000</v>
      </c>
    </row>
    <row r="199" spans="1:2" x14ac:dyDescent="0.2">
      <c r="A199" t="s">
        <v>1045</v>
      </c>
      <c r="B199" s="1024">
        <v>11393415</v>
      </c>
    </row>
    <row r="200" spans="1:2" x14ac:dyDescent="0.2">
      <c r="A200" t="s">
        <v>864</v>
      </c>
      <c r="B200" s="1024">
        <v>519271000</v>
      </c>
    </row>
    <row r="201" spans="1:2" x14ac:dyDescent="0.2">
      <c r="A201" t="s">
        <v>1046</v>
      </c>
      <c r="B201" s="1024">
        <v>3787470000</v>
      </c>
    </row>
    <row r="202" spans="1:2" x14ac:dyDescent="0.2">
      <c r="A202" t="s">
        <v>1047</v>
      </c>
      <c r="B202" s="105">
        <v>3405430000</v>
      </c>
    </row>
    <row r="203" spans="1:2" x14ac:dyDescent="0.2">
      <c r="A203" t="s">
        <v>820</v>
      </c>
      <c r="B203" s="1024">
        <v>689833000</v>
      </c>
    </row>
    <row r="204" spans="1:2" x14ac:dyDescent="0.2">
      <c r="A204" t="s">
        <v>1048</v>
      </c>
      <c r="B204" s="105">
        <v>1005300000</v>
      </c>
    </row>
    <row r="205" spans="1:2" x14ac:dyDescent="0.2">
      <c r="A205" t="s">
        <v>1049</v>
      </c>
      <c r="B205" s="105">
        <v>144706000</v>
      </c>
    </row>
    <row r="206" spans="1:2" x14ac:dyDescent="0.2">
      <c r="A206" t="s">
        <v>866</v>
      </c>
      <c r="B206" s="105">
        <v>10007300000</v>
      </c>
    </row>
    <row r="207" spans="1:2" x14ac:dyDescent="0.2">
      <c r="A207" t="s">
        <v>1050</v>
      </c>
      <c r="B207" s="1024">
        <v>836473000</v>
      </c>
    </row>
    <row r="208" spans="1:2" x14ac:dyDescent="0.2">
      <c r="A208" t="s">
        <v>1051</v>
      </c>
      <c r="B208" s="1024">
        <v>225501000</v>
      </c>
    </row>
    <row r="209" spans="1:2" x14ac:dyDescent="0.2">
      <c r="A209" t="s">
        <v>821</v>
      </c>
      <c r="B209" s="1024">
        <v>4139880000</v>
      </c>
    </row>
    <row r="210" spans="1:2" x14ac:dyDescent="0.2">
      <c r="A210" t="s">
        <v>1052</v>
      </c>
      <c r="B210" s="1024">
        <v>19616300000</v>
      </c>
    </row>
    <row r="211" spans="1:2" x14ac:dyDescent="0.2">
      <c r="A211" t="s">
        <v>847</v>
      </c>
      <c r="B211" s="1024">
        <v>22758200000</v>
      </c>
    </row>
    <row r="212" spans="1:2" x14ac:dyDescent="0.2">
      <c r="A212" t="s">
        <v>823</v>
      </c>
      <c r="B212" s="1024">
        <v>79843200000</v>
      </c>
    </row>
    <row r="213" spans="1:2" x14ac:dyDescent="0.2">
      <c r="A213" t="s">
        <v>1053</v>
      </c>
      <c r="B213" s="1024">
        <v>1883250000</v>
      </c>
    </row>
    <row r="214" spans="1:2" x14ac:dyDescent="0.2">
      <c r="A214" t="s">
        <v>822</v>
      </c>
      <c r="B214" s="1024">
        <v>3625230000</v>
      </c>
    </row>
    <row r="215" spans="1:2" x14ac:dyDescent="0.2">
      <c r="A215" t="s">
        <v>824</v>
      </c>
      <c r="B215" s="105">
        <v>7953170000</v>
      </c>
    </row>
    <row r="216" spans="1:2" x14ac:dyDescent="0.2">
      <c r="A216" t="s">
        <v>825</v>
      </c>
      <c r="B216" s="1024">
        <v>21227600000</v>
      </c>
    </row>
    <row r="217" spans="1:2" x14ac:dyDescent="0.2">
      <c r="A217" t="s">
        <v>1054</v>
      </c>
      <c r="B217" s="1024">
        <v>83664227</v>
      </c>
    </row>
    <row r="218" spans="1:2" x14ac:dyDescent="0.2">
      <c r="A218" t="s">
        <v>862</v>
      </c>
      <c r="B218" s="105">
        <v>2955330000</v>
      </c>
    </row>
    <row r="219" spans="1:2" x14ac:dyDescent="0.2">
      <c r="A219" t="s">
        <v>1055</v>
      </c>
      <c r="B219" s="1024">
        <v>870253000</v>
      </c>
    </row>
    <row r="220" spans="1:2" x14ac:dyDescent="0.2">
      <c r="A220" t="s">
        <v>826</v>
      </c>
      <c r="B220" s="1024">
        <v>34002200000</v>
      </c>
    </row>
    <row r="221" spans="1:2" x14ac:dyDescent="0.2">
      <c r="A221" t="s">
        <v>1056</v>
      </c>
      <c r="B221" s="1024">
        <v>12539600000</v>
      </c>
    </row>
    <row r="222" spans="1:2" x14ac:dyDescent="0.2">
      <c r="A222" t="s">
        <v>1057</v>
      </c>
      <c r="B222" s="1024">
        <v>280751000</v>
      </c>
    </row>
    <row r="223" spans="1:2" x14ac:dyDescent="0.2">
      <c r="A223" t="s">
        <v>1058</v>
      </c>
      <c r="B223" s="105">
        <v>273352000</v>
      </c>
    </row>
    <row r="224" spans="1:2" x14ac:dyDescent="0.2">
      <c r="A224" t="s">
        <v>876</v>
      </c>
      <c r="B224" s="1024">
        <v>274350000</v>
      </c>
    </row>
    <row r="225" spans="1:2" x14ac:dyDescent="0.2">
      <c r="A225" t="s">
        <v>827</v>
      </c>
      <c r="B225" s="105">
        <v>17022600000</v>
      </c>
    </row>
    <row r="226" spans="1:2" x14ac:dyDescent="0.2">
      <c r="A226" t="s">
        <v>1059</v>
      </c>
      <c r="B226" s="1024">
        <v>453202000</v>
      </c>
    </row>
    <row r="227" spans="1:2" x14ac:dyDescent="0.2">
      <c r="A227" t="s">
        <v>868</v>
      </c>
      <c r="B227" s="1024">
        <v>16665164</v>
      </c>
    </row>
    <row r="228" spans="1:2" x14ac:dyDescent="0.2">
      <c r="A228" t="s">
        <v>1060</v>
      </c>
      <c r="B228" s="1024">
        <v>1852370000</v>
      </c>
    </row>
    <row r="229" spans="1:2" x14ac:dyDescent="0.2">
      <c r="A229" t="s">
        <v>877</v>
      </c>
      <c r="B229" s="1024">
        <v>177639000</v>
      </c>
    </row>
    <row r="230" spans="1:2" x14ac:dyDescent="0.2">
      <c r="A230" t="s">
        <v>1061</v>
      </c>
      <c r="B230" s="105">
        <v>102560000</v>
      </c>
    </row>
    <row r="231" spans="1:2" x14ac:dyDescent="0.2">
      <c r="A231" t="s">
        <v>1062</v>
      </c>
      <c r="B231" s="1024">
        <v>157581000</v>
      </c>
    </row>
    <row r="232" spans="1:2" x14ac:dyDescent="0.2">
      <c r="A232" t="s">
        <v>829</v>
      </c>
      <c r="B232" s="1024">
        <v>36978200000</v>
      </c>
    </row>
    <row r="233" spans="1:2" x14ac:dyDescent="0.2">
      <c r="A233" t="s">
        <v>828</v>
      </c>
      <c r="B233" s="1024">
        <v>20203164</v>
      </c>
    </row>
    <row r="234" spans="1:2" x14ac:dyDescent="0.2">
      <c r="A234" t="s">
        <v>983</v>
      </c>
      <c r="B234" s="1024">
        <v>8835830000</v>
      </c>
    </row>
    <row r="235" spans="1:2" x14ac:dyDescent="0.2">
      <c r="A235" t="s">
        <v>1063</v>
      </c>
      <c r="B235" s="1024">
        <v>678186000</v>
      </c>
    </row>
    <row r="236" spans="1:2" x14ac:dyDescent="0.2">
      <c r="A236" t="s">
        <v>871</v>
      </c>
      <c r="B236" s="1024">
        <v>94159212</v>
      </c>
    </row>
    <row r="237" spans="1:2" x14ac:dyDescent="0.2">
      <c r="A237" t="s">
        <v>830</v>
      </c>
      <c r="B237" s="1024">
        <v>52921400000</v>
      </c>
    </row>
    <row r="238" spans="1:2" x14ac:dyDescent="0.2">
      <c r="A238" t="s">
        <v>1064</v>
      </c>
      <c r="B238" s="105">
        <v>97468808</v>
      </c>
    </row>
    <row r="239" spans="1:2" x14ac:dyDescent="0.2">
      <c r="A239" t="s">
        <v>870</v>
      </c>
      <c r="B239" s="1024">
        <v>26793593</v>
      </c>
    </row>
    <row r="240" spans="1:2" x14ac:dyDescent="0.2">
      <c r="A240" t="s">
        <v>1065</v>
      </c>
      <c r="B240" s="1024">
        <v>489434000</v>
      </c>
    </row>
    <row r="241" spans="1:2" x14ac:dyDescent="0.2">
      <c r="A241" t="s">
        <v>1066</v>
      </c>
      <c r="B241" s="1024">
        <v>291918000</v>
      </c>
    </row>
    <row r="242" spans="1:2" x14ac:dyDescent="0.2">
      <c r="A242" t="s">
        <v>873</v>
      </c>
      <c r="B242" s="1024">
        <v>47389028</v>
      </c>
    </row>
    <row r="243" spans="1:2" x14ac:dyDescent="0.2">
      <c r="A243" t="s">
        <v>1067</v>
      </c>
      <c r="B243" s="1024">
        <v>17430500000</v>
      </c>
    </row>
    <row r="244" spans="1:2" x14ac:dyDescent="0.2">
      <c r="A244" t="s">
        <v>1068</v>
      </c>
      <c r="B244" s="105">
        <v>15412139</v>
      </c>
    </row>
    <row r="245" spans="1:2" x14ac:dyDescent="0.2">
      <c r="A245" t="s">
        <v>1069</v>
      </c>
      <c r="B245" s="1024">
        <v>32013900000</v>
      </c>
    </row>
    <row r="246" spans="1:2" x14ac:dyDescent="0.2">
      <c r="A246" t="s">
        <v>1070</v>
      </c>
      <c r="B246" s="1024">
        <v>385902000</v>
      </c>
    </row>
    <row r="247" spans="1:2" x14ac:dyDescent="0.2">
      <c r="A247" t="s">
        <v>831</v>
      </c>
      <c r="B247" s="105">
        <v>61983900000</v>
      </c>
    </row>
    <row r="248" spans="1:2" x14ac:dyDescent="0.2">
      <c r="A248" t="s">
        <v>833</v>
      </c>
      <c r="B248" s="1024">
        <v>18578900000</v>
      </c>
    </row>
    <row r="249" spans="1:2" x14ac:dyDescent="0.2">
      <c r="A249" t="s">
        <v>832</v>
      </c>
      <c r="B249" s="1024">
        <v>2950380000</v>
      </c>
    </row>
    <row r="250" spans="1:2" x14ac:dyDescent="0.2">
      <c r="A250" t="s">
        <v>1071</v>
      </c>
      <c r="B250" s="1024">
        <v>4768500000</v>
      </c>
    </row>
    <row r="251" spans="1:2" x14ac:dyDescent="0.2">
      <c r="A251" t="s">
        <v>1072</v>
      </c>
      <c r="B251" s="1024">
        <v>1282230000</v>
      </c>
    </row>
    <row r="252" spans="1:2" x14ac:dyDescent="0.2">
      <c r="A252" t="s">
        <v>1073</v>
      </c>
      <c r="B252" s="1024">
        <v>636350000</v>
      </c>
    </row>
    <row r="253" spans="1:2" x14ac:dyDescent="0.2">
      <c r="A253" t="s">
        <v>1074</v>
      </c>
      <c r="B253" s="1024">
        <v>2345020000</v>
      </c>
    </row>
    <row r="254" spans="1:2" x14ac:dyDescent="0.2">
      <c r="A254" t="s">
        <v>1075</v>
      </c>
      <c r="B254" s="1024">
        <v>329075000</v>
      </c>
    </row>
    <row r="255" spans="1:2" x14ac:dyDescent="0.2">
      <c r="A255" t="s">
        <v>1076</v>
      </c>
      <c r="B255" s="1024">
        <v>718432000</v>
      </c>
    </row>
    <row r="256" spans="1:2" x14ac:dyDescent="0.2">
      <c r="A256" t="s">
        <v>880</v>
      </c>
      <c r="B256" s="1024">
        <v>2964720000</v>
      </c>
    </row>
    <row r="257" spans="1:2" x14ac:dyDescent="0.2">
      <c r="A257" t="s">
        <v>1077</v>
      </c>
      <c r="B257" s="1024">
        <v>13446000000</v>
      </c>
    </row>
    <row r="258" spans="1:2" x14ac:dyDescent="0.2">
      <c r="A258" t="s">
        <v>1078</v>
      </c>
      <c r="B258" s="105">
        <v>6525530000</v>
      </c>
    </row>
    <row r="259" spans="1:2" x14ac:dyDescent="0.2">
      <c r="A259" t="s">
        <v>1079</v>
      </c>
      <c r="B259" s="1024">
        <v>5855910000</v>
      </c>
    </row>
    <row r="260" spans="1:2" x14ac:dyDescent="0.2">
      <c r="A260" t="s">
        <v>834</v>
      </c>
      <c r="B260" s="1024">
        <v>11219900000</v>
      </c>
    </row>
    <row r="261" spans="1:2" x14ac:dyDescent="0.2">
      <c r="A261" t="s">
        <v>881</v>
      </c>
      <c r="B261" s="1024">
        <v>16379400000</v>
      </c>
    </row>
    <row r="262" spans="1:2" x14ac:dyDescent="0.2">
      <c r="A262" t="s">
        <v>835</v>
      </c>
      <c r="B262" s="1024">
        <v>1930090000</v>
      </c>
    </row>
    <row r="263" spans="1:2" x14ac:dyDescent="0.2">
      <c r="A263" t="s">
        <v>1080</v>
      </c>
      <c r="B263" s="1024">
        <v>709336000</v>
      </c>
    </row>
    <row r="264" spans="1:2" x14ac:dyDescent="0.2">
      <c r="A264" t="s">
        <v>1081</v>
      </c>
      <c r="B264" s="1024">
        <v>4404960000</v>
      </c>
    </row>
    <row r="265" spans="1:2" x14ac:dyDescent="0.2">
      <c r="A265" t="s">
        <v>1082</v>
      </c>
      <c r="B265" s="1024">
        <v>2857040000</v>
      </c>
    </row>
    <row r="266" spans="1:2" x14ac:dyDescent="0.2">
      <c r="A266" t="s">
        <v>848</v>
      </c>
      <c r="B266" s="1024">
        <v>14969900000</v>
      </c>
    </row>
    <row r="267" spans="1:2" x14ac:dyDescent="0.2">
      <c r="A267" t="s">
        <v>1083</v>
      </c>
      <c r="B267" s="1024">
        <v>5438220000</v>
      </c>
    </row>
    <row r="268" spans="1:2" x14ac:dyDescent="0.2">
      <c r="A268" t="s">
        <v>1084</v>
      </c>
      <c r="B268" s="1024">
        <v>26835616</v>
      </c>
    </row>
    <row r="269" spans="1:2" x14ac:dyDescent="0.2">
      <c r="A269" t="s">
        <v>875</v>
      </c>
      <c r="B269" s="1024">
        <v>41745900000</v>
      </c>
    </row>
    <row r="270" spans="1:2" x14ac:dyDescent="0.2">
      <c r="A270" t="s">
        <v>1085</v>
      </c>
      <c r="B270" s="1024">
        <v>1173550000</v>
      </c>
    </row>
    <row r="271" spans="1:2" x14ac:dyDescent="0.2">
      <c r="A271" t="s">
        <v>1086</v>
      </c>
      <c r="B271" s="1024">
        <v>315989000</v>
      </c>
    </row>
    <row r="272" spans="1:2" x14ac:dyDescent="0.2">
      <c r="A272" t="s">
        <v>1087</v>
      </c>
      <c r="B272" s="1024">
        <v>385981000000</v>
      </c>
    </row>
    <row r="273" spans="1:2" x14ac:dyDescent="0.2">
      <c r="A273" t="s">
        <v>836</v>
      </c>
      <c r="B273" s="1024">
        <v>2064630000</v>
      </c>
    </row>
    <row r="274" spans="1:2" x14ac:dyDescent="0.2">
      <c r="A274" t="s">
        <v>837</v>
      </c>
      <c r="B274" s="1024">
        <v>347928000</v>
      </c>
    </row>
    <row r="275" spans="1:2" x14ac:dyDescent="0.2">
      <c r="A275" t="s">
        <v>839</v>
      </c>
      <c r="B275" s="1024">
        <v>5049210000</v>
      </c>
    </row>
    <row r="276" spans="1:2" x14ac:dyDescent="0.2">
      <c r="A276" t="s">
        <v>1088</v>
      </c>
      <c r="B276" s="105">
        <v>17281100000</v>
      </c>
    </row>
    <row r="277" spans="1:2" x14ac:dyDescent="0.2">
      <c r="A277" t="s">
        <v>1089</v>
      </c>
      <c r="B277" s="1024">
        <v>1196710000</v>
      </c>
    </row>
    <row r="278" spans="1:2" x14ac:dyDescent="0.2">
      <c r="A278" t="s">
        <v>1090</v>
      </c>
      <c r="B278" s="1024">
        <v>78225104</v>
      </c>
    </row>
    <row r="279" spans="1:2" x14ac:dyDescent="0.2">
      <c r="A279" t="s">
        <v>841</v>
      </c>
      <c r="B279" s="105">
        <v>3424390000</v>
      </c>
    </row>
    <row r="280" spans="1:2" x14ac:dyDescent="0.2">
      <c r="A280" t="s">
        <v>1091</v>
      </c>
      <c r="B280" s="1024">
        <v>8625490000</v>
      </c>
    </row>
    <row r="281" spans="1:2" x14ac:dyDescent="0.2">
      <c r="A281" t="s">
        <v>1092</v>
      </c>
      <c r="B281" s="1024">
        <v>669172000</v>
      </c>
    </row>
    <row r="282" spans="1:2" x14ac:dyDescent="0.2">
      <c r="A282" t="s">
        <v>1093</v>
      </c>
      <c r="B282" s="1024">
        <v>133218000</v>
      </c>
    </row>
    <row r="283" spans="1:2" x14ac:dyDescent="0.2">
      <c r="A283" t="s">
        <v>1094</v>
      </c>
      <c r="B283" s="1024">
        <v>570007000</v>
      </c>
    </row>
    <row r="284" spans="1:2" x14ac:dyDescent="0.2">
      <c r="A284" t="s">
        <v>1095</v>
      </c>
      <c r="B284" s="1024">
        <v>699236000</v>
      </c>
    </row>
    <row r="285" spans="1:2" x14ac:dyDescent="0.2">
      <c r="A285" t="s">
        <v>242</v>
      </c>
      <c r="B285" s="105">
        <v>4223570000000</v>
      </c>
    </row>
    <row r="286" spans="1:2" x14ac:dyDescent="0.2">
      <c r="A286" t="s">
        <v>1096</v>
      </c>
      <c r="B286" s="105">
        <v>2420590000</v>
      </c>
    </row>
    <row r="287" spans="1:2" x14ac:dyDescent="0.2">
      <c r="A287" t="s">
        <v>982</v>
      </c>
      <c r="B287" s="1024">
        <v>831082000</v>
      </c>
    </row>
    <row r="288" spans="1:2" x14ac:dyDescent="0.2">
      <c r="A288" t="s">
        <v>1097</v>
      </c>
      <c r="B288" s="1024">
        <v>493611000</v>
      </c>
    </row>
    <row r="289" spans="1:2" x14ac:dyDescent="0.2">
      <c r="A289" t="s">
        <v>1098</v>
      </c>
      <c r="B289" s="105">
        <v>2178540000</v>
      </c>
    </row>
    <row r="290" spans="1:2" x14ac:dyDescent="0.2">
      <c r="A290" t="s">
        <v>849</v>
      </c>
      <c r="B290" s="1024">
        <v>6592850000</v>
      </c>
    </row>
    <row r="291" spans="1:2" x14ac:dyDescent="0.2">
      <c r="A291" t="s">
        <v>1099</v>
      </c>
      <c r="B291" s="1024">
        <v>108339000</v>
      </c>
    </row>
    <row r="292" spans="1:2" x14ac:dyDescent="0.2">
      <c r="A292" t="s">
        <v>1100</v>
      </c>
      <c r="B292" s="1024">
        <v>153758000</v>
      </c>
    </row>
    <row r="293" spans="1:2" x14ac:dyDescent="0.2">
      <c r="A293" t="s">
        <v>231</v>
      </c>
      <c r="B293" s="105">
        <v>8208450000000</v>
      </c>
    </row>
    <row r="294" spans="1:2" x14ac:dyDescent="0.2">
      <c r="B294" s="1024"/>
    </row>
    <row r="295" spans="1:2" x14ac:dyDescent="0.2">
      <c r="A295" t="s">
        <v>1019</v>
      </c>
      <c r="B295" s="1024" t="s">
        <v>1020</v>
      </c>
    </row>
    <row r="296" spans="1:2" x14ac:dyDescent="0.2">
      <c r="B296" s="1024" t="s">
        <v>1102</v>
      </c>
    </row>
    <row r="297" spans="1:2" x14ac:dyDescent="0.2">
      <c r="A297" t="s">
        <v>853</v>
      </c>
      <c r="B297" s="105">
        <v>13805015</v>
      </c>
    </row>
    <row r="298" spans="1:2" x14ac:dyDescent="0.2">
      <c r="A298" t="s">
        <v>1022</v>
      </c>
      <c r="B298" s="1024">
        <v>498517000</v>
      </c>
    </row>
    <row r="299" spans="1:2" x14ac:dyDescent="0.2">
      <c r="A299" t="s">
        <v>1023</v>
      </c>
      <c r="B299" s="1024">
        <v>878257</v>
      </c>
    </row>
    <row r="300" spans="1:2" x14ac:dyDescent="0.2">
      <c r="A300" t="s">
        <v>1024</v>
      </c>
      <c r="B300" s="1024">
        <v>1668960000</v>
      </c>
    </row>
    <row r="301" spans="1:2" x14ac:dyDescent="0.2">
      <c r="A301" t="s">
        <v>1025</v>
      </c>
      <c r="B301" s="1024">
        <v>1049280000</v>
      </c>
    </row>
    <row r="302" spans="1:2" x14ac:dyDescent="0.2">
      <c r="A302" t="s">
        <v>1026</v>
      </c>
      <c r="B302" s="1024">
        <v>310814</v>
      </c>
    </row>
    <row r="303" spans="1:2" x14ac:dyDescent="0.2">
      <c r="A303" t="s">
        <v>809</v>
      </c>
      <c r="B303" s="105">
        <v>2333160000</v>
      </c>
    </row>
    <row r="304" spans="1:2" x14ac:dyDescent="0.2">
      <c r="A304" t="s">
        <v>810</v>
      </c>
      <c r="B304" s="1024">
        <v>516762000</v>
      </c>
    </row>
    <row r="305" spans="1:2" x14ac:dyDescent="0.2">
      <c r="A305" t="s">
        <v>1027</v>
      </c>
      <c r="B305" s="1024">
        <v>88391374</v>
      </c>
    </row>
    <row r="306" spans="1:2" x14ac:dyDescent="0.2">
      <c r="A306" t="s">
        <v>811</v>
      </c>
      <c r="B306" s="1024">
        <v>1096580000</v>
      </c>
    </row>
    <row r="307" spans="1:2" x14ac:dyDescent="0.2">
      <c r="A307" t="s">
        <v>1028</v>
      </c>
      <c r="B307" s="1024">
        <v>163423000</v>
      </c>
    </row>
    <row r="308" spans="1:2" x14ac:dyDescent="0.2">
      <c r="A308" t="s">
        <v>1029</v>
      </c>
      <c r="B308" s="105">
        <v>15055955</v>
      </c>
    </row>
    <row r="309" spans="1:2" x14ac:dyDescent="0.2">
      <c r="A309" t="s">
        <v>981</v>
      </c>
      <c r="B309" s="1024">
        <v>6387676</v>
      </c>
    </row>
    <row r="310" spans="1:2" x14ac:dyDescent="0.2">
      <c r="A310" t="s">
        <v>854</v>
      </c>
      <c r="B310" s="1024">
        <v>35136614</v>
      </c>
    </row>
    <row r="311" spans="1:2" x14ac:dyDescent="0.2">
      <c r="A311" t="s">
        <v>1030</v>
      </c>
      <c r="B311" s="1024">
        <v>1663089</v>
      </c>
    </row>
    <row r="312" spans="1:2" x14ac:dyDescent="0.2">
      <c r="A312" t="s">
        <v>1031</v>
      </c>
      <c r="B312" s="1024">
        <v>2639512</v>
      </c>
    </row>
    <row r="313" spans="1:2" x14ac:dyDescent="0.2">
      <c r="A313" t="s">
        <v>857</v>
      </c>
      <c r="B313" s="1024">
        <v>500283000</v>
      </c>
    </row>
    <row r="314" spans="1:2" x14ac:dyDescent="0.2">
      <c r="A314" t="s">
        <v>1032</v>
      </c>
      <c r="B314" s="1024">
        <v>13953928</v>
      </c>
    </row>
    <row r="315" spans="1:2" x14ac:dyDescent="0.2">
      <c r="A315" t="s">
        <v>843</v>
      </c>
      <c r="B315" s="1024">
        <v>2332560000</v>
      </c>
    </row>
    <row r="316" spans="1:2" x14ac:dyDescent="0.2">
      <c r="A316" t="s">
        <v>855</v>
      </c>
      <c r="B316" s="1024">
        <v>8676103</v>
      </c>
    </row>
    <row r="317" spans="1:2" x14ac:dyDescent="0.2">
      <c r="A317" t="s">
        <v>1033</v>
      </c>
      <c r="B317" s="1024">
        <v>3786609</v>
      </c>
    </row>
    <row r="318" spans="1:2" x14ac:dyDescent="0.2">
      <c r="A318" t="s">
        <v>1034</v>
      </c>
      <c r="B318" s="1024">
        <v>3470990</v>
      </c>
    </row>
    <row r="319" spans="1:2" x14ac:dyDescent="0.2">
      <c r="A319" t="s">
        <v>812</v>
      </c>
      <c r="B319" s="1024">
        <v>4340520000</v>
      </c>
    </row>
    <row r="320" spans="1:2" x14ac:dyDescent="0.2">
      <c r="A320" t="s">
        <v>840</v>
      </c>
      <c r="B320" s="1024">
        <v>1734040000</v>
      </c>
    </row>
    <row r="321" spans="1:2" x14ac:dyDescent="0.2">
      <c r="A321" t="s">
        <v>813</v>
      </c>
      <c r="B321" s="1024">
        <v>540898000</v>
      </c>
    </row>
    <row r="322" spans="1:2" x14ac:dyDescent="0.2">
      <c r="A322" t="s">
        <v>844</v>
      </c>
      <c r="B322" s="1024">
        <v>4744240000</v>
      </c>
    </row>
    <row r="323" spans="1:2" x14ac:dyDescent="0.2">
      <c r="A323" t="s">
        <v>1035</v>
      </c>
      <c r="B323" s="1024">
        <v>13141456</v>
      </c>
    </row>
    <row r="324" spans="1:2" x14ac:dyDescent="0.2">
      <c r="A324" t="s">
        <v>1036</v>
      </c>
      <c r="B324" s="1024">
        <v>5750930</v>
      </c>
    </row>
    <row r="325" spans="1:2" x14ac:dyDescent="0.2">
      <c r="A325" t="s">
        <v>1037</v>
      </c>
      <c r="B325" s="1024">
        <v>38070890</v>
      </c>
    </row>
    <row r="326" spans="1:2" x14ac:dyDescent="0.2">
      <c r="A326" t="s">
        <v>845</v>
      </c>
      <c r="B326" s="1024">
        <v>591416000</v>
      </c>
    </row>
    <row r="327" spans="1:2" x14ac:dyDescent="0.2">
      <c r="A327" t="s">
        <v>846</v>
      </c>
      <c r="B327" s="1024">
        <v>128859000</v>
      </c>
    </row>
    <row r="328" spans="1:2" x14ac:dyDescent="0.2">
      <c r="A328" t="s">
        <v>860</v>
      </c>
      <c r="B328" s="1024">
        <v>8053635</v>
      </c>
    </row>
    <row r="329" spans="1:2" x14ac:dyDescent="0.2">
      <c r="A329" t="s">
        <v>859</v>
      </c>
      <c r="B329" s="1024">
        <v>98527590</v>
      </c>
    </row>
    <row r="330" spans="1:2" x14ac:dyDescent="0.2">
      <c r="A330" t="s">
        <v>861</v>
      </c>
      <c r="B330" s="1024">
        <v>7005999</v>
      </c>
    </row>
    <row r="331" spans="1:2" x14ac:dyDescent="0.2">
      <c r="A331" t="s">
        <v>814</v>
      </c>
      <c r="B331" s="1024">
        <v>154452000</v>
      </c>
    </row>
    <row r="332" spans="1:2" x14ac:dyDescent="0.2">
      <c r="A332" t="s">
        <v>819</v>
      </c>
      <c r="B332" s="1024">
        <v>3213270000</v>
      </c>
    </row>
    <row r="333" spans="1:2" x14ac:dyDescent="0.2">
      <c r="A333" t="s">
        <v>815</v>
      </c>
      <c r="B333" s="105">
        <v>424186000</v>
      </c>
    </row>
    <row r="334" spans="1:2" x14ac:dyDescent="0.2">
      <c r="A334" t="s">
        <v>1038</v>
      </c>
      <c r="B334" s="1024">
        <v>57907894</v>
      </c>
    </row>
    <row r="335" spans="1:2" x14ac:dyDescent="0.2">
      <c r="A335" t="s">
        <v>1039</v>
      </c>
      <c r="B335" s="1024">
        <v>649633000</v>
      </c>
    </row>
    <row r="336" spans="1:2" x14ac:dyDescent="0.2">
      <c r="A336" t="s">
        <v>1040</v>
      </c>
      <c r="B336" s="1024">
        <v>484175000</v>
      </c>
    </row>
    <row r="337" spans="1:2" x14ac:dyDescent="0.2">
      <c r="A337" t="s">
        <v>1041</v>
      </c>
      <c r="B337" s="1024">
        <v>475989000</v>
      </c>
    </row>
    <row r="338" spans="1:2" x14ac:dyDescent="0.2">
      <c r="A338" t="s">
        <v>838</v>
      </c>
      <c r="B338" s="1024">
        <v>1013470000</v>
      </c>
    </row>
    <row r="339" spans="1:2" x14ac:dyDescent="0.2">
      <c r="A339" t="s">
        <v>816</v>
      </c>
      <c r="B339" s="105">
        <v>9964955</v>
      </c>
    </row>
    <row r="340" spans="1:2" x14ac:dyDescent="0.2">
      <c r="A340" t="s">
        <v>817</v>
      </c>
      <c r="B340" s="1024">
        <v>110878000</v>
      </c>
    </row>
    <row r="341" spans="1:2" x14ac:dyDescent="0.2">
      <c r="A341" t="s">
        <v>1042</v>
      </c>
      <c r="B341" s="1024">
        <v>3420069</v>
      </c>
    </row>
    <row r="342" spans="1:2" x14ac:dyDescent="0.2">
      <c r="A342" t="s">
        <v>1043</v>
      </c>
      <c r="B342" s="1024">
        <v>77583700000</v>
      </c>
    </row>
    <row r="343" spans="1:2" x14ac:dyDescent="0.2">
      <c r="A343" t="s">
        <v>818</v>
      </c>
      <c r="B343" s="1024">
        <v>2181310000</v>
      </c>
    </row>
    <row r="344" spans="1:2" x14ac:dyDescent="0.2">
      <c r="A344" t="s">
        <v>1044</v>
      </c>
      <c r="B344" s="1024">
        <v>12269419</v>
      </c>
    </row>
    <row r="345" spans="1:2" x14ac:dyDescent="0.2">
      <c r="A345" t="s">
        <v>842</v>
      </c>
      <c r="B345" s="105">
        <v>6069500000</v>
      </c>
    </row>
    <row r="346" spans="1:2" x14ac:dyDescent="0.2">
      <c r="A346" t="s">
        <v>1045</v>
      </c>
      <c r="B346" s="1024">
        <v>294790</v>
      </c>
    </row>
    <row r="347" spans="1:2" x14ac:dyDescent="0.2">
      <c r="A347" t="s">
        <v>864</v>
      </c>
      <c r="B347" s="1024">
        <v>7874153</v>
      </c>
    </row>
    <row r="348" spans="1:2" x14ac:dyDescent="0.2">
      <c r="A348" t="s">
        <v>1046</v>
      </c>
      <c r="B348" s="1024">
        <v>28270182</v>
      </c>
    </row>
    <row r="349" spans="1:2" x14ac:dyDescent="0.2">
      <c r="A349" t="s">
        <v>1047</v>
      </c>
      <c r="B349" s="1024">
        <v>274883000</v>
      </c>
    </row>
    <row r="350" spans="1:2" x14ac:dyDescent="0.2">
      <c r="A350" t="s">
        <v>820</v>
      </c>
      <c r="B350" s="1024">
        <v>49989699</v>
      </c>
    </row>
    <row r="351" spans="1:2" x14ac:dyDescent="0.2">
      <c r="A351" t="s">
        <v>1048</v>
      </c>
      <c r="B351" s="1024">
        <v>69324681</v>
      </c>
    </row>
    <row r="352" spans="1:2" x14ac:dyDescent="0.2">
      <c r="A352" t="s">
        <v>1049</v>
      </c>
      <c r="B352" s="1024">
        <v>12374401</v>
      </c>
    </row>
    <row r="353" spans="1:2" x14ac:dyDescent="0.2">
      <c r="A353" t="s">
        <v>866</v>
      </c>
      <c r="B353" s="1024">
        <v>1341960000</v>
      </c>
    </row>
    <row r="354" spans="1:2" x14ac:dyDescent="0.2">
      <c r="A354" t="s">
        <v>1050</v>
      </c>
      <c r="B354" s="1024">
        <v>42232123</v>
      </c>
    </row>
    <row r="355" spans="1:2" x14ac:dyDescent="0.2">
      <c r="A355" t="s">
        <v>1051</v>
      </c>
      <c r="B355" s="1024">
        <v>17654779</v>
      </c>
    </row>
    <row r="356" spans="1:2" x14ac:dyDescent="0.2">
      <c r="A356" t="s">
        <v>821</v>
      </c>
      <c r="B356" s="1024">
        <v>228569000</v>
      </c>
    </row>
    <row r="357" spans="1:2" x14ac:dyDescent="0.2">
      <c r="A357" t="s">
        <v>1052</v>
      </c>
      <c r="B357" s="1024">
        <v>969880000</v>
      </c>
    </row>
    <row r="358" spans="1:2" x14ac:dyDescent="0.2">
      <c r="A358" t="s">
        <v>847</v>
      </c>
      <c r="B358" s="1024">
        <v>3184670000</v>
      </c>
    </row>
    <row r="359" spans="1:2" x14ac:dyDescent="0.2">
      <c r="A359" t="s">
        <v>823</v>
      </c>
      <c r="B359" s="1024">
        <v>4653550000</v>
      </c>
    </row>
    <row r="360" spans="1:2" x14ac:dyDescent="0.2">
      <c r="A360" t="s">
        <v>1053</v>
      </c>
      <c r="B360" s="1024">
        <v>26707284</v>
      </c>
    </row>
    <row r="361" spans="1:2" x14ac:dyDescent="0.2">
      <c r="A361" t="s">
        <v>822</v>
      </c>
      <c r="B361" s="1024">
        <v>8598296</v>
      </c>
    </row>
    <row r="362" spans="1:2" x14ac:dyDescent="0.2">
      <c r="A362" t="s">
        <v>824</v>
      </c>
      <c r="B362" s="1024">
        <v>475804000</v>
      </c>
    </row>
    <row r="363" spans="1:2" x14ac:dyDescent="0.2">
      <c r="A363" t="s">
        <v>825</v>
      </c>
      <c r="B363" s="1024">
        <v>1141740000</v>
      </c>
    </row>
    <row r="364" spans="1:2" x14ac:dyDescent="0.2">
      <c r="A364" t="s">
        <v>1054</v>
      </c>
      <c r="B364" s="1024">
        <v>11134562</v>
      </c>
    </row>
    <row r="365" spans="1:2" x14ac:dyDescent="0.2">
      <c r="A365" t="s">
        <v>862</v>
      </c>
      <c r="B365" s="1024">
        <v>11173641</v>
      </c>
    </row>
    <row r="366" spans="1:2" x14ac:dyDescent="0.2">
      <c r="A366" t="s">
        <v>1055</v>
      </c>
      <c r="B366" s="1024">
        <v>15020914</v>
      </c>
    </row>
    <row r="367" spans="1:2" x14ac:dyDescent="0.2">
      <c r="A367" t="s">
        <v>826</v>
      </c>
      <c r="B367" s="1024">
        <v>6048880000</v>
      </c>
    </row>
    <row r="368" spans="1:2" x14ac:dyDescent="0.2">
      <c r="A368" t="s">
        <v>1056</v>
      </c>
      <c r="B368" s="1024">
        <v>186647000</v>
      </c>
    </row>
    <row r="369" spans="1:2" x14ac:dyDescent="0.2">
      <c r="A369" t="s">
        <v>1057</v>
      </c>
      <c r="B369" s="1024">
        <v>35955687</v>
      </c>
    </row>
    <row r="370" spans="1:2" x14ac:dyDescent="0.2">
      <c r="A370" t="s">
        <v>1058</v>
      </c>
      <c r="B370" s="105">
        <v>8193926</v>
      </c>
    </row>
    <row r="371" spans="1:2" x14ac:dyDescent="0.2">
      <c r="A371" t="s">
        <v>876</v>
      </c>
      <c r="B371" s="1024">
        <v>4698914</v>
      </c>
    </row>
    <row r="372" spans="1:2" x14ac:dyDescent="0.2">
      <c r="A372" t="s">
        <v>827</v>
      </c>
      <c r="B372" s="1024">
        <v>916983000</v>
      </c>
    </row>
    <row r="373" spans="1:2" x14ac:dyDescent="0.2">
      <c r="A373" t="s">
        <v>1059</v>
      </c>
      <c r="B373" s="105">
        <v>21506636</v>
      </c>
    </row>
    <row r="374" spans="1:2" x14ac:dyDescent="0.2">
      <c r="A374" t="s">
        <v>868</v>
      </c>
      <c r="B374" s="1024">
        <v>10260887</v>
      </c>
    </row>
    <row r="375" spans="1:2" x14ac:dyDescent="0.2">
      <c r="A375" t="s">
        <v>1060</v>
      </c>
      <c r="B375" s="1024">
        <v>-44801200</v>
      </c>
    </row>
    <row r="376" spans="1:2" x14ac:dyDescent="0.2">
      <c r="A376" t="s">
        <v>877</v>
      </c>
      <c r="B376" s="1024">
        <v>1324657</v>
      </c>
    </row>
    <row r="377" spans="1:2" x14ac:dyDescent="0.2">
      <c r="A377" t="s">
        <v>1061</v>
      </c>
      <c r="B377" s="105">
        <v>19048885</v>
      </c>
    </row>
    <row r="378" spans="1:2" x14ac:dyDescent="0.2">
      <c r="A378" t="s">
        <v>1062</v>
      </c>
      <c r="B378" s="1024">
        <v>21637483</v>
      </c>
    </row>
    <row r="379" spans="1:2" x14ac:dyDescent="0.2">
      <c r="A379" t="s">
        <v>829</v>
      </c>
      <c r="B379" s="1024">
        <v>538429000</v>
      </c>
    </row>
    <row r="380" spans="1:2" x14ac:dyDescent="0.2">
      <c r="A380" t="s">
        <v>828</v>
      </c>
      <c r="B380" s="105">
        <v>2988888</v>
      </c>
    </row>
    <row r="381" spans="1:2" x14ac:dyDescent="0.2">
      <c r="A381" t="s">
        <v>983</v>
      </c>
      <c r="B381" s="1024">
        <v>7570485</v>
      </c>
    </row>
    <row r="382" spans="1:2" x14ac:dyDescent="0.2">
      <c r="A382" t="s">
        <v>1063</v>
      </c>
      <c r="B382" s="105">
        <v>38978272</v>
      </c>
    </row>
    <row r="383" spans="1:2" x14ac:dyDescent="0.2">
      <c r="A383" t="s">
        <v>871</v>
      </c>
      <c r="B383" s="1024">
        <v>3224933</v>
      </c>
    </row>
    <row r="384" spans="1:2" x14ac:dyDescent="0.2">
      <c r="A384" t="s">
        <v>830</v>
      </c>
      <c r="B384" s="1024">
        <v>3731120000</v>
      </c>
    </row>
    <row r="385" spans="1:2" x14ac:dyDescent="0.2">
      <c r="A385" t="s">
        <v>1064</v>
      </c>
      <c r="B385" s="1024">
        <v>899523</v>
      </c>
    </row>
    <row r="386" spans="1:2" x14ac:dyDescent="0.2">
      <c r="A386" t="s">
        <v>870</v>
      </c>
      <c r="B386" s="1024">
        <v>13607577</v>
      </c>
    </row>
    <row r="387" spans="1:2" x14ac:dyDescent="0.2">
      <c r="A387" t="s">
        <v>1065</v>
      </c>
      <c r="B387" s="1024">
        <v>6703894</v>
      </c>
    </row>
    <row r="388" spans="1:2" x14ac:dyDescent="0.2">
      <c r="A388" t="s">
        <v>1066</v>
      </c>
      <c r="B388" s="1024">
        <v>-956872</v>
      </c>
    </row>
    <row r="389" spans="1:2" x14ac:dyDescent="0.2">
      <c r="A389" t="s">
        <v>873</v>
      </c>
      <c r="B389" s="1024">
        <v>130051000</v>
      </c>
    </row>
    <row r="390" spans="1:2" x14ac:dyDescent="0.2">
      <c r="A390" t="s">
        <v>1067</v>
      </c>
      <c r="B390" s="1024">
        <v>497611000</v>
      </c>
    </row>
    <row r="391" spans="1:2" x14ac:dyDescent="0.2">
      <c r="A391" t="s">
        <v>1068</v>
      </c>
      <c r="B391" s="1024">
        <v>2397022</v>
      </c>
    </row>
    <row r="392" spans="1:2" x14ac:dyDescent="0.2">
      <c r="A392" t="s">
        <v>1069</v>
      </c>
      <c r="B392" s="1024">
        <v>1403830000</v>
      </c>
    </row>
    <row r="393" spans="1:2" x14ac:dyDescent="0.2">
      <c r="A393" t="s">
        <v>1070</v>
      </c>
      <c r="B393" s="105">
        <v>21202620</v>
      </c>
    </row>
    <row r="394" spans="1:2" x14ac:dyDescent="0.2">
      <c r="A394" t="s">
        <v>831</v>
      </c>
      <c r="B394" s="1024">
        <v>3255590000</v>
      </c>
    </row>
    <row r="395" spans="1:2" x14ac:dyDescent="0.2">
      <c r="A395" t="s">
        <v>833</v>
      </c>
      <c r="B395" s="105">
        <v>1066270000</v>
      </c>
    </row>
    <row r="396" spans="1:2" x14ac:dyDescent="0.2">
      <c r="A396" t="s">
        <v>832</v>
      </c>
      <c r="B396" s="1024">
        <v>241412000</v>
      </c>
    </row>
    <row r="397" spans="1:2" x14ac:dyDescent="0.2">
      <c r="A397" t="s">
        <v>1071</v>
      </c>
      <c r="B397" s="1024">
        <v>66097170</v>
      </c>
    </row>
    <row r="398" spans="1:2" x14ac:dyDescent="0.2">
      <c r="A398" t="s">
        <v>1072</v>
      </c>
      <c r="B398">
        <v>74999929</v>
      </c>
    </row>
    <row r="399" spans="1:2" x14ac:dyDescent="0.2">
      <c r="A399" t="s">
        <v>1073</v>
      </c>
      <c r="B399" s="105">
        <v>22072237</v>
      </c>
    </row>
    <row r="400" spans="1:2" x14ac:dyDescent="0.2">
      <c r="A400" t="s">
        <v>1074</v>
      </c>
      <c r="B400" s="105">
        <v>168287000</v>
      </c>
    </row>
    <row r="401" spans="1:2" x14ac:dyDescent="0.2">
      <c r="A401" t="s">
        <v>1075</v>
      </c>
      <c r="B401" s="1024">
        <v>11686990</v>
      </c>
    </row>
    <row r="402" spans="1:2" x14ac:dyDescent="0.2">
      <c r="A402" t="s">
        <v>1076</v>
      </c>
      <c r="B402" s="1024">
        <v>103296000</v>
      </c>
    </row>
    <row r="403" spans="1:2" x14ac:dyDescent="0.2">
      <c r="A403" t="s">
        <v>880</v>
      </c>
      <c r="B403" s="1024">
        <v>68517685</v>
      </c>
    </row>
    <row r="404" spans="1:2" x14ac:dyDescent="0.2">
      <c r="A404" t="s">
        <v>1077</v>
      </c>
      <c r="B404" s="1024">
        <v>539088000</v>
      </c>
    </row>
    <row r="405" spans="1:2" x14ac:dyDescent="0.2">
      <c r="A405" t="s">
        <v>1078</v>
      </c>
      <c r="B405" s="1024">
        <v>430522000</v>
      </c>
    </row>
    <row r="406" spans="1:2" x14ac:dyDescent="0.2">
      <c r="A406" t="s">
        <v>1079</v>
      </c>
      <c r="B406" s="1024">
        <v>15942236</v>
      </c>
    </row>
    <row r="407" spans="1:2" x14ac:dyDescent="0.2">
      <c r="A407" t="s">
        <v>834</v>
      </c>
      <c r="B407" s="1024">
        <v>311277000</v>
      </c>
    </row>
    <row r="408" spans="1:2" x14ac:dyDescent="0.2">
      <c r="A408" t="s">
        <v>881</v>
      </c>
      <c r="B408" s="1024">
        <v>419654000</v>
      </c>
    </row>
    <row r="409" spans="1:2" x14ac:dyDescent="0.2">
      <c r="A409" t="s">
        <v>835</v>
      </c>
      <c r="B409" s="1024">
        <v>93844220</v>
      </c>
    </row>
    <row r="410" spans="1:2" x14ac:dyDescent="0.2">
      <c r="A410" t="s">
        <v>1080</v>
      </c>
      <c r="B410" s="1024">
        <v>10186047</v>
      </c>
    </row>
    <row r="411" spans="1:2" x14ac:dyDescent="0.2">
      <c r="A411" t="s">
        <v>1081</v>
      </c>
      <c r="B411" s="1024">
        <v>434445000</v>
      </c>
    </row>
    <row r="412" spans="1:2" x14ac:dyDescent="0.2">
      <c r="A412" t="s">
        <v>1082</v>
      </c>
      <c r="B412" s="1024">
        <v>87773575</v>
      </c>
    </row>
    <row r="413" spans="1:2" x14ac:dyDescent="0.2">
      <c r="A413" t="s">
        <v>848</v>
      </c>
      <c r="B413" s="1024">
        <v>632601000</v>
      </c>
    </row>
    <row r="414" spans="1:2" x14ac:dyDescent="0.2">
      <c r="A414" t="s">
        <v>1083</v>
      </c>
      <c r="B414" s="1024">
        <v>263507000</v>
      </c>
    </row>
    <row r="415" spans="1:2" x14ac:dyDescent="0.2">
      <c r="A415" t="s">
        <v>1084</v>
      </c>
      <c r="B415" s="105">
        <v>2014471</v>
      </c>
    </row>
    <row r="416" spans="1:2" x14ac:dyDescent="0.2">
      <c r="A416" t="s">
        <v>875</v>
      </c>
      <c r="B416" s="105">
        <v>2002870000</v>
      </c>
    </row>
    <row r="417" spans="1:2" x14ac:dyDescent="0.2">
      <c r="A417" t="s">
        <v>1085</v>
      </c>
      <c r="B417" s="105">
        <v>65162408</v>
      </c>
    </row>
    <row r="418" spans="1:2" x14ac:dyDescent="0.2">
      <c r="A418" t="s">
        <v>1086</v>
      </c>
      <c r="B418" s="1024">
        <v>9493991</v>
      </c>
    </row>
    <row r="419" spans="1:2" x14ac:dyDescent="0.2">
      <c r="A419" t="s">
        <v>1087</v>
      </c>
      <c r="B419" s="1024">
        <v>824777000</v>
      </c>
    </row>
    <row r="420" spans="1:2" x14ac:dyDescent="0.2">
      <c r="A420" t="s">
        <v>836</v>
      </c>
      <c r="B420" s="1024">
        <v>92305505</v>
      </c>
    </row>
    <row r="421" spans="1:2" x14ac:dyDescent="0.2">
      <c r="A421" t="s">
        <v>837</v>
      </c>
      <c r="B421" s="1024">
        <v>9743302</v>
      </c>
    </row>
    <row r="422" spans="1:2" x14ac:dyDescent="0.2">
      <c r="A422" t="s">
        <v>839</v>
      </c>
      <c r="B422" s="1024">
        <v>387723000</v>
      </c>
    </row>
    <row r="423" spans="1:2" x14ac:dyDescent="0.2">
      <c r="A423" t="s">
        <v>1088</v>
      </c>
      <c r="B423" s="1024">
        <v>782048000</v>
      </c>
    </row>
    <row r="424" spans="1:2" x14ac:dyDescent="0.2">
      <c r="A424" t="s">
        <v>1089</v>
      </c>
      <c r="B424">
        <v>62162918</v>
      </c>
    </row>
    <row r="425" spans="1:2" x14ac:dyDescent="0.2">
      <c r="A425" t="s">
        <v>1090</v>
      </c>
      <c r="B425" s="105">
        <v>9753283</v>
      </c>
    </row>
    <row r="426" spans="1:2" x14ac:dyDescent="0.2">
      <c r="A426" t="s">
        <v>841</v>
      </c>
      <c r="B426" s="105">
        <v>255744000</v>
      </c>
    </row>
    <row r="427" spans="1:2" x14ac:dyDescent="0.2">
      <c r="A427" t="s">
        <v>1091</v>
      </c>
      <c r="B427" s="1024">
        <v>535051000</v>
      </c>
    </row>
    <row r="428" spans="1:2" x14ac:dyDescent="0.2">
      <c r="A428" t="s">
        <v>1092</v>
      </c>
      <c r="B428" s="1024">
        <v>5999112</v>
      </c>
    </row>
    <row r="429" spans="1:2" x14ac:dyDescent="0.2">
      <c r="A429" t="s">
        <v>1093</v>
      </c>
      <c r="B429" s="105">
        <v>4343081</v>
      </c>
    </row>
    <row r="430" spans="1:2" x14ac:dyDescent="0.2">
      <c r="A430" t="s">
        <v>1094</v>
      </c>
      <c r="B430" s="105">
        <v>50020535</v>
      </c>
    </row>
    <row r="431" spans="1:2" x14ac:dyDescent="0.2">
      <c r="A431" t="s">
        <v>1095</v>
      </c>
      <c r="B431">
        <v>33967610</v>
      </c>
    </row>
    <row r="432" spans="1:2" x14ac:dyDescent="0.2">
      <c r="A432" t="s">
        <v>242</v>
      </c>
      <c r="B432" s="1024">
        <v>185540000000</v>
      </c>
    </row>
    <row r="433" spans="1:2" x14ac:dyDescent="0.2">
      <c r="A433" t="s">
        <v>1096</v>
      </c>
      <c r="B433" s="1024">
        <v>30403789</v>
      </c>
    </row>
    <row r="434" spans="1:2" x14ac:dyDescent="0.2">
      <c r="A434" t="s">
        <v>982</v>
      </c>
      <c r="B434" s="105">
        <v>-4125779</v>
      </c>
    </row>
    <row r="435" spans="1:2" x14ac:dyDescent="0.2">
      <c r="A435" t="s">
        <v>1097</v>
      </c>
      <c r="B435" s="1024">
        <v>8457088</v>
      </c>
    </row>
    <row r="436" spans="1:2" x14ac:dyDescent="0.2">
      <c r="A436" t="s">
        <v>1098</v>
      </c>
      <c r="B436" s="105">
        <v>100016000</v>
      </c>
    </row>
    <row r="437" spans="1:2" x14ac:dyDescent="0.2">
      <c r="A437" t="s">
        <v>849</v>
      </c>
      <c r="B437" s="1024">
        <v>313324000</v>
      </c>
    </row>
    <row r="438" spans="1:2" x14ac:dyDescent="0.2">
      <c r="A438" t="s">
        <v>1099</v>
      </c>
      <c r="B438" s="1024">
        <v>14524143</v>
      </c>
    </row>
    <row r="439" spans="1:2" x14ac:dyDescent="0.2">
      <c r="A439" t="s">
        <v>1100</v>
      </c>
      <c r="B439" s="105">
        <v>6503421</v>
      </c>
    </row>
    <row r="440" spans="1:2" x14ac:dyDescent="0.2">
      <c r="A440" t="s">
        <v>231</v>
      </c>
      <c r="B440" s="1024">
        <v>340707000000</v>
      </c>
    </row>
    <row r="442" spans="1:2" x14ac:dyDescent="0.2">
      <c r="A442" t="s">
        <v>1019</v>
      </c>
      <c r="B442" s="105" t="s">
        <v>1020</v>
      </c>
    </row>
    <row r="443" spans="1:2" x14ac:dyDescent="0.2">
      <c r="B443" s="1024" t="s">
        <v>1103</v>
      </c>
    </row>
    <row r="444" spans="1:2" x14ac:dyDescent="0.2">
      <c r="A444" t="s">
        <v>853</v>
      </c>
      <c r="B444" s="105">
        <v>805</v>
      </c>
    </row>
    <row r="445" spans="1:2" x14ac:dyDescent="0.2">
      <c r="A445" t="s">
        <v>1022</v>
      </c>
      <c r="B445" s="105">
        <v>10297</v>
      </c>
    </row>
    <row r="446" spans="1:2" x14ac:dyDescent="0.2">
      <c r="A446" t="s">
        <v>1023</v>
      </c>
      <c r="B446" s="105">
        <v>347</v>
      </c>
    </row>
    <row r="447" spans="1:2" x14ac:dyDescent="0.2">
      <c r="A447" t="s">
        <v>1024</v>
      </c>
      <c r="B447" s="105">
        <v>38222</v>
      </c>
    </row>
    <row r="448" spans="1:2" x14ac:dyDescent="0.2">
      <c r="A448" t="s">
        <v>1025</v>
      </c>
      <c r="B448" s="105">
        <v>104461</v>
      </c>
    </row>
    <row r="449" spans="1:2" x14ac:dyDescent="0.2">
      <c r="A449" t="s">
        <v>1026</v>
      </c>
      <c r="B449">
        <v>425</v>
      </c>
    </row>
    <row r="450" spans="1:2" x14ac:dyDescent="0.2">
      <c r="A450" t="s">
        <v>809</v>
      </c>
      <c r="B450" s="1024">
        <v>243078</v>
      </c>
    </row>
    <row r="451" spans="1:2" x14ac:dyDescent="0.2">
      <c r="A451" t="s">
        <v>810</v>
      </c>
      <c r="B451" s="1024">
        <v>26312</v>
      </c>
    </row>
    <row r="452" spans="1:2" x14ac:dyDescent="0.2">
      <c r="A452" t="s">
        <v>1027</v>
      </c>
      <c r="B452" s="1024">
        <v>1707</v>
      </c>
    </row>
    <row r="453" spans="1:2" x14ac:dyDescent="0.2">
      <c r="A453" t="s">
        <v>811</v>
      </c>
      <c r="B453" s="105">
        <v>90847</v>
      </c>
    </row>
    <row r="454" spans="1:2" x14ac:dyDescent="0.2">
      <c r="A454" t="s">
        <v>1028</v>
      </c>
      <c r="B454" s="105">
        <v>3448</v>
      </c>
    </row>
    <row r="455" spans="1:2" x14ac:dyDescent="0.2">
      <c r="A455" t="s">
        <v>1029</v>
      </c>
      <c r="B455" s="105">
        <v>14648</v>
      </c>
    </row>
    <row r="456" spans="1:2" x14ac:dyDescent="0.2">
      <c r="A456" t="s">
        <v>981</v>
      </c>
      <c r="B456">
        <v>3630</v>
      </c>
    </row>
    <row r="457" spans="1:2" x14ac:dyDescent="0.2">
      <c r="A457" t="s">
        <v>854</v>
      </c>
      <c r="B457" s="105">
        <v>2839</v>
      </c>
    </row>
    <row r="458" spans="1:2" x14ac:dyDescent="0.2">
      <c r="A458" t="s">
        <v>1030</v>
      </c>
      <c r="B458" s="105">
        <v>465</v>
      </c>
    </row>
    <row r="459" spans="1:2" x14ac:dyDescent="0.2">
      <c r="A459" t="s">
        <v>1031</v>
      </c>
      <c r="B459" s="1024">
        <v>1056</v>
      </c>
    </row>
    <row r="460" spans="1:2" x14ac:dyDescent="0.2">
      <c r="A460" t="s">
        <v>857</v>
      </c>
      <c r="B460" s="1024">
        <v>551</v>
      </c>
    </row>
    <row r="461" spans="1:2" x14ac:dyDescent="0.2">
      <c r="A461" t="s">
        <v>1032</v>
      </c>
      <c r="B461" s="1024">
        <v>2925</v>
      </c>
    </row>
    <row r="462" spans="1:2" x14ac:dyDescent="0.2">
      <c r="A462" t="s">
        <v>843</v>
      </c>
      <c r="B462" s="1024">
        <v>532715</v>
      </c>
    </row>
    <row r="463" spans="1:2" x14ac:dyDescent="0.2">
      <c r="A463" t="s">
        <v>855</v>
      </c>
      <c r="B463" s="1024">
        <v>403</v>
      </c>
    </row>
    <row r="464" spans="1:2" x14ac:dyDescent="0.2">
      <c r="A464" t="s">
        <v>1033</v>
      </c>
      <c r="B464" s="105">
        <v>450</v>
      </c>
    </row>
    <row r="465" spans="1:2" x14ac:dyDescent="0.2">
      <c r="A465" t="s">
        <v>1034</v>
      </c>
      <c r="B465" s="105">
        <v>1310</v>
      </c>
    </row>
    <row r="466" spans="1:2" x14ac:dyDescent="0.2">
      <c r="A466" t="s">
        <v>812</v>
      </c>
      <c r="B466" s="1024">
        <v>761499</v>
      </c>
    </row>
    <row r="467" spans="1:2" x14ac:dyDescent="0.2">
      <c r="A467" t="s">
        <v>840</v>
      </c>
      <c r="B467" s="1024">
        <v>73146</v>
      </c>
    </row>
    <row r="468" spans="1:2" x14ac:dyDescent="0.2">
      <c r="A468" t="s">
        <v>813</v>
      </c>
      <c r="B468" s="1024">
        <v>112241</v>
      </c>
    </row>
    <row r="469" spans="1:2" x14ac:dyDescent="0.2">
      <c r="A469" t="s">
        <v>844</v>
      </c>
      <c r="B469" s="105">
        <v>1055018</v>
      </c>
    </row>
    <row r="470" spans="1:2" x14ac:dyDescent="0.2">
      <c r="A470" t="s">
        <v>1035</v>
      </c>
      <c r="B470" s="1024">
        <v>1068</v>
      </c>
    </row>
    <row r="471" spans="1:2" x14ac:dyDescent="0.2">
      <c r="A471" t="s">
        <v>1036</v>
      </c>
      <c r="B471" s="105">
        <v>575</v>
      </c>
    </row>
    <row r="472" spans="1:2" x14ac:dyDescent="0.2">
      <c r="A472" t="s">
        <v>1037</v>
      </c>
      <c r="B472" s="1024">
        <v>936</v>
      </c>
    </row>
    <row r="473" spans="1:2" x14ac:dyDescent="0.2">
      <c r="A473" t="s">
        <v>845</v>
      </c>
      <c r="B473" s="1024">
        <v>73043</v>
      </c>
    </row>
    <row r="474" spans="1:2" x14ac:dyDescent="0.2">
      <c r="A474" t="s">
        <v>846</v>
      </c>
      <c r="B474" s="1024">
        <v>69844</v>
      </c>
    </row>
    <row r="475" spans="1:2" x14ac:dyDescent="0.2">
      <c r="A475" t="s">
        <v>860</v>
      </c>
      <c r="B475" s="1024">
        <v>288</v>
      </c>
    </row>
    <row r="476" spans="1:2" x14ac:dyDescent="0.2">
      <c r="A476" t="s">
        <v>859</v>
      </c>
      <c r="B476" s="1024">
        <v>3139</v>
      </c>
    </row>
    <row r="477" spans="1:2" x14ac:dyDescent="0.2">
      <c r="A477" t="s">
        <v>861</v>
      </c>
      <c r="B477" s="1024">
        <v>1542</v>
      </c>
    </row>
    <row r="478" spans="1:2" x14ac:dyDescent="0.2">
      <c r="A478" t="s">
        <v>814</v>
      </c>
      <c r="B478" s="1024">
        <v>77576</v>
      </c>
    </row>
    <row r="479" spans="1:2" x14ac:dyDescent="0.2">
      <c r="A479" t="s">
        <v>819</v>
      </c>
      <c r="B479" s="1024">
        <v>500806</v>
      </c>
    </row>
    <row r="480" spans="1:2" x14ac:dyDescent="0.2">
      <c r="A480" t="s">
        <v>815</v>
      </c>
      <c r="B480" s="105">
        <v>29025</v>
      </c>
    </row>
    <row r="481" spans="1:2" x14ac:dyDescent="0.2">
      <c r="A481" t="s">
        <v>1038</v>
      </c>
      <c r="B481" s="105">
        <v>26262</v>
      </c>
    </row>
    <row r="482" spans="1:2" x14ac:dyDescent="0.2">
      <c r="A482" t="s">
        <v>1039</v>
      </c>
      <c r="B482" s="1024">
        <v>4133</v>
      </c>
    </row>
    <row r="483" spans="1:2" x14ac:dyDescent="0.2">
      <c r="A483" t="s">
        <v>1040</v>
      </c>
      <c r="B483" s="1024">
        <v>12904</v>
      </c>
    </row>
    <row r="484" spans="1:2" x14ac:dyDescent="0.2">
      <c r="A484" t="s">
        <v>1041</v>
      </c>
      <c r="B484" s="105">
        <v>34226</v>
      </c>
    </row>
    <row r="485" spans="1:2" x14ac:dyDescent="0.2">
      <c r="A485" t="s">
        <v>838</v>
      </c>
      <c r="B485" s="1024">
        <v>147905</v>
      </c>
    </row>
    <row r="486" spans="1:2" x14ac:dyDescent="0.2">
      <c r="A486" t="s">
        <v>816</v>
      </c>
      <c r="B486" s="1024">
        <v>3648</v>
      </c>
    </row>
    <row r="487" spans="1:2" x14ac:dyDescent="0.2">
      <c r="A487" t="s">
        <v>817</v>
      </c>
      <c r="B487" s="105">
        <v>18452</v>
      </c>
    </row>
    <row r="488" spans="1:2" x14ac:dyDescent="0.2">
      <c r="A488" t="s">
        <v>1042</v>
      </c>
      <c r="B488" s="1024">
        <v>2450</v>
      </c>
    </row>
    <row r="489" spans="1:2" x14ac:dyDescent="0.2">
      <c r="A489" t="s">
        <v>1043</v>
      </c>
      <c r="B489" s="1024">
        <v>11176463</v>
      </c>
    </row>
    <row r="490" spans="1:2" x14ac:dyDescent="0.2">
      <c r="A490" t="s">
        <v>818</v>
      </c>
      <c r="B490" s="105">
        <v>309741</v>
      </c>
    </row>
    <row r="491" spans="1:2" x14ac:dyDescent="0.2">
      <c r="A491" t="s">
        <v>1044</v>
      </c>
      <c r="B491" s="105">
        <v>658</v>
      </c>
    </row>
    <row r="492" spans="1:2" x14ac:dyDescent="0.2">
      <c r="A492" t="s">
        <v>842</v>
      </c>
      <c r="B492" s="105">
        <v>978253</v>
      </c>
    </row>
    <row r="493" spans="1:2" x14ac:dyDescent="0.2">
      <c r="A493" t="s">
        <v>1045</v>
      </c>
      <c r="B493" s="105">
        <v>487</v>
      </c>
    </row>
    <row r="494" spans="1:2" x14ac:dyDescent="0.2">
      <c r="A494" t="s">
        <v>864</v>
      </c>
      <c r="B494" s="105">
        <v>1529</v>
      </c>
    </row>
    <row r="495" spans="1:2" x14ac:dyDescent="0.2">
      <c r="A495" t="s">
        <v>1046</v>
      </c>
      <c r="B495">
        <v>5464</v>
      </c>
    </row>
    <row r="496" spans="1:2" x14ac:dyDescent="0.2">
      <c r="A496" t="s">
        <v>1047</v>
      </c>
      <c r="B496" s="105">
        <v>1728</v>
      </c>
    </row>
    <row r="497" spans="1:2" x14ac:dyDescent="0.2">
      <c r="A497" t="s">
        <v>820</v>
      </c>
      <c r="B497">
        <v>13130</v>
      </c>
    </row>
    <row r="498" spans="1:2" x14ac:dyDescent="0.2">
      <c r="A498" t="s">
        <v>1048</v>
      </c>
      <c r="B498" s="1024">
        <v>24583</v>
      </c>
    </row>
    <row r="499" spans="1:2" x14ac:dyDescent="0.2">
      <c r="A499" t="s">
        <v>1049</v>
      </c>
      <c r="B499" s="1024">
        <v>1160</v>
      </c>
    </row>
    <row r="500" spans="1:2" x14ac:dyDescent="0.2">
      <c r="A500" t="s">
        <v>866</v>
      </c>
      <c r="B500" s="105">
        <v>85285</v>
      </c>
    </row>
    <row r="501" spans="1:2" x14ac:dyDescent="0.2">
      <c r="A501" t="s">
        <v>1050</v>
      </c>
      <c r="B501" s="1024">
        <v>55385</v>
      </c>
    </row>
    <row r="502" spans="1:2" x14ac:dyDescent="0.2">
      <c r="A502" t="s">
        <v>1051</v>
      </c>
      <c r="B502" s="105">
        <v>3814</v>
      </c>
    </row>
    <row r="503" spans="1:2" x14ac:dyDescent="0.2">
      <c r="A503" t="s">
        <v>821</v>
      </c>
      <c r="B503" s="105">
        <v>70413</v>
      </c>
    </row>
    <row r="504" spans="1:2" x14ac:dyDescent="0.2">
      <c r="A504" t="s">
        <v>1052</v>
      </c>
      <c r="B504" s="105">
        <v>67669</v>
      </c>
    </row>
    <row r="505" spans="1:2" x14ac:dyDescent="0.2">
      <c r="A505" t="s">
        <v>847</v>
      </c>
      <c r="B505" s="1024">
        <v>1149992</v>
      </c>
    </row>
    <row r="506" spans="1:2" x14ac:dyDescent="0.2">
      <c r="A506" t="s">
        <v>823</v>
      </c>
      <c r="B506" s="105">
        <v>108127</v>
      </c>
    </row>
    <row r="507" spans="1:2" x14ac:dyDescent="0.2">
      <c r="A507" t="s">
        <v>1053</v>
      </c>
      <c r="B507" s="105">
        <v>3961</v>
      </c>
    </row>
    <row r="508" spans="1:2" x14ac:dyDescent="0.2">
      <c r="A508" t="s">
        <v>822</v>
      </c>
      <c r="B508" s="105">
        <v>1944</v>
      </c>
    </row>
    <row r="509" spans="1:2" x14ac:dyDescent="0.2">
      <c r="A509" t="s">
        <v>824</v>
      </c>
      <c r="B509" s="1024">
        <v>43835</v>
      </c>
    </row>
    <row r="510" spans="1:2" x14ac:dyDescent="0.2">
      <c r="A510" t="s">
        <v>825</v>
      </c>
      <c r="B510" s="1024">
        <v>157598</v>
      </c>
    </row>
    <row r="511" spans="1:2" x14ac:dyDescent="0.2">
      <c r="A511" t="s">
        <v>1054</v>
      </c>
      <c r="B511" s="105">
        <v>8675</v>
      </c>
    </row>
    <row r="512" spans="1:2" x14ac:dyDescent="0.2">
      <c r="A512" t="s">
        <v>862</v>
      </c>
      <c r="B512" s="1024">
        <v>459</v>
      </c>
    </row>
    <row r="513" spans="1:2" x14ac:dyDescent="0.2">
      <c r="A513" t="s">
        <v>1055</v>
      </c>
      <c r="B513" s="1024">
        <v>2042</v>
      </c>
    </row>
    <row r="514" spans="1:2" x14ac:dyDescent="0.2">
      <c r="A514" t="s">
        <v>826</v>
      </c>
      <c r="B514" s="105">
        <v>310802</v>
      </c>
    </row>
    <row r="515" spans="1:2" x14ac:dyDescent="0.2">
      <c r="A515" t="s">
        <v>1056</v>
      </c>
      <c r="B515" s="1024">
        <v>5062</v>
      </c>
    </row>
    <row r="516" spans="1:2" x14ac:dyDescent="0.2">
      <c r="A516" t="s">
        <v>1057</v>
      </c>
      <c r="B516" s="105">
        <v>3294</v>
      </c>
    </row>
    <row r="517" spans="1:2" x14ac:dyDescent="0.2">
      <c r="A517" t="s">
        <v>1058</v>
      </c>
      <c r="B517" s="1024">
        <v>2187</v>
      </c>
    </row>
    <row r="518" spans="1:2" x14ac:dyDescent="0.2">
      <c r="A518" t="s">
        <v>876</v>
      </c>
      <c r="B518" s="1024">
        <v>916</v>
      </c>
    </row>
    <row r="519" spans="1:2" x14ac:dyDescent="0.2">
      <c r="A519" t="s">
        <v>827</v>
      </c>
      <c r="B519" s="105">
        <v>111232</v>
      </c>
    </row>
    <row r="520" spans="1:2" x14ac:dyDescent="0.2">
      <c r="A520" t="s">
        <v>1059</v>
      </c>
      <c r="B520" s="105">
        <v>3078</v>
      </c>
    </row>
    <row r="521" spans="1:2" x14ac:dyDescent="0.2">
      <c r="A521" t="s">
        <v>868</v>
      </c>
      <c r="B521" s="105">
        <v>845</v>
      </c>
    </row>
    <row r="522" spans="1:2" x14ac:dyDescent="0.2">
      <c r="A522" t="s">
        <v>1060</v>
      </c>
      <c r="B522" s="1024">
        <v>126</v>
      </c>
    </row>
    <row r="523" spans="1:2" x14ac:dyDescent="0.2">
      <c r="A523" t="s">
        <v>877</v>
      </c>
      <c r="B523" s="1024">
        <v>292</v>
      </c>
    </row>
    <row r="524" spans="1:2" x14ac:dyDescent="0.2">
      <c r="A524" t="s">
        <v>1061</v>
      </c>
      <c r="B524" s="1024">
        <v>3515</v>
      </c>
    </row>
    <row r="525" spans="1:2" x14ac:dyDescent="0.2">
      <c r="A525" t="s">
        <v>1062</v>
      </c>
      <c r="B525" s="105">
        <v>7269</v>
      </c>
    </row>
    <row r="526" spans="1:2" x14ac:dyDescent="0.2">
      <c r="A526" t="s">
        <v>829</v>
      </c>
      <c r="B526" s="105">
        <v>11361</v>
      </c>
    </row>
    <row r="527" spans="1:2" x14ac:dyDescent="0.2">
      <c r="A527" t="s">
        <v>828</v>
      </c>
      <c r="B527" s="105">
        <v>1314</v>
      </c>
    </row>
    <row r="528" spans="1:2" x14ac:dyDescent="0.2">
      <c r="A528" t="s">
        <v>983</v>
      </c>
      <c r="B528" s="1024">
        <v>29073</v>
      </c>
    </row>
    <row r="529" spans="1:2" x14ac:dyDescent="0.2">
      <c r="A529" t="s">
        <v>1063</v>
      </c>
      <c r="B529" s="105">
        <v>27322</v>
      </c>
    </row>
    <row r="530" spans="1:2" x14ac:dyDescent="0.2">
      <c r="A530" t="s">
        <v>871</v>
      </c>
      <c r="B530" s="1024">
        <v>250</v>
      </c>
    </row>
    <row r="531" spans="1:2" x14ac:dyDescent="0.2">
      <c r="A531" t="s">
        <v>830</v>
      </c>
      <c r="B531" s="105">
        <v>975451</v>
      </c>
    </row>
    <row r="532" spans="1:2" x14ac:dyDescent="0.2">
      <c r="A532" t="s">
        <v>1064</v>
      </c>
      <c r="B532" s="105">
        <v>2983</v>
      </c>
    </row>
    <row r="533" spans="1:2" x14ac:dyDescent="0.2">
      <c r="A533" t="s">
        <v>870</v>
      </c>
      <c r="B533" s="105">
        <v>422</v>
      </c>
    </row>
    <row r="534" spans="1:2" x14ac:dyDescent="0.2">
      <c r="A534" t="s">
        <v>1065</v>
      </c>
      <c r="B534" s="1024">
        <v>1838</v>
      </c>
    </row>
    <row r="535" spans="1:2" x14ac:dyDescent="0.2">
      <c r="A535" t="s">
        <v>1066</v>
      </c>
      <c r="B535" s="105">
        <v>5450</v>
      </c>
    </row>
    <row r="536" spans="1:2" x14ac:dyDescent="0.2">
      <c r="A536" t="s">
        <v>873</v>
      </c>
      <c r="B536" s="105">
        <v>3321</v>
      </c>
    </row>
    <row r="537" spans="1:2" x14ac:dyDescent="0.2">
      <c r="A537" t="s">
        <v>1067</v>
      </c>
      <c r="B537" s="105">
        <v>147613</v>
      </c>
    </row>
    <row r="538" spans="1:2" x14ac:dyDescent="0.2">
      <c r="A538" t="s">
        <v>1068</v>
      </c>
      <c r="B538" s="105">
        <v>499</v>
      </c>
    </row>
    <row r="539" spans="1:2" x14ac:dyDescent="0.2">
      <c r="A539" t="s">
        <v>1069</v>
      </c>
      <c r="B539" s="1024">
        <v>10510</v>
      </c>
    </row>
    <row r="540" spans="1:2" x14ac:dyDescent="0.2">
      <c r="A540" t="s">
        <v>1070</v>
      </c>
      <c r="B540" s="105">
        <v>8535</v>
      </c>
    </row>
    <row r="541" spans="1:2" x14ac:dyDescent="0.2">
      <c r="A541" t="s">
        <v>831</v>
      </c>
      <c r="B541" s="1024">
        <v>135788</v>
      </c>
    </row>
    <row r="542" spans="1:2" x14ac:dyDescent="0.2">
      <c r="A542" t="s">
        <v>833</v>
      </c>
      <c r="B542" s="1024">
        <v>32668</v>
      </c>
    </row>
    <row r="543" spans="1:2" x14ac:dyDescent="0.2">
      <c r="A543" t="s">
        <v>832</v>
      </c>
      <c r="B543" s="105">
        <v>26473</v>
      </c>
    </row>
    <row r="544" spans="1:2" x14ac:dyDescent="0.2">
      <c r="A544" t="s">
        <v>1071</v>
      </c>
      <c r="B544" s="105">
        <v>12600</v>
      </c>
    </row>
    <row r="545" spans="1:2" x14ac:dyDescent="0.2">
      <c r="A545" t="s">
        <v>1072</v>
      </c>
      <c r="B545" s="105">
        <v>2062</v>
      </c>
    </row>
    <row r="546" spans="1:2" x14ac:dyDescent="0.2">
      <c r="A546" t="s">
        <v>1073</v>
      </c>
      <c r="B546" s="105">
        <v>7509</v>
      </c>
    </row>
    <row r="547" spans="1:2" x14ac:dyDescent="0.2">
      <c r="A547" t="s">
        <v>1074</v>
      </c>
      <c r="B547" s="1024">
        <v>5907</v>
      </c>
    </row>
    <row r="548" spans="1:2" x14ac:dyDescent="0.2">
      <c r="A548" t="s">
        <v>1075</v>
      </c>
      <c r="B548">
        <v>4673</v>
      </c>
    </row>
    <row r="549" spans="1:2" x14ac:dyDescent="0.2">
      <c r="A549" t="s">
        <v>1076</v>
      </c>
      <c r="B549" s="105">
        <v>9957</v>
      </c>
    </row>
    <row r="550" spans="1:2" x14ac:dyDescent="0.2">
      <c r="A550" t="s">
        <v>880</v>
      </c>
      <c r="B550" s="105">
        <v>9931</v>
      </c>
    </row>
    <row r="551" spans="1:2" x14ac:dyDescent="0.2">
      <c r="A551" t="s">
        <v>1077</v>
      </c>
      <c r="B551" s="105">
        <v>36643</v>
      </c>
    </row>
    <row r="552" spans="1:2" x14ac:dyDescent="0.2">
      <c r="A552" t="s">
        <v>1078</v>
      </c>
      <c r="B552" s="105">
        <v>235692</v>
      </c>
    </row>
    <row r="553" spans="1:2" x14ac:dyDescent="0.2">
      <c r="A553" t="s">
        <v>1079</v>
      </c>
      <c r="B553" s="105">
        <v>960</v>
      </c>
    </row>
    <row r="554" spans="1:2" x14ac:dyDescent="0.2">
      <c r="A554" t="s">
        <v>834</v>
      </c>
      <c r="B554" s="105">
        <v>187607</v>
      </c>
    </row>
    <row r="555" spans="1:2" x14ac:dyDescent="0.2">
      <c r="A555" t="s">
        <v>881</v>
      </c>
      <c r="B555" s="105">
        <v>66326</v>
      </c>
    </row>
    <row r="556" spans="1:2" x14ac:dyDescent="0.2">
      <c r="A556" t="s">
        <v>835</v>
      </c>
      <c r="B556" s="105">
        <v>35089</v>
      </c>
    </row>
    <row r="557" spans="1:2" x14ac:dyDescent="0.2">
      <c r="A557" t="s">
        <v>1080</v>
      </c>
      <c r="B557" s="1024">
        <v>2059</v>
      </c>
    </row>
    <row r="558" spans="1:2" x14ac:dyDescent="0.2">
      <c r="A558" t="s">
        <v>1081</v>
      </c>
      <c r="B558" s="105">
        <v>4506</v>
      </c>
    </row>
    <row r="559" spans="1:2" x14ac:dyDescent="0.2">
      <c r="A559" t="s">
        <v>1082</v>
      </c>
      <c r="B559" s="1024">
        <v>57723</v>
      </c>
    </row>
    <row r="560" spans="1:2" x14ac:dyDescent="0.2">
      <c r="A560" t="s">
        <v>848</v>
      </c>
      <c r="B560" s="105">
        <v>171424</v>
      </c>
    </row>
    <row r="561" spans="1:2" x14ac:dyDescent="0.2">
      <c r="A561" t="s">
        <v>1083</v>
      </c>
      <c r="B561" s="105">
        <v>31851</v>
      </c>
    </row>
    <row r="562" spans="1:2" x14ac:dyDescent="0.2">
      <c r="A562" t="s">
        <v>1084</v>
      </c>
      <c r="B562" s="105">
        <v>419</v>
      </c>
    </row>
    <row r="563" spans="1:2" x14ac:dyDescent="0.2">
      <c r="A563" t="s">
        <v>875</v>
      </c>
      <c r="B563" s="1024">
        <v>126190</v>
      </c>
    </row>
    <row r="564" spans="1:2" x14ac:dyDescent="0.2">
      <c r="A564" t="s">
        <v>1085</v>
      </c>
      <c r="B564" s="105">
        <v>35486</v>
      </c>
    </row>
    <row r="565" spans="1:2" x14ac:dyDescent="0.2">
      <c r="A565" t="s">
        <v>1086</v>
      </c>
      <c r="B565" s="1024">
        <v>9516</v>
      </c>
    </row>
    <row r="566" spans="1:2" x14ac:dyDescent="0.2">
      <c r="A566" t="s">
        <v>1087</v>
      </c>
      <c r="B566" s="1024">
        <v>482627</v>
      </c>
    </row>
    <row r="567" spans="1:2" x14ac:dyDescent="0.2">
      <c r="A567" t="s">
        <v>836</v>
      </c>
      <c r="B567" s="105">
        <v>41391</v>
      </c>
    </row>
    <row r="568" spans="1:2" x14ac:dyDescent="0.2">
      <c r="A568" t="s">
        <v>837</v>
      </c>
      <c r="B568" s="1024">
        <v>3849</v>
      </c>
    </row>
    <row r="569" spans="1:2" x14ac:dyDescent="0.2">
      <c r="A569" t="s">
        <v>839</v>
      </c>
      <c r="B569" s="1024">
        <v>45381</v>
      </c>
    </row>
    <row r="570" spans="1:2" x14ac:dyDescent="0.2">
      <c r="A570" t="s">
        <v>1088</v>
      </c>
      <c r="B570" s="1024">
        <v>136602</v>
      </c>
    </row>
    <row r="571" spans="1:2" x14ac:dyDescent="0.2">
      <c r="A571" t="s">
        <v>1089</v>
      </c>
      <c r="B571" s="1024">
        <v>4133</v>
      </c>
    </row>
    <row r="572" spans="1:2" x14ac:dyDescent="0.2">
      <c r="A572" t="s">
        <v>1090</v>
      </c>
      <c r="B572" s="1024">
        <v>6849</v>
      </c>
    </row>
    <row r="573" spans="1:2" x14ac:dyDescent="0.2">
      <c r="A573" t="s">
        <v>841</v>
      </c>
      <c r="B573" s="1024">
        <v>48017</v>
      </c>
    </row>
    <row r="574" spans="1:2" x14ac:dyDescent="0.2">
      <c r="A574" t="s">
        <v>1091</v>
      </c>
      <c r="B574" s="1024">
        <v>82295</v>
      </c>
    </row>
    <row r="575" spans="1:2" x14ac:dyDescent="0.2">
      <c r="A575" t="s">
        <v>1092</v>
      </c>
      <c r="B575" s="1024">
        <v>2823</v>
      </c>
    </row>
    <row r="576" spans="1:2" x14ac:dyDescent="0.2">
      <c r="A576" t="s">
        <v>1093</v>
      </c>
      <c r="B576" s="1024">
        <v>499</v>
      </c>
    </row>
    <row r="577" spans="1:2" x14ac:dyDescent="0.2">
      <c r="A577" t="s">
        <v>1094</v>
      </c>
      <c r="B577" s="1024">
        <v>23858</v>
      </c>
    </row>
    <row r="578" spans="1:2" x14ac:dyDescent="0.2">
      <c r="A578" t="s">
        <v>1095</v>
      </c>
      <c r="B578" s="105">
        <v>6116</v>
      </c>
    </row>
    <row r="579" spans="1:2" x14ac:dyDescent="0.2">
      <c r="A579" t="s">
        <v>242</v>
      </c>
      <c r="B579" s="1024">
        <v>16377437</v>
      </c>
    </row>
    <row r="580" spans="1:2" x14ac:dyDescent="0.2">
      <c r="A580" t="s">
        <v>1096</v>
      </c>
      <c r="B580" s="1024">
        <v>22807</v>
      </c>
    </row>
    <row r="581" spans="1:2" x14ac:dyDescent="0.2">
      <c r="A581" t="s">
        <v>982</v>
      </c>
      <c r="B581">
        <v>456</v>
      </c>
    </row>
    <row r="582" spans="1:2" x14ac:dyDescent="0.2">
      <c r="A582" t="s">
        <v>1097</v>
      </c>
      <c r="B582" s="1024">
        <v>1538</v>
      </c>
    </row>
    <row r="583" spans="1:2" x14ac:dyDescent="0.2">
      <c r="A583" t="s">
        <v>1098</v>
      </c>
      <c r="B583" s="105">
        <v>49428</v>
      </c>
    </row>
    <row r="584" spans="1:2" x14ac:dyDescent="0.2">
      <c r="A584" t="s">
        <v>849</v>
      </c>
      <c r="B584" s="105">
        <v>102349</v>
      </c>
    </row>
    <row r="585" spans="1:2" x14ac:dyDescent="0.2">
      <c r="A585" t="s">
        <v>1099</v>
      </c>
      <c r="B585" s="105">
        <v>2514</v>
      </c>
    </row>
    <row r="586" spans="1:2" x14ac:dyDescent="0.2">
      <c r="A586" t="s">
        <v>1100</v>
      </c>
      <c r="B586" s="1024">
        <v>2714</v>
      </c>
    </row>
    <row r="587" spans="1:2" x14ac:dyDescent="0.2">
      <c r="A587" t="s">
        <v>231</v>
      </c>
      <c r="B587" s="1024">
        <v>38730364</v>
      </c>
    </row>
    <row r="588" spans="1:2" x14ac:dyDescent="0.2">
      <c r="B588" s="105"/>
    </row>
    <row r="589" spans="1:2" x14ac:dyDescent="0.2">
      <c r="B589" s="1024"/>
    </row>
    <row r="590" spans="1:2" x14ac:dyDescent="0.2">
      <c r="B590" s="105"/>
    </row>
    <row r="591" spans="1:2" x14ac:dyDescent="0.2">
      <c r="B591" s="105"/>
    </row>
    <row r="592" spans="1:2" x14ac:dyDescent="0.2">
      <c r="B592" s="1024"/>
    </row>
    <row r="593" spans="2:2" x14ac:dyDescent="0.2">
      <c r="B593" s="105"/>
    </row>
    <row r="594" spans="2:2" x14ac:dyDescent="0.2">
      <c r="B594" s="105"/>
    </row>
    <row r="595" spans="2:2" x14ac:dyDescent="0.2">
      <c r="B595" s="105"/>
    </row>
    <row r="596" spans="2:2" x14ac:dyDescent="0.2">
      <c r="B596" s="105"/>
    </row>
    <row r="597" spans="2:2" x14ac:dyDescent="0.2">
      <c r="B597" s="105"/>
    </row>
    <row r="598" spans="2:2" x14ac:dyDescent="0.2">
      <c r="B598" s="1024"/>
    </row>
    <row r="599" spans="2:2" x14ac:dyDescent="0.2">
      <c r="B599" s="1024"/>
    </row>
    <row r="600" spans="2:2" x14ac:dyDescent="0.2">
      <c r="B600" s="105"/>
    </row>
    <row r="601" spans="2:2" x14ac:dyDescent="0.2">
      <c r="B601" s="1024"/>
    </row>
    <row r="602" spans="2:2" x14ac:dyDescent="0.2">
      <c r="B602" s="105"/>
    </row>
    <row r="603" spans="2:2" x14ac:dyDescent="0.2">
      <c r="B603" s="105"/>
    </row>
    <row r="604" spans="2:2" x14ac:dyDescent="0.2">
      <c r="B604" s="105"/>
    </row>
    <row r="605" spans="2:2" x14ac:dyDescent="0.2">
      <c r="B605" s="105"/>
    </row>
    <row r="606" spans="2:2" x14ac:dyDescent="0.2">
      <c r="B606" s="105"/>
    </row>
    <row r="607" spans="2:2" x14ac:dyDescent="0.2">
      <c r="B607" s="1024"/>
    </row>
    <row r="608" spans="2:2" x14ac:dyDescent="0.2">
      <c r="B608" s="105"/>
    </row>
    <row r="610" spans="2:2" x14ac:dyDescent="0.2">
      <c r="B610" s="105"/>
    </row>
    <row r="611" spans="2:2" x14ac:dyDescent="0.2">
      <c r="B611" s="105"/>
    </row>
    <row r="612" spans="2:2" x14ac:dyDescent="0.2">
      <c r="B612" s="105"/>
    </row>
    <row r="613" spans="2:2" x14ac:dyDescent="0.2">
      <c r="B613" s="1024"/>
    </row>
    <row r="614" spans="2:2" x14ac:dyDescent="0.2">
      <c r="B614" s="1024"/>
    </row>
    <row r="615" spans="2:2" x14ac:dyDescent="0.2">
      <c r="B615" s="1024"/>
    </row>
    <row r="616" spans="2:2" x14ac:dyDescent="0.2">
      <c r="B616" s="105"/>
    </row>
    <row r="617" spans="2:2" x14ac:dyDescent="0.2">
      <c r="B617" s="105"/>
    </row>
    <row r="618" spans="2:2" x14ac:dyDescent="0.2">
      <c r="B618" s="1024"/>
    </row>
    <row r="619" spans="2:2" x14ac:dyDescent="0.2">
      <c r="B619" s="105"/>
    </row>
    <row r="620" spans="2:2" x14ac:dyDescent="0.2">
      <c r="B620" s="1024"/>
    </row>
    <row r="621" spans="2:2" x14ac:dyDescent="0.2">
      <c r="B621" s="105"/>
    </row>
    <row r="622" spans="2:2" x14ac:dyDescent="0.2">
      <c r="B622" s="1024"/>
    </row>
    <row r="623" spans="2:2" x14ac:dyDescent="0.2">
      <c r="B623" s="105"/>
    </row>
    <row r="624" spans="2:2" x14ac:dyDescent="0.2">
      <c r="B624" s="105"/>
    </row>
    <row r="625" spans="2:2" x14ac:dyDescent="0.2">
      <c r="B625" s="1024"/>
    </row>
    <row r="627" spans="2:2" x14ac:dyDescent="0.2">
      <c r="B627" s="105"/>
    </row>
    <row r="628" spans="2:2" x14ac:dyDescent="0.2">
      <c r="B628" s="105"/>
    </row>
    <row r="629" spans="2:2" x14ac:dyDescent="0.2">
      <c r="B629" s="1024"/>
    </row>
    <row r="630" spans="2:2" x14ac:dyDescent="0.2">
      <c r="B630" s="105"/>
    </row>
    <row r="631" spans="2:2" x14ac:dyDescent="0.2">
      <c r="B631" s="105"/>
    </row>
    <row r="632" spans="2:2" x14ac:dyDescent="0.2">
      <c r="B632" s="1024"/>
    </row>
    <row r="636" spans="2:2" x14ac:dyDescent="0.2">
      <c r="B636" s="105"/>
    </row>
    <row r="637" spans="2:2" x14ac:dyDescent="0.2">
      <c r="B637" s="105"/>
    </row>
    <row r="638" spans="2:2" x14ac:dyDescent="0.2">
      <c r="B638" s="105"/>
    </row>
    <row r="639" spans="2:2" x14ac:dyDescent="0.2">
      <c r="B639" s="105"/>
    </row>
    <row r="640" spans="2:2" x14ac:dyDescent="0.2">
      <c r="B640" s="105"/>
    </row>
    <row r="641" spans="2:2" x14ac:dyDescent="0.2">
      <c r="B641" s="105"/>
    </row>
    <row r="643" spans="2:2" x14ac:dyDescent="0.2">
      <c r="B643" s="105"/>
    </row>
    <row r="644" spans="2:2" x14ac:dyDescent="0.2">
      <c r="B644" s="105"/>
    </row>
    <row r="645" spans="2:2" x14ac:dyDescent="0.2">
      <c r="B645" s="105"/>
    </row>
    <row r="646" spans="2:2" x14ac:dyDescent="0.2">
      <c r="B646" s="105"/>
    </row>
    <row r="647" spans="2:2" x14ac:dyDescent="0.2">
      <c r="B647" s="105"/>
    </row>
    <row r="648" spans="2:2" x14ac:dyDescent="0.2">
      <c r="B648" s="105"/>
    </row>
    <row r="649" spans="2:2" x14ac:dyDescent="0.2">
      <c r="B649" s="105"/>
    </row>
    <row r="650" spans="2:2" x14ac:dyDescent="0.2">
      <c r="B650" s="105"/>
    </row>
    <row r="651" spans="2:2" x14ac:dyDescent="0.2">
      <c r="B651" s="105"/>
    </row>
    <row r="652" spans="2:2" x14ac:dyDescent="0.2">
      <c r="B652" s="105"/>
    </row>
    <row r="653" spans="2:2" x14ac:dyDescent="0.2">
      <c r="B653" s="105"/>
    </row>
    <row r="654" spans="2:2" x14ac:dyDescent="0.2">
      <c r="B654" s="105"/>
    </row>
    <row r="655" spans="2:2" x14ac:dyDescent="0.2">
      <c r="B655" s="105"/>
    </row>
    <row r="656" spans="2:2" x14ac:dyDescent="0.2">
      <c r="B656" s="105"/>
    </row>
    <row r="657" spans="2:2" x14ac:dyDescent="0.2">
      <c r="B657" s="105"/>
    </row>
    <row r="658" spans="2:2" x14ac:dyDescent="0.2">
      <c r="B658" s="105"/>
    </row>
    <row r="659" spans="2:2" x14ac:dyDescent="0.2">
      <c r="B659" s="105"/>
    </row>
    <row r="661" spans="2:2" x14ac:dyDescent="0.2">
      <c r="B661" s="105"/>
    </row>
    <row r="662" spans="2:2" x14ac:dyDescent="0.2">
      <c r="B662" s="105"/>
    </row>
    <row r="663" spans="2:2" x14ac:dyDescent="0.2">
      <c r="B663" s="105"/>
    </row>
    <row r="664" spans="2:2" x14ac:dyDescent="0.2">
      <c r="B664" s="105"/>
    </row>
    <row r="665" spans="2:2" x14ac:dyDescent="0.2">
      <c r="B665" s="105"/>
    </row>
    <row r="666" spans="2:2" x14ac:dyDescent="0.2">
      <c r="B666" s="105"/>
    </row>
    <row r="667" spans="2:2" x14ac:dyDescent="0.2">
      <c r="B667" s="105"/>
    </row>
    <row r="668" spans="2:2" x14ac:dyDescent="0.2">
      <c r="B668" s="105"/>
    </row>
    <row r="669" spans="2:2" x14ac:dyDescent="0.2">
      <c r="B669" s="105"/>
    </row>
    <row r="670" spans="2:2" x14ac:dyDescent="0.2">
      <c r="B670" s="105"/>
    </row>
    <row r="671" spans="2:2" x14ac:dyDescent="0.2">
      <c r="B671" s="105"/>
    </row>
    <row r="672" spans="2:2" x14ac:dyDescent="0.2">
      <c r="B672" s="105"/>
    </row>
    <row r="673" spans="2:2" x14ac:dyDescent="0.2">
      <c r="B673" s="105"/>
    </row>
    <row r="674" spans="2:2" x14ac:dyDescent="0.2">
      <c r="B674" s="105"/>
    </row>
    <row r="675" spans="2:2" x14ac:dyDescent="0.2">
      <c r="B675" s="105"/>
    </row>
    <row r="676" spans="2:2" x14ac:dyDescent="0.2">
      <c r="B676" s="105"/>
    </row>
    <row r="677" spans="2:2" x14ac:dyDescent="0.2">
      <c r="B677" s="105"/>
    </row>
    <row r="678" spans="2:2" x14ac:dyDescent="0.2">
      <c r="B678" s="105"/>
    </row>
    <row r="679" spans="2:2" x14ac:dyDescent="0.2">
      <c r="B679" s="105"/>
    </row>
    <row r="680" spans="2:2" x14ac:dyDescent="0.2">
      <c r="B680" s="105"/>
    </row>
    <row r="681" spans="2:2" x14ac:dyDescent="0.2">
      <c r="B681" s="105"/>
    </row>
    <row r="682" spans="2:2" x14ac:dyDescent="0.2">
      <c r="B682" s="105"/>
    </row>
    <row r="683" spans="2:2" x14ac:dyDescent="0.2">
      <c r="B683" s="105"/>
    </row>
    <row r="684" spans="2:2" x14ac:dyDescent="0.2">
      <c r="B684" s="105"/>
    </row>
    <row r="685" spans="2:2" x14ac:dyDescent="0.2">
      <c r="B685" s="105"/>
    </row>
    <row r="686" spans="2:2" x14ac:dyDescent="0.2">
      <c r="B686" s="105"/>
    </row>
    <row r="687" spans="2:2" x14ac:dyDescent="0.2">
      <c r="B687" s="105"/>
    </row>
    <row r="688" spans="2:2" x14ac:dyDescent="0.2">
      <c r="B688" s="105"/>
    </row>
    <row r="689" spans="2:2" x14ac:dyDescent="0.2">
      <c r="B689" s="105"/>
    </row>
    <row r="690" spans="2:2" x14ac:dyDescent="0.2">
      <c r="B690" s="105"/>
    </row>
    <row r="691" spans="2:2" x14ac:dyDescent="0.2">
      <c r="B691" s="105"/>
    </row>
    <row r="692" spans="2:2" x14ac:dyDescent="0.2">
      <c r="B692" s="105"/>
    </row>
    <row r="693" spans="2:2" x14ac:dyDescent="0.2">
      <c r="B693" s="105"/>
    </row>
    <row r="694" spans="2:2" x14ac:dyDescent="0.2">
      <c r="B694" s="105"/>
    </row>
    <row r="695" spans="2:2" x14ac:dyDescent="0.2">
      <c r="B695" s="105"/>
    </row>
    <row r="696" spans="2:2" x14ac:dyDescent="0.2">
      <c r="B696" s="105"/>
    </row>
    <row r="697" spans="2:2" x14ac:dyDescent="0.2">
      <c r="B697" s="105"/>
    </row>
    <row r="698" spans="2:2" x14ac:dyDescent="0.2">
      <c r="B698" s="105"/>
    </row>
    <row r="699" spans="2:2" x14ac:dyDescent="0.2">
      <c r="B699" s="105"/>
    </row>
    <row r="700" spans="2:2" x14ac:dyDescent="0.2">
      <c r="B700" s="105"/>
    </row>
    <row r="701" spans="2:2" x14ac:dyDescent="0.2">
      <c r="B701" s="105"/>
    </row>
    <row r="702" spans="2:2" x14ac:dyDescent="0.2">
      <c r="B702" s="105"/>
    </row>
    <row r="703" spans="2:2" x14ac:dyDescent="0.2">
      <c r="B703" s="105"/>
    </row>
    <row r="704" spans="2:2" x14ac:dyDescent="0.2">
      <c r="B704" s="105"/>
    </row>
    <row r="705" spans="2:2" x14ac:dyDescent="0.2">
      <c r="B705" s="105"/>
    </row>
    <row r="707" spans="2:2" x14ac:dyDescent="0.2">
      <c r="B707" s="105"/>
    </row>
    <row r="708" spans="2:2" x14ac:dyDescent="0.2">
      <c r="B708" s="105"/>
    </row>
    <row r="709" spans="2:2" x14ac:dyDescent="0.2">
      <c r="B709" s="105"/>
    </row>
    <row r="710" spans="2:2" x14ac:dyDescent="0.2">
      <c r="B710" s="105"/>
    </row>
    <row r="711" spans="2:2" x14ac:dyDescent="0.2">
      <c r="B711" s="105"/>
    </row>
    <row r="712" spans="2:2" x14ac:dyDescent="0.2">
      <c r="B712" s="105"/>
    </row>
    <row r="713" spans="2:2" x14ac:dyDescent="0.2">
      <c r="B713" s="105"/>
    </row>
    <row r="714" spans="2:2" x14ac:dyDescent="0.2">
      <c r="B714" s="105"/>
    </row>
    <row r="715" spans="2:2" x14ac:dyDescent="0.2">
      <c r="B715" s="105"/>
    </row>
    <row r="716" spans="2:2" x14ac:dyDescent="0.2">
      <c r="B716" s="105"/>
    </row>
    <row r="717" spans="2:2" x14ac:dyDescent="0.2">
      <c r="B717" s="105"/>
    </row>
    <row r="718" spans="2:2" x14ac:dyDescent="0.2">
      <c r="B718" s="105"/>
    </row>
    <row r="719" spans="2:2" x14ac:dyDescent="0.2">
      <c r="B719" s="105"/>
    </row>
    <row r="720" spans="2:2" x14ac:dyDescent="0.2">
      <c r="B720" s="105"/>
    </row>
    <row r="721" spans="2:2" x14ac:dyDescent="0.2">
      <c r="B721" s="105"/>
    </row>
    <row r="722" spans="2:2" x14ac:dyDescent="0.2">
      <c r="B722" s="105"/>
    </row>
    <row r="723" spans="2:2" x14ac:dyDescent="0.2">
      <c r="B723" s="105"/>
    </row>
    <row r="724" spans="2:2" x14ac:dyDescent="0.2">
      <c r="B724" s="105"/>
    </row>
    <row r="725" spans="2:2" x14ac:dyDescent="0.2">
      <c r="B725" s="105"/>
    </row>
    <row r="726" spans="2:2" x14ac:dyDescent="0.2">
      <c r="B726" s="105"/>
    </row>
    <row r="727" spans="2:2" x14ac:dyDescent="0.2">
      <c r="B727" s="105"/>
    </row>
    <row r="728" spans="2:2" x14ac:dyDescent="0.2">
      <c r="B728" s="105"/>
    </row>
    <row r="729" spans="2:2" x14ac:dyDescent="0.2">
      <c r="B729" s="105"/>
    </row>
    <row r="730" spans="2:2" x14ac:dyDescent="0.2">
      <c r="B730" s="105"/>
    </row>
    <row r="731" spans="2:2" x14ac:dyDescent="0.2">
      <c r="B731" s="105"/>
    </row>
    <row r="732" spans="2:2" x14ac:dyDescent="0.2">
      <c r="B732" s="105"/>
    </row>
    <row r="733" spans="2:2" x14ac:dyDescent="0.2">
      <c r="B733" s="105"/>
    </row>
    <row r="734" spans="2:2" x14ac:dyDescent="0.2">
      <c r="B734" s="105"/>
    </row>
    <row r="735" spans="2:2" x14ac:dyDescent="0.2">
      <c r="B735" s="105"/>
    </row>
    <row r="736" spans="2:2" x14ac:dyDescent="0.2">
      <c r="B736" s="105"/>
    </row>
    <row r="737" spans="2:2" x14ac:dyDescent="0.2">
      <c r="B737" s="105"/>
    </row>
    <row r="738" spans="2:2" x14ac:dyDescent="0.2">
      <c r="B738" s="105"/>
    </row>
    <row r="739" spans="2:2" x14ac:dyDescent="0.2">
      <c r="B739" s="105"/>
    </row>
    <row r="740" spans="2:2" x14ac:dyDescent="0.2">
      <c r="B740" s="105"/>
    </row>
    <row r="741" spans="2:2" x14ac:dyDescent="0.2">
      <c r="B741" s="105"/>
    </row>
    <row r="742" spans="2:2" x14ac:dyDescent="0.2">
      <c r="B742" s="105"/>
    </row>
    <row r="743" spans="2:2" x14ac:dyDescent="0.2">
      <c r="B743" s="105"/>
    </row>
    <row r="744" spans="2:2" x14ac:dyDescent="0.2">
      <c r="B744" s="105"/>
    </row>
    <row r="745" spans="2:2" x14ac:dyDescent="0.2">
      <c r="B745" s="105"/>
    </row>
    <row r="746" spans="2:2" x14ac:dyDescent="0.2">
      <c r="B746" s="105"/>
    </row>
    <row r="747" spans="2:2" x14ac:dyDescent="0.2">
      <c r="B747" s="105"/>
    </row>
    <row r="748" spans="2:2" x14ac:dyDescent="0.2">
      <c r="B748" s="105"/>
    </row>
    <row r="749" spans="2:2" x14ac:dyDescent="0.2">
      <c r="B749" s="105"/>
    </row>
    <row r="750" spans="2:2" x14ac:dyDescent="0.2">
      <c r="B750" s="105"/>
    </row>
    <row r="751" spans="2:2" x14ac:dyDescent="0.2">
      <c r="B751" s="105"/>
    </row>
    <row r="752" spans="2:2" x14ac:dyDescent="0.2">
      <c r="B752" s="105"/>
    </row>
    <row r="753" spans="2:2" x14ac:dyDescent="0.2">
      <c r="B753" s="105"/>
    </row>
    <row r="754" spans="2:2" x14ac:dyDescent="0.2">
      <c r="B754" s="105"/>
    </row>
    <row r="755" spans="2:2" x14ac:dyDescent="0.2">
      <c r="B755" s="105"/>
    </row>
    <row r="756" spans="2:2" x14ac:dyDescent="0.2">
      <c r="B756" s="105"/>
    </row>
    <row r="757" spans="2:2" x14ac:dyDescent="0.2">
      <c r="B757" s="105"/>
    </row>
    <row r="758" spans="2:2" x14ac:dyDescent="0.2">
      <c r="B758" s="105"/>
    </row>
    <row r="759" spans="2:2" x14ac:dyDescent="0.2">
      <c r="B759" s="105"/>
    </row>
    <row r="760" spans="2:2" x14ac:dyDescent="0.2">
      <c r="B760" s="105"/>
    </row>
    <row r="761" spans="2:2" x14ac:dyDescent="0.2">
      <c r="B761" s="105"/>
    </row>
    <row r="762" spans="2:2" x14ac:dyDescent="0.2">
      <c r="B762" s="105"/>
    </row>
    <row r="763" spans="2:2" x14ac:dyDescent="0.2">
      <c r="B763" s="105"/>
    </row>
    <row r="764" spans="2:2" x14ac:dyDescent="0.2">
      <c r="B764" s="105"/>
    </row>
    <row r="765" spans="2:2" x14ac:dyDescent="0.2">
      <c r="B765" s="105"/>
    </row>
    <row r="766" spans="2:2" x14ac:dyDescent="0.2">
      <c r="B766" s="105"/>
    </row>
    <row r="767" spans="2:2" x14ac:dyDescent="0.2">
      <c r="B767" s="105"/>
    </row>
    <row r="768" spans="2:2" x14ac:dyDescent="0.2">
      <c r="B768" s="105"/>
    </row>
    <row r="769" spans="2:2" x14ac:dyDescent="0.2">
      <c r="B769" s="105"/>
    </row>
    <row r="770" spans="2:2" x14ac:dyDescent="0.2">
      <c r="B770" s="105"/>
    </row>
    <row r="771" spans="2:2" x14ac:dyDescent="0.2">
      <c r="B771" s="105"/>
    </row>
    <row r="772" spans="2:2" x14ac:dyDescent="0.2">
      <c r="B772" s="105"/>
    </row>
    <row r="773" spans="2:2" x14ac:dyDescent="0.2">
      <c r="B773" s="105"/>
    </row>
    <row r="774" spans="2:2" x14ac:dyDescent="0.2">
      <c r="B774" s="105"/>
    </row>
    <row r="775" spans="2:2" x14ac:dyDescent="0.2">
      <c r="B775" s="105"/>
    </row>
    <row r="776" spans="2:2" x14ac:dyDescent="0.2">
      <c r="B776" s="105"/>
    </row>
    <row r="777" spans="2:2" x14ac:dyDescent="0.2">
      <c r="B777" s="105"/>
    </row>
    <row r="778" spans="2:2" x14ac:dyDescent="0.2">
      <c r="B778" s="105"/>
    </row>
    <row r="779" spans="2:2" x14ac:dyDescent="0.2">
      <c r="B779" s="105"/>
    </row>
    <row r="780" spans="2:2" x14ac:dyDescent="0.2">
      <c r="B780" s="105"/>
    </row>
    <row r="781" spans="2:2" x14ac:dyDescent="0.2">
      <c r="B781" s="105"/>
    </row>
    <row r="782" spans="2:2" x14ac:dyDescent="0.2">
      <c r="B782" s="105"/>
    </row>
    <row r="783" spans="2:2" x14ac:dyDescent="0.2">
      <c r="B783" s="105"/>
    </row>
    <row r="784" spans="2:2" x14ac:dyDescent="0.2">
      <c r="B784" s="105"/>
    </row>
    <row r="785" spans="2:2" x14ac:dyDescent="0.2">
      <c r="B785" s="105"/>
    </row>
    <row r="786" spans="2:2" x14ac:dyDescent="0.2">
      <c r="B786" s="105"/>
    </row>
    <row r="787" spans="2:2" x14ac:dyDescent="0.2">
      <c r="B787" s="105"/>
    </row>
    <row r="788" spans="2:2" x14ac:dyDescent="0.2">
      <c r="B788" s="105"/>
    </row>
    <row r="789" spans="2:2" x14ac:dyDescent="0.2">
      <c r="B789" s="105"/>
    </row>
    <row r="790" spans="2:2" x14ac:dyDescent="0.2">
      <c r="B790" s="105"/>
    </row>
    <row r="791" spans="2:2" x14ac:dyDescent="0.2">
      <c r="B791" s="105"/>
    </row>
    <row r="792" spans="2:2" x14ac:dyDescent="0.2">
      <c r="B792" s="105"/>
    </row>
    <row r="793" spans="2:2" x14ac:dyDescent="0.2">
      <c r="B793" s="105"/>
    </row>
    <row r="794" spans="2:2" x14ac:dyDescent="0.2">
      <c r="B794" s="105"/>
    </row>
    <row r="795" spans="2:2" x14ac:dyDescent="0.2">
      <c r="B795" s="105"/>
    </row>
    <row r="796" spans="2:2" x14ac:dyDescent="0.2">
      <c r="B796" s="105"/>
    </row>
    <row r="797" spans="2:2" x14ac:dyDescent="0.2">
      <c r="B797" s="105"/>
    </row>
    <row r="798" spans="2:2" x14ac:dyDescent="0.2">
      <c r="B798" s="105"/>
    </row>
    <row r="799" spans="2:2" x14ac:dyDescent="0.2">
      <c r="B799" s="105"/>
    </row>
    <row r="800" spans="2:2" x14ac:dyDescent="0.2">
      <c r="B800" s="105"/>
    </row>
    <row r="801" spans="2:2" x14ac:dyDescent="0.2">
      <c r="B801" s="105"/>
    </row>
    <row r="802" spans="2:2" x14ac:dyDescent="0.2">
      <c r="B802" s="105"/>
    </row>
    <row r="803" spans="2:2" x14ac:dyDescent="0.2">
      <c r="B803" s="105"/>
    </row>
    <row r="804" spans="2:2" x14ac:dyDescent="0.2">
      <c r="B804" s="105"/>
    </row>
    <row r="805" spans="2:2" x14ac:dyDescent="0.2">
      <c r="B805" s="105"/>
    </row>
    <row r="806" spans="2:2" x14ac:dyDescent="0.2">
      <c r="B806" s="105"/>
    </row>
    <row r="807" spans="2:2" x14ac:dyDescent="0.2">
      <c r="B807" s="105"/>
    </row>
    <row r="808" spans="2:2" x14ac:dyDescent="0.2">
      <c r="B808" s="105"/>
    </row>
    <row r="809" spans="2:2" x14ac:dyDescent="0.2">
      <c r="B809" s="105"/>
    </row>
    <row r="810" spans="2:2" x14ac:dyDescent="0.2">
      <c r="B810" s="105"/>
    </row>
    <row r="811" spans="2:2" x14ac:dyDescent="0.2">
      <c r="B811" s="105"/>
    </row>
    <row r="812" spans="2:2" x14ac:dyDescent="0.2">
      <c r="B812" s="105"/>
    </row>
    <row r="813" spans="2:2" x14ac:dyDescent="0.2">
      <c r="B813" s="105"/>
    </row>
    <row r="814" spans="2:2" x14ac:dyDescent="0.2">
      <c r="B814" s="105"/>
    </row>
    <row r="815" spans="2:2" x14ac:dyDescent="0.2">
      <c r="B815" s="105"/>
    </row>
    <row r="816" spans="2:2" x14ac:dyDescent="0.2">
      <c r="B816" s="105"/>
    </row>
    <row r="817" spans="2:2" x14ac:dyDescent="0.2">
      <c r="B817" s="105"/>
    </row>
    <row r="818" spans="2:2" x14ac:dyDescent="0.2">
      <c r="B818" s="105"/>
    </row>
    <row r="819" spans="2:2" x14ac:dyDescent="0.2">
      <c r="B819" s="105"/>
    </row>
    <row r="821" spans="2:2" x14ac:dyDescent="0.2">
      <c r="B821" s="105"/>
    </row>
    <row r="822" spans="2:2" x14ac:dyDescent="0.2">
      <c r="B822" s="105"/>
    </row>
    <row r="823" spans="2:2" x14ac:dyDescent="0.2">
      <c r="B823" s="105"/>
    </row>
    <row r="824" spans="2:2" x14ac:dyDescent="0.2">
      <c r="B824" s="105"/>
    </row>
    <row r="825" spans="2:2" x14ac:dyDescent="0.2">
      <c r="B825" s="105"/>
    </row>
    <row r="826" spans="2:2" x14ac:dyDescent="0.2">
      <c r="B826" s="105"/>
    </row>
    <row r="827" spans="2:2" x14ac:dyDescent="0.2">
      <c r="B827" s="105"/>
    </row>
    <row r="828" spans="2:2" x14ac:dyDescent="0.2">
      <c r="B828" s="105"/>
    </row>
    <row r="829" spans="2:2" x14ac:dyDescent="0.2">
      <c r="B829" s="105"/>
    </row>
    <row r="830" spans="2:2" x14ac:dyDescent="0.2">
      <c r="B830" s="105"/>
    </row>
    <row r="831" spans="2:2" x14ac:dyDescent="0.2">
      <c r="B831" s="105"/>
    </row>
    <row r="832" spans="2:2" x14ac:dyDescent="0.2">
      <c r="B832" s="105"/>
    </row>
    <row r="833" spans="2:2" x14ac:dyDescent="0.2">
      <c r="B833" s="105"/>
    </row>
    <row r="834" spans="2:2" x14ac:dyDescent="0.2">
      <c r="B834" s="105"/>
    </row>
    <row r="835" spans="2:2" x14ac:dyDescent="0.2">
      <c r="B835" s="105"/>
    </row>
    <row r="836" spans="2:2" x14ac:dyDescent="0.2">
      <c r="B836" s="105"/>
    </row>
    <row r="837" spans="2:2" x14ac:dyDescent="0.2">
      <c r="B837" s="105"/>
    </row>
    <row r="838" spans="2:2" x14ac:dyDescent="0.2">
      <c r="B838" s="105"/>
    </row>
    <row r="839" spans="2:2" x14ac:dyDescent="0.2">
      <c r="B839" s="105"/>
    </row>
    <row r="840" spans="2:2" x14ac:dyDescent="0.2">
      <c r="B840" s="105"/>
    </row>
    <row r="841" spans="2:2" x14ac:dyDescent="0.2">
      <c r="B841" s="105"/>
    </row>
    <row r="842" spans="2:2" x14ac:dyDescent="0.2">
      <c r="B842" s="105"/>
    </row>
    <row r="843" spans="2:2" x14ac:dyDescent="0.2">
      <c r="B843" s="105"/>
    </row>
  </sheetData>
  <pageMargins left="0.7" right="0.7" top="0.75" bottom="0.75" header="0.3" footer="0.3"/>
  <pageSetup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0D96-2070-3148-899B-1BE815D723F8}">
  <sheetPr>
    <tabColor theme="1"/>
  </sheetPr>
  <dimension ref="A1"/>
  <sheetViews>
    <sheetView workbookViewId="0"/>
  </sheetViews>
  <sheetFormatPr baseColWidth="10" defaultRowHeight="16" x14ac:dyDescent="0.2"/>
  <sheetData/>
  <pageMargins left="0.7" right="0.7" top="0.75" bottom="0.75" header="0.3" footer="0.3"/>
  <pageSetup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C8E08-6069-DE4E-A893-EBF1909EBE20}">
  <dimension ref="A1:X1291"/>
  <sheetViews>
    <sheetView zoomScale="95" zoomScaleNormal="95" workbookViewId="0">
      <pane xSplit="4" ySplit="1" topLeftCell="J480" activePane="bottomRight" state="frozen"/>
      <selection pane="topRight" activeCell="E1" sqref="E1"/>
      <selection pane="bottomLeft" activeCell="A2" sqref="A2"/>
      <selection pane="bottomRight" activeCell="S497" sqref="S497"/>
    </sheetView>
  </sheetViews>
  <sheetFormatPr baseColWidth="10" defaultRowHeight="16" x14ac:dyDescent="0.2"/>
  <cols>
    <col min="1" max="1" width="7" style="1918" customWidth="1"/>
    <col min="2" max="2" width="21.83203125" style="1918" customWidth="1"/>
    <col min="3" max="4" width="14.6640625" style="1918" customWidth="1"/>
    <col min="5" max="5" width="33.83203125" style="1919" customWidth="1"/>
    <col min="6" max="6" width="34.1640625" style="1919" customWidth="1"/>
    <col min="7" max="7" width="44.33203125" style="1919" customWidth="1"/>
    <col min="8" max="8" width="36.1640625" style="1919" customWidth="1"/>
    <col min="9" max="247" width="9.1640625" style="1918" customWidth="1"/>
    <col min="248" max="16384" width="10.83203125" style="1918"/>
  </cols>
  <sheetData>
    <row r="1" spans="1:10" ht="14" x14ac:dyDescent="0.15">
      <c r="A1" s="1928" t="s">
        <v>1206</v>
      </c>
      <c r="B1" s="1928" t="s">
        <v>1205</v>
      </c>
      <c r="C1" s="1928" t="s">
        <v>1204</v>
      </c>
      <c r="D1" s="1928" t="s">
        <v>1203</v>
      </c>
      <c r="E1" s="1928" t="s">
        <v>1202</v>
      </c>
      <c r="F1" s="1928" t="s">
        <v>1201</v>
      </c>
      <c r="G1" s="1928" t="s">
        <v>1200</v>
      </c>
      <c r="H1" s="1928" t="s">
        <v>1199</v>
      </c>
    </row>
    <row r="2" spans="1:10" x14ac:dyDescent="0.2">
      <c r="A2" s="1924">
        <v>1970</v>
      </c>
      <c r="B2" s="1918" t="s">
        <v>1198</v>
      </c>
      <c r="C2" s="1918" t="s">
        <v>30</v>
      </c>
      <c r="D2" s="1918" t="s">
        <v>1159</v>
      </c>
      <c r="E2" s="1919">
        <v>0.74160367250442505</v>
      </c>
      <c r="G2" s="1919">
        <v>0.61145508289337158</v>
      </c>
      <c r="I2" s="1919"/>
      <c r="J2" s="1919"/>
    </row>
    <row r="3" spans="1:10" x14ac:dyDescent="0.2">
      <c r="A3" s="1924">
        <v>1971</v>
      </c>
      <c r="B3" s="1918" t="s">
        <v>1198</v>
      </c>
      <c r="C3" s="1918" t="s">
        <v>30</v>
      </c>
      <c r="D3" s="1918" t="s">
        <v>1159</v>
      </c>
      <c r="E3" s="1919">
        <v>0.7376212477684021</v>
      </c>
      <c r="G3" s="1919">
        <v>0.61182880401611328</v>
      </c>
      <c r="I3" s="1919"/>
      <c r="J3" s="1919" t="s">
        <v>1207</v>
      </c>
    </row>
    <row r="4" spans="1:10" x14ac:dyDescent="0.2">
      <c r="A4" s="1924">
        <v>1972</v>
      </c>
      <c r="B4" s="1918" t="s">
        <v>1198</v>
      </c>
      <c r="C4" s="1918" t="s">
        <v>30</v>
      </c>
      <c r="D4" s="1918" t="s">
        <v>1159</v>
      </c>
      <c r="E4" s="1919">
        <v>0.73415869474411011</v>
      </c>
      <c r="G4" s="1919">
        <v>0.61154758930206299</v>
      </c>
      <c r="I4" s="1919"/>
      <c r="J4" s="975" t="s">
        <v>1208</v>
      </c>
    </row>
    <row r="5" spans="1:10" x14ac:dyDescent="0.2">
      <c r="A5" s="1924">
        <v>1973</v>
      </c>
      <c r="B5" s="1918" t="s">
        <v>1198</v>
      </c>
      <c r="C5" s="1918" t="s">
        <v>30</v>
      </c>
      <c r="D5" s="1918" t="s">
        <v>1159</v>
      </c>
      <c r="E5" s="1919">
        <v>0.725513756275177</v>
      </c>
      <c r="G5" s="1919">
        <v>0.61625218391418457</v>
      </c>
      <c r="I5" s="1919"/>
      <c r="J5" s="1919" t="s">
        <v>1209</v>
      </c>
    </row>
    <row r="6" spans="1:10" x14ac:dyDescent="0.2">
      <c r="A6" s="1924">
        <v>1974</v>
      </c>
      <c r="B6" s="1918" t="s">
        <v>1198</v>
      </c>
      <c r="C6" s="1918" t="s">
        <v>30</v>
      </c>
      <c r="D6" s="1918" t="s">
        <v>1159</v>
      </c>
      <c r="E6" s="1919">
        <v>0.71152794361114502</v>
      </c>
      <c r="G6" s="1919">
        <v>0.61474817991256714</v>
      </c>
      <c r="I6" s="1919"/>
      <c r="J6" s="1919"/>
    </row>
    <row r="7" spans="1:10" x14ac:dyDescent="0.2">
      <c r="A7" s="1924">
        <v>1975</v>
      </c>
      <c r="B7" s="1918" t="s">
        <v>1198</v>
      </c>
      <c r="C7" s="1918" t="s">
        <v>30</v>
      </c>
      <c r="D7" s="1918" t="s">
        <v>1159</v>
      </c>
      <c r="E7" s="1919">
        <v>0.70678466558456421</v>
      </c>
      <c r="G7" s="1919">
        <v>0.60998058319091797</v>
      </c>
      <c r="I7" s="1919"/>
      <c r="J7" s="1919"/>
    </row>
    <row r="8" spans="1:10" x14ac:dyDescent="0.2">
      <c r="A8" s="1924">
        <v>1976</v>
      </c>
      <c r="B8" s="1918" t="s">
        <v>1198</v>
      </c>
      <c r="C8" s="1918" t="s">
        <v>30</v>
      </c>
      <c r="D8" s="1918" t="s">
        <v>1159</v>
      </c>
      <c r="E8" s="1919">
        <v>0.70708906650543213</v>
      </c>
      <c r="G8" s="1919">
        <v>0.61089456081390381</v>
      </c>
      <c r="I8" s="1919"/>
      <c r="J8" s="1919"/>
    </row>
    <row r="9" spans="1:10" x14ac:dyDescent="0.2">
      <c r="A9" s="1924">
        <v>1977</v>
      </c>
      <c r="B9" s="1918" t="s">
        <v>1198</v>
      </c>
      <c r="C9" s="1918" t="s">
        <v>30</v>
      </c>
      <c r="D9" s="1918" t="s">
        <v>1159</v>
      </c>
      <c r="E9" s="1919">
        <v>0.70257687568664551</v>
      </c>
      <c r="G9" s="1919">
        <v>0.60975128412246704</v>
      </c>
      <c r="I9" s="1919"/>
      <c r="J9" s="1919"/>
    </row>
    <row r="10" spans="1:10" x14ac:dyDescent="0.2">
      <c r="A10" s="1924">
        <v>1978</v>
      </c>
      <c r="B10" s="1918" t="s">
        <v>1198</v>
      </c>
      <c r="C10" s="1918" t="s">
        <v>30</v>
      </c>
      <c r="D10" s="1918" t="s">
        <v>1159</v>
      </c>
      <c r="E10" s="1919">
        <v>0.73224782943725586</v>
      </c>
      <c r="G10" s="1919">
        <v>0.63679105043411255</v>
      </c>
      <c r="I10" s="1919"/>
      <c r="J10" s="1919"/>
    </row>
    <row r="11" spans="1:10" x14ac:dyDescent="0.2">
      <c r="A11" s="1924">
        <v>1979</v>
      </c>
      <c r="B11" s="1918" t="s">
        <v>1198</v>
      </c>
      <c r="C11" s="1918" t="s">
        <v>30</v>
      </c>
      <c r="D11" s="1918" t="s">
        <v>1159</v>
      </c>
      <c r="E11" s="1919">
        <v>0.69951266050338745</v>
      </c>
      <c r="G11" s="1919">
        <v>0.61022478342056274</v>
      </c>
      <c r="I11" s="1919"/>
      <c r="J11" s="1919"/>
    </row>
    <row r="12" spans="1:10" x14ac:dyDescent="0.2">
      <c r="A12" s="1924">
        <v>1980</v>
      </c>
      <c r="B12" s="1918" t="s">
        <v>1198</v>
      </c>
      <c r="C12" s="1918" t="s">
        <v>30</v>
      </c>
      <c r="D12" s="1918" t="s">
        <v>1159</v>
      </c>
      <c r="E12" s="1919">
        <v>0.70180904865264893</v>
      </c>
      <c r="G12" s="1919">
        <v>0.61604094505310059</v>
      </c>
      <c r="I12" s="1919"/>
      <c r="J12" s="1919"/>
    </row>
    <row r="13" spans="1:10" x14ac:dyDescent="0.2">
      <c r="A13" s="1924">
        <v>1981</v>
      </c>
      <c r="B13" s="1918" t="s">
        <v>1198</v>
      </c>
      <c r="C13" s="1918" t="s">
        <v>30</v>
      </c>
      <c r="D13" s="1918" t="s">
        <v>1159</v>
      </c>
      <c r="E13" s="1919">
        <v>0.71159940958023071</v>
      </c>
      <c r="G13" s="1919">
        <v>0.62377232313156128</v>
      </c>
      <c r="I13" s="1919"/>
      <c r="J13" s="1919"/>
    </row>
    <row r="14" spans="1:10" x14ac:dyDescent="0.2">
      <c r="A14" s="1924">
        <v>1982</v>
      </c>
      <c r="B14" s="1918" t="s">
        <v>1198</v>
      </c>
      <c r="C14" s="1918" t="s">
        <v>30</v>
      </c>
      <c r="D14" s="1918" t="s">
        <v>1159</v>
      </c>
      <c r="E14" s="1919">
        <v>0.68597233295440674</v>
      </c>
      <c r="G14" s="1919">
        <v>0.60062801837921143</v>
      </c>
      <c r="I14" s="1919"/>
      <c r="J14" s="1919"/>
    </row>
    <row r="15" spans="1:10" x14ac:dyDescent="0.2">
      <c r="A15" s="1924">
        <v>1983</v>
      </c>
      <c r="B15" s="1918" t="s">
        <v>1198</v>
      </c>
      <c r="C15" s="1918" t="s">
        <v>30</v>
      </c>
      <c r="D15" s="1918" t="s">
        <v>1159</v>
      </c>
      <c r="E15" s="1919">
        <v>0.66616910696029663</v>
      </c>
      <c r="G15" s="1919">
        <v>0.58291745185852051</v>
      </c>
      <c r="I15" s="1919"/>
      <c r="J15" s="1919"/>
    </row>
    <row r="16" spans="1:10" x14ac:dyDescent="0.2">
      <c r="A16" s="1924">
        <v>1984</v>
      </c>
      <c r="B16" s="1918" t="s">
        <v>1198</v>
      </c>
      <c r="C16" s="1918" t="s">
        <v>30</v>
      </c>
      <c r="D16" s="1918" t="s">
        <v>1159</v>
      </c>
      <c r="E16" s="1919">
        <v>0.68257546424865723</v>
      </c>
      <c r="G16" s="1919">
        <v>0.59990608692169189</v>
      </c>
      <c r="I16" s="1919"/>
      <c r="J16" s="1919"/>
    </row>
    <row r="17" spans="1:10" x14ac:dyDescent="0.2">
      <c r="A17" s="1924">
        <v>1985</v>
      </c>
      <c r="B17" s="1918" t="s">
        <v>1198</v>
      </c>
      <c r="C17" s="1918" t="s">
        <v>30</v>
      </c>
      <c r="D17" s="1918" t="s">
        <v>1159</v>
      </c>
      <c r="E17" s="1919">
        <v>0.6737067699432373</v>
      </c>
      <c r="G17" s="1919">
        <v>0.59229165315628052</v>
      </c>
      <c r="I17" s="1919"/>
      <c r="J17" s="1919"/>
    </row>
    <row r="18" spans="1:10" x14ac:dyDescent="0.2">
      <c r="A18" s="1924">
        <v>1986</v>
      </c>
      <c r="B18" s="1918" t="s">
        <v>1198</v>
      </c>
      <c r="C18" s="1918" t="s">
        <v>30</v>
      </c>
      <c r="D18" s="1918" t="s">
        <v>1159</v>
      </c>
      <c r="E18" s="1919">
        <v>0.67577016353607178</v>
      </c>
      <c r="G18" s="1919">
        <v>0.5929524302482605</v>
      </c>
      <c r="I18" s="1919"/>
      <c r="J18" s="1919"/>
    </row>
    <row r="19" spans="1:10" x14ac:dyDescent="0.2">
      <c r="A19" s="1924">
        <v>1987</v>
      </c>
      <c r="B19" s="1918" t="s">
        <v>1198</v>
      </c>
      <c r="C19" s="1918" t="s">
        <v>30</v>
      </c>
      <c r="D19" s="1918" t="s">
        <v>1159</v>
      </c>
      <c r="E19" s="1919">
        <v>0.67650765180587769</v>
      </c>
      <c r="G19" s="1919">
        <v>0.59293246269226074</v>
      </c>
      <c r="I19" s="1919"/>
      <c r="J19" s="1919"/>
    </row>
    <row r="20" spans="1:10" x14ac:dyDescent="0.2">
      <c r="A20" s="1924">
        <v>1988</v>
      </c>
      <c r="B20" s="1918" t="s">
        <v>1198</v>
      </c>
      <c r="C20" s="1918" t="s">
        <v>30</v>
      </c>
      <c r="D20" s="1918" t="s">
        <v>1159</v>
      </c>
      <c r="E20" s="1919">
        <v>0.65391165018081665</v>
      </c>
      <c r="G20" s="1919">
        <v>0.58502990007400513</v>
      </c>
      <c r="I20" s="1919"/>
      <c r="J20" s="1919"/>
    </row>
    <row r="21" spans="1:10" x14ac:dyDescent="0.2">
      <c r="A21" s="1924">
        <v>1989</v>
      </c>
      <c r="B21" s="1918" t="s">
        <v>1198</v>
      </c>
      <c r="C21" s="1918" t="s">
        <v>30</v>
      </c>
      <c r="D21" s="1918" t="s">
        <v>1159</v>
      </c>
      <c r="E21" s="1919">
        <v>0.65122443437576294</v>
      </c>
      <c r="G21" s="1919">
        <v>0.57999467849731445</v>
      </c>
      <c r="I21" s="1919"/>
      <c r="J21" s="1919"/>
    </row>
    <row r="22" spans="1:10" x14ac:dyDescent="0.2">
      <c r="A22" s="1924">
        <v>1990</v>
      </c>
      <c r="B22" s="1918" t="s">
        <v>1198</v>
      </c>
      <c r="C22" s="1918" t="s">
        <v>30</v>
      </c>
      <c r="D22" s="1918" t="s">
        <v>1159</v>
      </c>
      <c r="E22" s="1919">
        <v>0.65166670083999634</v>
      </c>
      <c r="G22" s="1919">
        <v>0.57530272006988525</v>
      </c>
      <c r="I22" s="1919"/>
      <c r="J22" s="1919"/>
    </row>
    <row r="23" spans="1:10" x14ac:dyDescent="0.2">
      <c r="A23" s="1924">
        <v>1991</v>
      </c>
      <c r="B23" s="1918" t="s">
        <v>1198</v>
      </c>
      <c r="C23" s="1918" t="s">
        <v>30</v>
      </c>
      <c r="D23" s="1918" t="s">
        <v>1159</v>
      </c>
      <c r="E23" s="1919">
        <v>0.65501689910888672</v>
      </c>
      <c r="G23" s="1919">
        <v>0.57822847366333008</v>
      </c>
      <c r="I23" s="1919"/>
      <c r="J23" s="1919"/>
    </row>
    <row r="24" spans="1:10" x14ac:dyDescent="0.2">
      <c r="A24" s="1924">
        <v>1992</v>
      </c>
      <c r="B24" s="1918" t="s">
        <v>1198</v>
      </c>
      <c r="C24" s="1918" t="s">
        <v>30</v>
      </c>
      <c r="D24" s="1918" t="s">
        <v>1159</v>
      </c>
      <c r="E24" s="1919">
        <v>0.66265326738357544</v>
      </c>
      <c r="G24" s="1919">
        <v>0.58208858966827393</v>
      </c>
      <c r="I24" s="1919"/>
      <c r="J24" s="1919"/>
    </row>
    <row r="25" spans="1:10" x14ac:dyDescent="0.2">
      <c r="A25" s="1924">
        <v>1993</v>
      </c>
      <c r="B25" s="1918" t="s">
        <v>1198</v>
      </c>
      <c r="C25" s="1918" t="s">
        <v>30</v>
      </c>
      <c r="D25" s="1918" t="s">
        <v>1159</v>
      </c>
      <c r="E25" s="1919">
        <v>0.66690343618392944</v>
      </c>
      <c r="G25" s="1919">
        <v>0.59090036153793335</v>
      </c>
      <c r="I25" s="1919"/>
      <c r="J25" s="1919"/>
    </row>
    <row r="26" spans="1:10" x14ac:dyDescent="0.2">
      <c r="A26" s="1924">
        <v>1994</v>
      </c>
      <c r="B26" s="1918" t="s">
        <v>1198</v>
      </c>
      <c r="C26" s="1918" t="s">
        <v>30</v>
      </c>
      <c r="D26" s="1918" t="s">
        <v>1159</v>
      </c>
      <c r="E26" s="1919">
        <v>0.66581857204437256</v>
      </c>
      <c r="G26" s="1919">
        <v>0.58710098266601562</v>
      </c>
      <c r="I26" s="1919"/>
      <c r="J26" s="1919"/>
    </row>
    <row r="27" spans="1:10" x14ac:dyDescent="0.2">
      <c r="A27" s="1924">
        <v>1995</v>
      </c>
      <c r="B27" s="1918" t="s">
        <v>1198</v>
      </c>
      <c r="C27" s="1918" t="s">
        <v>30</v>
      </c>
      <c r="D27" s="1918" t="s">
        <v>1159</v>
      </c>
      <c r="E27" s="1919">
        <v>0.64971005916595459</v>
      </c>
      <c r="F27" s="1919">
        <v>0.65168553590774536</v>
      </c>
      <c r="G27" s="1919">
        <v>0.57811421155929565</v>
      </c>
      <c r="H27" s="1919">
        <v>0.59486645460128784</v>
      </c>
      <c r="I27" s="1919"/>
      <c r="J27" s="1919"/>
    </row>
    <row r="28" spans="1:10" x14ac:dyDescent="0.2">
      <c r="A28" s="1924">
        <v>1996</v>
      </c>
      <c r="B28" s="1918" t="s">
        <v>1198</v>
      </c>
      <c r="C28" s="1918" t="s">
        <v>30</v>
      </c>
      <c r="D28" s="1918" t="s">
        <v>1159</v>
      </c>
      <c r="E28" s="1919">
        <v>0.64730584621429443</v>
      </c>
      <c r="F28" s="1919">
        <v>0.65567475557327271</v>
      </c>
      <c r="G28" s="1919">
        <v>0.5675240159034729</v>
      </c>
      <c r="H28" s="1919">
        <v>0.58428770303726196</v>
      </c>
      <c r="I28" s="1919"/>
      <c r="J28" s="1919"/>
    </row>
    <row r="29" spans="1:10" x14ac:dyDescent="0.2">
      <c r="A29" s="1924">
        <v>1997</v>
      </c>
      <c r="B29" s="1918" t="s">
        <v>1198</v>
      </c>
      <c r="C29" s="1918" t="s">
        <v>30</v>
      </c>
      <c r="D29" s="1918" t="s">
        <v>1159</v>
      </c>
      <c r="E29" s="1919">
        <v>0.639900803565979</v>
      </c>
      <c r="F29" s="1919">
        <v>0.64572376012802124</v>
      </c>
      <c r="G29" s="1919">
        <v>0.55911189317703247</v>
      </c>
      <c r="H29" s="1919">
        <v>0.56740677356719971</v>
      </c>
      <c r="I29" s="1919"/>
      <c r="J29" s="1919"/>
    </row>
    <row r="30" spans="1:10" x14ac:dyDescent="0.2">
      <c r="A30" s="1924">
        <v>1998</v>
      </c>
      <c r="B30" s="1918" t="s">
        <v>1198</v>
      </c>
      <c r="C30" s="1918" t="s">
        <v>30</v>
      </c>
      <c r="D30" s="1918" t="s">
        <v>1159</v>
      </c>
      <c r="E30" s="1919">
        <v>0.63941687345504761</v>
      </c>
      <c r="F30" s="1919">
        <v>0.64296931028366089</v>
      </c>
      <c r="G30" s="1919">
        <v>0.5577818751335144</v>
      </c>
      <c r="H30" s="1919">
        <v>0.56489890813827515</v>
      </c>
      <c r="I30" s="1919"/>
      <c r="J30" s="1919"/>
    </row>
    <row r="31" spans="1:10" x14ac:dyDescent="0.2">
      <c r="A31" s="1924">
        <v>1999</v>
      </c>
      <c r="B31" s="1918" t="s">
        <v>1198</v>
      </c>
      <c r="C31" s="1918" t="s">
        <v>30</v>
      </c>
      <c r="D31" s="1918" t="s">
        <v>1159</v>
      </c>
      <c r="E31" s="1919">
        <v>0.64300000667572021</v>
      </c>
      <c r="F31" s="1919">
        <v>0.64796978235244751</v>
      </c>
      <c r="G31" s="1919">
        <v>0.55908727645874023</v>
      </c>
      <c r="H31" s="1919">
        <v>0.56714963912963867</v>
      </c>
      <c r="I31" s="1919"/>
      <c r="J31" s="1919"/>
    </row>
    <row r="32" spans="1:10" x14ac:dyDescent="0.2">
      <c r="A32" s="1924">
        <v>2000</v>
      </c>
      <c r="B32" s="1918" t="s">
        <v>1198</v>
      </c>
      <c r="C32" s="1918" t="s">
        <v>30</v>
      </c>
      <c r="D32" s="1918" t="s">
        <v>1159</v>
      </c>
      <c r="E32" s="1919">
        <v>0.63181024789810181</v>
      </c>
      <c r="F32" s="1919">
        <v>0.63740432262420654</v>
      </c>
      <c r="G32" s="1919">
        <v>0.5471922755241394</v>
      </c>
      <c r="H32" s="1919">
        <v>0.55481559038162231</v>
      </c>
      <c r="I32" s="1919"/>
      <c r="J32" s="1919"/>
    </row>
    <row r="33" spans="1:10" x14ac:dyDescent="0.2">
      <c r="A33" s="1924">
        <v>2001</v>
      </c>
      <c r="B33" s="1918" t="s">
        <v>1198</v>
      </c>
      <c r="C33" s="1918" t="s">
        <v>30</v>
      </c>
      <c r="D33" s="1918" t="s">
        <v>1159</v>
      </c>
      <c r="E33" s="1919">
        <v>0.62524807453155518</v>
      </c>
      <c r="F33" s="1919">
        <v>0.62732702493667603</v>
      </c>
      <c r="G33" s="1919">
        <v>0.54067069292068481</v>
      </c>
      <c r="H33" s="1919">
        <v>0.54774951934814453</v>
      </c>
      <c r="I33" s="1919"/>
      <c r="J33" s="1919"/>
    </row>
    <row r="34" spans="1:10" x14ac:dyDescent="0.2">
      <c r="A34" s="1924">
        <v>2002</v>
      </c>
      <c r="B34" s="1918" t="s">
        <v>1198</v>
      </c>
      <c r="C34" s="1918" t="s">
        <v>30</v>
      </c>
      <c r="D34" s="1918" t="s">
        <v>1159</v>
      </c>
      <c r="E34" s="1919">
        <v>0.62123149633407593</v>
      </c>
      <c r="F34" s="1919">
        <v>0.62448489665985107</v>
      </c>
      <c r="G34" s="1919">
        <v>0.53444898128509521</v>
      </c>
      <c r="H34" s="1919">
        <v>0.5417136549949646</v>
      </c>
      <c r="I34" s="1919"/>
      <c r="J34" s="1919"/>
    </row>
    <row r="35" spans="1:10" x14ac:dyDescent="0.2">
      <c r="A35" s="1924">
        <v>2003</v>
      </c>
      <c r="B35" s="1918" t="s">
        <v>1198</v>
      </c>
      <c r="C35" s="1918" t="s">
        <v>30</v>
      </c>
      <c r="D35" s="1918" t="s">
        <v>1159</v>
      </c>
      <c r="E35" s="1919">
        <v>0.62450104951858521</v>
      </c>
      <c r="F35" s="1919">
        <v>0.62339639663696289</v>
      </c>
      <c r="G35" s="1919">
        <v>0.53508996963500977</v>
      </c>
      <c r="H35" s="1919">
        <v>0.5402337908744812</v>
      </c>
      <c r="I35" s="1919"/>
      <c r="J35" s="1919"/>
    </row>
    <row r="36" spans="1:10" x14ac:dyDescent="0.2">
      <c r="A36" s="1924">
        <v>2004</v>
      </c>
      <c r="B36" s="1918" t="s">
        <v>1198</v>
      </c>
      <c r="C36" s="1918" t="s">
        <v>30</v>
      </c>
      <c r="D36" s="1918" t="s">
        <v>1159</v>
      </c>
      <c r="E36" s="1919">
        <v>0.61518758535385132</v>
      </c>
      <c r="F36" s="1919">
        <v>0.61050212383270264</v>
      </c>
      <c r="G36" s="1919">
        <v>0.52571487426757812</v>
      </c>
      <c r="H36" s="1919">
        <v>0.52741008996963501</v>
      </c>
      <c r="I36" s="1919"/>
      <c r="J36" s="1919"/>
    </row>
    <row r="37" spans="1:10" x14ac:dyDescent="0.2">
      <c r="A37" s="1924">
        <v>2005</v>
      </c>
      <c r="B37" s="1918" t="s">
        <v>1198</v>
      </c>
      <c r="C37" s="1918" t="s">
        <v>30</v>
      </c>
      <c r="D37" s="1918" t="s">
        <v>1159</v>
      </c>
      <c r="E37" s="1919">
        <v>0.60383015871047974</v>
      </c>
      <c r="F37" s="1919">
        <v>0.60110300779342651</v>
      </c>
      <c r="G37" s="1919">
        <v>0.5190923810005188</v>
      </c>
      <c r="H37" s="1919">
        <v>0.51970267295837402</v>
      </c>
      <c r="I37" s="1919"/>
      <c r="J37" s="1919"/>
    </row>
    <row r="38" spans="1:10" x14ac:dyDescent="0.2">
      <c r="A38" s="1924">
        <v>2006</v>
      </c>
      <c r="B38" s="1918" t="s">
        <v>1198</v>
      </c>
      <c r="C38" s="1918" t="s">
        <v>30</v>
      </c>
      <c r="D38" s="1918" t="s">
        <v>1159</v>
      </c>
      <c r="E38" s="1919">
        <v>0.60016936063766479</v>
      </c>
      <c r="F38" s="1919">
        <v>0.59475523233413696</v>
      </c>
      <c r="G38" s="1919">
        <v>0.51375049352645874</v>
      </c>
      <c r="H38" s="1919">
        <v>0.51356303691864014</v>
      </c>
      <c r="I38" s="1919"/>
      <c r="J38" s="1919"/>
    </row>
    <row r="39" spans="1:10" x14ac:dyDescent="0.2">
      <c r="A39" s="1924">
        <v>2007</v>
      </c>
      <c r="B39" s="1918" t="s">
        <v>1198</v>
      </c>
      <c r="C39" s="1918" t="s">
        <v>30</v>
      </c>
      <c r="D39" s="1918" t="s">
        <v>1159</v>
      </c>
      <c r="E39" s="1919">
        <v>0.59253120422363281</v>
      </c>
      <c r="F39" s="1919">
        <v>0.5855528712272644</v>
      </c>
      <c r="G39" s="1919">
        <v>0.50791889429092407</v>
      </c>
      <c r="H39" s="1919">
        <v>0.50865250825881958</v>
      </c>
      <c r="I39" s="1919"/>
      <c r="J39" s="1919"/>
    </row>
    <row r="40" spans="1:10" x14ac:dyDescent="0.2">
      <c r="A40" s="1924">
        <v>2008</v>
      </c>
      <c r="B40" s="1918" t="s">
        <v>1198</v>
      </c>
      <c r="C40" s="1918" t="s">
        <v>30</v>
      </c>
      <c r="D40" s="1918" t="s">
        <v>1159</v>
      </c>
      <c r="E40" s="1919">
        <v>0.60290020704269409</v>
      </c>
      <c r="F40" s="1919">
        <v>0.59519058465957642</v>
      </c>
      <c r="G40" s="1919">
        <v>0.51907855272293091</v>
      </c>
      <c r="H40" s="1919">
        <v>0.52522629499435425</v>
      </c>
      <c r="I40" s="1919"/>
      <c r="J40" s="1919"/>
    </row>
    <row r="41" spans="1:10" x14ac:dyDescent="0.2">
      <c r="A41" s="1924">
        <v>2009</v>
      </c>
      <c r="B41" s="1918" t="s">
        <v>1198</v>
      </c>
      <c r="C41" s="1918" t="s">
        <v>30</v>
      </c>
      <c r="D41" s="1918" t="s">
        <v>1159</v>
      </c>
      <c r="E41" s="1919">
        <v>0.62863659858703613</v>
      </c>
      <c r="F41" s="1919">
        <v>0.62218940258026123</v>
      </c>
      <c r="G41" s="1919">
        <v>0.53885930776596069</v>
      </c>
      <c r="H41" s="1919">
        <v>0.54655307531356812</v>
      </c>
      <c r="I41" s="1919"/>
      <c r="J41" s="1919"/>
    </row>
    <row r="42" spans="1:10" x14ac:dyDescent="0.2">
      <c r="A42" s="1924">
        <v>2010</v>
      </c>
      <c r="B42" s="1918" t="s">
        <v>1198</v>
      </c>
      <c r="C42" s="1918" t="s">
        <v>30</v>
      </c>
      <c r="D42" s="1918" t="s">
        <v>1159</v>
      </c>
      <c r="E42" s="1919">
        <v>0.62068647146224976</v>
      </c>
      <c r="F42" s="1919">
        <v>0.61648136377334595</v>
      </c>
      <c r="G42" s="1919">
        <v>0.53329342603683472</v>
      </c>
      <c r="H42" s="1919">
        <v>0.54375976324081421</v>
      </c>
      <c r="I42" s="1919"/>
      <c r="J42" s="1919"/>
    </row>
    <row r="43" spans="1:10" x14ac:dyDescent="0.2">
      <c r="A43" s="1924">
        <v>2011</v>
      </c>
      <c r="B43" s="1918" t="s">
        <v>1198</v>
      </c>
      <c r="C43" s="1918" t="s">
        <v>30</v>
      </c>
      <c r="D43" s="1918" t="s">
        <v>1159</v>
      </c>
      <c r="E43" s="1919">
        <v>0.61745506525039673</v>
      </c>
      <c r="F43" s="1919">
        <v>0.611988365650177</v>
      </c>
      <c r="G43" s="1919">
        <v>0.53073275089263916</v>
      </c>
      <c r="H43" s="1919">
        <v>0.54016649723052979</v>
      </c>
      <c r="I43" s="1919"/>
      <c r="J43" s="1919"/>
    </row>
    <row r="44" spans="1:10" x14ac:dyDescent="0.2">
      <c r="A44" s="1924">
        <v>2012</v>
      </c>
      <c r="B44" s="1918" t="s">
        <v>1198</v>
      </c>
      <c r="C44" s="1918" t="s">
        <v>30</v>
      </c>
      <c r="D44" s="1918" t="s">
        <v>1159</v>
      </c>
      <c r="E44" s="1919">
        <v>0.62942129373550415</v>
      </c>
      <c r="F44" s="1919">
        <v>0.6209259033203125</v>
      </c>
      <c r="G44" s="1919">
        <v>0.54180330038070679</v>
      </c>
      <c r="H44" s="1919">
        <v>0.55275565385818481</v>
      </c>
      <c r="I44" s="1919"/>
      <c r="J44" s="1919"/>
    </row>
    <row r="45" spans="1:10" x14ac:dyDescent="0.2">
      <c r="A45" s="1924">
        <v>2013</v>
      </c>
      <c r="B45" s="1918" t="s">
        <v>1198</v>
      </c>
      <c r="C45" s="1918" t="s">
        <v>30</v>
      </c>
      <c r="D45" s="1918" t="s">
        <v>1159</v>
      </c>
      <c r="E45" s="1919">
        <v>0.63764494657516479</v>
      </c>
      <c r="F45" s="1919">
        <v>0.62791305780410767</v>
      </c>
      <c r="G45" s="1919">
        <v>0.54980379343032837</v>
      </c>
      <c r="H45" s="1919">
        <v>0.5609392523765564</v>
      </c>
      <c r="I45" s="1919"/>
      <c r="J45" s="1919"/>
    </row>
    <row r="46" spans="1:10" x14ac:dyDescent="0.2">
      <c r="A46" s="1924">
        <v>2014</v>
      </c>
      <c r="B46" s="1918" t="s">
        <v>1198</v>
      </c>
      <c r="C46" s="1918" t="s">
        <v>30</v>
      </c>
      <c r="D46" s="1918" t="s">
        <v>1159</v>
      </c>
      <c r="E46" s="1919">
        <v>0.63799971342086792</v>
      </c>
      <c r="F46" s="1919">
        <v>0.62581813335418701</v>
      </c>
      <c r="G46" s="1919">
        <v>0.55151331424713135</v>
      </c>
      <c r="H46" s="1919">
        <v>0.55901986360549927</v>
      </c>
      <c r="I46" s="1919"/>
      <c r="J46" s="1919"/>
    </row>
    <row r="47" spans="1:10" x14ac:dyDescent="0.2">
      <c r="A47" s="1924">
        <v>2015</v>
      </c>
      <c r="B47" s="1918" t="s">
        <v>1198</v>
      </c>
      <c r="C47" s="1918" t="s">
        <v>30</v>
      </c>
      <c r="D47" s="1918" t="s">
        <v>1159</v>
      </c>
      <c r="E47" s="1919">
        <v>0.64210891723632812</v>
      </c>
      <c r="F47" s="1919">
        <v>0.62370967864990234</v>
      </c>
      <c r="G47" s="1919">
        <v>0.55443894863128662</v>
      </c>
      <c r="H47" s="1919">
        <v>0.55569911003112793</v>
      </c>
      <c r="I47" s="1919"/>
      <c r="J47" s="1919"/>
    </row>
    <row r="48" spans="1:10" x14ac:dyDescent="0.2">
      <c r="A48" s="1924">
        <v>1970</v>
      </c>
      <c r="B48" s="1918" t="s">
        <v>1197</v>
      </c>
      <c r="C48" s="1918" t="s">
        <v>31</v>
      </c>
      <c r="D48" s="1918" t="s">
        <v>1159</v>
      </c>
      <c r="E48" s="1919">
        <v>0.57706207036972046</v>
      </c>
      <c r="G48" s="1919">
        <v>0.50146943330764771</v>
      </c>
      <c r="I48" s="1919"/>
      <c r="J48" s="1919"/>
    </row>
    <row r="49" spans="1:10" x14ac:dyDescent="0.2">
      <c r="A49" s="1924">
        <v>1971</v>
      </c>
      <c r="B49" s="1918" t="s">
        <v>1197</v>
      </c>
      <c r="C49" s="1918" t="s">
        <v>31</v>
      </c>
      <c r="D49" s="1918" t="s">
        <v>1159</v>
      </c>
      <c r="E49" s="1919">
        <v>0.60314536094665527</v>
      </c>
      <c r="G49" s="1919">
        <v>0.53009492158889771</v>
      </c>
      <c r="I49" s="1919"/>
      <c r="J49" s="1919"/>
    </row>
    <row r="50" spans="1:10" x14ac:dyDescent="0.2">
      <c r="A50" s="1924">
        <v>1972</v>
      </c>
      <c r="B50" s="1918" t="s">
        <v>1197</v>
      </c>
      <c r="C50" s="1918" t="s">
        <v>31</v>
      </c>
      <c r="D50" s="1918" t="s">
        <v>1159</v>
      </c>
      <c r="E50" s="1919">
        <v>0.61496293544769287</v>
      </c>
      <c r="G50" s="1919">
        <v>0.54445785284042358</v>
      </c>
      <c r="I50" s="1919"/>
      <c r="J50" s="1919"/>
    </row>
    <row r="51" spans="1:10" x14ac:dyDescent="0.2">
      <c r="A51" s="1924">
        <v>1973</v>
      </c>
      <c r="B51" s="1918" t="s">
        <v>1197</v>
      </c>
      <c r="C51" s="1918" t="s">
        <v>31</v>
      </c>
      <c r="D51" s="1918" t="s">
        <v>1159</v>
      </c>
      <c r="E51" s="1919">
        <v>0.61908602714538574</v>
      </c>
      <c r="G51" s="1919">
        <v>0.55025094747543335</v>
      </c>
      <c r="I51" s="1919"/>
      <c r="J51" s="1919"/>
    </row>
    <row r="52" spans="1:10" x14ac:dyDescent="0.2">
      <c r="A52" s="1924">
        <v>1974</v>
      </c>
      <c r="B52" s="1918" t="s">
        <v>1197</v>
      </c>
      <c r="C52" s="1918" t="s">
        <v>31</v>
      </c>
      <c r="D52" s="1918" t="s">
        <v>1159</v>
      </c>
      <c r="E52" s="1919">
        <v>0.63640475273132324</v>
      </c>
      <c r="G52" s="1919">
        <v>0.57038372755050659</v>
      </c>
      <c r="I52" s="1919"/>
      <c r="J52" s="1919"/>
    </row>
    <row r="53" spans="1:10" x14ac:dyDescent="0.2">
      <c r="A53" s="1924">
        <v>1975</v>
      </c>
      <c r="B53" s="1918" t="s">
        <v>1197</v>
      </c>
      <c r="C53" s="1918" t="s">
        <v>31</v>
      </c>
      <c r="D53" s="1918" t="s">
        <v>1159</v>
      </c>
      <c r="E53" s="1919">
        <v>0.65619933605194092</v>
      </c>
      <c r="G53" s="1919">
        <v>0.58857661485671997</v>
      </c>
      <c r="I53" s="1919"/>
      <c r="J53" s="1919"/>
    </row>
    <row r="54" spans="1:10" x14ac:dyDescent="0.2">
      <c r="A54" s="1924">
        <v>1976</v>
      </c>
      <c r="B54" s="1918" t="s">
        <v>1197</v>
      </c>
      <c r="C54" s="1918" t="s">
        <v>31</v>
      </c>
      <c r="D54" s="1918" t="s">
        <v>1159</v>
      </c>
      <c r="E54" s="1919">
        <v>0.66338181495666504</v>
      </c>
      <c r="G54" s="1919">
        <v>0.59803104400634766</v>
      </c>
      <c r="I54" s="1919"/>
      <c r="J54" s="1919"/>
    </row>
    <row r="55" spans="1:10" x14ac:dyDescent="0.2">
      <c r="A55" s="1924">
        <v>1977</v>
      </c>
      <c r="B55" s="1918" t="s">
        <v>1197</v>
      </c>
      <c r="C55" s="1918" t="s">
        <v>31</v>
      </c>
      <c r="D55" s="1918" t="s">
        <v>1159</v>
      </c>
      <c r="E55" s="1919">
        <v>0.66603821516036987</v>
      </c>
      <c r="G55" s="1919">
        <v>0.59854155778884888</v>
      </c>
      <c r="I55" s="1919"/>
      <c r="J55" s="1919"/>
    </row>
    <row r="56" spans="1:10" x14ac:dyDescent="0.2">
      <c r="A56" s="1924">
        <v>1978</v>
      </c>
      <c r="B56" s="1918" t="s">
        <v>1197</v>
      </c>
      <c r="C56" s="1918" t="s">
        <v>31</v>
      </c>
      <c r="D56" s="1918" t="s">
        <v>1159</v>
      </c>
      <c r="E56" s="1919">
        <v>0.66820985078811646</v>
      </c>
      <c r="G56" s="1919">
        <v>0.60140836238861084</v>
      </c>
      <c r="I56" s="1919"/>
      <c r="J56" s="1919"/>
    </row>
    <row r="57" spans="1:10" x14ac:dyDescent="0.2">
      <c r="A57" s="1924">
        <v>1979</v>
      </c>
      <c r="B57" s="1918" t="s">
        <v>1197</v>
      </c>
      <c r="C57" s="1918" t="s">
        <v>31</v>
      </c>
      <c r="D57" s="1918" t="s">
        <v>1159</v>
      </c>
      <c r="E57" s="1919">
        <v>0.66410303115844727</v>
      </c>
      <c r="G57" s="1919">
        <v>0.59833443164825439</v>
      </c>
      <c r="I57" s="1919"/>
      <c r="J57" s="1919"/>
    </row>
    <row r="58" spans="1:10" x14ac:dyDescent="0.2">
      <c r="A58" s="1924">
        <v>1980</v>
      </c>
      <c r="B58" s="1918" t="s">
        <v>1197</v>
      </c>
      <c r="C58" s="1918" t="s">
        <v>31</v>
      </c>
      <c r="D58" s="1918" t="s">
        <v>1159</v>
      </c>
      <c r="E58" s="1919">
        <v>0.68707108497619629</v>
      </c>
      <c r="G58" s="1919">
        <v>0.62214964628219604</v>
      </c>
      <c r="I58" s="1919"/>
      <c r="J58" s="1919"/>
    </row>
    <row r="59" spans="1:10" x14ac:dyDescent="0.2">
      <c r="A59" s="1924">
        <v>1981</v>
      </c>
      <c r="B59" s="1918" t="s">
        <v>1197</v>
      </c>
      <c r="C59" s="1918" t="s">
        <v>31</v>
      </c>
      <c r="D59" s="1918" t="s">
        <v>1159</v>
      </c>
      <c r="E59" s="1919">
        <v>0.68163162469863892</v>
      </c>
      <c r="G59" s="1919">
        <v>0.62000614404678345</v>
      </c>
      <c r="I59" s="1919"/>
      <c r="J59" s="1919"/>
    </row>
    <row r="60" spans="1:10" x14ac:dyDescent="0.2">
      <c r="A60" s="1924">
        <v>1982</v>
      </c>
      <c r="B60" s="1918" t="s">
        <v>1197</v>
      </c>
      <c r="C60" s="1918" t="s">
        <v>31</v>
      </c>
      <c r="D60" s="1918" t="s">
        <v>1159</v>
      </c>
      <c r="E60" s="1919">
        <v>0.67033463716506958</v>
      </c>
      <c r="G60" s="1919">
        <v>0.60520142316818237</v>
      </c>
      <c r="I60" s="1919"/>
      <c r="J60" s="1919"/>
    </row>
    <row r="61" spans="1:10" x14ac:dyDescent="0.2">
      <c r="A61" s="1924">
        <v>1983</v>
      </c>
      <c r="B61" s="1918" t="s">
        <v>1197</v>
      </c>
      <c r="C61" s="1918" t="s">
        <v>31</v>
      </c>
      <c r="D61" s="1918" t="s">
        <v>1159</v>
      </c>
      <c r="E61" s="1919">
        <v>0.66720783710479736</v>
      </c>
      <c r="G61" s="1919">
        <v>0.59976023435592651</v>
      </c>
      <c r="I61" s="1919"/>
      <c r="J61" s="1919"/>
    </row>
    <row r="62" spans="1:10" x14ac:dyDescent="0.2">
      <c r="A62" s="1924">
        <v>1984</v>
      </c>
      <c r="B62" s="1918" t="s">
        <v>1197</v>
      </c>
      <c r="C62" s="1918" t="s">
        <v>31</v>
      </c>
      <c r="D62" s="1918" t="s">
        <v>1159</v>
      </c>
      <c r="E62" s="1919">
        <v>0.65483909845352173</v>
      </c>
      <c r="G62" s="1919">
        <v>0.58713871240615845</v>
      </c>
      <c r="I62" s="1919"/>
      <c r="J62" s="1919"/>
    </row>
    <row r="63" spans="1:10" x14ac:dyDescent="0.2">
      <c r="A63" s="1924">
        <v>1985</v>
      </c>
      <c r="B63" s="1918" t="s">
        <v>1197</v>
      </c>
      <c r="C63" s="1918" t="s">
        <v>31</v>
      </c>
      <c r="D63" s="1918" t="s">
        <v>1159</v>
      </c>
      <c r="E63" s="1919">
        <v>0.64746135473251343</v>
      </c>
      <c r="G63" s="1919">
        <v>0.5804746150970459</v>
      </c>
      <c r="H63" s="1919">
        <v>0.65035039186477661</v>
      </c>
      <c r="I63" s="1919"/>
      <c r="J63" s="1919"/>
    </row>
    <row r="64" spans="1:10" x14ac:dyDescent="0.2">
      <c r="A64" s="1924">
        <v>1986</v>
      </c>
      <c r="B64" s="1918" t="s">
        <v>1197</v>
      </c>
      <c r="C64" s="1918" t="s">
        <v>31</v>
      </c>
      <c r="D64" s="1918" t="s">
        <v>1159</v>
      </c>
      <c r="E64" s="1919">
        <v>0.64109128713607788</v>
      </c>
      <c r="G64" s="1919">
        <v>0.57414430379867554</v>
      </c>
      <c r="H64" s="1919">
        <v>0.64057934284210205</v>
      </c>
      <c r="I64" s="1919"/>
      <c r="J64" s="1919"/>
    </row>
    <row r="65" spans="1:10" x14ac:dyDescent="0.2">
      <c r="A65" s="1924">
        <v>1987</v>
      </c>
      <c r="B65" s="1918" t="s">
        <v>1197</v>
      </c>
      <c r="C65" s="1918" t="s">
        <v>31</v>
      </c>
      <c r="D65" s="1918" t="s">
        <v>1159</v>
      </c>
      <c r="E65" s="1919">
        <v>0.64377903938293457</v>
      </c>
      <c r="G65" s="1919">
        <v>0.57606971263885498</v>
      </c>
      <c r="H65" s="1919">
        <v>0.63495630025863647</v>
      </c>
      <c r="I65" s="1919"/>
      <c r="J65" s="1919"/>
    </row>
    <row r="66" spans="1:10" x14ac:dyDescent="0.2">
      <c r="A66" s="1924">
        <v>1988</v>
      </c>
      <c r="B66" s="1918" t="s">
        <v>1197</v>
      </c>
      <c r="C66" s="1918" t="s">
        <v>31</v>
      </c>
      <c r="D66" s="1918" t="s">
        <v>1159</v>
      </c>
      <c r="E66" s="1919">
        <v>0.6335868239402771</v>
      </c>
      <c r="G66" s="1919">
        <v>0.56298571825027466</v>
      </c>
      <c r="H66" s="1919">
        <v>0.61416101455688477</v>
      </c>
      <c r="I66" s="1919"/>
      <c r="J66" s="1919"/>
    </row>
    <row r="67" spans="1:10" x14ac:dyDescent="0.2">
      <c r="A67" s="1924">
        <v>1989</v>
      </c>
      <c r="B67" s="1918" t="s">
        <v>1197</v>
      </c>
      <c r="C67" s="1918" t="s">
        <v>31</v>
      </c>
      <c r="D67" s="1918" t="s">
        <v>1159</v>
      </c>
      <c r="E67" s="1919">
        <v>0.62429583072662354</v>
      </c>
      <c r="G67" s="1919">
        <v>0.55144977569580078</v>
      </c>
      <c r="H67" s="1919">
        <v>0.61056625843048096</v>
      </c>
      <c r="I67" s="1919"/>
      <c r="J67" s="1919"/>
    </row>
    <row r="68" spans="1:10" x14ac:dyDescent="0.2">
      <c r="A68" s="1924">
        <v>1990</v>
      </c>
      <c r="B68" s="1918" t="s">
        <v>1197</v>
      </c>
      <c r="C68" s="1918" t="s">
        <v>31</v>
      </c>
      <c r="D68" s="1918" t="s">
        <v>1159</v>
      </c>
      <c r="E68" s="1919">
        <v>0.63046360015869141</v>
      </c>
      <c r="G68" s="1919">
        <v>0.55747532844543457</v>
      </c>
      <c r="H68" s="1919">
        <v>0.61613810062408447</v>
      </c>
      <c r="I68" s="1919"/>
      <c r="J68" s="1919"/>
    </row>
    <row r="69" spans="1:10" x14ac:dyDescent="0.2">
      <c r="A69" s="1924">
        <v>1991</v>
      </c>
      <c r="B69" s="1918" t="s">
        <v>1197</v>
      </c>
      <c r="C69" s="1918" t="s">
        <v>31</v>
      </c>
      <c r="D69" s="1918" t="s">
        <v>1159</v>
      </c>
      <c r="E69" s="1919">
        <v>0.65239286422729492</v>
      </c>
      <c r="G69" s="1919">
        <v>0.5800204873085022</v>
      </c>
      <c r="H69" s="1919">
        <v>0.63261651992797852</v>
      </c>
      <c r="I69" s="1919"/>
      <c r="J69" s="1919"/>
    </row>
    <row r="70" spans="1:10" x14ac:dyDescent="0.2">
      <c r="A70" s="1924">
        <v>1992</v>
      </c>
      <c r="B70" s="1918" t="s">
        <v>1197</v>
      </c>
      <c r="C70" s="1918" t="s">
        <v>31</v>
      </c>
      <c r="D70" s="1918" t="s">
        <v>1159</v>
      </c>
      <c r="E70" s="1919">
        <v>0.6562005877494812</v>
      </c>
      <c r="G70" s="1919">
        <v>0.58237040042877197</v>
      </c>
      <c r="H70" s="1919">
        <v>0.6316336989402771</v>
      </c>
      <c r="I70" s="1919"/>
      <c r="J70" s="1919"/>
    </row>
    <row r="71" spans="1:10" x14ac:dyDescent="0.2">
      <c r="A71" s="1924">
        <v>1993</v>
      </c>
      <c r="B71" s="1918" t="s">
        <v>1197</v>
      </c>
      <c r="C71" s="1918" t="s">
        <v>31</v>
      </c>
      <c r="D71" s="1918" t="s">
        <v>1159</v>
      </c>
      <c r="E71" s="1919">
        <v>0.65986341238021851</v>
      </c>
      <c r="G71" s="1919">
        <v>0.58694320917129517</v>
      </c>
      <c r="H71" s="1919">
        <v>0.63640677928924561</v>
      </c>
      <c r="I71" s="1919"/>
      <c r="J71" s="1919"/>
    </row>
    <row r="72" spans="1:10" x14ac:dyDescent="0.2">
      <c r="A72" s="1924">
        <v>1994</v>
      </c>
      <c r="B72" s="1918" t="s">
        <v>1197</v>
      </c>
      <c r="C72" s="1918" t="s">
        <v>31</v>
      </c>
      <c r="D72" s="1918" t="s">
        <v>1159</v>
      </c>
      <c r="E72" s="1919">
        <v>0.6492912769317627</v>
      </c>
      <c r="G72" s="1919">
        <v>0.57672005891799927</v>
      </c>
      <c r="H72" s="1919">
        <v>0.62696987390518188</v>
      </c>
      <c r="I72" s="1919"/>
      <c r="J72" s="1919"/>
    </row>
    <row r="73" spans="1:10" x14ac:dyDescent="0.2">
      <c r="A73" s="1924">
        <v>1995</v>
      </c>
      <c r="B73" s="1918" t="s">
        <v>1197</v>
      </c>
      <c r="C73" s="1918" t="s">
        <v>31</v>
      </c>
      <c r="D73" s="1918" t="s">
        <v>1159</v>
      </c>
      <c r="E73" s="1919">
        <v>0.64277851581573486</v>
      </c>
      <c r="G73" s="1919">
        <v>0.56305813789367676</v>
      </c>
      <c r="H73" s="1919">
        <v>0.62817001342773438</v>
      </c>
      <c r="I73" s="1919"/>
      <c r="J73" s="1919"/>
    </row>
    <row r="74" spans="1:10" x14ac:dyDescent="0.2">
      <c r="A74" s="1924">
        <v>1996</v>
      </c>
      <c r="B74" s="1918" t="s">
        <v>1197</v>
      </c>
      <c r="C74" s="1918" t="s">
        <v>31</v>
      </c>
      <c r="D74" s="1918" t="s">
        <v>1159</v>
      </c>
      <c r="E74" s="1919">
        <v>0.64616870880126953</v>
      </c>
      <c r="G74" s="1919">
        <v>0.56583118438720703</v>
      </c>
      <c r="H74" s="1919">
        <v>0.63266456127166748</v>
      </c>
      <c r="I74" s="1919"/>
      <c r="J74" s="1919"/>
    </row>
    <row r="75" spans="1:10" x14ac:dyDescent="0.2">
      <c r="A75" s="1924">
        <v>1997</v>
      </c>
      <c r="B75" s="1918" t="s">
        <v>1197</v>
      </c>
      <c r="C75" s="1918" t="s">
        <v>31</v>
      </c>
      <c r="D75" s="1918" t="s">
        <v>1159</v>
      </c>
      <c r="E75" s="1919">
        <v>0.6405596137046814</v>
      </c>
      <c r="G75" s="1919">
        <v>0.56027054786682129</v>
      </c>
      <c r="H75" s="1919">
        <v>0.62901878356933594</v>
      </c>
      <c r="I75" s="1919"/>
      <c r="J75" s="1919"/>
    </row>
    <row r="76" spans="1:10" x14ac:dyDescent="0.2">
      <c r="A76" s="1924">
        <v>1998</v>
      </c>
      <c r="B76" s="1918" t="s">
        <v>1197</v>
      </c>
      <c r="C76" s="1918" t="s">
        <v>31</v>
      </c>
      <c r="D76" s="1918" t="s">
        <v>1159</v>
      </c>
      <c r="E76" s="1919">
        <v>0.63694292306900024</v>
      </c>
      <c r="G76" s="1919">
        <v>0.55714702606201172</v>
      </c>
      <c r="H76" s="1919">
        <v>0.62739235162734985</v>
      </c>
      <c r="I76" s="1919"/>
      <c r="J76" s="1919"/>
    </row>
    <row r="77" spans="1:10" x14ac:dyDescent="0.2">
      <c r="A77" s="1924">
        <v>1999</v>
      </c>
      <c r="B77" s="1918" t="s">
        <v>1197</v>
      </c>
      <c r="C77" s="1918" t="s">
        <v>31</v>
      </c>
      <c r="D77" s="1918" t="s">
        <v>1159</v>
      </c>
      <c r="E77" s="1919">
        <v>0.6469188928604126</v>
      </c>
      <c r="G77" s="1919">
        <v>0.56556367874145508</v>
      </c>
      <c r="H77" s="1919">
        <v>0.63535535335540771</v>
      </c>
      <c r="I77" s="1919"/>
      <c r="J77" s="1919"/>
    </row>
    <row r="78" spans="1:10" x14ac:dyDescent="0.2">
      <c r="A78" s="1924">
        <v>2000</v>
      </c>
      <c r="B78" s="1918" t="s">
        <v>1197</v>
      </c>
      <c r="C78" s="1918" t="s">
        <v>31</v>
      </c>
      <c r="D78" s="1918" t="s">
        <v>1159</v>
      </c>
      <c r="E78" s="1919">
        <v>0.6391262412071228</v>
      </c>
      <c r="G78" s="1919">
        <v>0.55928623676300049</v>
      </c>
      <c r="H78" s="1919">
        <v>0.62692070007324219</v>
      </c>
      <c r="I78" s="1919"/>
      <c r="J78" s="1919"/>
    </row>
    <row r="79" spans="1:10" x14ac:dyDescent="0.2">
      <c r="A79" s="1924">
        <v>2001</v>
      </c>
      <c r="B79" s="1918" t="s">
        <v>1197</v>
      </c>
      <c r="C79" s="1918" t="s">
        <v>31</v>
      </c>
      <c r="D79" s="1918" t="s">
        <v>1159</v>
      </c>
      <c r="E79" s="1919">
        <v>0.65196812152862549</v>
      </c>
      <c r="G79" s="1919">
        <v>0.57215899229049683</v>
      </c>
      <c r="H79" s="1919">
        <v>0.64161217212677002</v>
      </c>
      <c r="I79" s="1919"/>
      <c r="J79" s="1919"/>
    </row>
    <row r="80" spans="1:10" x14ac:dyDescent="0.2">
      <c r="A80" s="1924">
        <v>2002</v>
      </c>
      <c r="B80" s="1918" t="s">
        <v>1197</v>
      </c>
      <c r="C80" s="1918" t="s">
        <v>31</v>
      </c>
      <c r="D80" s="1918" t="s">
        <v>1159</v>
      </c>
      <c r="E80" s="1919">
        <v>0.64415693283081055</v>
      </c>
      <c r="G80" s="1919">
        <v>0.56860852241516113</v>
      </c>
      <c r="H80" s="1919">
        <v>0.63619643449783325</v>
      </c>
      <c r="I80" s="1919"/>
      <c r="J80" s="1919"/>
    </row>
    <row r="81" spans="1:10" x14ac:dyDescent="0.2">
      <c r="A81" s="1924">
        <v>2003</v>
      </c>
      <c r="B81" s="1918" t="s">
        <v>1197</v>
      </c>
      <c r="C81" s="1918" t="s">
        <v>31</v>
      </c>
      <c r="D81" s="1918" t="s">
        <v>1159</v>
      </c>
      <c r="E81" s="1919">
        <v>0.63439613580703735</v>
      </c>
      <c r="G81" s="1919">
        <v>0.55772906541824341</v>
      </c>
      <c r="H81" s="1919">
        <v>0.6252707839012146</v>
      </c>
      <c r="I81" s="1919"/>
      <c r="J81" s="1919"/>
    </row>
    <row r="82" spans="1:10" x14ac:dyDescent="0.2">
      <c r="A82" s="1924">
        <v>2004</v>
      </c>
      <c r="B82" s="1918" t="s">
        <v>1197</v>
      </c>
      <c r="C82" s="1918" t="s">
        <v>31</v>
      </c>
      <c r="D82" s="1918" t="s">
        <v>1159</v>
      </c>
      <c r="E82" s="1919">
        <v>0.61291146278381348</v>
      </c>
      <c r="G82" s="1919">
        <v>0.53925949335098267</v>
      </c>
      <c r="H82" s="1919">
        <v>0.60258769989013672</v>
      </c>
      <c r="I82" s="1919"/>
      <c r="J82" s="1919"/>
    </row>
    <row r="83" spans="1:10" x14ac:dyDescent="0.2">
      <c r="A83" s="1924">
        <v>2005</v>
      </c>
      <c r="B83" s="1918" t="s">
        <v>1197</v>
      </c>
      <c r="C83" s="1918" t="s">
        <v>31</v>
      </c>
      <c r="D83" s="1918" t="s">
        <v>1159</v>
      </c>
      <c r="E83" s="1919">
        <v>0.604042649269104</v>
      </c>
      <c r="G83" s="1919">
        <v>0.53093796968460083</v>
      </c>
      <c r="H83" s="1919">
        <v>0.59592080116271973</v>
      </c>
      <c r="I83" s="1919"/>
      <c r="J83" s="1919"/>
    </row>
    <row r="84" spans="1:10" x14ac:dyDescent="0.2">
      <c r="A84" s="1924">
        <v>2006</v>
      </c>
      <c r="B84" s="1918" t="s">
        <v>1197</v>
      </c>
      <c r="C84" s="1918" t="s">
        <v>31</v>
      </c>
      <c r="D84" s="1918" t="s">
        <v>1159</v>
      </c>
      <c r="E84" s="1919">
        <v>0.60682511329650879</v>
      </c>
      <c r="G84" s="1919">
        <v>0.53408080339431763</v>
      </c>
      <c r="H84" s="1919">
        <v>0.59824633598327637</v>
      </c>
      <c r="I84" s="1919"/>
      <c r="J84" s="1919"/>
    </row>
    <row r="85" spans="1:10" x14ac:dyDescent="0.2">
      <c r="A85" s="1924">
        <v>2007</v>
      </c>
      <c r="B85" s="1918" t="s">
        <v>1197</v>
      </c>
      <c r="C85" s="1918" t="s">
        <v>31</v>
      </c>
      <c r="D85" s="1918" t="s">
        <v>1159</v>
      </c>
      <c r="E85" s="1919">
        <v>0.60567784309387207</v>
      </c>
      <c r="G85" s="1919">
        <v>0.534770667552948</v>
      </c>
      <c r="H85" s="1919">
        <v>0.59684914350509644</v>
      </c>
      <c r="I85" s="1919"/>
      <c r="J85" s="1919"/>
    </row>
    <row r="86" spans="1:10" x14ac:dyDescent="0.2">
      <c r="A86" s="1924">
        <v>2008</v>
      </c>
      <c r="B86" s="1918" t="s">
        <v>1197</v>
      </c>
      <c r="C86" s="1918" t="s">
        <v>31</v>
      </c>
      <c r="D86" s="1918" t="s">
        <v>1159</v>
      </c>
      <c r="E86" s="1919">
        <v>0.62477177381515503</v>
      </c>
      <c r="G86" s="1919">
        <v>0.55123579502105713</v>
      </c>
      <c r="H86" s="1919">
        <v>0.61541920900344849</v>
      </c>
      <c r="I86" s="1919"/>
      <c r="J86" s="1919"/>
    </row>
    <row r="87" spans="1:10" x14ac:dyDescent="0.2">
      <c r="A87" s="1924">
        <v>2009</v>
      </c>
      <c r="B87" s="1918" t="s">
        <v>1197</v>
      </c>
      <c r="C87" s="1918" t="s">
        <v>31</v>
      </c>
      <c r="D87" s="1918" t="s">
        <v>1159</v>
      </c>
      <c r="E87" s="1919">
        <v>0.63726019859313965</v>
      </c>
      <c r="G87" s="1919">
        <v>0.56155288219451904</v>
      </c>
      <c r="H87" s="1919">
        <v>0.62610703706741333</v>
      </c>
      <c r="I87" s="1919"/>
      <c r="J87" s="1919"/>
    </row>
    <row r="88" spans="1:10" x14ac:dyDescent="0.2">
      <c r="A88" s="1924">
        <v>2010</v>
      </c>
      <c r="B88" s="1918" t="s">
        <v>1197</v>
      </c>
      <c r="C88" s="1918" t="s">
        <v>31</v>
      </c>
      <c r="D88" s="1918" t="s">
        <v>1159</v>
      </c>
      <c r="E88" s="1919">
        <v>0.61414355039596558</v>
      </c>
      <c r="G88" s="1919">
        <v>0.54115748405456543</v>
      </c>
      <c r="H88" s="1919">
        <v>0.60400927066802979</v>
      </c>
      <c r="I88" s="1919"/>
      <c r="J88" s="1919"/>
    </row>
    <row r="89" spans="1:10" x14ac:dyDescent="0.2">
      <c r="A89" s="1924">
        <v>2011</v>
      </c>
      <c r="B89" s="1918" t="s">
        <v>1197</v>
      </c>
      <c r="C89" s="1918" t="s">
        <v>31</v>
      </c>
      <c r="D89" s="1918" t="s">
        <v>1159</v>
      </c>
      <c r="E89" s="1919">
        <v>0.6157650351524353</v>
      </c>
      <c r="G89" s="1919">
        <v>0.54196977615356445</v>
      </c>
      <c r="H89" s="1919">
        <v>0.60670894384384155</v>
      </c>
      <c r="I89" s="1919"/>
      <c r="J89" s="1919"/>
    </row>
    <row r="90" spans="1:10" x14ac:dyDescent="0.2">
      <c r="A90" s="1924">
        <v>2012</v>
      </c>
      <c r="B90" s="1918" t="s">
        <v>1197</v>
      </c>
      <c r="C90" s="1918" t="s">
        <v>31</v>
      </c>
      <c r="D90" s="1918" t="s">
        <v>1159</v>
      </c>
      <c r="E90" s="1919">
        <v>0.62544822692871094</v>
      </c>
      <c r="G90" s="1919">
        <v>0.55181026458740234</v>
      </c>
      <c r="H90" s="1919">
        <v>0.61578726768493652</v>
      </c>
      <c r="I90" s="1919"/>
      <c r="J90" s="1919"/>
    </row>
    <row r="91" spans="1:10" x14ac:dyDescent="0.2">
      <c r="A91" s="1924">
        <v>2013</v>
      </c>
      <c r="B91" s="1918" t="s">
        <v>1197</v>
      </c>
      <c r="C91" s="1918" t="s">
        <v>31</v>
      </c>
      <c r="D91" s="1918" t="s">
        <v>1159</v>
      </c>
      <c r="E91" s="1919">
        <v>0.63049781322479248</v>
      </c>
      <c r="G91" s="1919">
        <v>0.55437898635864258</v>
      </c>
      <c r="H91" s="1919">
        <v>0.61968475580215454</v>
      </c>
      <c r="I91" s="1919"/>
      <c r="J91" s="1919"/>
    </row>
    <row r="92" spans="1:10" x14ac:dyDescent="0.2">
      <c r="A92" s="1924">
        <v>2014</v>
      </c>
      <c r="B92" s="1918" t="s">
        <v>1197</v>
      </c>
      <c r="C92" s="1918" t="s">
        <v>31</v>
      </c>
      <c r="D92" s="1918" t="s">
        <v>1159</v>
      </c>
      <c r="E92" s="1919">
        <v>0.62335586547851562</v>
      </c>
      <c r="G92" s="1919">
        <v>0.54640746116638184</v>
      </c>
      <c r="H92" s="1919">
        <v>0.61600106954574585</v>
      </c>
      <c r="I92" s="1919"/>
      <c r="J92" s="1919"/>
    </row>
    <row r="93" spans="1:10" x14ac:dyDescent="0.2">
      <c r="A93" s="1924">
        <v>2015</v>
      </c>
      <c r="B93" s="1918" t="s">
        <v>1197</v>
      </c>
      <c r="C93" s="1918" t="s">
        <v>31</v>
      </c>
      <c r="D93" s="1918" t="s">
        <v>1159</v>
      </c>
      <c r="E93" s="1919">
        <v>0.61066102981567383</v>
      </c>
      <c r="G93" s="1919">
        <v>0.53444677591323853</v>
      </c>
      <c r="H93" s="1919">
        <v>0.6001582145690918</v>
      </c>
      <c r="I93" s="1919"/>
      <c r="J93" s="1919"/>
    </row>
    <row r="94" spans="1:10" x14ac:dyDescent="0.2">
      <c r="A94" s="1924">
        <v>1995</v>
      </c>
      <c r="B94" s="1918" t="s">
        <v>1196</v>
      </c>
      <c r="C94" s="1918" t="s">
        <v>451</v>
      </c>
      <c r="D94" s="1918" t="s">
        <v>1163</v>
      </c>
      <c r="H94" s="1919">
        <v>0.39073807001113892</v>
      </c>
    </row>
    <row r="95" spans="1:10" x14ac:dyDescent="0.2">
      <c r="A95" s="1924">
        <v>1996</v>
      </c>
      <c r="B95" s="1918" t="s">
        <v>1196</v>
      </c>
      <c r="C95" s="1918" t="s">
        <v>451</v>
      </c>
      <c r="D95" s="1918" t="s">
        <v>1163</v>
      </c>
      <c r="H95" s="1919">
        <v>0.38038277626037598</v>
      </c>
    </row>
    <row r="96" spans="1:10" x14ac:dyDescent="0.2">
      <c r="A96" s="1924">
        <v>1997</v>
      </c>
      <c r="B96" s="1918" t="s">
        <v>1196</v>
      </c>
      <c r="C96" s="1918" t="s">
        <v>451</v>
      </c>
      <c r="D96" s="1918" t="s">
        <v>1163</v>
      </c>
      <c r="H96" s="1919">
        <v>0.49837571382522583</v>
      </c>
    </row>
    <row r="97" spans="1:8" x14ac:dyDescent="0.2">
      <c r="A97" s="1924">
        <v>1998</v>
      </c>
      <c r="B97" s="1918" t="s">
        <v>1196</v>
      </c>
      <c r="C97" s="1918" t="s">
        <v>451</v>
      </c>
      <c r="D97" s="1918" t="s">
        <v>1163</v>
      </c>
      <c r="H97" s="1919">
        <v>0.47740259766578674</v>
      </c>
    </row>
    <row r="98" spans="1:8" x14ac:dyDescent="0.2">
      <c r="A98" s="1924">
        <v>1999</v>
      </c>
      <c r="B98" s="1918" t="s">
        <v>1196</v>
      </c>
      <c r="C98" s="1918" t="s">
        <v>451</v>
      </c>
      <c r="D98" s="1918" t="s">
        <v>1163</v>
      </c>
      <c r="H98" s="1919">
        <v>0.58486449718475342</v>
      </c>
    </row>
    <row r="99" spans="1:8" x14ac:dyDescent="0.2">
      <c r="A99" s="1924">
        <v>2000</v>
      </c>
      <c r="B99" s="1918" t="s">
        <v>1196</v>
      </c>
      <c r="C99" s="1918" t="s">
        <v>451</v>
      </c>
      <c r="D99" s="1918" t="s">
        <v>1163</v>
      </c>
      <c r="E99" s="1919">
        <v>0.53496682643890381</v>
      </c>
      <c r="G99" s="1919">
        <v>0.47008037567138672</v>
      </c>
      <c r="H99" s="1919">
        <v>0.526927649974823</v>
      </c>
    </row>
    <row r="100" spans="1:8" x14ac:dyDescent="0.2">
      <c r="A100" s="1924">
        <v>2001</v>
      </c>
      <c r="B100" s="1918" t="s">
        <v>1196</v>
      </c>
      <c r="C100" s="1918" t="s">
        <v>451</v>
      </c>
      <c r="D100" s="1918" t="s">
        <v>1163</v>
      </c>
      <c r="E100" s="1919">
        <v>0.53395217657089233</v>
      </c>
      <c r="G100" s="1919">
        <v>0.46320188045501709</v>
      </c>
      <c r="H100" s="1919">
        <v>0.49539083242416382</v>
      </c>
    </row>
    <row r="101" spans="1:8" x14ac:dyDescent="0.2">
      <c r="A101" s="1924">
        <v>2002</v>
      </c>
      <c r="B101" s="1918" t="s">
        <v>1196</v>
      </c>
      <c r="C101" s="1918" t="s">
        <v>451</v>
      </c>
      <c r="D101" s="1918" t="s">
        <v>1163</v>
      </c>
      <c r="E101" s="1919">
        <v>0.50883632898330688</v>
      </c>
      <c r="G101" s="1919">
        <v>0.44249951839447021</v>
      </c>
      <c r="H101" s="1919">
        <v>0.45224151015281677</v>
      </c>
    </row>
    <row r="102" spans="1:8" x14ac:dyDescent="0.2">
      <c r="A102" s="1924">
        <v>2003</v>
      </c>
      <c r="B102" s="1918" t="s">
        <v>1196</v>
      </c>
      <c r="C102" s="1918" t="s">
        <v>451</v>
      </c>
      <c r="D102" s="1918" t="s">
        <v>1163</v>
      </c>
      <c r="E102" s="1919">
        <v>0.52472645044326782</v>
      </c>
      <c r="G102" s="1919">
        <v>0.45663821697235107</v>
      </c>
      <c r="H102" s="1919">
        <v>0.45328095555305481</v>
      </c>
    </row>
    <row r="103" spans="1:8" x14ac:dyDescent="0.2">
      <c r="A103" s="1924">
        <v>2004</v>
      </c>
      <c r="B103" s="1918" t="s">
        <v>1196</v>
      </c>
      <c r="C103" s="1918" t="s">
        <v>451</v>
      </c>
      <c r="D103" s="1918" t="s">
        <v>1163</v>
      </c>
      <c r="E103" s="1919">
        <v>0.49733108282089233</v>
      </c>
      <c r="G103" s="1919">
        <v>0.42707622051239014</v>
      </c>
      <c r="H103" s="1919">
        <v>0.44503676891326904</v>
      </c>
    </row>
    <row r="104" spans="1:8" x14ac:dyDescent="0.2">
      <c r="A104" s="1924">
        <v>2005</v>
      </c>
      <c r="B104" s="1918" t="s">
        <v>1196</v>
      </c>
      <c r="C104" s="1918" t="s">
        <v>451</v>
      </c>
      <c r="D104" s="1918" t="s">
        <v>1163</v>
      </c>
      <c r="E104" s="1919">
        <v>0.47638103365898132</v>
      </c>
      <c r="G104" s="1919">
        <v>0.40615952014923096</v>
      </c>
      <c r="H104" s="1919">
        <v>0.45299109816551208</v>
      </c>
    </row>
    <row r="105" spans="1:8" x14ac:dyDescent="0.2">
      <c r="A105" s="1924">
        <v>2006</v>
      </c>
      <c r="B105" s="1918" t="s">
        <v>1196</v>
      </c>
      <c r="C105" s="1918" t="s">
        <v>451</v>
      </c>
      <c r="D105" s="1918" t="s">
        <v>1163</v>
      </c>
      <c r="E105" s="1919">
        <v>0.4692787230014801</v>
      </c>
      <c r="G105" s="1919">
        <v>0.39954936504364014</v>
      </c>
      <c r="H105" s="1919">
        <v>0.45420554280281067</v>
      </c>
    </row>
    <row r="106" spans="1:8" x14ac:dyDescent="0.2">
      <c r="A106" s="1924">
        <v>2007</v>
      </c>
      <c r="B106" s="1918" t="s">
        <v>1196</v>
      </c>
      <c r="C106" s="1918" t="s">
        <v>451</v>
      </c>
      <c r="D106" s="1918" t="s">
        <v>1163</v>
      </c>
      <c r="E106" s="1919">
        <v>0.45558559894561768</v>
      </c>
      <c r="G106" s="1919">
        <v>0.38915351033210754</v>
      </c>
      <c r="H106" s="1919">
        <v>0.44678992033004761</v>
      </c>
    </row>
    <row r="107" spans="1:8" x14ac:dyDescent="0.2">
      <c r="A107" s="1924">
        <v>2008</v>
      </c>
      <c r="B107" s="1918" t="s">
        <v>1196</v>
      </c>
      <c r="C107" s="1918" t="s">
        <v>451</v>
      </c>
      <c r="D107" s="1918" t="s">
        <v>1163</v>
      </c>
      <c r="E107" s="1919">
        <v>0.47721952199935913</v>
      </c>
      <c r="G107" s="1919">
        <v>0.4123954176902771</v>
      </c>
      <c r="H107" s="1919">
        <v>0.4866938591003418</v>
      </c>
    </row>
    <row r="108" spans="1:8" x14ac:dyDescent="0.2">
      <c r="A108" s="1924">
        <v>2009</v>
      </c>
      <c r="B108" s="1918" t="s">
        <v>1196</v>
      </c>
      <c r="C108" s="1918" t="s">
        <v>451</v>
      </c>
      <c r="D108" s="1918" t="s">
        <v>1163</v>
      </c>
      <c r="E108" s="1919">
        <v>0.4850902259349823</v>
      </c>
      <c r="G108" s="1919">
        <v>0.41658738255500793</v>
      </c>
      <c r="H108" s="1919">
        <v>0.45777204632759094</v>
      </c>
    </row>
    <row r="109" spans="1:8" x14ac:dyDescent="0.2">
      <c r="A109" s="1924">
        <v>2010</v>
      </c>
      <c r="B109" s="1918" t="s">
        <v>1196</v>
      </c>
      <c r="C109" s="1918" t="s">
        <v>451</v>
      </c>
      <c r="D109" s="1918" t="s">
        <v>1163</v>
      </c>
      <c r="E109" s="1919">
        <v>0.51223158836364746</v>
      </c>
      <c r="G109" s="1919">
        <v>0.43655684590339661</v>
      </c>
      <c r="H109" s="1919">
        <v>0.46751627326011658</v>
      </c>
    </row>
    <row r="110" spans="1:8" x14ac:dyDescent="0.2">
      <c r="A110" s="1924">
        <v>2011</v>
      </c>
      <c r="B110" s="1918" t="s">
        <v>1196</v>
      </c>
      <c r="C110" s="1918" t="s">
        <v>451</v>
      </c>
      <c r="D110" s="1918" t="s">
        <v>1163</v>
      </c>
      <c r="E110" s="1919">
        <v>0.49081161618232727</v>
      </c>
      <c r="G110" s="1919">
        <v>0.41913917660713196</v>
      </c>
      <c r="H110" s="1919">
        <v>0.45564773678779602</v>
      </c>
    </row>
    <row r="111" spans="1:8" x14ac:dyDescent="0.2">
      <c r="A111" s="1924">
        <v>2012</v>
      </c>
      <c r="B111" s="1918" t="s">
        <v>1196</v>
      </c>
      <c r="C111" s="1918" t="s">
        <v>451</v>
      </c>
      <c r="D111" s="1918" t="s">
        <v>1163</v>
      </c>
      <c r="E111" s="1919">
        <v>0.52419281005859375</v>
      </c>
      <c r="G111" s="1919">
        <v>0.44774088263511658</v>
      </c>
      <c r="H111" s="1919">
        <v>0.47032707929611206</v>
      </c>
    </row>
    <row r="112" spans="1:8" x14ac:dyDescent="0.2">
      <c r="A112" s="1924">
        <v>2013</v>
      </c>
      <c r="B112" s="1918" t="s">
        <v>1196</v>
      </c>
      <c r="C112" s="1918" t="s">
        <v>451</v>
      </c>
      <c r="D112" s="1918" t="s">
        <v>1163</v>
      </c>
      <c r="E112" s="1919">
        <v>0.55893808603286743</v>
      </c>
      <c r="G112" s="1919">
        <v>0.47454893589019775</v>
      </c>
      <c r="H112" s="1919">
        <v>0.50093495845794678</v>
      </c>
    </row>
    <row r="113" spans="1:8" x14ac:dyDescent="0.2">
      <c r="A113" s="1924">
        <v>2014</v>
      </c>
      <c r="B113" s="1918" t="s">
        <v>1196</v>
      </c>
      <c r="C113" s="1918" t="s">
        <v>451</v>
      </c>
      <c r="D113" s="1918" t="s">
        <v>1163</v>
      </c>
      <c r="E113" s="1919">
        <v>0.58925920724868774</v>
      </c>
      <c r="G113" s="1919">
        <v>0.49739360809326172</v>
      </c>
      <c r="H113" s="1919">
        <v>0.50344431400299072</v>
      </c>
    </row>
    <row r="114" spans="1:8" x14ac:dyDescent="0.2">
      <c r="A114" s="1924">
        <v>2015</v>
      </c>
      <c r="B114" s="1918" t="s">
        <v>1196</v>
      </c>
      <c r="C114" s="1918" t="s">
        <v>451</v>
      </c>
      <c r="D114" s="1918" t="s">
        <v>1163</v>
      </c>
      <c r="E114" s="1919">
        <v>0.58086800575256348</v>
      </c>
      <c r="G114" s="1919">
        <v>0.49002310633659363</v>
      </c>
      <c r="H114" s="1919">
        <v>0.50724583864212036</v>
      </c>
    </row>
    <row r="115" spans="1:8" x14ac:dyDescent="0.2">
      <c r="A115" s="1924">
        <v>1970</v>
      </c>
      <c r="B115" s="1918" t="s">
        <v>1195</v>
      </c>
      <c r="C115" s="1918" t="s">
        <v>32</v>
      </c>
      <c r="D115" s="1918" t="s">
        <v>1149</v>
      </c>
      <c r="E115" s="1919">
        <v>0.73129212856292725</v>
      </c>
      <c r="G115" s="1919">
        <v>0.65543711185455322</v>
      </c>
    </row>
    <row r="116" spans="1:8" x14ac:dyDescent="0.2">
      <c r="A116" s="1924">
        <v>1971</v>
      </c>
      <c r="B116" s="1918" t="s">
        <v>1195</v>
      </c>
      <c r="C116" s="1918" t="s">
        <v>32</v>
      </c>
      <c r="D116" s="1918" t="s">
        <v>1149</v>
      </c>
      <c r="E116" s="1919">
        <v>0.73492270708084106</v>
      </c>
      <c r="G116" s="1919">
        <v>0.65955889225006104</v>
      </c>
    </row>
    <row r="117" spans="1:8" x14ac:dyDescent="0.2">
      <c r="A117" s="1924">
        <v>1972</v>
      </c>
      <c r="B117" s="1918" t="s">
        <v>1195</v>
      </c>
      <c r="C117" s="1918" t="s">
        <v>32</v>
      </c>
      <c r="D117" s="1918" t="s">
        <v>1149</v>
      </c>
      <c r="E117" s="1919">
        <v>0.73505544662475586</v>
      </c>
      <c r="G117" s="1919">
        <v>0.66012066602706909</v>
      </c>
    </row>
    <row r="118" spans="1:8" x14ac:dyDescent="0.2">
      <c r="A118" s="1924">
        <v>1973</v>
      </c>
      <c r="B118" s="1918" t="s">
        <v>1195</v>
      </c>
      <c r="C118" s="1918" t="s">
        <v>32</v>
      </c>
      <c r="D118" s="1918" t="s">
        <v>1149</v>
      </c>
      <c r="E118" s="1919">
        <v>0.72216147184371948</v>
      </c>
      <c r="G118" s="1919">
        <v>0.64938879013061523</v>
      </c>
    </row>
    <row r="119" spans="1:8" x14ac:dyDescent="0.2">
      <c r="A119" s="1924">
        <v>1974</v>
      </c>
      <c r="B119" s="1918" t="s">
        <v>1195</v>
      </c>
      <c r="C119" s="1918" t="s">
        <v>32</v>
      </c>
      <c r="D119" s="1918" t="s">
        <v>1149</v>
      </c>
      <c r="E119" s="1919">
        <v>0.71737754344940186</v>
      </c>
      <c r="G119" s="1919">
        <v>0.64444488286972046</v>
      </c>
    </row>
    <row r="120" spans="1:8" x14ac:dyDescent="0.2">
      <c r="A120" s="1924">
        <v>1975</v>
      </c>
      <c r="B120" s="1918" t="s">
        <v>1195</v>
      </c>
      <c r="C120" s="1918" t="s">
        <v>32</v>
      </c>
      <c r="D120" s="1918" t="s">
        <v>1149</v>
      </c>
      <c r="E120" s="1919">
        <v>0.72523725032806396</v>
      </c>
      <c r="G120" s="1919">
        <v>0.65210556983947754</v>
      </c>
    </row>
    <row r="121" spans="1:8" x14ac:dyDescent="0.2">
      <c r="A121" s="1924">
        <v>1976</v>
      </c>
      <c r="B121" s="1918" t="s">
        <v>1195</v>
      </c>
      <c r="C121" s="1918" t="s">
        <v>32</v>
      </c>
      <c r="D121" s="1918" t="s">
        <v>1149</v>
      </c>
      <c r="E121" s="1919">
        <v>0.72734361886978149</v>
      </c>
      <c r="G121" s="1919">
        <v>0.65563195943832397</v>
      </c>
    </row>
    <row r="122" spans="1:8" x14ac:dyDescent="0.2">
      <c r="A122" s="1924">
        <v>1977</v>
      </c>
      <c r="B122" s="1918" t="s">
        <v>1195</v>
      </c>
      <c r="C122" s="1918" t="s">
        <v>32</v>
      </c>
      <c r="D122" s="1918" t="s">
        <v>1149</v>
      </c>
      <c r="E122" s="1919">
        <v>0.7285388708114624</v>
      </c>
      <c r="G122" s="1919">
        <v>0.65684711933135986</v>
      </c>
    </row>
    <row r="123" spans="1:8" x14ac:dyDescent="0.2">
      <c r="A123" s="1924">
        <v>1978</v>
      </c>
      <c r="B123" s="1918" t="s">
        <v>1195</v>
      </c>
      <c r="C123" s="1918" t="s">
        <v>32</v>
      </c>
      <c r="D123" s="1918" t="s">
        <v>1149</v>
      </c>
      <c r="E123" s="1919">
        <v>0.71450573205947876</v>
      </c>
      <c r="G123" s="1919">
        <v>0.64304208755493164</v>
      </c>
    </row>
    <row r="124" spans="1:8" x14ac:dyDescent="0.2">
      <c r="A124" s="1924">
        <v>1979</v>
      </c>
      <c r="B124" s="1918" t="s">
        <v>1195</v>
      </c>
      <c r="C124" s="1918" t="s">
        <v>32</v>
      </c>
      <c r="D124" s="1918" t="s">
        <v>1149</v>
      </c>
      <c r="E124" s="1919">
        <v>0.69578474760055542</v>
      </c>
      <c r="G124" s="1919">
        <v>0.62681424617767334</v>
      </c>
    </row>
    <row r="125" spans="1:8" x14ac:dyDescent="0.2">
      <c r="A125" s="1924">
        <v>1980</v>
      </c>
      <c r="B125" s="1918" t="s">
        <v>1195</v>
      </c>
      <c r="C125" s="1918" t="s">
        <v>32</v>
      </c>
      <c r="D125" s="1918" t="s">
        <v>1149</v>
      </c>
      <c r="E125" s="1919">
        <v>0.69361782073974609</v>
      </c>
      <c r="G125" s="1919">
        <v>0.62565749883651733</v>
      </c>
    </row>
    <row r="126" spans="1:8" x14ac:dyDescent="0.2">
      <c r="A126" s="1924">
        <v>1981</v>
      </c>
      <c r="B126" s="1918" t="s">
        <v>1195</v>
      </c>
      <c r="C126" s="1918" t="s">
        <v>32</v>
      </c>
      <c r="D126" s="1918" t="s">
        <v>1149</v>
      </c>
      <c r="E126" s="1919">
        <v>0.71052134037017822</v>
      </c>
      <c r="G126" s="1919">
        <v>0.6422504186630249</v>
      </c>
    </row>
    <row r="127" spans="1:8" x14ac:dyDescent="0.2">
      <c r="A127" s="1924">
        <v>1982</v>
      </c>
      <c r="B127" s="1918" t="s">
        <v>1195</v>
      </c>
      <c r="C127" s="1918" t="s">
        <v>32</v>
      </c>
      <c r="D127" s="1918" t="s">
        <v>1149</v>
      </c>
      <c r="E127" s="1919">
        <v>0.71935045719146729</v>
      </c>
      <c r="G127" s="1919">
        <v>0.64897727966308594</v>
      </c>
    </row>
    <row r="128" spans="1:8" x14ac:dyDescent="0.2">
      <c r="A128" s="1924">
        <v>1983</v>
      </c>
      <c r="B128" s="1918" t="s">
        <v>1195</v>
      </c>
      <c r="C128" s="1918" t="s">
        <v>32</v>
      </c>
      <c r="D128" s="1918" t="s">
        <v>1149</v>
      </c>
      <c r="E128" s="1919">
        <v>0.69120371341705322</v>
      </c>
      <c r="G128" s="1919">
        <v>0.62160056829452515</v>
      </c>
    </row>
    <row r="129" spans="1:7" x14ac:dyDescent="0.2">
      <c r="A129" s="1924">
        <v>1984</v>
      </c>
      <c r="B129" s="1918" t="s">
        <v>1195</v>
      </c>
      <c r="C129" s="1918" t="s">
        <v>32</v>
      </c>
      <c r="D129" s="1918" t="s">
        <v>1149</v>
      </c>
      <c r="E129" s="1919">
        <v>0.67813742160797119</v>
      </c>
      <c r="G129" s="1919">
        <v>0.60861152410507202</v>
      </c>
    </row>
    <row r="130" spans="1:7" x14ac:dyDescent="0.2">
      <c r="A130" s="1924">
        <v>1985</v>
      </c>
      <c r="B130" s="1918" t="s">
        <v>1195</v>
      </c>
      <c r="C130" s="1918" t="s">
        <v>32</v>
      </c>
      <c r="D130" s="1918" t="s">
        <v>1149</v>
      </c>
      <c r="E130" s="1919">
        <v>0.68013715744018555</v>
      </c>
      <c r="G130" s="1919">
        <v>0.61032092571258545</v>
      </c>
    </row>
    <row r="131" spans="1:7" x14ac:dyDescent="0.2">
      <c r="A131" s="1924">
        <v>1986</v>
      </c>
      <c r="B131" s="1918" t="s">
        <v>1195</v>
      </c>
      <c r="C131" s="1918" t="s">
        <v>32</v>
      </c>
      <c r="D131" s="1918" t="s">
        <v>1149</v>
      </c>
      <c r="E131" s="1919">
        <v>0.69871258735656738</v>
      </c>
      <c r="G131" s="1919">
        <v>0.62799930572509766</v>
      </c>
    </row>
    <row r="132" spans="1:7" x14ac:dyDescent="0.2">
      <c r="A132" s="1924">
        <v>1987</v>
      </c>
      <c r="B132" s="1918" t="s">
        <v>1195</v>
      </c>
      <c r="C132" s="1918" t="s">
        <v>32</v>
      </c>
      <c r="D132" s="1918" t="s">
        <v>1149</v>
      </c>
      <c r="E132" s="1919">
        <v>0.69477921724319458</v>
      </c>
      <c r="G132" s="1919">
        <v>0.62439078092575073</v>
      </c>
    </row>
    <row r="133" spans="1:7" x14ac:dyDescent="0.2">
      <c r="A133" s="1924">
        <v>1988</v>
      </c>
      <c r="B133" s="1918" t="s">
        <v>1195</v>
      </c>
      <c r="C133" s="1918" t="s">
        <v>32</v>
      </c>
      <c r="D133" s="1918" t="s">
        <v>1149</v>
      </c>
      <c r="E133" s="1919">
        <v>0.70072042942047119</v>
      </c>
      <c r="G133" s="1919">
        <v>0.62954962253570557</v>
      </c>
    </row>
    <row r="134" spans="1:7" x14ac:dyDescent="0.2">
      <c r="A134" s="1924">
        <v>1989</v>
      </c>
      <c r="B134" s="1918" t="s">
        <v>1195</v>
      </c>
      <c r="C134" s="1918" t="s">
        <v>32</v>
      </c>
      <c r="D134" s="1918" t="s">
        <v>1149</v>
      </c>
      <c r="E134" s="1919">
        <v>0.71328520774841309</v>
      </c>
      <c r="G134" s="1919">
        <v>0.64067196846008301</v>
      </c>
    </row>
    <row r="135" spans="1:7" x14ac:dyDescent="0.2">
      <c r="A135" s="1924">
        <v>1990</v>
      </c>
      <c r="B135" s="1918" t="s">
        <v>1195</v>
      </c>
      <c r="C135" s="1918" t="s">
        <v>32</v>
      </c>
      <c r="D135" s="1918" t="s">
        <v>1149</v>
      </c>
      <c r="E135" s="1919">
        <v>0.72765165567398071</v>
      </c>
      <c r="G135" s="1919">
        <v>0.6550336480140686</v>
      </c>
    </row>
    <row r="136" spans="1:7" x14ac:dyDescent="0.2">
      <c r="A136" s="1924">
        <v>1991</v>
      </c>
      <c r="B136" s="1918" t="s">
        <v>1195</v>
      </c>
      <c r="C136" s="1918" t="s">
        <v>32</v>
      </c>
      <c r="D136" s="1918" t="s">
        <v>1149</v>
      </c>
      <c r="E136" s="1919">
        <v>0.74870103597640991</v>
      </c>
      <c r="G136" s="1919">
        <v>0.67509227991104126</v>
      </c>
    </row>
    <row r="137" spans="1:7" x14ac:dyDescent="0.2">
      <c r="A137" s="1924">
        <v>1992</v>
      </c>
      <c r="B137" s="1918" t="s">
        <v>1195</v>
      </c>
      <c r="C137" s="1918" t="s">
        <v>32</v>
      </c>
      <c r="D137" s="1918" t="s">
        <v>1149</v>
      </c>
      <c r="E137" s="1919">
        <v>0.75071662664413452</v>
      </c>
      <c r="G137" s="1919">
        <v>0.67694246768951416</v>
      </c>
    </row>
    <row r="138" spans="1:7" x14ac:dyDescent="0.2">
      <c r="A138" s="1924">
        <v>1993</v>
      </c>
      <c r="B138" s="1918" t="s">
        <v>1195</v>
      </c>
      <c r="C138" s="1918" t="s">
        <v>32</v>
      </c>
      <c r="D138" s="1918" t="s">
        <v>1149</v>
      </c>
      <c r="E138" s="1919">
        <v>0.73508375883102417</v>
      </c>
      <c r="G138" s="1919">
        <v>0.66227000951766968</v>
      </c>
    </row>
    <row r="139" spans="1:7" x14ac:dyDescent="0.2">
      <c r="A139" s="1924">
        <v>1994</v>
      </c>
      <c r="B139" s="1918" t="s">
        <v>1195</v>
      </c>
      <c r="C139" s="1918" t="s">
        <v>32</v>
      </c>
      <c r="D139" s="1918" t="s">
        <v>1149</v>
      </c>
      <c r="E139" s="1919">
        <v>0.70610105991363525</v>
      </c>
      <c r="G139" s="1919">
        <v>0.63388007879257202</v>
      </c>
    </row>
    <row r="140" spans="1:7" x14ac:dyDescent="0.2">
      <c r="A140" s="1924">
        <v>1995</v>
      </c>
      <c r="B140" s="1918" t="s">
        <v>1195</v>
      </c>
      <c r="C140" s="1918" t="s">
        <v>32</v>
      </c>
      <c r="D140" s="1918" t="s">
        <v>1149</v>
      </c>
      <c r="E140" s="1919">
        <v>0.69386410713195801</v>
      </c>
      <c r="G140" s="1919">
        <v>0.62270903587341309</v>
      </c>
    </row>
    <row r="141" spans="1:7" x14ac:dyDescent="0.2">
      <c r="A141" s="1924">
        <v>1996</v>
      </c>
      <c r="B141" s="1918" t="s">
        <v>1195</v>
      </c>
      <c r="C141" s="1918" t="s">
        <v>32</v>
      </c>
      <c r="D141" s="1918" t="s">
        <v>1149</v>
      </c>
      <c r="E141" s="1919">
        <v>0.69202840328216553</v>
      </c>
      <c r="G141" s="1919">
        <v>0.62015396356582642</v>
      </c>
    </row>
    <row r="142" spans="1:7" x14ac:dyDescent="0.2">
      <c r="A142" s="1924">
        <v>1997</v>
      </c>
      <c r="B142" s="1918" t="s">
        <v>1195</v>
      </c>
      <c r="C142" s="1918" t="s">
        <v>32</v>
      </c>
      <c r="D142" s="1918" t="s">
        <v>1149</v>
      </c>
      <c r="E142" s="1919">
        <v>0.69651567935943604</v>
      </c>
      <c r="G142" s="1919">
        <v>0.62223196029663086</v>
      </c>
    </row>
    <row r="143" spans="1:7" x14ac:dyDescent="0.2">
      <c r="A143" s="1924">
        <v>1998</v>
      </c>
      <c r="B143" s="1918" t="s">
        <v>1195</v>
      </c>
      <c r="C143" s="1918" t="s">
        <v>32</v>
      </c>
      <c r="D143" s="1918" t="s">
        <v>1149</v>
      </c>
      <c r="E143" s="1919">
        <v>0.71809852123260498</v>
      </c>
      <c r="G143" s="1919">
        <v>0.63990306854248047</v>
      </c>
    </row>
    <row r="144" spans="1:7" x14ac:dyDescent="0.2">
      <c r="A144" s="1924">
        <v>1999</v>
      </c>
      <c r="B144" s="1918" t="s">
        <v>1195</v>
      </c>
      <c r="C144" s="1918" t="s">
        <v>32</v>
      </c>
      <c r="D144" s="1918" t="s">
        <v>1149</v>
      </c>
      <c r="E144" s="1919">
        <v>0.69325345754623413</v>
      </c>
      <c r="G144" s="1919">
        <v>0.62022197246551514</v>
      </c>
    </row>
    <row r="145" spans="1:7" x14ac:dyDescent="0.2">
      <c r="A145" s="1924">
        <v>2000</v>
      </c>
      <c r="B145" s="1918" t="s">
        <v>1195</v>
      </c>
      <c r="C145" s="1918" t="s">
        <v>32</v>
      </c>
      <c r="D145" s="1918" t="s">
        <v>1149</v>
      </c>
      <c r="E145" s="1919">
        <v>0.66716533899307251</v>
      </c>
      <c r="G145" s="1919">
        <v>0.60112553834915161</v>
      </c>
    </row>
    <row r="146" spans="1:7" x14ac:dyDescent="0.2">
      <c r="A146" s="1924">
        <v>2001</v>
      </c>
      <c r="B146" s="1918" t="s">
        <v>1195</v>
      </c>
      <c r="C146" s="1918" t="s">
        <v>32</v>
      </c>
      <c r="D146" s="1918" t="s">
        <v>1149</v>
      </c>
      <c r="E146" s="1919">
        <v>0.67462491989135742</v>
      </c>
      <c r="G146" s="1919">
        <v>0.61077165603637695</v>
      </c>
    </row>
    <row r="147" spans="1:7" x14ac:dyDescent="0.2">
      <c r="A147" s="1924">
        <v>2002</v>
      </c>
      <c r="B147" s="1918" t="s">
        <v>1195</v>
      </c>
      <c r="C147" s="1918" t="s">
        <v>32</v>
      </c>
      <c r="D147" s="1918" t="s">
        <v>1149</v>
      </c>
      <c r="E147" s="1919">
        <v>0.67464148998260498</v>
      </c>
      <c r="G147" s="1919">
        <v>0.61314654350280762</v>
      </c>
    </row>
    <row r="148" spans="1:7" x14ac:dyDescent="0.2">
      <c r="A148" s="1924">
        <v>2003</v>
      </c>
      <c r="B148" s="1918" t="s">
        <v>1195</v>
      </c>
      <c r="C148" s="1918" t="s">
        <v>32</v>
      </c>
      <c r="D148" s="1918" t="s">
        <v>1149</v>
      </c>
      <c r="E148" s="1919">
        <v>0.65689128637313843</v>
      </c>
      <c r="G148" s="1919">
        <v>0.59683001041412354</v>
      </c>
    </row>
    <row r="149" spans="1:7" x14ac:dyDescent="0.2">
      <c r="A149" s="1924">
        <v>2004</v>
      </c>
      <c r="B149" s="1918" t="s">
        <v>1195</v>
      </c>
      <c r="C149" s="1918" t="s">
        <v>32</v>
      </c>
      <c r="D149" s="1918" t="s">
        <v>1149</v>
      </c>
      <c r="E149" s="1919">
        <v>0.64899808168411255</v>
      </c>
      <c r="G149" s="1919">
        <v>0.5911439061164856</v>
      </c>
    </row>
    <row r="150" spans="1:7" x14ac:dyDescent="0.2">
      <c r="A150" s="1924">
        <v>2005</v>
      </c>
      <c r="B150" s="1918" t="s">
        <v>1195</v>
      </c>
      <c r="C150" s="1918" t="s">
        <v>32</v>
      </c>
      <c r="D150" s="1918" t="s">
        <v>1149</v>
      </c>
      <c r="E150" s="1919">
        <v>0.63487178087234497</v>
      </c>
      <c r="G150" s="1919">
        <v>0.57987970113754272</v>
      </c>
    </row>
    <row r="151" spans="1:7" x14ac:dyDescent="0.2">
      <c r="A151" s="1924">
        <v>2006</v>
      </c>
      <c r="B151" s="1918" t="s">
        <v>1195</v>
      </c>
      <c r="C151" s="1918" t="s">
        <v>32</v>
      </c>
      <c r="D151" s="1918" t="s">
        <v>1149</v>
      </c>
      <c r="E151" s="1919">
        <v>0.63741028308868408</v>
      </c>
      <c r="G151" s="1919">
        <v>0.58278739452362061</v>
      </c>
    </row>
    <row r="152" spans="1:7" x14ac:dyDescent="0.2">
      <c r="A152" s="1924">
        <v>2007</v>
      </c>
      <c r="B152" s="1918" t="s">
        <v>1195</v>
      </c>
      <c r="C152" s="1918" t="s">
        <v>32</v>
      </c>
      <c r="D152" s="1918" t="s">
        <v>1149</v>
      </c>
      <c r="E152" s="1919">
        <v>0.60230147838592529</v>
      </c>
      <c r="G152" s="1919">
        <v>0.55038857460021973</v>
      </c>
    </row>
    <row r="153" spans="1:7" x14ac:dyDescent="0.2">
      <c r="A153" s="1924">
        <v>2008</v>
      </c>
      <c r="B153" s="1918" t="s">
        <v>1195</v>
      </c>
      <c r="C153" s="1918" t="s">
        <v>32</v>
      </c>
      <c r="D153" s="1918" t="s">
        <v>1149</v>
      </c>
      <c r="E153" s="1919">
        <v>0.59538900852203369</v>
      </c>
      <c r="G153" s="1919">
        <v>0.54421645402908325</v>
      </c>
    </row>
    <row r="154" spans="1:7" x14ac:dyDescent="0.2">
      <c r="A154" s="1924">
        <v>2009</v>
      </c>
      <c r="B154" s="1918" t="s">
        <v>1195</v>
      </c>
      <c r="C154" s="1918" t="s">
        <v>32</v>
      </c>
      <c r="D154" s="1918" t="s">
        <v>1149</v>
      </c>
      <c r="E154" s="1919">
        <v>0.63935673236846924</v>
      </c>
      <c r="G154" s="1919">
        <v>0.58215105533599854</v>
      </c>
    </row>
    <row r="155" spans="1:7" x14ac:dyDescent="0.2">
      <c r="A155" s="1924">
        <v>2010</v>
      </c>
      <c r="B155" s="1918" t="s">
        <v>1195</v>
      </c>
      <c r="C155" s="1918" t="s">
        <v>32</v>
      </c>
      <c r="D155" s="1918" t="s">
        <v>1149</v>
      </c>
      <c r="E155" s="1919">
        <v>0.61357814073562622</v>
      </c>
      <c r="G155" s="1919">
        <v>0.55998343229293823</v>
      </c>
    </row>
    <row r="156" spans="1:7" x14ac:dyDescent="0.2">
      <c r="A156" s="1924">
        <v>2011</v>
      </c>
      <c r="B156" s="1918" t="s">
        <v>1195</v>
      </c>
      <c r="C156" s="1918" t="s">
        <v>32</v>
      </c>
      <c r="D156" s="1918" t="s">
        <v>1149</v>
      </c>
      <c r="E156" s="1919">
        <v>0.60348844528198242</v>
      </c>
      <c r="G156" s="1919">
        <v>0.5534554123878479</v>
      </c>
    </row>
    <row r="157" spans="1:7" x14ac:dyDescent="0.2">
      <c r="A157" s="1924">
        <v>2012</v>
      </c>
      <c r="B157" s="1918" t="s">
        <v>1195</v>
      </c>
      <c r="C157" s="1918" t="s">
        <v>32</v>
      </c>
      <c r="D157" s="1918" t="s">
        <v>1149</v>
      </c>
      <c r="E157" s="1919">
        <v>0.61953651905059814</v>
      </c>
      <c r="G157" s="1919">
        <v>0.56939172744750977</v>
      </c>
    </row>
    <row r="158" spans="1:7" x14ac:dyDescent="0.2">
      <c r="A158" s="1924">
        <v>2013</v>
      </c>
      <c r="B158" s="1918" t="s">
        <v>1195</v>
      </c>
      <c r="C158" s="1918" t="s">
        <v>32</v>
      </c>
      <c r="D158" s="1918" t="s">
        <v>1149</v>
      </c>
      <c r="E158" s="1919">
        <v>0.61995714902877808</v>
      </c>
      <c r="G158" s="1919">
        <v>0.57001042366027832</v>
      </c>
    </row>
    <row r="159" spans="1:7" x14ac:dyDescent="0.2">
      <c r="A159" s="1924">
        <v>2014</v>
      </c>
      <c r="B159" s="1918" t="s">
        <v>1195</v>
      </c>
      <c r="C159" s="1918" t="s">
        <v>32</v>
      </c>
      <c r="D159" s="1918" t="s">
        <v>1149</v>
      </c>
      <c r="E159" s="1919">
        <v>0.61006796360015869</v>
      </c>
      <c r="G159" s="1919">
        <v>0.56204390525817871</v>
      </c>
    </row>
    <row r="160" spans="1:7" x14ac:dyDescent="0.2">
      <c r="A160" s="1924">
        <v>1987</v>
      </c>
      <c r="B160" s="1918" t="s">
        <v>1194</v>
      </c>
      <c r="C160" s="1918" t="s">
        <v>66</v>
      </c>
      <c r="D160" s="1918" t="s">
        <v>1161</v>
      </c>
      <c r="E160" s="1919">
        <v>0.34926080703735352</v>
      </c>
      <c r="G160" s="1919">
        <v>0.34926080703735352</v>
      </c>
    </row>
    <row r="161" spans="1:8" x14ac:dyDescent="0.2">
      <c r="A161" s="1924">
        <v>1990</v>
      </c>
      <c r="B161" s="1918" t="s">
        <v>1194</v>
      </c>
      <c r="C161" s="1918" t="s">
        <v>66</v>
      </c>
      <c r="D161" s="1918" t="s">
        <v>1161</v>
      </c>
      <c r="E161" s="1919">
        <v>0.34023600816726685</v>
      </c>
      <c r="G161" s="1919">
        <v>0.34023600816726685</v>
      </c>
    </row>
    <row r="162" spans="1:8" x14ac:dyDescent="0.2">
      <c r="A162" s="1924">
        <v>1992</v>
      </c>
      <c r="B162" s="1918" t="s">
        <v>1194</v>
      </c>
      <c r="C162" s="1918" t="s">
        <v>66</v>
      </c>
      <c r="D162" s="1918" t="s">
        <v>1161</v>
      </c>
      <c r="E162" s="1919">
        <v>0.29940950870513916</v>
      </c>
      <c r="G162" s="1919">
        <v>0.29940950870513916</v>
      </c>
      <c r="H162" s="1919">
        <v>0.4885789155960083</v>
      </c>
    </row>
    <row r="163" spans="1:8" x14ac:dyDescent="0.2">
      <c r="A163" s="1924">
        <v>1993</v>
      </c>
      <c r="B163" s="1918" t="s">
        <v>1194</v>
      </c>
      <c r="C163" s="1918" t="s">
        <v>66</v>
      </c>
      <c r="D163" s="1918" t="s">
        <v>1161</v>
      </c>
      <c r="H163" s="1919">
        <v>0.43753820657730103</v>
      </c>
    </row>
    <row r="164" spans="1:8" x14ac:dyDescent="0.2">
      <c r="A164" s="1924">
        <v>1994</v>
      </c>
      <c r="B164" s="1918" t="s">
        <v>1194</v>
      </c>
      <c r="C164" s="1918" t="s">
        <v>66</v>
      </c>
      <c r="D164" s="1918" t="s">
        <v>1161</v>
      </c>
      <c r="H164" s="1919">
        <v>0.43873956799507141</v>
      </c>
    </row>
    <row r="165" spans="1:8" x14ac:dyDescent="0.2">
      <c r="A165" s="1924">
        <v>1995</v>
      </c>
      <c r="B165" s="1918" t="s">
        <v>1194</v>
      </c>
      <c r="C165" s="1918" t="s">
        <v>66</v>
      </c>
      <c r="D165" s="1918" t="s">
        <v>1161</v>
      </c>
      <c r="E165" s="1919">
        <v>0.35456937551498413</v>
      </c>
      <c r="G165" s="1919">
        <v>0.35456937551498413</v>
      </c>
      <c r="H165" s="1919">
        <v>0.43944060802459717</v>
      </c>
    </row>
    <row r="166" spans="1:8" x14ac:dyDescent="0.2">
      <c r="A166" s="1924">
        <v>1996</v>
      </c>
      <c r="B166" s="1918" t="s">
        <v>1194</v>
      </c>
      <c r="C166" s="1918" t="s">
        <v>66</v>
      </c>
      <c r="D166" s="1918" t="s">
        <v>1161</v>
      </c>
      <c r="H166" s="1919">
        <v>0.45524400472640991</v>
      </c>
    </row>
    <row r="167" spans="1:8" x14ac:dyDescent="0.2">
      <c r="A167" s="1924">
        <v>1997</v>
      </c>
      <c r="B167" s="1918" t="s">
        <v>1194</v>
      </c>
      <c r="C167" s="1918" t="s">
        <v>66</v>
      </c>
      <c r="D167" s="1918" t="s">
        <v>1161</v>
      </c>
      <c r="E167" s="1919">
        <v>0.44464761018753052</v>
      </c>
      <c r="G167" s="1919">
        <v>0.44464761018753052</v>
      </c>
      <c r="H167" s="1919">
        <v>0.44344756007194519</v>
      </c>
    </row>
    <row r="168" spans="1:8" x14ac:dyDescent="0.2">
      <c r="A168" s="1924">
        <v>1998</v>
      </c>
      <c r="B168" s="1918" t="s">
        <v>1194</v>
      </c>
      <c r="C168" s="1918" t="s">
        <v>66</v>
      </c>
      <c r="D168" s="1918" t="s">
        <v>1161</v>
      </c>
      <c r="H168" s="1919">
        <v>0.43578490614891052</v>
      </c>
    </row>
    <row r="169" spans="1:8" x14ac:dyDescent="0.2">
      <c r="A169" s="1924">
        <v>1999</v>
      </c>
      <c r="B169" s="1918" t="s">
        <v>1194</v>
      </c>
      <c r="C169" s="1918" t="s">
        <v>66</v>
      </c>
      <c r="D169" s="1918" t="s">
        <v>1161</v>
      </c>
      <c r="H169" s="1919">
        <v>0.43004834651947021</v>
      </c>
    </row>
    <row r="170" spans="1:8" x14ac:dyDescent="0.2">
      <c r="A170" s="1924">
        <v>2000</v>
      </c>
      <c r="B170" s="1918" t="s">
        <v>1194</v>
      </c>
      <c r="C170" s="1918" t="s">
        <v>66</v>
      </c>
      <c r="D170" s="1918" t="s">
        <v>1161</v>
      </c>
      <c r="E170" s="1919">
        <v>0.45493775606155396</v>
      </c>
      <c r="G170" s="1919">
        <v>0.45493775606155396</v>
      </c>
      <c r="H170" s="1919">
        <v>0.43560966849327087</v>
      </c>
    </row>
    <row r="171" spans="1:8" x14ac:dyDescent="0.2">
      <c r="A171" s="1924">
        <v>2001</v>
      </c>
      <c r="B171" s="1918" t="s">
        <v>1194</v>
      </c>
      <c r="C171" s="1918" t="s">
        <v>66</v>
      </c>
      <c r="D171" s="1918" t="s">
        <v>1161</v>
      </c>
      <c r="H171" s="1919">
        <v>0.41627815365791321</v>
      </c>
    </row>
    <row r="172" spans="1:8" x14ac:dyDescent="0.2">
      <c r="A172" s="1924">
        <v>2002</v>
      </c>
      <c r="B172" s="1918" t="s">
        <v>1194</v>
      </c>
      <c r="C172" s="1918" t="s">
        <v>66</v>
      </c>
      <c r="D172" s="1918" t="s">
        <v>1161</v>
      </c>
      <c r="E172" s="1919">
        <v>0.40624356269836426</v>
      </c>
      <c r="G172" s="1919">
        <v>0.40624356269836426</v>
      </c>
      <c r="H172" s="1919">
        <v>0.41203972697257996</v>
      </c>
    </row>
    <row r="173" spans="1:8" x14ac:dyDescent="0.2">
      <c r="A173" s="1924">
        <v>2003</v>
      </c>
      <c r="B173" s="1918" t="s">
        <v>1194</v>
      </c>
      <c r="C173" s="1918" t="s">
        <v>66</v>
      </c>
      <c r="D173" s="1918" t="s">
        <v>1161</v>
      </c>
      <c r="H173" s="1919">
        <v>0.40436172485351562</v>
      </c>
    </row>
    <row r="174" spans="1:8" x14ac:dyDescent="0.2">
      <c r="A174" s="1924">
        <v>2004</v>
      </c>
      <c r="B174" s="1918" t="s">
        <v>1194</v>
      </c>
      <c r="C174" s="1918" t="s">
        <v>66</v>
      </c>
      <c r="D174" s="1918" t="s">
        <v>1161</v>
      </c>
      <c r="H174" s="1919">
        <v>0.38078004121780396</v>
      </c>
    </row>
    <row r="175" spans="1:8" x14ac:dyDescent="0.2">
      <c r="A175" s="1924">
        <v>2005</v>
      </c>
      <c r="B175" s="1918" t="s">
        <v>1194</v>
      </c>
      <c r="C175" s="1918" t="s">
        <v>66</v>
      </c>
      <c r="D175" s="1918" t="s">
        <v>1161</v>
      </c>
      <c r="E175" s="1919">
        <v>0.31225472688674927</v>
      </c>
      <c r="G175" s="1919">
        <v>0.31225472688674927</v>
      </c>
      <c r="H175" s="1919">
        <v>0.37718081474304199</v>
      </c>
    </row>
    <row r="176" spans="1:8" x14ac:dyDescent="0.2">
      <c r="A176" s="1924">
        <v>2006</v>
      </c>
      <c r="B176" s="1918" t="s">
        <v>1194</v>
      </c>
      <c r="C176" s="1918" t="s">
        <v>66</v>
      </c>
      <c r="D176" s="1918" t="s">
        <v>1161</v>
      </c>
      <c r="H176" s="1919">
        <v>0.36462128162384033</v>
      </c>
    </row>
    <row r="177" spans="1:8" x14ac:dyDescent="0.2">
      <c r="A177" s="1924">
        <v>2007</v>
      </c>
      <c r="B177" s="1918" t="s">
        <v>1194</v>
      </c>
      <c r="C177" s="1918" t="s">
        <v>66</v>
      </c>
      <c r="D177" s="1918" t="s">
        <v>1161</v>
      </c>
      <c r="E177" s="1919">
        <v>0.32205244898796082</v>
      </c>
      <c r="G177" s="1919">
        <v>0.32205244898796082</v>
      </c>
      <c r="H177" s="1919">
        <v>0.35511842370033264</v>
      </c>
    </row>
    <row r="178" spans="1:8" x14ac:dyDescent="0.2">
      <c r="A178" s="1924">
        <v>2008</v>
      </c>
      <c r="B178" s="1918" t="s">
        <v>1194</v>
      </c>
      <c r="C178" s="1918" t="s">
        <v>66</v>
      </c>
      <c r="D178" s="1918" t="s">
        <v>1161</v>
      </c>
      <c r="H178" s="1919">
        <v>0.36297249794006348</v>
      </c>
    </row>
    <row r="179" spans="1:8" x14ac:dyDescent="0.2">
      <c r="A179" s="1924">
        <v>2009</v>
      </c>
      <c r="B179" s="1918" t="s">
        <v>1194</v>
      </c>
      <c r="C179" s="1918" t="s">
        <v>66</v>
      </c>
      <c r="D179" s="1918" t="s">
        <v>1161</v>
      </c>
      <c r="H179" s="1919">
        <v>0.36244189739227295</v>
      </c>
    </row>
    <row r="180" spans="1:8" x14ac:dyDescent="0.2">
      <c r="A180" s="1924">
        <v>2010</v>
      </c>
      <c r="B180" s="1918" t="s">
        <v>1194</v>
      </c>
      <c r="C180" s="1918" t="s">
        <v>66</v>
      </c>
      <c r="D180" s="1918" t="s">
        <v>1161</v>
      </c>
      <c r="E180" s="1919">
        <v>0.3963133692741394</v>
      </c>
      <c r="G180" s="1919">
        <v>0.3963133692741394</v>
      </c>
      <c r="H180" s="1919">
        <v>0.35459741950035095</v>
      </c>
    </row>
    <row r="181" spans="1:8" x14ac:dyDescent="0.2">
      <c r="A181" s="1924">
        <v>2011</v>
      </c>
      <c r="B181" s="1918" t="s">
        <v>1194</v>
      </c>
      <c r="C181" s="1918" t="s">
        <v>66</v>
      </c>
      <c r="D181" s="1918" t="s">
        <v>1161</v>
      </c>
      <c r="H181" s="1919">
        <v>0.36133784055709839</v>
      </c>
    </row>
    <row r="182" spans="1:8" x14ac:dyDescent="0.2">
      <c r="A182" s="1924">
        <v>2012</v>
      </c>
      <c r="B182" s="1918" t="s">
        <v>1194</v>
      </c>
      <c r="C182" s="1918" t="s">
        <v>66</v>
      </c>
      <c r="D182" s="1918" t="s">
        <v>1161</v>
      </c>
      <c r="H182" s="1919">
        <v>0.3749745786190033</v>
      </c>
    </row>
    <row r="183" spans="1:8" x14ac:dyDescent="0.2">
      <c r="A183" s="1924">
        <v>2013</v>
      </c>
      <c r="B183" s="1918" t="s">
        <v>1194</v>
      </c>
      <c r="C183" s="1918" t="s">
        <v>66</v>
      </c>
      <c r="D183" s="1918" t="s">
        <v>1161</v>
      </c>
      <c r="H183" s="1919">
        <v>0.39170831441879272</v>
      </c>
    </row>
    <row r="184" spans="1:8" x14ac:dyDescent="0.2">
      <c r="A184" s="1924">
        <v>2014</v>
      </c>
      <c r="B184" s="1918" t="s">
        <v>1194</v>
      </c>
      <c r="C184" s="1918" t="s">
        <v>66</v>
      </c>
      <c r="D184" s="1918" t="s">
        <v>1161</v>
      </c>
      <c r="H184" s="1919">
        <v>0.40070369839668274</v>
      </c>
    </row>
    <row r="185" spans="1:8" x14ac:dyDescent="0.2">
      <c r="A185" s="1924">
        <v>2015</v>
      </c>
      <c r="B185" s="1918" t="s">
        <v>1194</v>
      </c>
      <c r="C185" s="1918" t="s">
        <v>66</v>
      </c>
      <c r="D185" s="1918" t="s">
        <v>1161</v>
      </c>
      <c r="H185" s="1919">
        <v>0.40778455138206482</v>
      </c>
    </row>
    <row r="186" spans="1:8" x14ac:dyDescent="0.2">
      <c r="A186" s="1924">
        <v>1995</v>
      </c>
      <c r="B186" s="1918" t="s">
        <v>1193</v>
      </c>
      <c r="C186" s="1918" t="s">
        <v>86</v>
      </c>
      <c r="D186" s="1918" t="s">
        <v>1156</v>
      </c>
      <c r="E186" s="1919">
        <v>0.55404895544052124</v>
      </c>
      <c r="G186" s="1919">
        <v>0.40410903096199036</v>
      </c>
      <c r="H186" s="1919">
        <v>0.45341473817825317</v>
      </c>
    </row>
    <row r="187" spans="1:8" x14ac:dyDescent="0.2">
      <c r="A187" s="1924">
        <v>1996</v>
      </c>
      <c r="B187" s="1918" t="s">
        <v>1193</v>
      </c>
      <c r="C187" s="1918" t="s">
        <v>86</v>
      </c>
      <c r="D187" s="1918" t="s">
        <v>1156</v>
      </c>
      <c r="E187" s="1919">
        <v>0.56938952207565308</v>
      </c>
      <c r="G187" s="1919">
        <v>0.41572293639183044</v>
      </c>
      <c r="H187" s="1919">
        <v>0.45615959167480469</v>
      </c>
    </row>
    <row r="188" spans="1:8" x14ac:dyDescent="0.2">
      <c r="A188" s="1924">
        <v>1997</v>
      </c>
      <c r="B188" s="1918" t="s">
        <v>1193</v>
      </c>
      <c r="C188" s="1918" t="s">
        <v>86</v>
      </c>
      <c r="D188" s="1918" t="s">
        <v>1156</v>
      </c>
      <c r="E188" s="1919">
        <v>0.5772823691368103</v>
      </c>
      <c r="G188" s="1919">
        <v>0.42166262865066528</v>
      </c>
      <c r="H188" s="1919">
        <v>0.46158689260482788</v>
      </c>
    </row>
    <row r="189" spans="1:8" x14ac:dyDescent="0.2">
      <c r="A189" s="1924">
        <v>1998</v>
      </c>
      <c r="B189" s="1918" t="s">
        <v>1193</v>
      </c>
      <c r="C189" s="1918" t="s">
        <v>86</v>
      </c>
      <c r="D189" s="1918" t="s">
        <v>1156</v>
      </c>
      <c r="E189" s="1919">
        <v>0.53119832277297974</v>
      </c>
      <c r="G189" s="1919">
        <v>0.38824957609176636</v>
      </c>
      <c r="H189" s="1919">
        <v>0.43664643168449402</v>
      </c>
    </row>
    <row r="190" spans="1:8" x14ac:dyDescent="0.2">
      <c r="A190" s="1924">
        <v>1999</v>
      </c>
      <c r="B190" s="1918" t="s">
        <v>1193</v>
      </c>
      <c r="C190" s="1918" t="s">
        <v>86</v>
      </c>
      <c r="D190" s="1918" t="s">
        <v>1156</v>
      </c>
      <c r="E190" s="1919">
        <v>0.54524439573287964</v>
      </c>
      <c r="G190" s="1919">
        <v>0.39230674505233765</v>
      </c>
      <c r="H190" s="1919">
        <v>0.43145591020584106</v>
      </c>
    </row>
    <row r="191" spans="1:8" x14ac:dyDescent="0.2">
      <c r="A191" s="1924">
        <v>2000</v>
      </c>
      <c r="B191" s="1918" t="s">
        <v>1193</v>
      </c>
      <c r="C191" s="1918" t="s">
        <v>86</v>
      </c>
      <c r="D191" s="1918" t="s">
        <v>1156</v>
      </c>
      <c r="E191" s="1919">
        <v>0.55259138345718384</v>
      </c>
      <c r="G191" s="1919">
        <v>0.39767962694168091</v>
      </c>
      <c r="H191" s="1919">
        <v>0.43395286798477173</v>
      </c>
    </row>
    <row r="192" spans="1:8" x14ac:dyDescent="0.2">
      <c r="A192" s="1924">
        <v>2001</v>
      </c>
      <c r="B192" s="1918" t="s">
        <v>1193</v>
      </c>
      <c r="C192" s="1918" t="s">
        <v>86</v>
      </c>
      <c r="D192" s="1918" t="s">
        <v>1156</v>
      </c>
      <c r="E192" s="1919">
        <v>0.56299436092376709</v>
      </c>
      <c r="G192" s="1919">
        <v>0.39897212386131287</v>
      </c>
      <c r="H192" s="1919">
        <v>0.43374979496002197</v>
      </c>
    </row>
    <row r="193" spans="1:8" x14ac:dyDescent="0.2">
      <c r="A193" s="1924">
        <v>2002</v>
      </c>
      <c r="B193" s="1918" t="s">
        <v>1193</v>
      </c>
      <c r="C193" s="1918" t="s">
        <v>86</v>
      </c>
      <c r="D193" s="1918" t="s">
        <v>1156</v>
      </c>
      <c r="E193" s="1919">
        <v>0.58507853746414185</v>
      </c>
      <c r="G193" s="1919">
        <v>0.4224986732006073</v>
      </c>
      <c r="H193" s="1919">
        <v>0.4568420946598053</v>
      </c>
    </row>
    <row r="194" spans="1:8" x14ac:dyDescent="0.2">
      <c r="A194" s="1924">
        <v>2003</v>
      </c>
      <c r="B194" s="1918" t="s">
        <v>1193</v>
      </c>
      <c r="C194" s="1918" t="s">
        <v>86</v>
      </c>
      <c r="D194" s="1918" t="s">
        <v>1156</v>
      </c>
      <c r="E194" s="1919">
        <v>0.60299855470657349</v>
      </c>
      <c r="G194" s="1919">
        <v>0.43251034617424011</v>
      </c>
      <c r="H194" s="1919">
        <v>0.46738028526306152</v>
      </c>
    </row>
    <row r="195" spans="1:8" x14ac:dyDescent="0.2">
      <c r="A195" s="1924">
        <v>2004</v>
      </c>
      <c r="B195" s="1918" t="s">
        <v>1193</v>
      </c>
      <c r="C195" s="1918" t="s">
        <v>86</v>
      </c>
      <c r="D195" s="1918" t="s">
        <v>1156</v>
      </c>
      <c r="E195" s="1919">
        <v>0.630889892578125</v>
      </c>
      <c r="G195" s="1919">
        <v>0.44103550910949707</v>
      </c>
      <c r="H195" s="1919">
        <v>0.47589126229286194</v>
      </c>
    </row>
    <row r="196" spans="1:8" x14ac:dyDescent="0.2">
      <c r="A196" s="1924">
        <v>2005</v>
      </c>
      <c r="B196" s="1918" t="s">
        <v>1193</v>
      </c>
      <c r="C196" s="1918" t="s">
        <v>86</v>
      </c>
      <c r="D196" s="1918" t="s">
        <v>1156</v>
      </c>
      <c r="E196" s="1919">
        <v>0.67321741580963135</v>
      </c>
      <c r="G196" s="1919">
        <v>0.47696176171302795</v>
      </c>
      <c r="H196" s="1919">
        <v>0.51770657300949097</v>
      </c>
    </row>
    <row r="197" spans="1:8" x14ac:dyDescent="0.2">
      <c r="A197" s="1924">
        <v>2006</v>
      </c>
      <c r="B197" s="1918" t="s">
        <v>1193</v>
      </c>
      <c r="C197" s="1918" t="s">
        <v>86</v>
      </c>
      <c r="D197" s="1918" t="s">
        <v>1156</v>
      </c>
      <c r="E197" s="1919">
        <v>0.65166330337524414</v>
      </c>
      <c r="G197" s="1919">
        <v>0.47963550686836243</v>
      </c>
      <c r="H197" s="1919">
        <v>0.52127277851104736</v>
      </c>
    </row>
    <row r="198" spans="1:8" x14ac:dyDescent="0.2">
      <c r="A198" s="1924">
        <v>2007</v>
      </c>
      <c r="B198" s="1918" t="s">
        <v>1193</v>
      </c>
      <c r="C198" s="1918" t="s">
        <v>86</v>
      </c>
      <c r="D198" s="1918" t="s">
        <v>1156</v>
      </c>
      <c r="E198" s="1919">
        <v>0.62648367881774902</v>
      </c>
      <c r="G198" s="1919">
        <v>0.48680835962295532</v>
      </c>
      <c r="H198" s="1919">
        <v>0.53934222459793091</v>
      </c>
    </row>
    <row r="199" spans="1:8" x14ac:dyDescent="0.2">
      <c r="A199" s="1924">
        <v>2008</v>
      </c>
      <c r="B199" s="1918" t="s">
        <v>1193</v>
      </c>
      <c r="C199" s="1918" t="s">
        <v>86</v>
      </c>
      <c r="D199" s="1918" t="s">
        <v>1156</v>
      </c>
      <c r="E199" s="1919">
        <v>0.60639530420303345</v>
      </c>
      <c r="G199" s="1919">
        <v>0.5007328987121582</v>
      </c>
      <c r="H199" s="1919">
        <v>0.56019055843353271</v>
      </c>
    </row>
    <row r="200" spans="1:8" x14ac:dyDescent="0.2">
      <c r="A200" s="1924">
        <v>2009</v>
      </c>
      <c r="B200" s="1918" t="s">
        <v>1193</v>
      </c>
      <c r="C200" s="1918" t="s">
        <v>86</v>
      </c>
      <c r="D200" s="1918" t="s">
        <v>1156</v>
      </c>
      <c r="E200" s="1919">
        <v>0.64971965551376343</v>
      </c>
      <c r="G200" s="1919">
        <v>0.5446782112121582</v>
      </c>
      <c r="H200" s="1919">
        <v>0.58541995286941528</v>
      </c>
    </row>
    <row r="201" spans="1:8" x14ac:dyDescent="0.2">
      <c r="A201" s="1924">
        <v>2010</v>
      </c>
      <c r="B201" s="1918" t="s">
        <v>1193</v>
      </c>
      <c r="C201" s="1918" t="s">
        <v>86</v>
      </c>
      <c r="D201" s="1918" t="s">
        <v>1156</v>
      </c>
      <c r="E201" s="1919">
        <v>0.6310160756111145</v>
      </c>
      <c r="G201" s="1919">
        <v>0.54535502195358276</v>
      </c>
      <c r="H201" s="1919">
        <v>0.58316469192504883</v>
      </c>
    </row>
    <row r="202" spans="1:8" x14ac:dyDescent="0.2">
      <c r="A202" s="1924">
        <v>2011</v>
      </c>
      <c r="B202" s="1918" t="s">
        <v>1193</v>
      </c>
      <c r="C202" s="1918" t="s">
        <v>86</v>
      </c>
      <c r="D202" s="1918" t="s">
        <v>1156</v>
      </c>
      <c r="E202" s="1919">
        <v>0.62936294078826904</v>
      </c>
      <c r="G202" s="1919">
        <v>0.54883891344070435</v>
      </c>
      <c r="H202" s="1919">
        <v>0.580913245677948</v>
      </c>
    </row>
    <row r="203" spans="1:8" x14ac:dyDescent="0.2">
      <c r="A203" s="1924">
        <v>2012</v>
      </c>
      <c r="B203" s="1918" t="s">
        <v>1193</v>
      </c>
      <c r="C203" s="1918" t="s">
        <v>86</v>
      </c>
      <c r="D203" s="1918" t="s">
        <v>1156</v>
      </c>
      <c r="E203" s="1919">
        <v>0.62293493747711182</v>
      </c>
      <c r="G203" s="1919">
        <v>0.54536819458007812</v>
      </c>
      <c r="H203" s="1919">
        <v>0.58425164222717285</v>
      </c>
    </row>
    <row r="204" spans="1:8" x14ac:dyDescent="0.2">
      <c r="A204" s="1924">
        <v>2013</v>
      </c>
      <c r="B204" s="1918" t="s">
        <v>1193</v>
      </c>
      <c r="C204" s="1918" t="s">
        <v>86</v>
      </c>
      <c r="D204" s="1918" t="s">
        <v>1156</v>
      </c>
      <c r="E204" s="1919">
        <v>0.58435940742492676</v>
      </c>
      <c r="G204" s="1919">
        <v>0.51021265983581543</v>
      </c>
      <c r="H204" s="1919">
        <v>0.54746633768081665</v>
      </c>
    </row>
    <row r="205" spans="1:8" x14ac:dyDescent="0.2">
      <c r="A205" s="1924">
        <v>2014</v>
      </c>
      <c r="B205" s="1918" t="s">
        <v>1193</v>
      </c>
      <c r="C205" s="1918" t="s">
        <v>86</v>
      </c>
      <c r="D205" s="1918" t="s">
        <v>1156</v>
      </c>
      <c r="E205" s="1919">
        <v>0.58303630352020264</v>
      </c>
      <c r="G205" s="1919">
        <v>0.50845277309417725</v>
      </c>
      <c r="H205" s="1919">
        <v>0.55137676000595093</v>
      </c>
    </row>
    <row r="206" spans="1:8" x14ac:dyDescent="0.2">
      <c r="A206" s="1924">
        <v>2015</v>
      </c>
      <c r="B206" s="1918" t="s">
        <v>1193</v>
      </c>
      <c r="C206" s="1918" t="s">
        <v>86</v>
      </c>
      <c r="D206" s="1918" t="s">
        <v>1156</v>
      </c>
      <c r="E206" s="1919">
        <v>0.58281266689300537</v>
      </c>
      <c r="G206" s="1919">
        <v>0.50760746002197266</v>
      </c>
      <c r="H206" s="1919">
        <v>0.55970984697341919</v>
      </c>
    </row>
    <row r="207" spans="1:8" x14ac:dyDescent="0.2">
      <c r="A207" s="1924">
        <v>1993</v>
      </c>
      <c r="B207" s="1918" t="s">
        <v>1192</v>
      </c>
      <c r="C207" s="1918" t="s">
        <v>34</v>
      </c>
      <c r="D207" s="1918" t="s">
        <v>1156</v>
      </c>
      <c r="H207" s="1919">
        <v>0.470267653465271</v>
      </c>
    </row>
    <row r="208" spans="1:8" x14ac:dyDescent="0.2">
      <c r="A208" s="1924">
        <v>1994</v>
      </c>
      <c r="B208" s="1918" t="s">
        <v>1192</v>
      </c>
      <c r="C208" s="1918" t="s">
        <v>34</v>
      </c>
      <c r="D208" s="1918" t="s">
        <v>1156</v>
      </c>
      <c r="H208" s="1919">
        <v>0.48910960555076599</v>
      </c>
    </row>
    <row r="209" spans="1:8" x14ac:dyDescent="0.2">
      <c r="A209" s="1924">
        <v>1995</v>
      </c>
      <c r="B209" s="1918" t="s">
        <v>1192</v>
      </c>
      <c r="C209" s="1918" t="s">
        <v>34</v>
      </c>
      <c r="D209" s="1918" t="s">
        <v>1156</v>
      </c>
      <c r="E209" s="1919">
        <v>0.5114864706993103</v>
      </c>
      <c r="F209" s="1919">
        <v>0.47642225027084351</v>
      </c>
      <c r="G209" s="1919">
        <v>0.42495158314704895</v>
      </c>
      <c r="H209" s="1919">
        <v>0.49999818205833435</v>
      </c>
    </row>
    <row r="210" spans="1:8" x14ac:dyDescent="0.2">
      <c r="A210" s="1924">
        <v>1996</v>
      </c>
      <c r="B210" s="1918" t="s">
        <v>1192</v>
      </c>
      <c r="C210" s="1918" t="s">
        <v>34</v>
      </c>
      <c r="D210" s="1918" t="s">
        <v>1156</v>
      </c>
      <c r="E210" s="1919">
        <v>0.52381706237792969</v>
      </c>
      <c r="F210" s="1919">
        <v>0.49812784790992737</v>
      </c>
      <c r="G210" s="1919">
        <v>0.43428561091423035</v>
      </c>
      <c r="H210" s="1919">
        <v>0.5112573504447937</v>
      </c>
    </row>
    <row r="211" spans="1:8" x14ac:dyDescent="0.2">
      <c r="A211" s="1924">
        <v>1997</v>
      </c>
      <c r="B211" s="1918" t="s">
        <v>1192</v>
      </c>
      <c r="C211" s="1918" t="s">
        <v>34</v>
      </c>
      <c r="D211" s="1918" t="s">
        <v>1156</v>
      </c>
      <c r="E211" s="1919">
        <v>0.53556150197982788</v>
      </c>
      <c r="F211" s="1919">
        <v>0.51819616556167603</v>
      </c>
      <c r="G211" s="1919">
        <v>0.44389131665229797</v>
      </c>
      <c r="H211" s="1919">
        <v>0.52871900796890259</v>
      </c>
    </row>
    <row r="212" spans="1:8" x14ac:dyDescent="0.2">
      <c r="A212" s="1924">
        <v>1998</v>
      </c>
      <c r="B212" s="1918" t="s">
        <v>1192</v>
      </c>
      <c r="C212" s="1918" t="s">
        <v>34</v>
      </c>
      <c r="D212" s="1918" t="s">
        <v>1156</v>
      </c>
      <c r="E212" s="1919">
        <v>0.52582758665084839</v>
      </c>
      <c r="F212" s="1919">
        <v>0.51102620363235474</v>
      </c>
      <c r="G212" s="1919">
        <v>0.42813000082969666</v>
      </c>
      <c r="H212" s="1919">
        <v>0.50625181198120117</v>
      </c>
    </row>
    <row r="213" spans="1:8" x14ac:dyDescent="0.2">
      <c r="A213" s="1924">
        <v>1999</v>
      </c>
      <c r="B213" s="1918" t="s">
        <v>1192</v>
      </c>
      <c r="C213" s="1918" t="s">
        <v>34</v>
      </c>
      <c r="D213" s="1918" t="s">
        <v>1156</v>
      </c>
      <c r="E213" s="1919">
        <v>0.51928234100341797</v>
      </c>
      <c r="F213" s="1919">
        <v>0.50358861684799194</v>
      </c>
      <c r="G213" s="1919">
        <v>0.42019984126091003</v>
      </c>
      <c r="H213" s="1919">
        <v>0.5028643012046814</v>
      </c>
    </row>
    <row r="214" spans="1:8" x14ac:dyDescent="0.2">
      <c r="A214" s="1924">
        <v>2000</v>
      </c>
      <c r="B214" s="1918" t="s">
        <v>1192</v>
      </c>
      <c r="C214" s="1918" t="s">
        <v>34</v>
      </c>
      <c r="D214" s="1918" t="s">
        <v>1156</v>
      </c>
      <c r="E214" s="1919">
        <v>0.5271487832069397</v>
      </c>
      <c r="F214" s="1919">
        <v>0.50328147411346436</v>
      </c>
      <c r="G214" s="1919">
        <v>0.42437919974327087</v>
      </c>
      <c r="H214" s="1919">
        <v>0.49933949112892151</v>
      </c>
    </row>
    <row r="215" spans="1:8" x14ac:dyDescent="0.2">
      <c r="A215" s="1924">
        <v>2001</v>
      </c>
      <c r="B215" s="1918" t="s">
        <v>1192</v>
      </c>
      <c r="C215" s="1918" t="s">
        <v>34</v>
      </c>
      <c r="D215" s="1918" t="s">
        <v>1156</v>
      </c>
      <c r="E215" s="1919">
        <v>0.52411174774169922</v>
      </c>
      <c r="F215" s="1919">
        <v>0.49932089447975159</v>
      </c>
      <c r="G215" s="1919">
        <v>0.42019179463386536</v>
      </c>
      <c r="H215" s="1919">
        <v>0.48861005902290344</v>
      </c>
    </row>
    <row r="216" spans="1:8" x14ac:dyDescent="0.2">
      <c r="A216" s="1924">
        <v>2002</v>
      </c>
      <c r="B216" s="1918" t="s">
        <v>1192</v>
      </c>
      <c r="C216" s="1918" t="s">
        <v>34</v>
      </c>
      <c r="D216" s="1918" t="s">
        <v>1156</v>
      </c>
      <c r="E216" s="1919">
        <v>0.54630333185195923</v>
      </c>
      <c r="F216" s="1919">
        <v>0.52466684579849243</v>
      </c>
      <c r="G216" s="1919">
        <v>0.43216830492019653</v>
      </c>
      <c r="H216" s="1919">
        <v>0.50268059968948364</v>
      </c>
    </row>
    <row r="217" spans="1:8" x14ac:dyDescent="0.2">
      <c r="A217" s="1924">
        <v>2003</v>
      </c>
      <c r="B217" s="1918" t="s">
        <v>1192</v>
      </c>
      <c r="C217" s="1918" t="s">
        <v>34</v>
      </c>
      <c r="D217" s="1918" t="s">
        <v>1156</v>
      </c>
      <c r="E217" s="1919">
        <v>0.55465942621231079</v>
      </c>
      <c r="F217" s="1919">
        <v>0.53815674781799316</v>
      </c>
      <c r="G217" s="1919">
        <v>0.43068382143974304</v>
      </c>
      <c r="H217" s="1919">
        <v>0.50190228223800659</v>
      </c>
    </row>
    <row r="218" spans="1:8" x14ac:dyDescent="0.2">
      <c r="A218" s="1924">
        <v>2004</v>
      </c>
      <c r="B218" s="1918" t="s">
        <v>1192</v>
      </c>
      <c r="C218" s="1918" t="s">
        <v>34</v>
      </c>
      <c r="D218" s="1918" t="s">
        <v>1156</v>
      </c>
      <c r="E218" s="1919">
        <v>0.55161505937576294</v>
      </c>
      <c r="F218" s="1919">
        <v>0.53505218029022217</v>
      </c>
      <c r="G218" s="1919">
        <v>0.43343684077262878</v>
      </c>
      <c r="H218" s="1919">
        <v>0.50172805786132812</v>
      </c>
    </row>
    <row r="219" spans="1:8" x14ac:dyDescent="0.2">
      <c r="A219" s="1924">
        <v>2005</v>
      </c>
      <c r="B219" s="1918" t="s">
        <v>1192</v>
      </c>
      <c r="C219" s="1918" t="s">
        <v>34</v>
      </c>
      <c r="D219" s="1918" t="s">
        <v>1156</v>
      </c>
      <c r="E219" s="1919">
        <v>0.54972565174102783</v>
      </c>
      <c r="F219" s="1919">
        <v>0.53156936168670654</v>
      </c>
      <c r="G219" s="1919">
        <v>0.43843480944633484</v>
      </c>
      <c r="H219" s="1919">
        <v>0.50088691711425781</v>
      </c>
    </row>
    <row r="220" spans="1:8" x14ac:dyDescent="0.2">
      <c r="A220" s="1924">
        <v>2006</v>
      </c>
      <c r="B220" s="1918" t="s">
        <v>1192</v>
      </c>
      <c r="C220" s="1918" t="s">
        <v>34</v>
      </c>
      <c r="D220" s="1918" t="s">
        <v>1156</v>
      </c>
      <c r="E220" s="1919">
        <v>0.54046338796615601</v>
      </c>
      <c r="F220" s="1919">
        <v>0.52595007419586182</v>
      </c>
      <c r="G220" s="1919">
        <v>0.43191778659820557</v>
      </c>
      <c r="H220" s="1919">
        <v>0.4919985830783844</v>
      </c>
    </row>
    <row r="221" spans="1:8" x14ac:dyDescent="0.2">
      <c r="A221" s="1924">
        <v>2007</v>
      </c>
      <c r="B221" s="1918" t="s">
        <v>1192</v>
      </c>
      <c r="C221" s="1918" t="s">
        <v>34</v>
      </c>
      <c r="D221" s="1918" t="s">
        <v>1156</v>
      </c>
      <c r="E221" s="1919">
        <v>0.53215217590332031</v>
      </c>
      <c r="F221" s="1919">
        <v>0.52237695455551147</v>
      </c>
      <c r="G221" s="1919">
        <v>0.43083298206329346</v>
      </c>
      <c r="H221" s="1919">
        <v>0.48749282956123352</v>
      </c>
    </row>
    <row r="222" spans="1:8" x14ac:dyDescent="0.2">
      <c r="A222" s="1924">
        <v>2008</v>
      </c>
      <c r="B222" s="1918" t="s">
        <v>1192</v>
      </c>
      <c r="C222" s="1918" t="s">
        <v>34</v>
      </c>
      <c r="D222" s="1918" t="s">
        <v>1156</v>
      </c>
      <c r="E222" s="1919">
        <v>0.5450170636177063</v>
      </c>
      <c r="F222" s="1919">
        <v>0.53623729944229126</v>
      </c>
      <c r="G222" s="1919">
        <v>0.44281938672065735</v>
      </c>
      <c r="H222" s="1919">
        <v>0.50057858228683472</v>
      </c>
    </row>
    <row r="223" spans="1:8" x14ac:dyDescent="0.2">
      <c r="A223" s="1924">
        <v>2009</v>
      </c>
      <c r="B223" s="1918" t="s">
        <v>1192</v>
      </c>
      <c r="C223" s="1918" t="s">
        <v>34</v>
      </c>
      <c r="D223" s="1918" t="s">
        <v>1156</v>
      </c>
      <c r="E223" s="1919">
        <v>0.54271870851516724</v>
      </c>
      <c r="F223" s="1919">
        <v>0.52947127819061279</v>
      </c>
      <c r="G223" s="1919">
        <v>0.44088593125343323</v>
      </c>
      <c r="H223" s="1919">
        <v>0.50454610586166382</v>
      </c>
    </row>
    <row r="224" spans="1:8" x14ac:dyDescent="0.2">
      <c r="A224" s="1924">
        <v>2010</v>
      </c>
      <c r="B224" s="1918" t="s">
        <v>1192</v>
      </c>
      <c r="C224" s="1918" t="s">
        <v>34</v>
      </c>
      <c r="D224" s="1918" t="s">
        <v>1156</v>
      </c>
      <c r="E224" s="1919">
        <v>0.54903542995452881</v>
      </c>
      <c r="F224" s="1919">
        <v>0.54018837213516235</v>
      </c>
      <c r="G224" s="1919">
        <v>0.44313398003578186</v>
      </c>
      <c r="H224" s="1919">
        <v>0.50744616985321045</v>
      </c>
    </row>
    <row r="225" spans="1:12" x14ac:dyDescent="0.2">
      <c r="A225" s="1924">
        <v>2011</v>
      </c>
      <c r="B225" s="1918" t="s">
        <v>1192</v>
      </c>
      <c r="C225" s="1918" t="s">
        <v>34</v>
      </c>
      <c r="D225" s="1918" t="s">
        <v>1156</v>
      </c>
      <c r="E225" s="1919">
        <v>0.55927038192749023</v>
      </c>
      <c r="F225" s="1919">
        <v>0.54594087600708008</v>
      </c>
      <c r="G225" s="1919">
        <v>0.45145899057388306</v>
      </c>
      <c r="H225" s="1919">
        <v>0.50950044393539429</v>
      </c>
    </row>
    <row r="226" spans="1:12" x14ac:dyDescent="0.2">
      <c r="A226" s="1924">
        <v>2012</v>
      </c>
      <c r="B226" s="1918" t="s">
        <v>1192</v>
      </c>
      <c r="C226" s="1918" t="s">
        <v>34</v>
      </c>
      <c r="D226" s="1918" t="s">
        <v>1156</v>
      </c>
      <c r="E226" s="1919">
        <v>0.56632018089294434</v>
      </c>
      <c r="F226" s="1919">
        <v>0.55043011903762817</v>
      </c>
      <c r="G226" s="1919">
        <v>0.46265220642089844</v>
      </c>
      <c r="H226" s="1919">
        <v>0.51776158809661865</v>
      </c>
    </row>
    <row r="227" spans="1:12" x14ac:dyDescent="0.2">
      <c r="A227" s="1924">
        <v>2013</v>
      </c>
      <c r="B227" s="1918" t="s">
        <v>1192</v>
      </c>
      <c r="C227" s="1918" t="s">
        <v>34</v>
      </c>
      <c r="D227" s="1918" t="s">
        <v>1156</v>
      </c>
      <c r="E227" s="1919">
        <v>0.55966407060623169</v>
      </c>
      <c r="F227" s="1919">
        <v>0.54426997900009155</v>
      </c>
      <c r="G227" s="1919">
        <v>0.46175488829612732</v>
      </c>
      <c r="H227" s="1919">
        <v>0.51566517353057861</v>
      </c>
    </row>
    <row r="228" spans="1:12" x14ac:dyDescent="0.2">
      <c r="A228" s="1924">
        <v>2014</v>
      </c>
      <c r="B228" s="1918" t="s">
        <v>1192</v>
      </c>
      <c r="C228" s="1918" t="s">
        <v>34</v>
      </c>
      <c r="D228" s="1918" t="s">
        <v>1156</v>
      </c>
      <c r="E228" s="1919">
        <v>0.53983116149902344</v>
      </c>
      <c r="F228" s="1919">
        <v>0.52161890268325806</v>
      </c>
      <c r="G228" s="1919">
        <v>0.44656142592430115</v>
      </c>
      <c r="H228" s="1919">
        <v>0.49232825636863708</v>
      </c>
    </row>
    <row r="229" spans="1:12" x14ac:dyDescent="0.2">
      <c r="A229" s="1924">
        <v>2015</v>
      </c>
      <c r="B229" s="1918" t="s">
        <v>1192</v>
      </c>
      <c r="C229" s="1918" t="s">
        <v>34</v>
      </c>
      <c r="D229" s="1918" t="s">
        <v>1156</v>
      </c>
      <c r="E229" s="1919">
        <v>0.53176689147949219</v>
      </c>
      <c r="F229" s="1919">
        <v>0.51081591844558716</v>
      </c>
      <c r="G229" s="1919">
        <v>0.44191941618919373</v>
      </c>
      <c r="H229" s="1919">
        <v>0.48538681864738464</v>
      </c>
    </row>
    <row r="230" spans="1:12" x14ac:dyDescent="0.2">
      <c r="A230" s="1924">
        <v>1970</v>
      </c>
      <c r="B230" s="1918" t="s">
        <v>1191</v>
      </c>
      <c r="C230" s="1918" t="s">
        <v>39</v>
      </c>
      <c r="D230" s="1918" t="s">
        <v>1149</v>
      </c>
      <c r="E230" s="1919">
        <v>0.66111201047897339</v>
      </c>
      <c r="G230" s="1919">
        <v>0.5859186053276062</v>
      </c>
    </row>
    <row r="231" spans="1:12" x14ac:dyDescent="0.2">
      <c r="A231" s="1924">
        <v>1971</v>
      </c>
      <c r="B231" s="1918" t="s">
        <v>1191</v>
      </c>
      <c r="C231" s="1918" t="s">
        <v>39</v>
      </c>
      <c r="D231" s="1918" t="s">
        <v>1149</v>
      </c>
      <c r="E231" s="1919">
        <v>0.6710389256477356</v>
      </c>
      <c r="G231" s="1919">
        <v>0.59980154037475586</v>
      </c>
    </row>
    <row r="232" spans="1:12" x14ac:dyDescent="0.2">
      <c r="A232" s="1924">
        <v>1972</v>
      </c>
      <c r="B232" s="1918" t="s">
        <v>1191</v>
      </c>
      <c r="C232" s="1918" t="s">
        <v>39</v>
      </c>
      <c r="D232" s="1918" t="s">
        <v>1149</v>
      </c>
      <c r="E232" s="1919">
        <v>0.68324708938598633</v>
      </c>
      <c r="G232" s="1919">
        <v>0.61152148246765137</v>
      </c>
    </row>
    <row r="233" spans="1:12" x14ac:dyDescent="0.2">
      <c r="A233" s="1924">
        <v>1973</v>
      </c>
      <c r="B233" s="1918" t="s">
        <v>1191</v>
      </c>
      <c r="C233" s="1918" t="s">
        <v>39</v>
      </c>
      <c r="D233" s="1918" t="s">
        <v>1149</v>
      </c>
      <c r="E233" s="1919">
        <v>0.69521808624267578</v>
      </c>
      <c r="G233" s="1919">
        <v>0.62372231483459473</v>
      </c>
    </row>
    <row r="234" spans="1:12" x14ac:dyDescent="0.2">
      <c r="A234" s="1924">
        <v>1974</v>
      </c>
      <c r="B234" s="1918" t="s">
        <v>1191</v>
      </c>
      <c r="C234" s="1918" t="s">
        <v>39</v>
      </c>
      <c r="D234" s="1918" t="s">
        <v>1149</v>
      </c>
      <c r="E234" s="1919">
        <v>0.7056117057800293</v>
      </c>
      <c r="G234" s="1919">
        <v>0.63320451974868774</v>
      </c>
    </row>
    <row r="235" spans="1:12" x14ac:dyDescent="0.2">
      <c r="A235" s="1924">
        <v>1975</v>
      </c>
      <c r="B235" s="1918" t="s">
        <v>1191</v>
      </c>
      <c r="C235" s="1918" t="s">
        <v>39</v>
      </c>
      <c r="D235" s="1918" t="s">
        <v>1149</v>
      </c>
      <c r="E235" s="1919">
        <v>0.7104523777961731</v>
      </c>
      <c r="G235" s="1919">
        <v>0.63659036159515381</v>
      </c>
    </row>
    <row r="236" spans="1:12" x14ac:dyDescent="0.2">
      <c r="A236" s="1924">
        <v>1976</v>
      </c>
      <c r="B236" s="1918" t="s">
        <v>1191</v>
      </c>
      <c r="C236" s="1918" t="s">
        <v>39</v>
      </c>
      <c r="D236" s="1918" t="s">
        <v>1149</v>
      </c>
      <c r="E236" s="1919">
        <v>0.70346790552139282</v>
      </c>
      <c r="G236" s="1919">
        <v>0.63463717699050903</v>
      </c>
    </row>
    <row r="237" spans="1:12" x14ac:dyDescent="0.2">
      <c r="A237" s="1924">
        <v>1977</v>
      </c>
      <c r="B237" s="1918" t="s">
        <v>1191</v>
      </c>
      <c r="C237" s="1918" t="s">
        <v>39</v>
      </c>
      <c r="D237" s="1918" t="s">
        <v>1149</v>
      </c>
      <c r="E237" s="1919">
        <v>0.70552021265029907</v>
      </c>
      <c r="G237" s="1919">
        <v>0.63630497455596924</v>
      </c>
    </row>
    <row r="238" spans="1:12" x14ac:dyDescent="0.2">
      <c r="A238" s="1924">
        <v>1978</v>
      </c>
      <c r="B238" s="1918" t="s">
        <v>1191</v>
      </c>
      <c r="C238" s="1918" t="s">
        <v>39</v>
      </c>
      <c r="D238" s="1918" t="s">
        <v>1149</v>
      </c>
      <c r="E238" s="1919">
        <v>0.70454913377761841</v>
      </c>
      <c r="G238" s="1919">
        <v>0.63710510730743408</v>
      </c>
    </row>
    <row r="239" spans="1:12" x14ac:dyDescent="0.2">
      <c r="A239" s="1924">
        <v>1979</v>
      </c>
      <c r="B239" s="1918" t="s">
        <v>1191</v>
      </c>
      <c r="C239" s="1918" t="s">
        <v>39</v>
      </c>
      <c r="D239" s="1918" t="s">
        <v>1149</v>
      </c>
      <c r="E239" s="1919">
        <v>0.70284968614578247</v>
      </c>
      <c r="G239" s="1919">
        <v>0.63578200340270996</v>
      </c>
    </row>
    <row r="240" spans="1:12" x14ac:dyDescent="0.2">
      <c r="A240" s="1924">
        <v>1980</v>
      </c>
      <c r="B240" s="1918" t="s">
        <v>1191</v>
      </c>
      <c r="C240" s="1918" t="s">
        <v>39</v>
      </c>
      <c r="D240" s="1918" t="s">
        <v>1149</v>
      </c>
      <c r="E240" s="1919">
        <v>0.71616768836975098</v>
      </c>
      <c r="G240" s="1919">
        <v>0.65014982223510742</v>
      </c>
      <c r="H240" s="1919">
        <v>0.65659809112548828</v>
      </c>
      <c r="L240" s="1922"/>
    </row>
    <row r="241" spans="1:24" x14ac:dyDescent="0.2">
      <c r="A241" s="1924">
        <v>1981</v>
      </c>
      <c r="B241" s="1918" t="s">
        <v>1191</v>
      </c>
      <c r="C241" s="1918" t="s">
        <v>39</v>
      </c>
      <c r="D241" s="1918" t="s">
        <v>1149</v>
      </c>
      <c r="E241" s="1919">
        <v>0.72226446866989136</v>
      </c>
      <c r="G241" s="1919">
        <v>0.65517055988311768</v>
      </c>
      <c r="H241" s="1919">
        <v>0.66222071647644043</v>
      </c>
    </row>
    <row r="242" spans="1:24" x14ac:dyDescent="0.2">
      <c r="A242" s="1924">
        <v>1982</v>
      </c>
      <c r="B242" s="1918" t="s">
        <v>1191</v>
      </c>
      <c r="C242" s="1918" t="s">
        <v>39</v>
      </c>
      <c r="D242" s="1918" t="s">
        <v>1149</v>
      </c>
      <c r="E242" s="1919">
        <v>0.71579384803771973</v>
      </c>
      <c r="G242" s="1919">
        <v>0.64903092384338379</v>
      </c>
      <c r="H242" s="1919">
        <v>0.65385198593139648</v>
      </c>
    </row>
    <row r="243" spans="1:24" x14ac:dyDescent="0.2">
      <c r="A243" s="1924">
        <v>1983</v>
      </c>
      <c r="B243" s="1918" t="s">
        <v>1191</v>
      </c>
      <c r="C243" s="1918" t="s">
        <v>39</v>
      </c>
      <c r="D243" s="1918" t="s">
        <v>1149</v>
      </c>
      <c r="E243" s="1919">
        <v>0.699615478515625</v>
      </c>
      <c r="G243" s="1919">
        <v>0.63427513837814331</v>
      </c>
      <c r="H243" s="1919">
        <v>0.63810431957244873</v>
      </c>
    </row>
    <row r="244" spans="1:24" x14ac:dyDescent="0.2">
      <c r="A244" s="1924">
        <v>1984</v>
      </c>
      <c r="B244" s="1918" t="s">
        <v>1191</v>
      </c>
      <c r="C244" s="1918" t="s">
        <v>39</v>
      </c>
      <c r="D244" s="1918" t="s">
        <v>1149</v>
      </c>
      <c r="E244" s="1919">
        <v>0.69685220718383789</v>
      </c>
      <c r="G244" s="1919">
        <v>0.63027483224868774</v>
      </c>
      <c r="H244" s="1919">
        <v>0.63207763433456421</v>
      </c>
      <c r="J244" s="1925" t="s">
        <v>1155</v>
      </c>
      <c r="K244" s="1921" t="s">
        <v>1154</v>
      </c>
      <c r="L244" s="1925" t="s">
        <v>1153</v>
      </c>
      <c r="M244" s="1925" t="s">
        <v>1150</v>
      </c>
      <c r="N244" s="1925" t="s">
        <v>1152</v>
      </c>
      <c r="O244" s="1925" t="s">
        <v>1151</v>
      </c>
      <c r="P244" s="1925" t="s">
        <v>1150</v>
      </c>
      <c r="Q244" s="1925" t="s">
        <v>1150</v>
      </c>
      <c r="S244" s="1918" t="str">
        <f t="shared" ref="S244:V275" si="0">S496</f>
        <v>Profits booked in havens, US MNEs</v>
      </c>
      <c r="T244" s="1918" t="str">
        <f t="shared" si="0"/>
        <v>Global profits in havens</v>
      </c>
      <c r="U244" s="1918" t="str">
        <f t="shared" si="0"/>
        <v>Global profits</v>
      </c>
      <c r="V244" s="1918" t="str">
        <f t="shared" si="0"/>
        <v>Global multinational profits</v>
      </c>
      <c r="X244" s="1918" t="str">
        <f t="shared" ref="X244:X275" si="1">X496</f>
        <v>Share global profits in havens</v>
      </c>
    </row>
    <row r="245" spans="1:24" x14ac:dyDescent="0.2">
      <c r="A245" s="1924">
        <v>1985</v>
      </c>
      <c r="B245" s="1918" t="s">
        <v>1191</v>
      </c>
      <c r="C245" s="1918" t="s">
        <v>39</v>
      </c>
      <c r="D245" s="1918" t="s">
        <v>1149</v>
      </c>
      <c r="E245" s="1919">
        <v>0.68779897689819336</v>
      </c>
      <c r="F245" s="1926">
        <f t="shared" ref="F245:F254" si="2">1-(1-F246)*(1-E245)/(1-E246)</f>
        <v>0.61783895507893771</v>
      </c>
      <c r="G245" s="1919">
        <v>0.62101870775222778</v>
      </c>
      <c r="H245" s="1919">
        <v>0.62313723564147949</v>
      </c>
      <c r="J245" s="1923">
        <v>0</v>
      </c>
      <c r="K245" s="1922">
        <f>1-Tableau1[[#This Row],[Adjusted corporate sector labor share]]-J245</f>
        <v>0.38216104492106229</v>
      </c>
      <c r="L245" s="1919">
        <f t="shared" ref="L245:L274" si="3">L246*X245/X246</f>
        <v>8.5780925717451884E-2</v>
      </c>
      <c r="M245" s="1919">
        <f t="shared" ref="M245:M275" si="4">L245*371/616</f>
        <v>5.1663512079828972E-2</v>
      </c>
      <c r="N245" s="1919">
        <f t="shared" ref="N245:N275" si="5">L245*737/616</f>
        <v>0.10263075041195137</v>
      </c>
      <c r="O245" s="1919">
        <f t="shared" ref="O245:O275" si="6">$K245*(1+L245)/(1+$K245*L245)</f>
        <v>0.40177222455245931</v>
      </c>
      <c r="P245" s="1919">
        <f t="shared" ref="P245:P275" si="7">$K245*(1+M245)/(1+$K245*M245)</f>
        <v>0.39412334144155414</v>
      </c>
      <c r="Q245" s="1919">
        <f t="shared" ref="Q245:Q275" si="8">$K245*(1+N245)/(1+$K245*N245)</f>
        <v>0.40547903401739788</v>
      </c>
      <c r="S245" s="1918">
        <f t="shared" si="0"/>
        <v>14.034467783965514</v>
      </c>
      <c r="T245" s="1918">
        <f t="shared" si="0"/>
        <v>28.306545834075028</v>
      </c>
      <c r="U245" s="1918">
        <f t="shared" si="0"/>
        <v>1727.2222738821888</v>
      </c>
      <c r="V245" s="1918">
        <f t="shared" si="0"/>
        <v>61.931708457322088</v>
      </c>
      <c r="W245" s="1918">
        <f t="shared" ref="W245:W275" si="9">W497</f>
        <v>0.45706063241548422</v>
      </c>
      <c r="X245" s="1918">
        <f t="shared" si="1"/>
        <v>1.6388478924864638E-2</v>
      </c>
    </row>
    <row r="246" spans="1:24" x14ac:dyDescent="0.2">
      <c r="A246" s="1924">
        <v>1986</v>
      </c>
      <c r="B246" s="1918" t="s">
        <v>1191</v>
      </c>
      <c r="C246" s="1918" t="s">
        <v>39</v>
      </c>
      <c r="D246" s="1918" t="s">
        <v>1149</v>
      </c>
      <c r="E246" s="1919">
        <v>0.68192708492279053</v>
      </c>
      <c r="F246" s="1926">
        <f t="shared" si="2"/>
        <v>0.61065125162207945</v>
      </c>
      <c r="G246" s="1919">
        <v>0.61661827564239502</v>
      </c>
      <c r="H246" s="1919">
        <v>0.61943995952606201</v>
      </c>
      <c r="J246" s="1923">
        <v>0</v>
      </c>
      <c r="K246" s="1922">
        <f>1-Tableau1[[#This Row],[Adjusted corporate sector labor share]]-J246</f>
        <v>0.38934874837792055</v>
      </c>
      <c r="L246" s="1919">
        <f t="shared" si="3"/>
        <v>6.7019372167907418E-2</v>
      </c>
      <c r="M246" s="1919">
        <f t="shared" si="4"/>
        <v>4.0363940055671517E-2</v>
      </c>
      <c r="N246" s="1919">
        <f t="shared" si="5"/>
        <v>8.0183891700889229E-2</v>
      </c>
      <c r="O246" s="1919">
        <f t="shared" si="6"/>
        <v>0.40487781238931053</v>
      </c>
      <c r="P246" s="1919">
        <f t="shared" si="7"/>
        <v>0.39879704334725352</v>
      </c>
      <c r="Q246" s="1919">
        <f t="shared" si="8"/>
        <v>0.40783581683518211</v>
      </c>
      <c r="S246" s="1918">
        <f t="shared" si="0"/>
        <v>12.910644387503272</v>
      </c>
      <c r="T246" s="1918">
        <f t="shared" si="0"/>
        <v>26.039872172412611</v>
      </c>
      <c r="U246" s="1918">
        <f t="shared" si="0"/>
        <v>2033.7172606860956</v>
      </c>
      <c r="V246" s="1918">
        <f t="shared" si="0"/>
        <v>78.111115240509491</v>
      </c>
      <c r="W246" s="1918">
        <f t="shared" si="9"/>
        <v>0.33336961189497877</v>
      </c>
      <c r="X246" s="1918">
        <f t="shared" si="1"/>
        <v>1.2804076887083011E-2</v>
      </c>
    </row>
    <row r="247" spans="1:24" x14ac:dyDescent="0.2">
      <c r="A247" s="1924">
        <v>1987</v>
      </c>
      <c r="B247" s="1918" t="s">
        <v>1191</v>
      </c>
      <c r="C247" s="1918" t="s">
        <v>39</v>
      </c>
      <c r="D247" s="1918" t="s">
        <v>1149</v>
      </c>
      <c r="E247" s="1919">
        <v>0.69480991363525391</v>
      </c>
      <c r="F247" s="1926">
        <f t="shared" si="2"/>
        <v>0.62642094780494106</v>
      </c>
      <c r="G247" s="1919">
        <v>0.63092106580734253</v>
      </c>
      <c r="H247" s="1919">
        <v>0.63975018262863159</v>
      </c>
      <c r="J247" s="1923">
        <v>0</v>
      </c>
      <c r="K247" s="1922">
        <f>1-Tableau1[[#This Row],[Adjusted corporate sector labor share]]-J247</f>
        <v>0.37357905219505894</v>
      </c>
      <c r="L247" s="1919">
        <f t="shared" si="3"/>
        <v>7.9072604713997463E-2</v>
      </c>
      <c r="M247" s="1919">
        <f t="shared" si="4"/>
        <v>4.7623273293657564E-2</v>
      </c>
      <c r="N247" s="1919">
        <f t="shared" si="5"/>
        <v>9.460472349710411E-2</v>
      </c>
      <c r="O247" s="1919">
        <f t="shared" si="6"/>
        <v>0.39155251114118278</v>
      </c>
      <c r="P247" s="1919">
        <f t="shared" si="7"/>
        <v>0.38452893321047782</v>
      </c>
      <c r="Q247" s="1919">
        <f t="shared" si="8"/>
        <v>0.3949624951802797</v>
      </c>
      <c r="S247" s="1918">
        <f t="shared" si="0"/>
        <v>17.451331937947558</v>
      </c>
      <c r="T247" s="1918">
        <f t="shared" si="0"/>
        <v>35.19812328983032</v>
      </c>
      <c r="U247" s="1918">
        <f t="shared" si="0"/>
        <v>2329.9443322532161</v>
      </c>
      <c r="V247" s="1918">
        <f t="shared" si="0"/>
        <v>100.13077294187255</v>
      </c>
      <c r="W247" s="1918">
        <f t="shared" si="9"/>
        <v>0.35152153784195167</v>
      </c>
      <c r="X247" s="1918">
        <f t="shared" si="1"/>
        <v>1.5106851611253441E-2</v>
      </c>
    </row>
    <row r="248" spans="1:24" x14ac:dyDescent="0.2">
      <c r="A248" s="1924">
        <v>1988</v>
      </c>
      <c r="B248" s="1918" t="s">
        <v>1191</v>
      </c>
      <c r="C248" s="1918" t="s">
        <v>39</v>
      </c>
      <c r="D248" s="1918" t="s">
        <v>1149</v>
      </c>
      <c r="E248" s="1919">
        <v>0.68670940399169922</v>
      </c>
      <c r="F248" s="1926">
        <f t="shared" si="2"/>
        <v>0.6165052236378088</v>
      </c>
      <c r="G248" s="1919">
        <v>0.62377637624740601</v>
      </c>
      <c r="H248" s="1919">
        <v>0.63032776117324829</v>
      </c>
      <c r="J248" s="1923">
        <v>0</v>
      </c>
      <c r="K248" s="1922">
        <f>1-Tableau1[[#This Row],[Adjusted corporate sector labor share]]-J248</f>
        <v>0.3834947763621912</v>
      </c>
      <c r="L248" s="1919">
        <f t="shared" si="3"/>
        <v>6.8386640123182518E-2</v>
      </c>
      <c r="M248" s="1919">
        <f t="shared" si="4"/>
        <v>4.1187408256007647E-2</v>
      </c>
      <c r="N248" s="1919">
        <f t="shared" si="5"/>
        <v>8.1819730147379074E-2</v>
      </c>
      <c r="O248" s="1919">
        <f t="shared" si="6"/>
        <v>0.39924999742528167</v>
      </c>
      <c r="P248" s="1919">
        <f t="shared" si="7"/>
        <v>0.39308115416182388</v>
      </c>
      <c r="Q248" s="1919">
        <f t="shared" si="8"/>
        <v>0.40225062110444615</v>
      </c>
      <c r="S248" s="1918">
        <f t="shared" si="0"/>
        <v>17.273613414105295</v>
      </c>
      <c r="T248" s="1918">
        <f t="shared" si="0"/>
        <v>34.839677382358673</v>
      </c>
      <c r="U248" s="1918">
        <f t="shared" si="0"/>
        <v>2666.5819764218941</v>
      </c>
      <c r="V248" s="1918">
        <f t="shared" si="0"/>
        <v>131.19660550959392</v>
      </c>
      <c r="W248" s="1918">
        <f t="shared" si="9"/>
        <v>0.26555319207409656</v>
      </c>
      <c r="X248" s="1918">
        <f t="shared" si="1"/>
        <v>1.3065293956988218E-2</v>
      </c>
    </row>
    <row r="249" spans="1:24" x14ac:dyDescent="0.2">
      <c r="A249" s="1924">
        <v>1989</v>
      </c>
      <c r="B249" s="1918" t="s">
        <v>1191</v>
      </c>
      <c r="C249" s="1918" t="s">
        <v>39</v>
      </c>
      <c r="D249" s="1918" t="s">
        <v>1149</v>
      </c>
      <c r="E249" s="1919">
        <v>0.67724967002868652</v>
      </c>
      <c r="F249" s="1926">
        <f t="shared" si="2"/>
        <v>0.60492569138623986</v>
      </c>
      <c r="G249" s="1919">
        <v>0.6150774359703064</v>
      </c>
      <c r="H249" s="1919">
        <v>0.62126266956329346</v>
      </c>
      <c r="J249" s="1923">
        <v>0</v>
      </c>
      <c r="K249" s="1922">
        <f>1-Tableau1[[#This Row],[Adjusted corporate sector labor share]]-J249</f>
        <v>0.39507430861376014</v>
      </c>
      <c r="L249" s="1919">
        <f t="shared" si="3"/>
        <v>8.0704552254444464E-2</v>
      </c>
      <c r="M249" s="1919">
        <f t="shared" si="4"/>
        <v>4.8606150789608601E-2</v>
      </c>
      <c r="N249" s="1919">
        <f t="shared" si="5"/>
        <v>9.6557232161567488E-2</v>
      </c>
      <c r="O249" s="1919">
        <f t="shared" si="6"/>
        <v>0.41376596755120987</v>
      </c>
      <c r="P249" s="1919">
        <f t="shared" si="7"/>
        <v>0.40647185418043313</v>
      </c>
      <c r="Q249" s="1919">
        <f t="shared" si="8"/>
        <v>0.41730262937877549</v>
      </c>
      <c r="S249" s="1918">
        <f t="shared" si="0"/>
        <v>21.542412765591241</v>
      </c>
      <c r="T249" s="1918">
        <f t="shared" si="0"/>
        <v>43.4495489043384</v>
      </c>
      <c r="U249" s="1918">
        <f t="shared" si="0"/>
        <v>2817.989179937817</v>
      </c>
      <c r="V249" s="1918">
        <f t="shared" si="0"/>
        <v>138.74370684443437</v>
      </c>
      <c r="W249" s="1918">
        <f t="shared" si="9"/>
        <v>0.31316410590828436</v>
      </c>
      <c r="X249" s="1918">
        <f t="shared" si="1"/>
        <v>1.5418635817933544E-2</v>
      </c>
    </row>
    <row r="250" spans="1:24" x14ac:dyDescent="0.2">
      <c r="A250" s="1924">
        <v>1990</v>
      </c>
      <c r="B250" s="1918" t="s">
        <v>1191</v>
      </c>
      <c r="C250" s="1918" t="s">
        <v>39</v>
      </c>
      <c r="D250" s="1918" t="s">
        <v>1149</v>
      </c>
      <c r="E250" s="1919">
        <v>0.6715894341468811</v>
      </c>
      <c r="F250" s="1926">
        <f t="shared" si="2"/>
        <v>0.59799707328755713</v>
      </c>
      <c r="G250" s="1919">
        <v>0.61020106077194214</v>
      </c>
      <c r="H250" s="1919">
        <v>0.61942803859710693</v>
      </c>
      <c r="J250" s="1923">
        <v>0</v>
      </c>
      <c r="K250" s="1922">
        <f>1-Tableau1[[#This Row],[Adjusted corporate sector labor share]]-J250</f>
        <v>0.40200292671244287</v>
      </c>
      <c r="L250" s="1919">
        <f t="shared" si="3"/>
        <v>8.6371264483221757E-2</v>
      </c>
      <c r="M250" s="1919">
        <f t="shared" si="4"/>
        <v>5.2019057018304012E-2</v>
      </c>
      <c r="N250" s="1919">
        <f t="shared" si="5"/>
        <v>0.10333704857814031</v>
      </c>
      <c r="O250" s="1919">
        <f t="shared" si="6"/>
        <v>0.42206953982467482</v>
      </c>
      <c r="P250" s="1919">
        <f t="shared" si="7"/>
        <v>0.414251979871823</v>
      </c>
      <c r="Q250" s="1919">
        <f t="shared" si="8"/>
        <v>0.42585398338931252</v>
      </c>
      <c r="S250" s="1918">
        <f t="shared" si="0"/>
        <v>25.379522682576166</v>
      </c>
      <c r="T250" s="1918">
        <f t="shared" si="0"/>
        <v>51.188732848286129</v>
      </c>
      <c r="U250" s="1918">
        <f t="shared" si="0"/>
        <v>3102.1099226922647</v>
      </c>
      <c r="V250" s="1918">
        <f t="shared" si="0"/>
        <v>142.27723731158349</v>
      </c>
      <c r="W250" s="1918">
        <f t="shared" si="9"/>
        <v>0.35978160537503356</v>
      </c>
      <c r="X250" s="1918">
        <f t="shared" si="1"/>
        <v>1.6501263373626798E-2</v>
      </c>
    </row>
    <row r="251" spans="1:24" x14ac:dyDescent="0.2">
      <c r="A251" s="1924">
        <v>1991</v>
      </c>
      <c r="B251" s="1918" t="s">
        <v>1191</v>
      </c>
      <c r="C251" s="1918" t="s">
        <v>39</v>
      </c>
      <c r="D251" s="1918" t="s">
        <v>1149</v>
      </c>
      <c r="E251" s="1919">
        <v>0.6931912899017334</v>
      </c>
      <c r="F251" s="1926">
        <f t="shared" si="2"/>
        <v>0.62443961241023127</v>
      </c>
      <c r="G251" s="1919">
        <v>0.6118311882019043</v>
      </c>
      <c r="H251" s="1919">
        <v>0.65259885787963867</v>
      </c>
      <c r="J251" s="1923">
        <v>0</v>
      </c>
      <c r="K251" s="1922">
        <f>1-Tableau1[[#This Row],[Adjusted corporate sector labor share]]-J251</f>
        <v>0.37556038758976873</v>
      </c>
      <c r="L251" s="1919">
        <f t="shared" si="3"/>
        <v>7.8486750331729055E-2</v>
      </c>
      <c r="M251" s="1919">
        <f t="shared" si="4"/>
        <v>4.7270429177064088E-2</v>
      </c>
      <c r="N251" s="1919">
        <f t="shared" si="5"/>
        <v>9.390379057546154E-2</v>
      </c>
      <c r="O251" s="1919">
        <f t="shared" si="6"/>
        <v>0.39343967182273942</v>
      </c>
      <c r="P251" s="1919">
        <f t="shared" si="7"/>
        <v>0.3864526330716031</v>
      </c>
      <c r="Q251" s="1919">
        <f t="shared" si="8"/>
        <v>0.39683203708408588</v>
      </c>
      <c r="S251" s="1918">
        <f t="shared" si="0"/>
        <v>23.87178014511024</v>
      </c>
      <c r="T251" s="1918">
        <f t="shared" si="0"/>
        <v>48.14772096955106</v>
      </c>
      <c r="U251" s="1918">
        <f t="shared" si="0"/>
        <v>3210.9346651160845</v>
      </c>
      <c r="V251" s="1918">
        <f t="shared" si="0"/>
        <v>125.78863157366088</v>
      </c>
      <c r="W251" s="1918">
        <f t="shared" si="9"/>
        <v>0.38276687143508764</v>
      </c>
      <c r="X251" s="1918">
        <f t="shared" si="1"/>
        <v>1.4994923905687872E-2</v>
      </c>
    </row>
    <row r="252" spans="1:24" x14ac:dyDescent="0.2">
      <c r="A252" s="1924">
        <v>1992</v>
      </c>
      <c r="B252" s="1918" t="s">
        <v>1191</v>
      </c>
      <c r="C252" s="1918" t="s">
        <v>39</v>
      </c>
      <c r="D252" s="1918" t="s">
        <v>1149</v>
      </c>
      <c r="E252" s="1919">
        <v>0.71508771181106567</v>
      </c>
      <c r="F252" s="1926">
        <f t="shared" si="2"/>
        <v>0.65124272597393706</v>
      </c>
      <c r="G252" s="1919">
        <v>0.62808030843734741</v>
      </c>
      <c r="H252" s="1919">
        <v>0.6618044376373291</v>
      </c>
      <c r="J252" s="1923">
        <v>0</v>
      </c>
      <c r="K252" s="1922">
        <f>1-Tableau1[[#This Row],[Adjusted corporate sector labor share]]-J252</f>
        <v>0.34875727402606294</v>
      </c>
      <c r="L252" s="1919">
        <f t="shared" si="3"/>
        <v>6.9639467047736409E-2</v>
      </c>
      <c r="M252" s="1919">
        <f t="shared" si="4"/>
        <v>4.1941951744659429E-2</v>
      </c>
      <c r="N252" s="1919">
        <f t="shared" si="5"/>
        <v>8.3318648074970345E-2</v>
      </c>
      <c r="O252" s="1919">
        <f t="shared" si="6"/>
        <v>0.36419914158082045</v>
      </c>
      <c r="P252" s="1919">
        <f t="shared" si="7"/>
        <v>0.35814603194147415</v>
      </c>
      <c r="Q252" s="1919">
        <f t="shared" si="8"/>
        <v>0.3671467150212166</v>
      </c>
      <c r="S252" s="1918">
        <f t="shared" si="0"/>
        <v>22.234747148859213</v>
      </c>
      <c r="T252" s="1918">
        <f t="shared" si="0"/>
        <v>44.845939223811101</v>
      </c>
      <c r="U252" s="1918">
        <f t="shared" si="0"/>
        <v>3370.6974069576563</v>
      </c>
      <c r="V252" s="1918">
        <f t="shared" si="0"/>
        <v>126.75472791861176</v>
      </c>
      <c r="W252" s="1918">
        <f t="shared" si="9"/>
        <v>0.3538009189890442</v>
      </c>
      <c r="X252" s="1918">
        <f t="shared" si="1"/>
        <v>1.3304647023859792E-2</v>
      </c>
    </row>
    <row r="253" spans="1:24" x14ac:dyDescent="0.2">
      <c r="A253" s="1924">
        <v>1993</v>
      </c>
      <c r="B253" s="1918" t="s">
        <v>1191</v>
      </c>
      <c r="C253" s="1918" t="s">
        <v>39</v>
      </c>
      <c r="D253" s="1918" t="s">
        <v>1149</v>
      </c>
      <c r="E253" s="1919">
        <v>0.72348964214324951</v>
      </c>
      <c r="F253" s="1926">
        <f t="shared" si="2"/>
        <v>0.66152741512453694</v>
      </c>
      <c r="G253" s="1919">
        <v>0.63015007972717285</v>
      </c>
      <c r="H253" s="1919">
        <v>0.66065233945846558</v>
      </c>
      <c r="J253" s="1923">
        <v>0</v>
      </c>
      <c r="K253" s="1922">
        <f>1-Tableau1[[#This Row],[Adjusted corporate sector labor share]]-J253</f>
        <v>0.33847258487546306</v>
      </c>
      <c r="L253" s="1919">
        <f t="shared" si="3"/>
        <v>7.2209514871198907E-2</v>
      </c>
      <c r="M253" s="1919">
        <f t="shared" si="4"/>
        <v>4.3489821456517523E-2</v>
      </c>
      <c r="N253" s="1919">
        <f t="shared" si="5"/>
        <v>8.6393526720898686E-2</v>
      </c>
      <c r="O253" s="1919">
        <f t="shared" si="6"/>
        <v>0.35425519563748864</v>
      </c>
      <c r="P253" s="1919">
        <f t="shared" si="7"/>
        <v>0.34806908120168972</v>
      </c>
      <c r="Q253" s="1919">
        <f t="shared" si="8"/>
        <v>0.35726727264795777</v>
      </c>
      <c r="S253" s="1918">
        <f t="shared" si="0"/>
        <v>23.624275964765971</v>
      </c>
      <c r="T253" s="1918">
        <f t="shared" si="0"/>
        <v>47.648522244463344</v>
      </c>
      <c r="U253" s="1918">
        <f t="shared" si="0"/>
        <v>3453.878775252676</v>
      </c>
      <c r="V253" s="1918">
        <f t="shared" si="0"/>
        <v>148.2530785885088</v>
      </c>
      <c r="W253" s="1918">
        <f t="shared" si="9"/>
        <v>0.32139988388852664</v>
      </c>
      <c r="X253" s="1918">
        <f t="shared" si="1"/>
        <v>1.3795655651225777E-2</v>
      </c>
    </row>
    <row r="254" spans="1:24" x14ac:dyDescent="0.2">
      <c r="A254" s="1924">
        <v>1994</v>
      </c>
      <c r="B254" s="1918" t="s">
        <v>1191</v>
      </c>
      <c r="C254" s="1918" t="s">
        <v>39</v>
      </c>
      <c r="D254" s="1918" t="s">
        <v>1149</v>
      </c>
      <c r="E254" s="1919">
        <v>0.71622264385223389</v>
      </c>
      <c r="F254" s="1926">
        <f t="shared" si="2"/>
        <v>0.65263198091762065</v>
      </c>
      <c r="G254" s="1919">
        <v>0.6196025013923645</v>
      </c>
      <c r="H254" s="1919">
        <v>0.646678626537323</v>
      </c>
      <c r="J254" s="1923">
        <v>0</v>
      </c>
      <c r="K254" s="1922">
        <f>1-Tableau1[[#This Row],[Adjusted corporate sector labor share]]-J254</f>
        <v>0.34736801908237935</v>
      </c>
      <c r="L254" s="1919">
        <f t="shared" si="3"/>
        <v>7.5080764887826862E-2</v>
      </c>
      <c r="M254" s="1919">
        <f t="shared" si="4"/>
        <v>4.5219097034713905E-2</v>
      </c>
      <c r="N254" s="1919">
        <f t="shared" si="5"/>
        <v>8.9828772276507138E-2</v>
      </c>
      <c r="O254" s="1919">
        <f t="shared" si="6"/>
        <v>0.36395645241079244</v>
      </c>
      <c r="P254" s="1919">
        <f t="shared" si="7"/>
        <v>0.35746081143717529</v>
      </c>
      <c r="Q254" s="1919">
        <f t="shared" si="8"/>
        <v>0.36711629604018714</v>
      </c>
      <c r="S254" s="1918">
        <f t="shared" si="0"/>
        <v>27.228827910891635</v>
      </c>
      <c r="T254" s="1918">
        <f t="shared" si="0"/>
        <v>54.918652928783501</v>
      </c>
      <c r="U254" s="1918">
        <f t="shared" si="0"/>
        <v>3828.6288666460609</v>
      </c>
      <c r="V254" s="1918">
        <f t="shared" si="0"/>
        <v>187.68617174182157</v>
      </c>
      <c r="W254" s="1918">
        <f t="shared" si="9"/>
        <v>0.29260894619518812</v>
      </c>
      <c r="X254" s="1918">
        <f t="shared" si="1"/>
        <v>1.4344209073702437E-2</v>
      </c>
    </row>
    <row r="255" spans="1:24" x14ac:dyDescent="0.2">
      <c r="A255" s="1924">
        <v>1995</v>
      </c>
      <c r="B255" s="1918" t="s">
        <v>1191</v>
      </c>
      <c r="C255" s="1918" t="s">
        <v>39</v>
      </c>
      <c r="D255" s="1918" t="s">
        <v>1149</v>
      </c>
      <c r="E255" s="1919">
        <v>0.72060143947601318</v>
      </c>
      <c r="F255" s="1919">
        <v>0.65799200534820557</v>
      </c>
      <c r="G255" s="1919">
        <v>0.61979711055755615</v>
      </c>
      <c r="H255" s="1919">
        <v>0.64293104410171509</v>
      </c>
      <c r="J255" s="1923">
        <v>0</v>
      </c>
      <c r="K255" s="1922">
        <f>1-Tableau1[[#This Row],[Adjusted corporate sector labor share]]-J255</f>
        <v>0.34200799465179443</v>
      </c>
      <c r="L255" s="1919">
        <f t="shared" si="3"/>
        <v>9.1703091257364186E-2</v>
      </c>
      <c r="M255" s="1919">
        <f t="shared" si="4"/>
        <v>5.5230270870912521E-2</v>
      </c>
      <c r="N255" s="1919">
        <f t="shared" si="5"/>
        <v>0.10971619846863216</v>
      </c>
      <c r="O255" s="1919">
        <f t="shared" si="6"/>
        <v>0.36201717153726704</v>
      </c>
      <c r="P255" s="1919">
        <f t="shared" si="7"/>
        <v>0.35420651322662988</v>
      </c>
      <c r="Q255" s="1919">
        <f t="shared" si="8"/>
        <v>0.36580539689325681</v>
      </c>
      <c r="S255" s="1918">
        <f t="shared" si="0"/>
        <v>37.470160828559081</v>
      </c>
      <c r="T255" s="1918">
        <f t="shared" si="0"/>
        <v>75.574709438969379</v>
      </c>
      <c r="U255" s="1918">
        <f t="shared" si="0"/>
        <v>4313.6468971301183</v>
      </c>
      <c r="V255" s="1918">
        <f t="shared" si="0"/>
        <v>225.53837996703288</v>
      </c>
      <c r="W255" s="1918">
        <f t="shared" si="9"/>
        <v>0.33508580424323431</v>
      </c>
      <c r="X255" s="1918">
        <f t="shared" si="1"/>
        <v>1.7519910934121533E-2</v>
      </c>
    </row>
    <row r="256" spans="1:24" x14ac:dyDescent="0.2">
      <c r="A256" s="1924">
        <v>1996</v>
      </c>
      <c r="B256" s="1918" t="s">
        <v>1191</v>
      </c>
      <c r="C256" s="1918" t="s">
        <v>39</v>
      </c>
      <c r="D256" s="1918" t="s">
        <v>1149</v>
      </c>
      <c r="E256" s="1919">
        <v>0.72338491678237915</v>
      </c>
      <c r="F256" s="1919">
        <v>0.65434437990188599</v>
      </c>
      <c r="G256" s="1919">
        <v>0.61838799715042114</v>
      </c>
      <c r="H256" s="1919">
        <v>0.63870102167129517</v>
      </c>
      <c r="J256" s="1923">
        <v>0</v>
      </c>
      <c r="K256" s="1922">
        <f>1-Tableau1[[#This Row],[Adjusted corporate sector labor share]]-J256</f>
        <v>0.34565562009811401</v>
      </c>
      <c r="L256" s="1919">
        <f t="shared" si="3"/>
        <v>9.1772771741916281E-2</v>
      </c>
      <c r="M256" s="1919">
        <f t="shared" si="4"/>
        <v>5.5272237526381392E-2</v>
      </c>
      <c r="N256" s="1919">
        <f t="shared" si="5"/>
        <v>0.10979956619122126</v>
      </c>
      <c r="O256" s="1919">
        <f t="shared" si="6"/>
        <v>0.36577438202246149</v>
      </c>
      <c r="P256" s="1919">
        <f t="shared" si="7"/>
        <v>0.35792261104873768</v>
      </c>
      <c r="Q256" s="1919">
        <f t="shared" si="8"/>
        <v>0.36958178012602716</v>
      </c>
      <c r="S256" s="1918">
        <f t="shared" si="0"/>
        <v>38.904441850158591</v>
      </c>
      <c r="T256" s="1918">
        <f t="shared" si="0"/>
        <v>78.467554547298718</v>
      </c>
      <c r="U256" s="1918">
        <f t="shared" si="0"/>
        <v>4475.363866562715</v>
      </c>
      <c r="V256" s="1918">
        <f t="shared" si="0"/>
        <v>276.10143238204006</v>
      </c>
      <c r="W256" s="1918">
        <f t="shared" si="9"/>
        <v>0.28419828854318868</v>
      </c>
      <c r="X256" s="1918">
        <f t="shared" si="1"/>
        <v>1.7533223417555411E-2</v>
      </c>
    </row>
    <row r="257" spans="1:24" x14ac:dyDescent="0.2">
      <c r="A257" s="1924">
        <v>1997</v>
      </c>
      <c r="B257" s="1918" t="s">
        <v>1191</v>
      </c>
      <c r="C257" s="1918" t="s">
        <v>39</v>
      </c>
      <c r="D257" s="1918" t="s">
        <v>1149</v>
      </c>
      <c r="E257" s="1919">
        <v>0.71130985021591187</v>
      </c>
      <c r="F257" s="1919">
        <v>0.64585882425308228</v>
      </c>
      <c r="G257" s="1919">
        <v>0.60430961847305298</v>
      </c>
      <c r="H257" s="1919">
        <v>0.62244844436645508</v>
      </c>
      <c r="J257" s="1923">
        <v>0</v>
      </c>
      <c r="K257" s="1922">
        <f>1-Tableau1[[#This Row],[Adjusted corporate sector labor share]]-J257</f>
        <v>0.35414117574691772</v>
      </c>
      <c r="L257" s="1919">
        <f t="shared" si="3"/>
        <v>0.11373056092846837</v>
      </c>
      <c r="M257" s="1919">
        <f t="shared" si="4"/>
        <v>6.8496815104645711E-2</v>
      </c>
      <c r="N257" s="1919">
        <f t="shared" si="5"/>
        <v>0.1360704925394175</v>
      </c>
      <c r="O257" s="1919">
        <f t="shared" si="6"/>
        <v>0.37914706727149972</v>
      </c>
      <c r="P257" s="1919">
        <f t="shared" si="7"/>
        <v>0.36943708260046687</v>
      </c>
      <c r="Q257" s="1919">
        <f t="shared" si="8"/>
        <v>0.38383312624180133</v>
      </c>
      <c r="S257" s="1918">
        <f t="shared" si="0"/>
        <v>48.841844528700072</v>
      </c>
      <c r="T257" s="1918">
        <f t="shared" si="0"/>
        <v>98.510604894613934</v>
      </c>
      <c r="U257" s="1918">
        <f t="shared" si="0"/>
        <v>4533.7533177939222</v>
      </c>
      <c r="V257" s="1918">
        <f t="shared" si="0"/>
        <v>297.48187839215478</v>
      </c>
      <c r="W257" s="1918">
        <f t="shared" si="9"/>
        <v>0.33114825490227867</v>
      </c>
      <c r="X257" s="1918">
        <f t="shared" si="1"/>
        <v>2.1728267505861609E-2</v>
      </c>
    </row>
    <row r="258" spans="1:24" x14ac:dyDescent="0.2">
      <c r="A258" s="1924">
        <v>1998</v>
      </c>
      <c r="B258" s="1918" t="s">
        <v>1191</v>
      </c>
      <c r="C258" s="1918" t="s">
        <v>39</v>
      </c>
      <c r="D258" s="1918" t="s">
        <v>1149</v>
      </c>
      <c r="E258" s="1919">
        <v>0.70644462108612061</v>
      </c>
      <c r="F258" s="1919">
        <v>0.64356940984725952</v>
      </c>
      <c r="G258" s="1919">
        <v>0.59927010536193848</v>
      </c>
      <c r="H258" s="1919">
        <v>0.61363965272903442</v>
      </c>
      <c r="J258" s="1923">
        <v>0</v>
      </c>
      <c r="K258" s="1922">
        <f>1-Tableau1[[#This Row],[Adjusted corporate sector labor share]]-J258</f>
        <v>0.35643059015274048</v>
      </c>
      <c r="L258" s="1919">
        <f t="shared" si="3"/>
        <v>0.11807583288986427</v>
      </c>
      <c r="M258" s="1919">
        <f t="shared" si="4"/>
        <v>7.1113853899577348E-2</v>
      </c>
      <c r="N258" s="1919">
        <f t="shared" si="5"/>
        <v>0.14126930006465904</v>
      </c>
      <c r="O258" s="1919">
        <f t="shared" si="6"/>
        <v>0.3824218832217009</v>
      </c>
      <c r="P258" s="1919">
        <f t="shared" si="7"/>
        <v>0.3723399845422149</v>
      </c>
      <c r="Q258" s="1919">
        <f t="shared" si="8"/>
        <v>0.38728256722542037</v>
      </c>
      <c r="S258" s="1918">
        <f t="shared" si="0"/>
        <v>50.117759458311603</v>
      </c>
      <c r="T258" s="1918">
        <f t="shared" si="0"/>
        <v>101.08403660512688</v>
      </c>
      <c r="U258" s="1918">
        <f t="shared" si="0"/>
        <v>4480.9865499803163</v>
      </c>
      <c r="V258" s="1918">
        <f t="shared" si="0"/>
        <v>293.29385675233658</v>
      </c>
      <c r="W258" s="1918">
        <f t="shared" si="9"/>
        <v>0.34465105312616329</v>
      </c>
      <c r="X258" s="1918">
        <f t="shared" si="1"/>
        <v>2.2558433389087258E-2</v>
      </c>
    </row>
    <row r="259" spans="1:24" x14ac:dyDescent="0.2">
      <c r="A259" s="1924">
        <v>1999</v>
      </c>
      <c r="B259" s="1918" t="s">
        <v>1191</v>
      </c>
      <c r="C259" s="1918" t="s">
        <v>39</v>
      </c>
      <c r="D259" s="1918" t="s">
        <v>1149</v>
      </c>
      <c r="E259" s="1919">
        <v>0.71051925420761108</v>
      </c>
      <c r="F259" s="1919">
        <v>0.65288466215133667</v>
      </c>
      <c r="G259" s="1919">
        <v>0.60254877805709839</v>
      </c>
      <c r="H259" s="1919">
        <v>0.61808890104293823</v>
      </c>
      <c r="J259" s="1923">
        <v>0</v>
      </c>
      <c r="K259" s="1922">
        <f>1-Tableau1[[#This Row],[Adjusted corporate sector labor share]]-J259</f>
        <v>0.34711533784866333</v>
      </c>
      <c r="L259" s="1919">
        <f t="shared" si="3"/>
        <v>0.12818549987006875</v>
      </c>
      <c r="M259" s="1919">
        <f t="shared" si="4"/>
        <v>7.7202630603564124E-2</v>
      </c>
      <c r="N259" s="1919">
        <f t="shared" si="5"/>
        <v>0.15336479448740367</v>
      </c>
      <c r="O259" s="1919">
        <f t="shared" si="6"/>
        <v>0.3749280116648438</v>
      </c>
      <c r="P259" s="1919">
        <f t="shared" si="7"/>
        <v>0.36415485417507309</v>
      </c>
      <c r="Q259" s="1919">
        <f t="shared" si="8"/>
        <v>0.38011508043115988</v>
      </c>
      <c r="S259" s="1918">
        <f t="shared" si="0"/>
        <v>55.834709770599353</v>
      </c>
      <c r="T259" s="1918">
        <f t="shared" si="0"/>
        <v>112.61472793855896</v>
      </c>
      <c r="U259" s="1918">
        <f t="shared" si="0"/>
        <v>4598.4172157911598</v>
      </c>
      <c r="V259" s="1918">
        <f t="shared" si="0"/>
        <v>379.10198068083832</v>
      </c>
      <c r="W259" s="1918">
        <f t="shared" si="9"/>
        <v>0.29705655384947205</v>
      </c>
      <c r="X259" s="1918">
        <f t="shared" si="1"/>
        <v>2.4489889162696069E-2</v>
      </c>
    </row>
    <row r="260" spans="1:24" x14ac:dyDescent="0.2">
      <c r="A260" s="1924">
        <v>2000</v>
      </c>
      <c r="B260" s="1918" t="s">
        <v>1191</v>
      </c>
      <c r="C260" s="1918" t="s">
        <v>39</v>
      </c>
      <c r="D260" s="1918" t="s">
        <v>1149</v>
      </c>
      <c r="E260" s="1919">
        <v>0.72398543357849121</v>
      </c>
      <c r="F260" s="1919">
        <v>0.66684091091156006</v>
      </c>
      <c r="G260" s="1919">
        <v>0.61554664373397827</v>
      </c>
      <c r="H260" s="1919">
        <v>0.63174200057983398</v>
      </c>
      <c r="J260" s="1923">
        <v>0</v>
      </c>
      <c r="K260" s="1922">
        <f>1-Tableau1[[#This Row],[Adjusted corporate sector labor share]]-J260</f>
        <v>0.33315908908843994</v>
      </c>
      <c r="L260" s="1919">
        <f t="shared" si="3"/>
        <v>0.15414304978878632</v>
      </c>
      <c r="M260" s="1919">
        <f t="shared" si="4"/>
        <v>9.2836154986428124E-2</v>
      </c>
      <c r="N260" s="1919">
        <f t="shared" si="5"/>
        <v>0.18442114885444078</v>
      </c>
      <c r="O260" s="1919">
        <f t="shared" si="6"/>
        <v>0.36573141809418619</v>
      </c>
      <c r="P260" s="1919">
        <f t="shared" si="7"/>
        <v>0.35316517836513961</v>
      </c>
      <c r="Q260" s="1919">
        <f t="shared" si="8"/>
        <v>0.37175919782642514</v>
      </c>
      <c r="S260" s="1918">
        <f t="shared" si="0"/>
        <v>67.474187044692101</v>
      </c>
      <c r="T260" s="1918">
        <f t="shared" si="0"/>
        <v>136.09074441566446</v>
      </c>
      <c r="U260" s="1918">
        <f t="shared" si="0"/>
        <v>4621.2208480454574</v>
      </c>
      <c r="V260" s="1918">
        <f t="shared" si="0"/>
        <v>440.6241509117329</v>
      </c>
      <c r="W260" s="1918">
        <f t="shared" si="9"/>
        <v>0.30885902221670675</v>
      </c>
      <c r="X260" s="1918">
        <f t="shared" si="1"/>
        <v>2.9449089080696926E-2</v>
      </c>
    </row>
    <row r="261" spans="1:24" x14ac:dyDescent="0.2">
      <c r="A261" s="1924">
        <v>2001</v>
      </c>
      <c r="B261" s="1918" t="s">
        <v>1191</v>
      </c>
      <c r="C261" s="1918" t="s">
        <v>39</v>
      </c>
      <c r="D261" s="1918" t="s">
        <v>1149</v>
      </c>
      <c r="E261" s="1919">
        <v>0.71260464191436768</v>
      </c>
      <c r="F261" s="1919">
        <v>0.6529240608215332</v>
      </c>
      <c r="G261" s="1919">
        <v>0.60586631298065186</v>
      </c>
      <c r="H261" s="1919">
        <v>0.61406636238098145</v>
      </c>
      <c r="J261" s="1923">
        <v>0</v>
      </c>
      <c r="K261" s="1922">
        <f>1-Tableau1[[#This Row],[Adjusted corporate sector labor share]]-J261</f>
        <v>0.3470759391784668</v>
      </c>
      <c r="L261" s="1919">
        <f t="shared" si="3"/>
        <v>0.15314820097385257</v>
      </c>
      <c r="M261" s="1919">
        <f t="shared" si="4"/>
        <v>9.2236984677433936E-2</v>
      </c>
      <c r="N261" s="1919">
        <f t="shared" si="5"/>
        <v>0.18323088330800216</v>
      </c>
      <c r="O261" s="1919">
        <f t="shared" si="6"/>
        <v>0.38002986619471507</v>
      </c>
      <c r="P261" s="1919">
        <f t="shared" si="7"/>
        <v>0.36732976213194113</v>
      </c>
      <c r="Q261" s="1919">
        <f t="shared" si="8"/>
        <v>0.38611591644752685</v>
      </c>
      <c r="S261" s="1918">
        <f t="shared" si="0"/>
        <v>66.254123658257882</v>
      </c>
      <c r="T261" s="1918">
        <f t="shared" si="0"/>
        <v>133.62996138490112</v>
      </c>
      <c r="U261" s="1918">
        <f t="shared" si="0"/>
        <v>4567.1368506129529</v>
      </c>
      <c r="V261" s="1918">
        <f t="shared" si="0"/>
        <v>369.95715089507036</v>
      </c>
      <c r="W261" s="1918">
        <f t="shared" si="9"/>
        <v>0.36120388823840338</v>
      </c>
      <c r="X261" s="1918">
        <f t="shared" si="1"/>
        <v>2.9259022831112827E-2</v>
      </c>
    </row>
    <row r="262" spans="1:24" x14ac:dyDescent="0.2">
      <c r="A262" s="1924">
        <v>2002</v>
      </c>
      <c r="B262" s="1918" t="s">
        <v>1191</v>
      </c>
      <c r="C262" s="1918" t="s">
        <v>39</v>
      </c>
      <c r="D262" s="1918" t="s">
        <v>1149</v>
      </c>
      <c r="E262" s="1919">
        <v>0.70696502923965454</v>
      </c>
      <c r="F262" s="1919">
        <v>0.64928716421127319</v>
      </c>
      <c r="G262" s="1919">
        <v>0.59981733560562134</v>
      </c>
      <c r="H262" s="1919">
        <v>0.60733050107955933</v>
      </c>
      <c r="J262" s="1923">
        <v>0</v>
      </c>
      <c r="K262" s="1922">
        <f>1-Tableau1[[#This Row],[Adjusted corporate sector labor share]]-J262</f>
        <v>0.35071283578872681</v>
      </c>
      <c r="L262" s="1919">
        <f t="shared" si="3"/>
        <v>0.15342853343708771</v>
      </c>
      <c r="M262" s="1919">
        <f t="shared" si="4"/>
        <v>9.240582127460964E-2</v>
      </c>
      <c r="N262" s="1919">
        <f t="shared" si="5"/>
        <v>0.18356628107651565</v>
      </c>
      <c r="O262" s="1919">
        <f t="shared" si="6"/>
        <v>0.38386657844509764</v>
      </c>
      <c r="P262" s="1919">
        <f t="shared" si="7"/>
        <v>0.37109435193456569</v>
      </c>
      <c r="Q262" s="1919">
        <f t="shared" si="8"/>
        <v>0.38998502121361578</v>
      </c>
      <c r="S262" s="1918">
        <f t="shared" si="0"/>
        <v>70.845822104414538</v>
      </c>
      <c r="T262" s="1918">
        <f t="shared" si="0"/>
        <v>142.89109793265692</v>
      </c>
      <c r="U262" s="1918">
        <f t="shared" si="0"/>
        <v>4874.7362295790444</v>
      </c>
      <c r="V262" s="1918">
        <f t="shared" si="0"/>
        <v>414.23877240473689</v>
      </c>
      <c r="W262" s="1918">
        <f t="shared" si="9"/>
        <v>0.34494863216966926</v>
      </c>
      <c r="X262" s="1918">
        <f t="shared" si="1"/>
        <v>2.9312580456275522E-2</v>
      </c>
    </row>
    <row r="263" spans="1:24" x14ac:dyDescent="0.2">
      <c r="A263" s="1924">
        <v>2003</v>
      </c>
      <c r="B263" s="1918" t="s">
        <v>1191</v>
      </c>
      <c r="C263" s="1918" t="s">
        <v>39</v>
      </c>
      <c r="D263" s="1918" t="s">
        <v>1149</v>
      </c>
      <c r="E263" s="1919">
        <v>0.70577061176300049</v>
      </c>
      <c r="F263" s="1919">
        <v>0.65120059251785278</v>
      </c>
      <c r="G263" s="1919">
        <v>0.59629726409912109</v>
      </c>
      <c r="H263" s="1919">
        <v>0.60372769832611084</v>
      </c>
      <c r="J263" s="1923">
        <v>0</v>
      </c>
      <c r="K263" s="1922">
        <f>1-Tableau1[[#This Row],[Adjusted corporate sector labor share]]-J263</f>
        <v>0.34879940748214722</v>
      </c>
      <c r="L263" s="1919">
        <f t="shared" si="3"/>
        <v>0.15418837519482459</v>
      </c>
      <c r="M263" s="1919">
        <f t="shared" si="4"/>
        <v>9.2863453242337538E-2</v>
      </c>
      <c r="N263" s="1919">
        <f t="shared" si="5"/>
        <v>0.18447537746523657</v>
      </c>
      <c r="O263" s="1919">
        <f t="shared" si="6"/>
        <v>0.38203411570715773</v>
      </c>
      <c r="P263" s="1919">
        <f t="shared" si="7"/>
        <v>0.3692304846413505</v>
      </c>
      <c r="Q263" s="1919">
        <f t="shared" si="8"/>
        <v>0.38816769725956629</v>
      </c>
      <c r="S263" s="1918">
        <f t="shared" si="0"/>
        <v>82.129832910581314</v>
      </c>
      <c r="T263" s="1918">
        <f t="shared" si="0"/>
        <v>165.65016325623745</v>
      </c>
      <c r="U263" s="1918">
        <f t="shared" si="0"/>
        <v>5623.3137831522918</v>
      </c>
      <c r="V263" s="1918">
        <f t="shared" si="0"/>
        <v>582.85807630747797</v>
      </c>
      <c r="W263" s="1918">
        <f t="shared" si="9"/>
        <v>0.28420325631526672</v>
      </c>
      <c r="X263" s="1918">
        <f t="shared" si="1"/>
        <v>2.945774851699242E-2</v>
      </c>
    </row>
    <row r="264" spans="1:24" x14ac:dyDescent="0.2">
      <c r="A264" s="1924">
        <v>2004</v>
      </c>
      <c r="B264" s="1918" t="s">
        <v>1191</v>
      </c>
      <c r="C264" s="1918" t="s">
        <v>39</v>
      </c>
      <c r="D264" s="1918" t="s">
        <v>1149</v>
      </c>
      <c r="E264" s="1919">
        <v>0.69113367795944214</v>
      </c>
      <c r="F264" s="1919">
        <v>0.63728201389312744</v>
      </c>
      <c r="G264" s="1919">
        <v>0.58027511835098267</v>
      </c>
      <c r="H264" s="1919">
        <v>0.58606737852096558</v>
      </c>
      <c r="J264" s="1923">
        <v>0</v>
      </c>
      <c r="K264" s="1922">
        <f>1-Tableau1[[#This Row],[Adjusted corporate sector labor share]]-J264</f>
        <v>0.36271798610687256</v>
      </c>
      <c r="L264" s="1919">
        <f t="shared" si="3"/>
        <v>0.18955446316079066</v>
      </c>
      <c r="M264" s="1919">
        <f t="shared" si="4"/>
        <v>0.11416348349456711</v>
      </c>
      <c r="N264" s="1919">
        <f t="shared" si="5"/>
        <v>0.22678837556737455</v>
      </c>
      <c r="O264" s="1919">
        <f t="shared" si="6"/>
        <v>0.40371542091714618</v>
      </c>
      <c r="P264" s="1919">
        <f t="shared" si="7"/>
        <v>0.38805798411204556</v>
      </c>
      <c r="Q264" s="1919">
        <f t="shared" si="8"/>
        <v>0.4111563924893526</v>
      </c>
      <c r="S264" s="1918">
        <f t="shared" si="0"/>
        <v>118.38626227759964</v>
      </c>
      <c r="T264" s="1918">
        <f t="shared" si="0"/>
        <v>238.77686071675367</v>
      </c>
      <c r="U264" s="1918">
        <f t="shared" si="0"/>
        <v>6593.4133819685367</v>
      </c>
      <c r="V264" s="1918">
        <f t="shared" si="0"/>
        <v>879.34979617921624</v>
      </c>
      <c r="W264" s="1918">
        <f t="shared" si="9"/>
        <v>0.27153797243627231</v>
      </c>
      <c r="X264" s="1918">
        <f t="shared" si="1"/>
        <v>3.6214453255692003E-2</v>
      </c>
    </row>
    <row r="265" spans="1:24" x14ac:dyDescent="0.2">
      <c r="A265" s="1924">
        <v>2005</v>
      </c>
      <c r="B265" s="1918" t="s">
        <v>1191</v>
      </c>
      <c r="C265" s="1918" t="s">
        <v>39</v>
      </c>
      <c r="D265" s="1918" t="s">
        <v>1149</v>
      </c>
      <c r="E265" s="1919">
        <v>0.68415874242782593</v>
      </c>
      <c r="F265" s="1919">
        <v>0.63371545076370239</v>
      </c>
      <c r="G265" s="1919">
        <v>0.57108008861541748</v>
      </c>
      <c r="H265" s="1919">
        <v>0.58014893531799316</v>
      </c>
      <c r="J265" s="1923">
        <v>0</v>
      </c>
      <c r="K265" s="1922">
        <f>1-Tableau1[[#This Row],[Adjusted corporate sector labor share]]-J265</f>
        <v>0.36628454923629761</v>
      </c>
      <c r="L265" s="1919">
        <f t="shared" si="3"/>
        <v>0.18039756519163569</v>
      </c>
      <c r="M265" s="1919">
        <f t="shared" si="4"/>
        <v>0.10864853358132605</v>
      </c>
      <c r="N265" s="1919">
        <f t="shared" si="5"/>
        <v>0.21583280121142129</v>
      </c>
      <c r="O265" s="1919">
        <f t="shared" si="6"/>
        <v>0.40556306404827053</v>
      </c>
      <c r="P265" s="1919">
        <f t="shared" si="7"/>
        <v>0.39053883585450927</v>
      </c>
      <c r="Q265" s="1919">
        <f t="shared" si="8"/>
        <v>0.41271322212825595</v>
      </c>
      <c r="S265" s="1918">
        <f t="shared" si="0"/>
        <v>124.02786834530129</v>
      </c>
      <c r="T265" s="1918">
        <f t="shared" si="0"/>
        <v>250.15558794684105</v>
      </c>
      <c r="U265" s="1918">
        <f t="shared" si="0"/>
        <v>7258.2449171998196</v>
      </c>
      <c r="V265" s="1918">
        <f t="shared" si="0"/>
        <v>1154.5272410233706</v>
      </c>
      <c r="W265" s="1918">
        <f t="shared" si="9"/>
        <v>0.21667361241741134</v>
      </c>
      <c r="X265" s="1918">
        <f t="shared" si="1"/>
        <v>3.4465024368914424E-2</v>
      </c>
    </row>
    <row r="266" spans="1:24" x14ac:dyDescent="0.2">
      <c r="A266" s="1924">
        <v>2006</v>
      </c>
      <c r="B266" s="1918" t="s">
        <v>1191</v>
      </c>
      <c r="C266" s="1918" t="s">
        <v>39</v>
      </c>
      <c r="D266" s="1918" t="s">
        <v>1149</v>
      </c>
      <c r="E266" s="1919">
        <v>0.6647983193397522</v>
      </c>
      <c r="F266" s="1919">
        <v>0.61149787902832031</v>
      </c>
      <c r="G266" s="1919">
        <v>0.55763900279998779</v>
      </c>
      <c r="H266" s="1919">
        <v>0.56461793184280396</v>
      </c>
      <c r="J266" s="1923">
        <v>0</v>
      </c>
      <c r="K266" s="1922">
        <f>1-Tableau1[[#This Row],[Adjusted corporate sector labor share]]-J266</f>
        <v>0.38850212097167969</v>
      </c>
      <c r="L266" s="1919">
        <f t="shared" si="3"/>
        <v>0.19694126162038098</v>
      </c>
      <c r="M266" s="1919">
        <f t="shared" si="4"/>
        <v>0.11861235074863855</v>
      </c>
      <c r="N266" s="1919">
        <f t="shared" si="5"/>
        <v>0.23562615229581294</v>
      </c>
      <c r="O266" s="1919">
        <f t="shared" si="6"/>
        <v>0.43196376496681466</v>
      </c>
      <c r="P266" s="1919">
        <f t="shared" si="7"/>
        <v>0.41543934796811011</v>
      </c>
      <c r="Q266" s="1919">
        <f t="shared" si="8"/>
        <v>0.43978491562354866</v>
      </c>
      <c r="S266" s="1918">
        <f t="shared" si="0"/>
        <v>148.91481702384974</v>
      </c>
      <c r="T266" s="1918">
        <f t="shared" si="0"/>
        <v>300.35083327309843</v>
      </c>
      <c r="U266" s="1918">
        <f t="shared" si="0"/>
        <v>7982.5970480585947</v>
      </c>
      <c r="V266" s="1918">
        <f t="shared" si="0"/>
        <v>1340.0586449522318</v>
      </c>
      <c r="W266" s="1918">
        <f t="shared" si="9"/>
        <v>0.22413260375168495</v>
      </c>
      <c r="X266" s="1918">
        <f t="shared" si="1"/>
        <v>3.7625703948835194E-2</v>
      </c>
    </row>
    <row r="267" spans="1:24" x14ac:dyDescent="0.2">
      <c r="A267" s="1924">
        <v>2007</v>
      </c>
      <c r="B267" s="1918" t="s">
        <v>1191</v>
      </c>
      <c r="C267" s="1918" t="s">
        <v>39</v>
      </c>
      <c r="D267" s="1918" t="s">
        <v>1149</v>
      </c>
      <c r="E267" s="1919">
        <v>0.65313863754272461</v>
      </c>
      <c r="F267" s="1919">
        <v>0.60110706090927124</v>
      </c>
      <c r="G267" s="1919">
        <v>0.55076736211776733</v>
      </c>
      <c r="H267" s="1919">
        <v>0.55587857961654663</v>
      </c>
      <c r="J267" s="1923">
        <v>0</v>
      </c>
      <c r="K267" s="1922">
        <f>1-Tableau1[[#This Row],[Adjusted corporate sector labor share]]-J267</f>
        <v>0.39889293909072876</v>
      </c>
      <c r="L267" s="1919">
        <f t="shared" si="3"/>
        <v>0.20168137180136761</v>
      </c>
      <c r="M267" s="1919">
        <f t="shared" si="4"/>
        <v>0.12146718983491459</v>
      </c>
      <c r="N267" s="1919">
        <f t="shared" si="5"/>
        <v>0.24129735554806483</v>
      </c>
      <c r="O267" s="1919">
        <f t="shared" si="6"/>
        <v>0.44365082680856416</v>
      </c>
      <c r="P267" s="1919">
        <f t="shared" si="7"/>
        <v>0.42667205644084616</v>
      </c>
      <c r="Q267" s="1919">
        <f t="shared" si="8"/>
        <v>0.4516706338032298</v>
      </c>
      <c r="S267" s="1918">
        <f t="shared" si="0"/>
        <v>171.52669486799655</v>
      </c>
      <c r="T267" s="1918">
        <f t="shared" si="0"/>
        <v>345.95741889091039</v>
      </c>
      <c r="U267" s="1918">
        <f t="shared" si="0"/>
        <v>8978.6066013275668</v>
      </c>
      <c r="V267" s="1918">
        <f t="shared" si="0"/>
        <v>1626.0616625384382</v>
      </c>
      <c r="W267" s="1918">
        <f t="shared" si="9"/>
        <v>0.21275787189449979</v>
      </c>
      <c r="X267" s="1918">
        <f t="shared" si="1"/>
        <v>3.8531303826114569E-2</v>
      </c>
    </row>
    <row r="268" spans="1:24" x14ac:dyDescent="0.2">
      <c r="A268" s="1924">
        <v>2008</v>
      </c>
      <c r="B268" s="1918" t="s">
        <v>1191</v>
      </c>
      <c r="C268" s="1918" t="s">
        <v>39</v>
      </c>
      <c r="D268" s="1918" t="s">
        <v>1149</v>
      </c>
      <c r="E268" s="1919">
        <v>0.67016744613647461</v>
      </c>
      <c r="F268" s="1919">
        <v>0.61607480049133301</v>
      </c>
      <c r="G268" s="1919">
        <v>0.5658220648765564</v>
      </c>
      <c r="H268" s="1919">
        <v>0.57534343004226685</v>
      </c>
      <c r="J268" s="1923">
        <v>0</v>
      </c>
      <c r="K268" s="1922">
        <f>1-Tableau1[[#This Row],[Adjusted corporate sector labor share]]-J268</f>
        <v>0.38392519950866699</v>
      </c>
      <c r="L268" s="1919">
        <f t="shared" si="3"/>
        <v>0.1898123197182455</v>
      </c>
      <c r="M268" s="1919">
        <f t="shared" si="4"/>
        <v>0.11431878346667058</v>
      </c>
      <c r="N268" s="1919">
        <f t="shared" si="5"/>
        <v>0.2270968825200437</v>
      </c>
      <c r="O268" s="1919">
        <f t="shared" si="6"/>
        <v>0.42577138231249589</v>
      </c>
      <c r="P268" s="1919">
        <f t="shared" si="7"/>
        <v>0.40982777679389076</v>
      </c>
      <c r="Q268" s="1919">
        <f t="shared" si="8"/>
        <v>0.43333197374225946</v>
      </c>
      <c r="S268" s="1918">
        <f t="shared" si="0"/>
        <v>174.07824202076597</v>
      </c>
      <c r="T268" s="1918">
        <f t="shared" si="0"/>
        <v>351.10371211267329</v>
      </c>
      <c r="U268" s="1918">
        <f t="shared" si="0"/>
        <v>9681.9560322836423</v>
      </c>
      <c r="V268" s="1918">
        <f t="shared" si="0"/>
        <v>1451.1898023409158</v>
      </c>
      <c r="W268" s="1918">
        <f t="shared" si="9"/>
        <v>0.24194196482521274</v>
      </c>
      <c r="X268" s="1918">
        <f t="shared" si="1"/>
        <v>3.6263716850391432E-2</v>
      </c>
    </row>
    <row r="269" spans="1:24" x14ac:dyDescent="0.2">
      <c r="A269" s="1924">
        <v>2009</v>
      </c>
      <c r="B269" s="1918" t="s">
        <v>1191</v>
      </c>
      <c r="C269" s="1918" t="s">
        <v>39</v>
      </c>
      <c r="D269" s="1918" t="s">
        <v>1149</v>
      </c>
      <c r="E269" s="1919">
        <v>0.71153932809829712</v>
      </c>
      <c r="F269" s="1919">
        <v>0.6555330753326416</v>
      </c>
      <c r="G269" s="1919">
        <v>0.59657442569732666</v>
      </c>
      <c r="H269" s="1919">
        <v>0.59956562519073486</v>
      </c>
      <c r="J269" s="1923">
        <v>0</v>
      </c>
      <c r="K269" s="1922">
        <f>1-Tableau1[[#This Row],[Adjusted corporate sector labor share]]-J269</f>
        <v>0.3444669246673584</v>
      </c>
      <c r="L269" s="1919">
        <f t="shared" si="3"/>
        <v>0.22226589044588579</v>
      </c>
      <c r="M269" s="1919">
        <f t="shared" si="4"/>
        <v>0.13386468401854487</v>
      </c>
      <c r="N269" s="1919">
        <f t="shared" si="5"/>
        <v>0.26592526178347048</v>
      </c>
      <c r="O269" s="1919">
        <f t="shared" si="6"/>
        <v>0.39108726151615014</v>
      </c>
      <c r="P269" s="1919">
        <f t="shared" si="7"/>
        <v>0.37336240967625212</v>
      </c>
      <c r="Q269" s="1919">
        <f t="shared" si="8"/>
        <v>0.39947636517473378</v>
      </c>
      <c r="S269" s="1918">
        <f t="shared" si="0"/>
        <v>190.92460470417925</v>
      </c>
      <c r="T269" s="1918">
        <f t="shared" si="0"/>
        <v>385.08165447400091</v>
      </c>
      <c r="U269" s="1918">
        <f t="shared" si="0"/>
        <v>9068.4297083077108</v>
      </c>
      <c r="V269" s="1918">
        <f t="shared" si="0"/>
        <v>1351.0670902278241</v>
      </c>
      <c r="W269" s="1918">
        <f t="shared" si="9"/>
        <v>0.28502037926855756</v>
      </c>
      <c r="X269" s="1918">
        <f t="shared" si="1"/>
        <v>4.2463984048001432E-2</v>
      </c>
    </row>
    <row r="270" spans="1:24" x14ac:dyDescent="0.2">
      <c r="A270" s="1924">
        <v>2010</v>
      </c>
      <c r="B270" s="1918" t="s">
        <v>1191</v>
      </c>
      <c r="C270" s="1918" t="s">
        <v>39</v>
      </c>
      <c r="D270" s="1918" t="s">
        <v>1149</v>
      </c>
      <c r="E270" s="1919">
        <v>0.68476206064224243</v>
      </c>
      <c r="F270" s="1919">
        <v>0.63600486516952515</v>
      </c>
      <c r="G270" s="1919">
        <v>0.57591426372528076</v>
      </c>
      <c r="H270" s="1919">
        <v>0.58708482980728149</v>
      </c>
      <c r="J270" s="1923">
        <v>0</v>
      </c>
      <c r="K270" s="1922">
        <f>1-Tableau1[[#This Row],[Adjusted corporate sector labor share]]-J270</f>
        <v>0.36399513483047485</v>
      </c>
      <c r="L270" s="1919">
        <f t="shared" si="3"/>
        <v>0.20751842002603002</v>
      </c>
      <c r="M270" s="1919">
        <f t="shared" si="4"/>
        <v>0.12498268478840445</v>
      </c>
      <c r="N270" s="1919">
        <f t="shared" si="5"/>
        <v>0.24828096681685735</v>
      </c>
      <c r="O270" s="1919">
        <f t="shared" si="6"/>
        <v>0.40866224341757712</v>
      </c>
      <c r="P270" s="1919">
        <f t="shared" si="7"/>
        <v>0.39166994814326062</v>
      </c>
      <c r="Q270" s="1919">
        <f t="shared" si="8"/>
        <v>0.41670893552631671</v>
      </c>
      <c r="S270" s="1918">
        <f t="shared" si="0"/>
        <v>204.31658274936669</v>
      </c>
      <c r="T270" s="1918">
        <f t="shared" si="0"/>
        <v>412.09234317130421</v>
      </c>
      <c r="U270" s="1918">
        <f t="shared" si="0"/>
        <v>10394.173810299038</v>
      </c>
      <c r="V270" s="1918">
        <f t="shared" si="0"/>
        <v>1784.5592123315012</v>
      </c>
      <c r="W270" s="1918">
        <f t="shared" si="9"/>
        <v>0.23092108142094733</v>
      </c>
      <c r="X270" s="1918">
        <f t="shared" si="1"/>
        <v>3.9646474139482218E-2</v>
      </c>
    </row>
    <row r="271" spans="1:24" x14ac:dyDescent="0.2">
      <c r="A271" s="1924">
        <v>2011</v>
      </c>
      <c r="B271" s="1918" t="s">
        <v>1191</v>
      </c>
      <c r="C271" s="1918" t="s">
        <v>39</v>
      </c>
      <c r="D271" s="1918" t="s">
        <v>1149</v>
      </c>
      <c r="E271" s="1919">
        <v>0.68563753366470337</v>
      </c>
      <c r="F271" s="1919">
        <v>0.63244563341140747</v>
      </c>
      <c r="G271" s="1919">
        <v>0.57768934965133667</v>
      </c>
      <c r="H271" s="1919">
        <v>0.58830952644348145</v>
      </c>
      <c r="J271" s="1923">
        <v>0</v>
      </c>
      <c r="K271" s="1922">
        <f>1-Tableau1[[#This Row],[Adjusted corporate sector labor share]]-J271</f>
        <v>0.36755436658859253</v>
      </c>
      <c r="L271" s="1919">
        <f t="shared" si="3"/>
        <v>0.21542691579340631</v>
      </c>
      <c r="M271" s="1919">
        <f t="shared" si="4"/>
        <v>0.12974575610284697</v>
      </c>
      <c r="N271" s="1919">
        <f t="shared" si="5"/>
        <v>0.25774291710996827</v>
      </c>
      <c r="O271" s="1919">
        <f t="shared" si="6"/>
        <v>0.41395783218123727</v>
      </c>
      <c r="P271" s="1919">
        <f t="shared" si="7"/>
        <v>0.39634198384901537</v>
      </c>
      <c r="Q271" s="1919">
        <f t="shared" si="8"/>
        <v>0.42228402101265738</v>
      </c>
      <c r="S271" s="1918">
        <f t="shared" si="0"/>
        <v>233.38379203830584</v>
      </c>
      <c r="T271" s="1918">
        <f t="shared" si="0"/>
        <v>470.71888353402846</v>
      </c>
      <c r="U271" s="1918">
        <f t="shared" si="0"/>
        <v>11437.042603226486</v>
      </c>
      <c r="V271" s="1918">
        <f t="shared" si="0"/>
        <v>1934.2740680795559</v>
      </c>
      <c r="W271" s="1918">
        <f t="shared" si="9"/>
        <v>0.2433568703122726</v>
      </c>
      <c r="X271" s="1918">
        <f t="shared" si="1"/>
        <v>4.1157395304380062E-2</v>
      </c>
    </row>
    <row r="272" spans="1:24" x14ac:dyDescent="0.2">
      <c r="A272" s="1924">
        <v>2012</v>
      </c>
      <c r="B272" s="1918" t="s">
        <v>1191</v>
      </c>
      <c r="C272" s="1918" t="s">
        <v>39</v>
      </c>
      <c r="D272" s="1918" t="s">
        <v>1149</v>
      </c>
      <c r="E272" s="1919">
        <v>0.69583731889724731</v>
      </c>
      <c r="F272" s="1919">
        <v>0.64999532699584961</v>
      </c>
      <c r="G272" s="1919">
        <v>0.58782041072845459</v>
      </c>
      <c r="H272" s="1919">
        <v>0.60587471723556519</v>
      </c>
      <c r="J272" s="1923">
        <v>0</v>
      </c>
      <c r="K272" s="1922">
        <f>1-Tableau1[[#This Row],[Adjusted corporate sector labor share]]-J272</f>
        <v>0.35000467300415039</v>
      </c>
      <c r="L272" s="1919">
        <f t="shared" si="3"/>
        <v>0.22659601259780685</v>
      </c>
      <c r="M272" s="1919">
        <f t="shared" si="4"/>
        <v>0.13647259849640639</v>
      </c>
      <c r="N272" s="1919">
        <f t="shared" si="5"/>
        <v>0.27110594364380464</v>
      </c>
      <c r="O272" s="1919">
        <f t="shared" si="6"/>
        <v>0.39776752761344369</v>
      </c>
      <c r="P272" s="1919">
        <f t="shared" si="7"/>
        <v>0.37963696311195599</v>
      </c>
      <c r="Q272" s="1919">
        <f t="shared" si="8"/>
        <v>0.40633642810693837</v>
      </c>
      <c r="S272" s="1918">
        <f t="shared" si="0"/>
        <v>245.64589657937114</v>
      </c>
      <c r="T272" s="1918">
        <f t="shared" si="0"/>
        <v>495.45069592312711</v>
      </c>
      <c r="U272" s="1918">
        <f t="shared" si="0"/>
        <v>11444.590589474463</v>
      </c>
      <c r="V272" s="1918">
        <f t="shared" si="0"/>
        <v>1820.351698336842</v>
      </c>
      <c r="W272" s="1918">
        <f t="shared" si="9"/>
        <v>0.27217306214826176</v>
      </c>
      <c r="X272" s="1918">
        <f t="shared" si="1"/>
        <v>4.3291255554287006E-2</v>
      </c>
    </row>
    <row r="273" spans="1:24" x14ac:dyDescent="0.2">
      <c r="A273" s="1924">
        <v>2013</v>
      </c>
      <c r="B273" s="1918" t="s">
        <v>1191</v>
      </c>
      <c r="C273" s="1918" t="s">
        <v>39</v>
      </c>
      <c r="D273" s="1918" t="s">
        <v>1149</v>
      </c>
      <c r="E273" s="1919">
        <v>0.6959039568901062</v>
      </c>
      <c r="F273" s="1919">
        <v>0.64978182315826416</v>
      </c>
      <c r="G273" s="1919">
        <v>0.59076261520385742</v>
      </c>
      <c r="H273" s="1919">
        <v>0.61052143573760986</v>
      </c>
      <c r="J273" s="1923">
        <v>0</v>
      </c>
      <c r="K273" s="1922">
        <f>1-Tableau1[[#This Row],[Adjusted corporate sector labor share]]-J273</f>
        <v>0.35021817684173584</v>
      </c>
      <c r="L273" s="1919">
        <f t="shared" si="3"/>
        <v>0.21858610835766526</v>
      </c>
      <c r="M273" s="1919">
        <f t="shared" si="4"/>
        <v>0.13164845162450295</v>
      </c>
      <c r="N273" s="1919">
        <f t="shared" si="5"/>
        <v>0.26152266535649238</v>
      </c>
      <c r="O273" s="1919">
        <f t="shared" si="6"/>
        <v>0.39642365330739304</v>
      </c>
      <c r="P273" s="1919">
        <f t="shared" si="7"/>
        <v>0.37885642422281079</v>
      </c>
      <c r="Q273" s="1919">
        <f t="shared" si="8"/>
        <v>0.4047381998025284</v>
      </c>
      <c r="S273" s="1918">
        <f t="shared" si="0"/>
        <v>243.93071213397585</v>
      </c>
      <c r="T273" s="1918">
        <f t="shared" si="0"/>
        <v>491.99128813760746</v>
      </c>
      <c r="U273" s="1918">
        <f t="shared" si="0"/>
        <v>11781.129673645861</v>
      </c>
      <c r="V273" s="1918">
        <f t="shared" si="0"/>
        <v>1891.539644452339</v>
      </c>
      <c r="W273" s="1918">
        <f t="shared" si="9"/>
        <v>0.26010096567659019</v>
      </c>
      <c r="X273" s="1918">
        <f t="shared" si="1"/>
        <v>4.1760960261576753E-2</v>
      </c>
    </row>
    <row r="274" spans="1:24" x14ac:dyDescent="0.2">
      <c r="A274" s="1924">
        <v>2014</v>
      </c>
      <c r="B274" s="1918" t="s">
        <v>1191</v>
      </c>
      <c r="C274" s="1918" t="s">
        <v>39</v>
      </c>
      <c r="D274" s="1918" t="s">
        <v>1149</v>
      </c>
      <c r="E274" s="1919">
        <v>0.68952298164367676</v>
      </c>
      <c r="F274" s="1919">
        <v>0.64468085765838623</v>
      </c>
      <c r="G274" s="1919">
        <v>0.58841502666473389</v>
      </c>
      <c r="H274" s="1919">
        <v>0.60757124423980713</v>
      </c>
      <c r="J274" s="1923">
        <v>0</v>
      </c>
      <c r="K274" s="1922">
        <f>1-Tableau1[[#This Row],[Adjusted corporate sector labor share]]-J274</f>
        <v>0.35531914234161377</v>
      </c>
      <c r="L274" s="1919">
        <f t="shared" si="3"/>
        <v>0.23721803372251854</v>
      </c>
      <c r="M274" s="1919">
        <f t="shared" si="4"/>
        <v>0.14286995212833503</v>
      </c>
      <c r="N274" s="1919">
        <f t="shared" si="5"/>
        <v>0.28381443320372757</v>
      </c>
      <c r="O274" s="1919">
        <f t="shared" si="6"/>
        <v>0.40543398684419224</v>
      </c>
      <c r="P274" s="1919">
        <f t="shared" si="7"/>
        <v>0.38646490121493221</v>
      </c>
      <c r="Q274" s="1919">
        <f t="shared" si="8"/>
        <v>0.41437619940528531</v>
      </c>
      <c r="S274" s="1918">
        <f t="shared" si="0"/>
        <v>271.68945901670236</v>
      </c>
      <c r="T274" s="1918">
        <f t="shared" si="0"/>
        <v>547.97875079223809</v>
      </c>
      <c r="U274" s="1918">
        <f t="shared" si="0"/>
        <v>12091.163613652559</v>
      </c>
      <c r="V274" s="1918">
        <f t="shared" si="0"/>
        <v>1965.6631759746599</v>
      </c>
      <c r="W274" s="1918">
        <f t="shared" si="9"/>
        <v>0.27877550817958768</v>
      </c>
      <c r="X274" s="1918">
        <f t="shared" si="1"/>
        <v>4.5320596784704487E-2</v>
      </c>
    </row>
    <row r="275" spans="1:24" x14ac:dyDescent="0.2">
      <c r="A275" s="1924">
        <v>2015</v>
      </c>
      <c r="B275" s="1918" t="s">
        <v>1191</v>
      </c>
      <c r="C275" s="1918" t="s">
        <v>39</v>
      </c>
      <c r="D275" s="1918" t="s">
        <v>1149</v>
      </c>
      <c r="E275" s="1919">
        <v>0.68619120121002197</v>
      </c>
      <c r="F275" s="1919">
        <v>0.64965802431106567</v>
      </c>
      <c r="G275" s="1919">
        <v>0.58731698989868164</v>
      </c>
      <c r="H275" s="1919">
        <v>0.61011648178100586</v>
      </c>
      <c r="I275" s="1922"/>
      <c r="J275" s="1923">
        <v>0</v>
      </c>
      <c r="K275" s="1922">
        <f>1-Tableau1[[#This Row],[Adjusted corporate sector labor share]]-J275</f>
        <v>0.35034197568893433</v>
      </c>
      <c r="L275" s="1921">
        <v>0.28000000000000003</v>
      </c>
      <c r="M275" s="1919">
        <f t="shared" si="4"/>
        <v>0.16863636363636364</v>
      </c>
      <c r="N275" s="1919">
        <f t="shared" si="5"/>
        <v>0.33500000000000002</v>
      </c>
      <c r="O275" s="1919">
        <f t="shared" si="6"/>
        <v>0.4083776187804446</v>
      </c>
      <c r="P275" s="1919">
        <f t="shared" si="7"/>
        <v>0.38658290129034772</v>
      </c>
      <c r="Q275" s="1919">
        <f t="shared" si="8"/>
        <v>0.41858007091967309</v>
      </c>
      <c r="S275" s="1918">
        <f t="shared" si="0"/>
        <v>305.41459228542641</v>
      </c>
      <c r="T275" s="1918">
        <f t="shared" si="0"/>
        <v>616</v>
      </c>
      <c r="U275" s="1918">
        <f t="shared" si="0"/>
        <v>11515.286894140656</v>
      </c>
      <c r="V275" s="1918">
        <f t="shared" si="0"/>
        <v>1703.2290592571803</v>
      </c>
      <c r="W275" s="1918">
        <f t="shared" si="9"/>
        <v>0.3616659759601874</v>
      </c>
      <c r="X275" s="1918">
        <f t="shared" si="1"/>
        <v>5.3494107933467157E-2</v>
      </c>
    </row>
    <row r="276" spans="1:24" x14ac:dyDescent="0.2">
      <c r="A276" s="1924">
        <v>1970</v>
      </c>
      <c r="B276" s="1918" t="s">
        <v>779</v>
      </c>
      <c r="C276" s="1918" t="s">
        <v>35</v>
      </c>
      <c r="D276" s="1918" t="s">
        <v>1159</v>
      </c>
      <c r="E276" s="1919">
        <v>0.67940211296081543</v>
      </c>
      <c r="G276" s="1919">
        <v>0.57921379804611206</v>
      </c>
    </row>
    <row r="277" spans="1:24" x14ac:dyDescent="0.2">
      <c r="A277" s="1924">
        <v>1971</v>
      </c>
      <c r="B277" s="1918" t="s">
        <v>779</v>
      </c>
      <c r="C277" s="1918" t="s">
        <v>35</v>
      </c>
      <c r="D277" s="1918" t="s">
        <v>1159</v>
      </c>
      <c r="E277" s="1919">
        <v>0.69389164447784424</v>
      </c>
      <c r="G277" s="1919">
        <v>0.59165233373641968</v>
      </c>
    </row>
    <row r="278" spans="1:24" x14ac:dyDescent="0.2">
      <c r="A278" s="1924">
        <v>1972</v>
      </c>
      <c r="B278" s="1918" t="s">
        <v>779</v>
      </c>
      <c r="C278" s="1918" t="s">
        <v>35</v>
      </c>
      <c r="D278" s="1918" t="s">
        <v>1159</v>
      </c>
      <c r="E278" s="1919">
        <v>0.67907005548477173</v>
      </c>
      <c r="G278" s="1919">
        <v>0.57970583438873291</v>
      </c>
    </row>
    <row r="279" spans="1:24" x14ac:dyDescent="0.2">
      <c r="A279" s="1924">
        <v>1973</v>
      </c>
      <c r="B279" s="1918" t="s">
        <v>779</v>
      </c>
      <c r="C279" s="1918" t="s">
        <v>35</v>
      </c>
      <c r="D279" s="1918" t="s">
        <v>1159</v>
      </c>
      <c r="E279" s="1919">
        <v>0.67506217956542969</v>
      </c>
      <c r="G279" s="1919">
        <v>0.57618993520736694</v>
      </c>
    </row>
    <row r="280" spans="1:24" x14ac:dyDescent="0.2">
      <c r="A280" s="1924">
        <v>1974</v>
      </c>
      <c r="B280" s="1918" t="s">
        <v>779</v>
      </c>
      <c r="C280" s="1918" t="s">
        <v>35</v>
      </c>
      <c r="D280" s="1918" t="s">
        <v>1159</v>
      </c>
      <c r="E280" s="1919">
        <v>0.71539682149887085</v>
      </c>
      <c r="G280" s="1919">
        <v>0.61062735319137573</v>
      </c>
    </row>
    <row r="281" spans="1:24" x14ac:dyDescent="0.2">
      <c r="A281" s="1924">
        <v>1975</v>
      </c>
      <c r="B281" s="1918" t="s">
        <v>779</v>
      </c>
      <c r="C281" s="1918" t="s">
        <v>35</v>
      </c>
      <c r="D281" s="1918" t="s">
        <v>1159</v>
      </c>
      <c r="E281" s="1919">
        <v>0.70823174715042114</v>
      </c>
      <c r="G281" s="1919">
        <v>0.5992777943611145</v>
      </c>
    </row>
    <row r="282" spans="1:24" x14ac:dyDescent="0.2">
      <c r="A282" s="1924">
        <v>1976</v>
      </c>
      <c r="B282" s="1918" t="s">
        <v>779</v>
      </c>
      <c r="C282" s="1918" t="s">
        <v>35</v>
      </c>
      <c r="D282" s="1918" t="s">
        <v>1159</v>
      </c>
      <c r="E282" s="1919">
        <v>0.71271127462387085</v>
      </c>
      <c r="G282" s="1919">
        <v>0.60613644123077393</v>
      </c>
    </row>
    <row r="283" spans="1:24" x14ac:dyDescent="0.2">
      <c r="A283" s="1924">
        <v>1977</v>
      </c>
      <c r="B283" s="1918" t="s">
        <v>779</v>
      </c>
      <c r="C283" s="1918" t="s">
        <v>35</v>
      </c>
      <c r="D283" s="1918" t="s">
        <v>1159</v>
      </c>
      <c r="E283" s="1919">
        <v>0.72507399320602417</v>
      </c>
      <c r="G283" s="1919">
        <v>0.61554080247879028</v>
      </c>
    </row>
    <row r="284" spans="1:24" x14ac:dyDescent="0.2">
      <c r="A284" s="1924">
        <v>1978</v>
      </c>
      <c r="B284" s="1918" t="s">
        <v>779</v>
      </c>
      <c r="C284" s="1918" t="s">
        <v>35</v>
      </c>
      <c r="D284" s="1918" t="s">
        <v>1159</v>
      </c>
      <c r="E284" s="1919">
        <v>0.73437970876693726</v>
      </c>
      <c r="G284" s="1919">
        <v>0.62434989213943481</v>
      </c>
    </row>
    <row r="285" spans="1:24" x14ac:dyDescent="0.2">
      <c r="A285" s="1924">
        <v>1979</v>
      </c>
      <c r="B285" s="1918" t="s">
        <v>779</v>
      </c>
      <c r="C285" s="1918" t="s">
        <v>35</v>
      </c>
      <c r="D285" s="1918" t="s">
        <v>1159</v>
      </c>
      <c r="E285" s="1919">
        <v>0.74302279949188232</v>
      </c>
      <c r="G285" s="1919">
        <v>0.63856405019760132</v>
      </c>
    </row>
    <row r="286" spans="1:24" x14ac:dyDescent="0.2">
      <c r="A286" s="1924">
        <v>1980</v>
      </c>
      <c r="B286" s="1918" t="s">
        <v>779</v>
      </c>
      <c r="C286" s="1918" t="s">
        <v>35</v>
      </c>
      <c r="D286" s="1918" t="s">
        <v>1159</v>
      </c>
      <c r="E286" s="1919">
        <v>0.75104951858520508</v>
      </c>
      <c r="G286" s="1919">
        <v>0.64891141653060913</v>
      </c>
    </row>
    <row r="287" spans="1:24" x14ac:dyDescent="0.2">
      <c r="A287" s="1924">
        <v>1981</v>
      </c>
      <c r="B287" s="1918" t="s">
        <v>779</v>
      </c>
      <c r="C287" s="1918" t="s">
        <v>35</v>
      </c>
      <c r="D287" s="1918" t="s">
        <v>1159</v>
      </c>
      <c r="E287" s="1919">
        <v>0.73932838439941406</v>
      </c>
      <c r="G287" s="1919">
        <v>0.63937586545944214</v>
      </c>
      <c r="H287" s="1919">
        <v>0.6628413200378418</v>
      </c>
    </row>
    <row r="288" spans="1:24" x14ac:dyDescent="0.2">
      <c r="A288" s="1924">
        <v>1982</v>
      </c>
      <c r="B288" s="1918" t="s">
        <v>779</v>
      </c>
      <c r="C288" s="1918" t="s">
        <v>35</v>
      </c>
      <c r="D288" s="1918" t="s">
        <v>1159</v>
      </c>
      <c r="E288" s="1919">
        <v>0.7137678861618042</v>
      </c>
      <c r="G288" s="1919">
        <v>0.61988365650177002</v>
      </c>
      <c r="H288" s="1919">
        <v>0.64404213428497314</v>
      </c>
    </row>
    <row r="289" spans="1:8" x14ac:dyDescent="0.2">
      <c r="A289" s="1924">
        <v>1983</v>
      </c>
      <c r="B289" s="1918" t="s">
        <v>779</v>
      </c>
      <c r="C289" s="1918" t="s">
        <v>35</v>
      </c>
      <c r="D289" s="1918" t="s">
        <v>1159</v>
      </c>
      <c r="E289" s="1919">
        <v>0.70023095607757568</v>
      </c>
      <c r="G289" s="1919">
        <v>0.61104816198348999</v>
      </c>
      <c r="H289" s="1919">
        <v>0.6308971643447876</v>
      </c>
    </row>
    <row r="290" spans="1:8" x14ac:dyDescent="0.2">
      <c r="A290" s="1924">
        <v>1984</v>
      </c>
      <c r="B290" s="1918" t="s">
        <v>779</v>
      </c>
      <c r="C290" s="1918" t="s">
        <v>35</v>
      </c>
      <c r="D290" s="1918" t="s">
        <v>1159</v>
      </c>
      <c r="E290" s="1919">
        <v>0.68818175792694092</v>
      </c>
      <c r="G290" s="1919">
        <v>0.60485053062438965</v>
      </c>
      <c r="H290" s="1919">
        <v>0.61708259582519531</v>
      </c>
    </row>
    <row r="291" spans="1:8" x14ac:dyDescent="0.2">
      <c r="A291" s="1924">
        <v>1985</v>
      </c>
      <c r="B291" s="1918" t="s">
        <v>779</v>
      </c>
      <c r="C291" s="1918" t="s">
        <v>35</v>
      </c>
      <c r="D291" s="1918" t="s">
        <v>1159</v>
      </c>
      <c r="E291" s="1919">
        <v>0.68514925241470337</v>
      </c>
      <c r="G291" s="1919">
        <v>0.6055762767791748</v>
      </c>
      <c r="H291" s="1919">
        <v>0.61555451154708862</v>
      </c>
    </row>
    <row r="292" spans="1:8" x14ac:dyDescent="0.2">
      <c r="A292" s="1924">
        <v>1986</v>
      </c>
      <c r="B292" s="1918" t="s">
        <v>779</v>
      </c>
      <c r="C292" s="1918" t="s">
        <v>35</v>
      </c>
      <c r="D292" s="1918" t="s">
        <v>1159</v>
      </c>
      <c r="E292" s="1919">
        <v>0.69465667009353638</v>
      </c>
      <c r="G292" s="1919">
        <v>0.61709147691726685</v>
      </c>
      <c r="H292" s="1919">
        <v>0.63511902093887329</v>
      </c>
    </row>
    <row r="293" spans="1:8" x14ac:dyDescent="0.2">
      <c r="A293" s="1924">
        <v>1987</v>
      </c>
      <c r="B293" s="1918" t="s">
        <v>779</v>
      </c>
      <c r="C293" s="1918" t="s">
        <v>35</v>
      </c>
      <c r="D293" s="1918" t="s">
        <v>1159</v>
      </c>
      <c r="E293" s="1919">
        <v>0.71944504976272583</v>
      </c>
      <c r="G293" s="1919">
        <v>0.63980698585510254</v>
      </c>
      <c r="H293" s="1919">
        <v>0.65289890766143799</v>
      </c>
    </row>
    <row r="294" spans="1:8" x14ac:dyDescent="0.2">
      <c r="A294" s="1924">
        <v>1988</v>
      </c>
      <c r="B294" s="1918" t="s">
        <v>779</v>
      </c>
      <c r="C294" s="1918" t="s">
        <v>35</v>
      </c>
      <c r="D294" s="1918" t="s">
        <v>1159</v>
      </c>
      <c r="E294" s="1919">
        <v>0.72882634401321411</v>
      </c>
      <c r="G294" s="1919">
        <v>0.64845854043960571</v>
      </c>
      <c r="H294" s="1919">
        <v>0.6554112434387207</v>
      </c>
    </row>
    <row r="295" spans="1:8" x14ac:dyDescent="0.2">
      <c r="A295" s="1924">
        <v>1989</v>
      </c>
      <c r="B295" s="1918" t="s">
        <v>779</v>
      </c>
      <c r="C295" s="1918" t="s">
        <v>35</v>
      </c>
      <c r="D295" s="1918" t="s">
        <v>1159</v>
      </c>
      <c r="E295" s="1919">
        <v>0.71058899164199829</v>
      </c>
      <c r="G295" s="1919">
        <v>0.63445717096328735</v>
      </c>
      <c r="H295" s="1919">
        <v>0.63834273815155029</v>
      </c>
    </row>
    <row r="296" spans="1:8" x14ac:dyDescent="0.2">
      <c r="A296" s="1924">
        <v>1990</v>
      </c>
      <c r="B296" s="1918" t="s">
        <v>779</v>
      </c>
      <c r="C296" s="1918" t="s">
        <v>35</v>
      </c>
      <c r="D296" s="1918" t="s">
        <v>1159</v>
      </c>
      <c r="E296" s="1919">
        <v>0.69825255870819092</v>
      </c>
      <c r="G296" s="1919">
        <v>0.62831383943557739</v>
      </c>
      <c r="H296" s="1919">
        <v>0.63180619478225708</v>
      </c>
    </row>
    <row r="297" spans="1:8" x14ac:dyDescent="0.2">
      <c r="A297" s="1924">
        <v>1991</v>
      </c>
      <c r="B297" s="1918" t="s">
        <v>779</v>
      </c>
      <c r="C297" s="1918" t="s">
        <v>35</v>
      </c>
      <c r="D297" s="1918" t="s">
        <v>1159</v>
      </c>
      <c r="E297" s="1919">
        <v>0.68480420112609863</v>
      </c>
      <c r="G297" s="1919">
        <v>0.6161653995513916</v>
      </c>
      <c r="H297" s="1919">
        <v>0.62038582563400269</v>
      </c>
    </row>
    <row r="298" spans="1:8" x14ac:dyDescent="0.2">
      <c r="A298" s="1924">
        <v>1992</v>
      </c>
      <c r="B298" s="1918" t="s">
        <v>779</v>
      </c>
      <c r="C298" s="1918" t="s">
        <v>35</v>
      </c>
      <c r="D298" s="1918" t="s">
        <v>1159</v>
      </c>
      <c r="E298" s="1919">
        <v>0.67695528268814087</v>
      </c>
      <c r="G298" s="1919">
        <v>0.60652881860733032</v>
      </c>
      <c r="H298" s="1919">
        <v>0.61171972751617432</v>
      </c>
    </row>
    <row r="299" spans="1:8" x14ac:dyDescent="0.2">
      <c r="A299" s="1924">
        <v>1993</v>
      </c>
      <c r="B299" s="1918" t="s">
        <v>779</v>
      </c>
      <c r="C299" s="1918" t="s">
        <v>35</v>
      </c>
      <c r="D299" s="1918" t="s">
        <v>1159</v>
      </c>
      <c r="E299" s="1919">
        <v>0.67833524942398071</v>
      </c>
      <c r="G299" s="1919">
        <v>0.60619246959686279</v>
      </c>
      <c r="H299" s="1919">
        <v>0.60937780141830444</v>
      </c>
    </row>
    <row r="300" spans="1:8" x14ac:dyDescent="0.2">
      <c r="A300" s="1924">
        <v>1994</v>
      </c>
      <c r="B300" s="1918" t="s">
        <v>779</v>
      </c>
      <c r="C300" s="1918" t="s">
        <v>35</v>
      </c>
      <c r="D300" s="1918" t="s">
        <v>1159</v>
      </c>
      <c r="E300" s="1919">
        <v>0.6476064920425415</v>
      </c>
      <c r="G300" s="1919">
        <v>0.57946646213531494</v>
      </c>
      <c r="H300" s="1919">
        <v>0.58143901824951172</v>
      </c>
    </row>
    <row r="301" spans="1:8" x14ac:dyDescent="0.2">
      <c r="A301" s="1924">
        <v>1995</v>
      </c>
      <c r="B301" s="1918" t="s">
        <v>779</v>
      </c>
      <c r="C301" s="1918" t="s">
        <v>35</v>
      </c>
      <c r="D301" s="1918" t="s">
        <v>1159</v>
      </c>
      <c r="E301" s="1919">
        <v>0.65388941764831543</v>
      </c>
      <c r="F301" s="1919">
        <v>0.5993993878364563</v>
      </c>
      <c r="G301" s="1919">
        <v>0.58701759576797485</v>
      </c>
      <c r="H301" s="1919">
        <v>0.58739012479782104</v>
      </c>
    </row>
    <row r="302" spans="1:8" x14ac:dyDescent="0.2">
      <c r="A302" s="1924">
        <v>1996</v>
      </c>
      <c r="B302" s="1918" t="s">
        <v>779</v>
      </c>
      <c r="C302" s="1918" t="s">
        <v>35</v>
      </c>
      <c r="D302" s="1918" t="s">
        <v>1159</v>
      </c>
      <c r="E302" s="1919">
        <v>0.65950262546539307</v>
      </c>
      <c r="F302" s="1919">
        <v>0.60391730070114136</v>
      </c>
      <c r="G302" s="1919">
        <v>0.59096699953079224</v>
      </c>
      <c r="H302" s="1919">
        <v>0.59233188629150391</v>
      </c>
    </row>
    <row r="303" spans="1:8" x14ac:dyDescent="0.2">
      <c r="A303" s="1924">
        <v>1997</v>
      </c>
      <c r="B303" s="1918" t="s">
        <v>779</v>
      </c>
      <c r="C303" s="1918" t="s">
        <v>35</v>
      </c>
      <c r="D303" s="1918" t="s">
        <v>1159</v>
      </c>
      <c r="E303" s="1919">
        <v>0.64891999959945679</v>
      </c>
      <c r="F303" s="1919">
        <v>0.59593003988265991</v>
      </c>
      <c r="G303" s="1919">
        <v>0.58464610576629639</v>
      </c>
      <c r="H303" s="1919">
        <v>0.58468127250671387</v>
      </c>
    </row>
    <row r="304" spans="1:8" x14ac:dyDescent="0.2">
      <c r="A304" s="1924">
        <v>1998</v>
      </c>
      <c r="B304" s="1918" t="s">
        <v>779</v>
      </c>
      <c r="C304" s="1918" t="s">
        <v>35</v>
      </c>
      <c r="D304" s="1918" t="s">
        <v>1159</v>
      </c>
      <c r="E304" s="1919">
        <v>0.66933178901672363</v>
      </c>
      <c r="F304" s="1919">
        <v>0.6224789023399353</v>
      </c>
      <c r="G304" s="1919">
        <v>0.60336381196975708</v>
      </c>
      <c r="H304" s="1919">
        <v>0.60478442907333374</v>
      </c>
    </row>
    <row r="305" spans="1:8" x14ac:dyDescent="0.2">
      <c r="A305" s="1924">
        <v>1999</v>
      </c>
      <c r="B305" s="1918" t="s">
        <v>779</v>
      </c>
      <c r="C305" s="1918" t="s">
        <v>35</v>
      </c>
      <c r="D305" s="1918" t="s">
        <v>1159</v>
      </c>
      <c r="E305" s="1919">
        <v>0.66623741388320923</v>
      </c>
      <c r="F305" s="1919">
        <v>0.61894756555557251</v>
      </c>
      <c r="G305" s="1919">
        <v>0.60236042737960815</v>
      </c>
      <c r="H305" s="1919">
        <v>0.5913691520690918</v>
      </c>
    </row>
    <row r="306" spans="1:8" x14ac:dyDescent="0.2">
      <c r="A306" s="1924">
        <v>2000</v>
      </c>
      <c r="B306" s="1918" t="s">
        <v>779</v>
      </c>
      <c r="C306" s="1918" t="s">
        <v>35</v>
      </c>
      <c r="D306" s="1918" t="s">
        <v>1159</v>
      </c>
      <c r="E306" s="1919">
        <v>0.64214223623275757</v>
      </c>
      <c r="F306" s="1919">
        <v>0.59582364559173584</v>
      </c>
      <c r="G306" s="1919">
        <v>0.57790493965148926</v>
      </c>
      <c r="H306" s="1919">
        <v>0.56113600730895996</v>
      </c>
    </row>
    <row r="307" spans="1:8" x14ac:dyDescent="0.2">
      <c r="A307" s="1924">
        <v>2001</v>
      </c>
      <c r="B307" s="1918" t="s">
        <v>779</v>
      </c>
      <c r="C307" s="1918" t="s">
        <v>35</v>
      </c>
      <c r="D307" s="1918" t="s">
        <v>1159</v>
      </c>
      <c r="E307" s="1919">
        <v>0.6601712703704834</v>
      </c>
      <c r="F307" s="1919">
        <v>0.60869854688644409</v>
      </c>
      <c r="G307" s="1919">
        <v>0.59625095129013062</v>
      </c>
      <c r="H307" s="1919">
        <v>0.58149570226669312</v>
      </c>
    </row>
    <row r="308" spans="1:8" x14ac:dyDescent="0.2">
      <c r="A308" s="1924">
        <v>2002</v>
      </c>
      <c r="B308" s="1918" t="s">
        <v>779</v>
      </c>
      <c r="C308" s="1918" t="s">
        <v>35</v>
      </c>
      <c r="D308" s="1918" t="s">
        <v>1159</v>
      </c>
      <c r="E308" s="1919">
        <v>0.66677814722061157</v>
      </c>
      <c r="F308" s="1919">
        <v>0.62404084205627441</v>
      </c>
      <c r="G308" s="1919">
        <v>0.59787642955780029</v>
      </c>
      <c r="H308" s="1919">
        <v>0.58705651760101318</v>
      </c>
    </row>
    <row r="309" spans="1:8" x14ac:dyDescent="0.2">
      <c r="A309" s="1924">
        <v>2003</v>
      </c>
      <c r="B309" s="1918" t="s">
        <v>779</v>
      </c>
      <c r="C309" s="1918" t="s">
        <v>35</v>
      </c>
      <c r="D309" s="1918" t="s">
        <v>1159</v>
      </c>
      <c r="E309" s="1919">
        <v>0.67153126001358032</v>
      </c>
      <c r="F309" s="1919">
        <v>0.62937766313552856</v>
      </c>
      <c r="G309" s="1919">
        <v>0.60045617818832397</v>
      </c>
      <c r="H309" s="1919">
        <v>0.58759504556655884</v>
      </c>
    </row>
    <row r="310" spans="1:8" x14ac:dyDescent="0.2">
      <c r="A310" s="1924">
        <v>2004</v>
      </c>
      <c r="B310" s="1918" t="s">
        <v>779</v>
      </c>
      <c r="C310" s="1918" t="s">
        <v>35</v>
      </c>
      <c r="D310" s="1918" t="s">
        <v>1159</v>
      </c>
      <c r="E310" s="1919">
        <v>0.65352010726928711</v>
      </c>
      <c r="F310" s="1919">
        <v>0.6141393780708313</v>
      </c>
      <c r="G310" s="1919">
        <v>0.58696585893630981</v>
      </c>
      <c r="H310" s="1919">
        <v>0.57587289810180664</v>
      </c>
    </row>
    <row r="311" spans="1:8" x14ac:dyDescent="0.2">
      <c r="A311" s="1924">
        <v>2005</v>
      </c>
      <c r="B311" s="1918" t="s">
        <v>779</v>
      </c>
      <c r="C311" s="1918" t="s">
        <v>35</v>
      </c>
      <c r="D311" s="1918" t="s">
        <v>1159</v>
      </c>
      <c r="E311" s="1919">
        <v>0.65120816230773926</v>
      </c>
      <c r="F311" s="1919">
        <v>0.61327451467514038</v>
      </c>
      <c r="G311" s="1919">
        <v>0.58755248785018921</v>
      </c>
      <c r="H311" s="1919">
        <v>0.57723212242126465</v>
      </c>
    </row>
    <row r="312" spans="1:8" x14ac:dyDescent="0.2">
      <c r="A312" s="1924">
        <v>2006</v>
      </c>
      <c r="B312" s="1918" t="s">
        <v>779</v>
      </c>
      <c r="C312" s="1918" t="s">
        <v>35</v>
      </c>
      <c r="D312" s="1918" t="s">
        <v>1159</v>
      </c>
      <c r="E312" s="1919">
        <v>0.64978790283203125</v>
      </c>
      <c r="F312" s="1919">
        <v>0.61057084798812866</v>
      </c>
      <c r="G312" s="1919">
        <v>0.58672797679901123</v>
      </c>
      <c r="H312" s="1919">
        <v>0.57425743341445923</v>
      </c>
    </row>
    <row r="313" spans="1:8" x14ac:dyDescent="0.2">
      <c r="A313" s="1924">
        <v>2007</v>
      </c>
      <c r="B313" s="1918" t="s">
        <v>779</v>
      </c>
      <c r="C313" s="1918" t="s">
        <v>35</v>
      </c>
      <c r="D313" s="1918" t="s">
        <v>1159</v>
      </c>
      <c r="E313" s="1919">
        <v>0.67483341693878174</v>
      </c>
      <c r="F313" s="1919">
        <v>0.63535785675048828</v>
      </c>
      <c r="G313" s="1919">
        <v>0.6142657995223999</v>
      </c>
      <c r="H313" s="1919">
        <v>0.59958487749099731</v>
      </c>
    </row>
    <row r="314" spans="1:8" x14ac:dyDescent="0.2">
      <c r="A314" s="1924">
        <v>2008</v>
      </c>
      <c r="B314" s="1918" t="s">
        <v>779</v>
      </c>
      <c r="C314" s="1918" t="s">
        <v>35</v>
      </c>
      <c r="D314" s="1918" t="s">
        <v>1159</v>
      </c>
      <c r="E314" s="1919">
        <v>0.6681104302406311</v>
      </c>
      <c r="F314" s="1919">
        <v>0.63577699661254883</v>
      </c>
      <c r="G314" s="1919">
        <v>0.61091291904449463</v>
      </c>
      <c r="H314" s="1919">
        <v>0.59995484352111816</v>
      </c>
    </row>
    <row r="315" spans="1:8" x14ac:dyDescent="0.2">
      <c r="A315" s="1924">
        <v>2009</v>
      </c>
      <c r="B315" s="1918" t="s">
        <v>779</v>
      </c>
      <c r="C315" s="1918" t="s">
        <v>35</v>
      </c>
      <c r="D315" s="1918" t="s">
        <v>1159</v>
      </c>
      <c r="E315" s="1919">
        <v>0.70280718803405762</v>
      </c>
      <c r="F315" s="1919">
        <v>0.66821080446243286</v>
      </c>
      <c r="G315" s="1919">
        <v>0.64115726947784424</v>
      </c>
      <c r="H315" s="1919">
        <v>0.62657660245895386</v>
      </c>
    </row>
    <row r="316" spans="1:8" x14ac:dyDescent="0.2">
      <c r="A316" s="1924">
        <v>2010</v>
      </c>
      <c r="B316" s="1918" t="s">
        <v>779</v>
      </c>
      <c r="C316" s="1918" t="s">
        <v>35</v>
      </c>
      <c r="D316" s="1918" t="s">
        <v>1159</v>
      </c>
      <c r="E316" s="1919">
        <v>0.66431707143783569</v>
      </c>
      <c r="F316" s="1919">
        <v>0.6316448450088501</v>
      </c>
      <c r="G316" s="1919">
        <v>0.60628467798233032</v>
      </c>
      <c r="H316" s="1919">
        <v>0.58657944202423096</v>
      </c>
    </row>
    <row r="317" spans="1:8" x14ac:dyDescent="0.2">
      <c r="A317" s="1924">
        <v>2011</v>
      </c>
      <c r="B317" s="1918" t="s">
        <v>779</v>
      </c>
      <c r="C317" s="1918" t="s">
        <v>35</v>
      </c>
      <c r="D317" s="1918" t="s">
        <v>1159</v>
      </c>
      <c r="E317" s="1919">
        <v>0.66618502140045166</v>
      </c>
      <c r="F317" s="1919">
        <v>0.63245368003845215</v>
      </c>
      <c r="G317" s="1919">
        <v>0.60780137777328491</v>
      </c>
      <c r="H317" s="1919">
        <v>0.58590090274810791</v>
      </c>
    </row>
    <row r="318" spans="1:8" x14ac:dyDescent="0.2">
      <c r="A318" s="1924">
        <v>2012</v>
      </c>
      <c r="B318" s="1918" t="s">
        <v>779</v>
      </c>
      <c r="C318" s="1918" t="s">
        <v>35</v>
      </c>
      <c r="D318" s="1918" t="s">
        <v>1159</v>
      </c>
      <c r="E318" s="1919">
        <v>0.65406507253646851</v>
      </c>
      <c r="F318" s="1919">
        <v>0.61640042066574097</v>
      </c>
      <c r="G318" s="1919">
        <v>0.59785276651382446</v>
      </c>
      <c r="H318" s="1919">
        <v>0.57555121183395386</v>
      </c>
    </row>
    <row r="319" spans="1:8" x14ac:dyDescent="0.2">
      <c r="A319" s="1924">
        <v>2013</v>
      </c>
      <c r="B319" s="1918" t="s">
        <v>779</v>
      </c>
      <c r="C319" s="1918" t="s">
        <v>35</v>
      </c>
      <c r="D319" s="1918" t="s">
        <v>1159</v>
      </c>
      <c r="E319" s="1919">
        <v>0.6397365927696228</v>
      </c>
      <c r="F319" s="1919">
        <v>0.61477392911911011</v>
      </c>
      <c r="G319" s="1919">
        <v>0.58471167087554932</v>
      </c>
      <c r="H319" s="1919">
        <v>0.57468360662460327</v>
      </c>
    </row>
    <row r="320" spans="1:8" x14ac:dyDescent="0.2">
      <c r="A320" s="1924">
        <v>2014</v>
      </c>
      <c r="B320" s="1918" t="s">
        <v>779</v>
      </c>
      <c r="C320" s="1918" t="s">
        <v>35</v>
      </c>
      <c r="D320" s="1918" t="s">
        <v>1159</v>
      </c>
      <c r="E320" s="1919">
        <v>0.63813519477844238</v>
      </c>
      <c r="F320" s="1919">
        <v>0.61269998550415039</v>
      </c>
      <c r="G320" s="1919">
        <v>0.58339118957519531</v>
      </c>
      <c r="H320" s="1919">
        <v>0.56691193580627441</v>
      </c>
    </row>
    <row r="321" spans="1:8" x14ac:dyDescent="0.2">
      <c r="A321" s="1924">
        <v>2015</v>
      </c>
      <c r="B321" s="1918" t="s">
        <v>779</v>
      </c>
      <c r="C321" s="1918" t="s">
        <v>35</v>
      </c>
      <c r="D321" s="1918" t="s">
        <v>1159</v>
      </c>
      <c r="E321" s="1919">
        <v>0.63987255096435547</v>
      </c>
      <c r="F321" s="1919">
        <v>0.61698901653289795</v>
      </c>
      <c r="G321" s="1919">
        <v>0.58506393432617188</v>
      </c>
      <c r="H321" s="1919">
        <v>0.56724816560745239</v>
      </c>
    </row>
    <row r="322" spans="1:8" x14ac:dyDescent="0.2">
      <c r="A322" s="1924">
        <v>1994</v>
      </c>
      <c r="B322" s="1918" t="s">
        <v>1190</v>
      </c>
      <c r="C322" s="1918" t="s">
        <v>36</v>
      </c>
      <c r="D322" s="1918" t="s">
        <v>1156</v>
      </c>
      <c r="H322" s="1919">
        <v>0.67731362581253052</v>
      </c>
    </row>
    <row r="323" spans="1:8" x14ac:dyDescent="0.2">
      <c r="A323" s="1924">
        <v>1995</v>
      </c>
      <c r="B323" s="1918" t="s">
        <v>1190</v>
      </c>
      <c r="C323" s="1918" t="s">
        <v>36</v>
      </c>
      <c r="D323" s="1918" t="s">
        <v>1156</v>
      </c>
      <c r="E323" s="1919">
        <v>0.63075900077819824</v>
      </c>
      <c r="F323" s="1919">
        <v>0.620810866355896</v>
      </c>
      <c r="G323" s="1919">
        <v>0.59128272533416748</v>
      </c>
      <c r="H323" s="1919">
        <v>0.66262871026992798</v>
      </c>
    </row>
    <row r="324" spans="1:8" x14ac:dyDescent="0.2">
      <c r="A324" s="1924">
        <v>1996</v>
      </c>
      <c r="B324" s="1918" t="s">
        <v>1190</v>
      </c>
      <c r="C324" s="1918" t="s">
        <v>36</v>
      </c>
      <c r="D324" s="1918" t="s">
        <v>1156</v>
      </c>
      <c r="E324" s="1919">
        <v>0.60370355844497681</v>
      </c>
      <c r="F324" s="1919">
        <v>0.57217967510223389</v>
      </c>
      <c r="G324" s="1919">
        <v>0.56258916854858398</v>
      </c>
      <c r="H324" s="1919">
        <v>0.63640618324279785</v>
      </c>
    </row>
    <row r="325" spans="1:8" x14ac:dyDescent="0.2">
      <c r="A325" s="1924">
        <v>1997</v>
      </c>
      <c r="B325" s="1918" t="s">
        <v>1190</v>
      </c>
      <c r="C325" s="1918" t="s">
        <v>36</v>
      </c>
      <c r="D325" s="1918" t="s">
        <v>1156</v>
      </c>
      <c r="E325" s="1919">
        <v>0.59216403961181641</v>
      </c>
      <c r="F325" s="1919">
        <v>0.55115652084350586</v>
      </c>
      <c r="G325" s="1919">
        <v>0.54764348268508911</v>
      </c>
      <c r="H325" s="1919">
        <v>0.6094849705696106</v>
      </c>
    </row>
    <row r="326" spans="1:8" x14ac:dyDescent="0.2">
      <c r="A326" s="1924">
        <v>1998</v>
      </c>
      <c r="B326" s="1918" t="s">
        <v>1190</v>
      </c>
      <c r="C326" s="1918" t="s">
        <v>36</v>
      </c>
      <c r="D326" s="1918" t="s">
        <v>1156</v>
      </c>
      <c r="E326" s="1919">
        <v>0.59754467010498047</v>
      </c>
      <c r="F326" s="1919">
        <v>0.52472478151321411</v>
      </c>
      <c r="G326" s="1919">
        <v>0.54648780822753906</v>
      </c>
      <c r="H326" s="1919">
        <v>0.57827883958816528</v>
      </c>
    </row>
    <row r="327" spans="1:8" x14ac:dyDescent="0.2">
      <c r="A327" s="1924">
        <v>1999</v>
      </c>
      <c r="B327" s="1918" t="s">
        <v>1190</v>
      </c>
      <c r="C327" s="1918" t="s">
        <v>36</v>
      </c>
      <c r="D327" s="1918" t="s">
        <v>1156</v>
      </c>
      <c r="E327" s="1919">
        <v>0.56802815198898315</v>
      </c>
      <c r="F327" s="1919">
        <v>0.4911893904209137</v>
      </c>
      <c r="G327" s="1919">
        <v>0.51618307828903198</v>
      </c>
      <c r="H327" s="1919">
        <v>0.53813940286636353</v>
      </c>
    </row>
    <row r="328" spans="1:8" x14ac:dyDescent="0.2">
      <c r="A328" s="1924">
        <v>2000</v>
      </c>
      <c r="B328" s="1918" t="s">
        <v>1190</v>
      </c>
      <c r="C328" s="1918" t="s">
        <v>36</v>
      </c>
      <c r="D328" s="1918" t="s">
        <v>1156</v>
      </c>
      <c r="E328" s="1919">
        <v>0.5777934193611145</v>
      </c>
      <c r="F328" s="1919">
        <v>0.49148353934288025</v>
      </c>
      <c r="G328" s="1919">
        <v>0.5205986499786377</v>
      </c>
      <c r="H328" s="1919">
        <v>0.53338491916656494</v>
      </c>
    </row>
    <row r="329" spans="1:8" x14ac:dyDescent="0.2">
      <c r="A329" s="1924">
        <v>2001</v>
      </c>
      <c r="B329" s="1918" t="s">
        <v>1190</v>
      </c>
      <c r="C329" s="1918" t="s">
        <v>36</v>
      </c>
      <c r="D329" s="1918" t="s">
        <v>1156</v>
      </c>
      <c r="E329" s="1919">
        <v>0.55811542272567749</v>
      </c>
      <c r="F329" s="1919">
        <v>0.48052090406417847</v>
      </c>
      <c r="G329" s="1919">
        <v>0.51255214214324951</v>
      </c>
      <c r="H329" s="1919">
        <v>0.51855969429016113</v>
      </c>
    </row>
    <row r="330" spans="1:8" x14ac:dyDescent="0.2">
      <c r="A330" s="1924">
        <v>2002</v>
      </c>
      <c r="B330" s="1918" t="s">
        <v>1190</v>
      </c>
      <c r="C330" s="1918" t="s">
        <v>36</v>
      </c>
      <c r="D330" s="1918" t="s">
        <v>1156</v>
      </c>
      <c r="E330" s="1919">
        <v>0.55019772052764893</v>
      </c>
      <c r="F330" s="1919">
        <v>0.4779321551322937</v>
      </c>
      <c r="G330" s="1919">
        <v>0.50416463613510132</v>
      </c>
      <c r="H330" s="1919">
        <v>0.51073557138442993</v>
      </c>
    </row>
    <row r="331" spans="1:8" x14ac:dyDescent="0.2">
      <c r="A331" s="1924">
        <v>2003</v>
      </c>
      <c r="B331" s="1918" t="s">
        <v>1190</v>
      </c>
      <c r="C331" s="1918" t="s">
        <v>36</v>
      </c>
      <c r="D331" s="1918" t="s">
        <v>1156</v>
      </c>
      <c r="E331" s="1919">
        <v>0.56030559539794922</v>
      </c>
      <c r="F331" s="1919">
        <v>0.49117138981819153</v>
      </c>
      <c r="G331" s="1919">
        <v>0.49838101863861084</v>
      </c>
      <c r="H331" s="1919">
        <v>0.50296270847320557</v>
      </c>
    </row>
    <row r="332" spans="1:8" x14ac:dyDescent="0.2">
      <c r="A332" s="1924">
        <v>2004</v>
      </c>
      <c r="B332" s="1918" t="s">
        <v>1190</v>
      </c>
      <c r="C332" s="1918" t="s">
        <v>36</v>
      </c>
      <c r="D332" s="1918" t="s">
        <v>1156</v>
      </c>
      <c r="E332" s="1919">
        <v>0.5679967999458313</v>
      </c>
      <c r="F332" s="1919">
        <v>0.50555241107940674</v>
      </c>
      <c r="G332" s="1919">
        <v>0.49855217337608337</v>
      </c>
      <c r="H332" s="1919">
        <v>0.50259393453598022</v>
      </c>
    </row>
    <row r="333" spans="1:8" x14ac:dyDescent="0.2">
      <c r="A333" s="1924">
        <v>2005</v>
      </c>
      <c r="B333" s="1918" t="s">
        <v>1190</v>
      </c>
      <c r="C333" s="1918" t="s">
        <v>36</v>
      </c>
      <c r="D333" s="1918" t="s">
        <v>1156</v>
      </c>
      <c r="E333" s="1919">
        <v>0.54078912734985352</v>
      </c>
      <c r="F333" s="1919">
        <v>0.48385411500930786</v>
      </c>
      <c r="G333" s="1919">
        <v>0.4936676025390625</v>
      </c>
      <c r="H333" s="1919">
        <v>0.49726411700248718</v>
      </c>
    </row>
    <row r="334" spans="1:8" x14ac:dyDescent="0.2">
      <c r="A334" s="1924">
        <v>2006</v>
      </c>
      <c r="B334" s="1918" t="s">
        <v>1190</v>
      </c>
      <c r="C334" s="1918" t="s">
        <v>36</v>
      </c>
      <c r="D334" s="1918" t="s">
        <v>1156</v>
      </c>
      <c r="E334" s="1919">
        <v>0.55399668216705322</v>
      </c>
      <c r="F334" s="1919">
        <v>0.49782136082649231</v>
      </c>
      <c r="G334" s="1919">
        <v>0.50006204843521118</v>
      </c>
      <c r="H334" s="1919">
        <v>0.50386995077133179</v>
      </c>
    </row>
    <row r="335" spans="1:8" x14ac:dyDescent="0.2">
      <c r="A335" s="1924">
        <v>2007</v>
      </c>
      <c r="B335" s="1918" t="s">
        <v>1190</v>
      </c>
      <c r="C335" s="1918" t="s">
        <v>36</v>
      </c>
      <c r="D335" s="1918" t="s">
        <v>1156</v>
      </c>
      <c r="E335" s="1919">
        <v>0.58283501863479614</v>
      </c>
      <c r="F335" s="1919">
        <v>0.52364563941955566</v>
      </c>
      <c r="G335" s="1919">
        <v>0.5253443717956543</v>
      </c>
      <c r="H335" s="1919">
        <v>0.52470499277114868</v>
      </c>
    </row>
    <row r="336" spans="1:8" x14ac:dyDescent="0.2">
      <c r="A336" s="1924">
        <v>2008</v>
      </c>
      <c r="B336" s="1918" t="s">
        <v>1190</v>
      </c>
      <c r="C336" s="1918" t="s">
        <v>36</v>
      </c>
      <c r="D336" s="1918" t="s">
        <v>1156</v>
      </c>
      <c r="E336" s="1919">
        <v>0.6232600212097168</v>
      </c>
      <c r="F336" s="1919">
        <v>0.56657683849334717</v>
      </c>
      <c r="G336" s="1919">
        <v>0.56841713190078735</v>
      </c>
      <c r="H336" s="1919">
        <v>0.56862211227416992</v>
      </c>
    </row>
    <row r="337" spans="1:8" x14ac:dyDescent="0.2">
      <c r="A337" s="1924">
        <v>2009</v>
      </c>
      <c r="B337" s="1918" t="s">
        <v>1190</v>
      </c>
      <c r="C337" s="1918" t="s">
        <v>36</v>
      </c>
      <c r="D337" s="1918" t="s">
        <v>1156</v>
      </c>
      <c r="E337" s="1919">
        <v>0.66442710161209106</v>
      </c>
      <c r="F337" s="1919">
        <v>0.59020024538040161</v>
      </c>
      <c r="G337" s="1919">
        <v>0.59525877237319946</v>
      </c>
      <c r="H337" s="1919">
        <v>0.59590995311737061</v>
      </c>
    </row>
    <row r="338" spans="1:8" x14ac:dyDescent="0.2">
      <c r="A338" s="1924">
        <v>2010</v>
      </c>
      <c r="B338" s="1918" t="s">
        <v>1190</v>
      </c>
      <c r="C338" s="1918" t="s">
        <v>36</v>
      </c>
      <c r="D338" s="1918" t="s">
        <v>1156</v>
      </c>
      <c r="E338" s="1919">
        <v>0.60865157842636108</v>
      </c>
      <c r="F338" s="1919">
        <v>0.54285162687301636</v>
      </c>
      <c r="G338" s="1919">
        <v>0.54641366004943848</v>
      </c>
      <c r="H338" s="1919">
        <v>0.54205209016799927</v>
      </c>
    </row>
    <row r="339" spans="1:8" x14ac:dyDescent="0.2">
      <c r="A339" s="1924">
        <v>2011</v>
      </c>
      <c r="B339" s="1918" t="s">
        <v>1190</v>
      </c>
      <c r="C339" s="1918" t="s">
        <v>36</v>
      </c>
      <c r="D339" s="1918" t="s">
        <v>1156</v>
      </c>
      <c r="E339" s="1919">
        <v>0.57445889711380005</v>
      </c>
      <c r="F339" s="1919">
        <v>0.51031452417373657</v>
      </c>
      <c r="G339" s="1919">
        <v>0.51594835519790649</v>
      </c>
      <c r="H339" s="1919">
        <v>0.50474971532821655</v>
      </c>
    </row>
    <row r="340" spans="1:8" x14ac:dyDescent="0.2">
      <c r="A340" s="1924">
        <v>2012</v>
      </c>
      <c r="B340" s="1918" t="s">
        <v>1190</v>
      </c>
      <c r="C340" s="1918" t="s">
        <v>36</v>
      </c>
      <c r="D340" s="1918" t="s">
        <v>1156</v>
      </c>
      <c r="E340" s="1919">
        <v>0.5921931266784668</v>
      </c>
      <c r="F340" s="1919">
        <v>0.53152042627334595</v>
      </c>
      <c r="G340" s="1919">
        <v>0.5235474705696106</v>
      </c>
      <c r="H340" s="1919">
        <v>0.51873469352722168</v>
      </c>
    </row>
    <row r="341" spans="1:8" x14ac:dyDescent="0.2">
      <c r="A341" s="1924">
        <v>2013</v>
      </c>
      <c r="B341" s="1918" t="s">
        <v>1190</v>
      </c>
      <c r="C341" s="1918" t="s">
        <v>36</v>
      </c>
      <c r="D341" s="1918" t="s">
        <v>1156</v>
      </c>
      <c r="E341" s="1919">
        <v>0.59176307916641235</v>
      </c>
      <c r="F341" s="1919">
        <v>0.53200042247772217</v>
      </c>
      <c r="G341" s="1919">
        <v>0.5219464898109436</v>
      </c>
      <c r="H341" s="1919">
        <v>0.51629477739334106</v>
      </c>
    </row>
    <row r="342" spans="1:8" x14ac:dyDescent="0.2">
      <c r="A342" s="1924">
        <v>2014</v>
      </c>
      <c r="B342" s="1918" t="s">
        <v>1190</v>
      </c>
      <c r="C342" s="1918" t="s">
        <v>36</v>
      </c>
      <c r="D342" s="1918" t="s">
        <v>1156</v>
      </c>
      <c r="E342" s="1919">
        <v>0.59875977039337158</v>
      </c>
      <c r="F342" s="1919">
        <v>0.54109984636306763</v>
      </c>
      <c r="G342" s="1919">
        <v>0.52926456928253174</v>
      </c>
      <c r="H342" s="1919">
        <v>0.5247795581817627</v>
      </c>
    </row>
    <row r="343" spans="1:8" x14ac:dyDescent="0.2">
      <c r="A343" s="1924">
        <v>2015</v>
      </c>
      <c r="B343" s="1918" t="s">
        <v>1190</v>
      </c>
      <c r="C343" s="1918" t="s">
        <v>36</v>
      </c>
      <c r="D343" s="1918" t="s">
        <v>1156</v>
      </c>
      <c r="E343" s="1919">
        <v>0.63681483268737793</v>
      </c>
      <c r="F343" s="1919">
        <v>0.56006151437759399</v>
      </c>
      <c r="G343" s="1919">
        <v>0.57100307941436768</v>
      </c>
      <c r="H343" s="1919">
        <v>0.54639637470245361</v>
      </c>
    </row>
    <row r="344" spans="1:8" x14ac:dyDescent="0.2">
      <c r="A344" s="1924">
        <v>1970</v>
      </c>
      <c r="B344" s="1918" t="s">
        <v>1189</v>
      </c>
      <c r="C344" s="1918" t="s">
        <v>40</v>
      </c>
      <c r="D344" s="1918" t="s">
        <v>1159</v>
      </c>
      <c r="E344" s="1919">
        <v>0.54253566265106201</v>
      </c>
      <c r="G344" s="1919">
        <v>0.36520868539810181</v>
      </c>
    </row>
    <row r="345" spans="1:8" x14ac:dyDescent="0.2">
      <c r="A345" s="1924">
        <v>1971</v>
      </c>
      <c r="B345" s="1918" t="s">
        <v>1189</v>
      </c>
      <c r="C345" s="1918" t="s">
        <v>40</v>
      </c>
      <c r="D345" s="1918" t="s">
        <v>1159</v>
      </c>
      <c r="E345" s="1919">
        <v>0.54692190885543823</v>
      </c>
      <c r="G345" s="1919">
        <v>0.36679455637931824</v>
      </c>
    </row>
    <row r="346" spans="1:8" x14ac:dyDescent="0.2">
      <c r="A346" s="1924">
        <v>1972</v>
      </c>
      <c r="B346" s="1918" t="s">
        <v>1189</v>
      </c>
      <c r="C346" s="1918" t="s">
        <v>40</v>
      </c>
      <c r="D346" s="1918" t="s">
        <v>1159</v>
      </c>
      <c r="E346" s="1919">
        <v>0.54291796684265137</v>
      </c>
      <c r="G346" s="1919">
        <v>0.36322662234306335</v>
      </c>
    </row>
    <row r="347" spans="1:8" x14ac:dyDescent="0.2">
      <c r="A347" s="1924">
        <v>1973</v>
      </c>
      <c r="B347" s="1918" t="s">
        <v>1189</v>
      </c>
      <c r="C347" s="1918" t="s">
        <v>40</v>
      </c>
      <c r="D347" s="1918" t="s">
        <v>1159</v>
      </c>
      <c r="E347" s="1919">
        <v>0.54547619819641113</v>
      </c>
      <c r="G347" s="1919">
        <v>0.36022499203681946</v>
      </c>
    </row>
    <row r="348" spans="1:8" x14ac:dyDescent="0.2">
      <c r="A348" s="1924">
        <v>1974</v>
      </c>
      <c r="B348" s="1918" t="s">
        <v>1189</v>
      </c>
      <c r="C348" s="1918" t="s">
        <v>40</v>
      </c>
      <c r="D348" s="1918" t="s">
        <v>1159</v>
      </c>
      <c r="E348" s="1919">
        <v>0.55562120676040649</v>
      </c>
      <c r="G348" s="1919">
        <v>0.35994687676429749</v>
      </c>
    </row>
    <row r="349" spans="1:8" x14ac:dyDescent="0.2">
      <c r="A349" s="1924">
        <v>1975</v>
      </c>
      <c r="B349" s="1918" t="s">
        <v>1189</v>
      </c>
      <c r="C349" s="1918" t="s">
        <v>40</v>
      </c>
      <c r="D349" s="1918" t="s">
        <v>1159</v>
      </c>
      <c r="E349" s="1919">
        <v>0.55999237298965454</v>
      </c>
      <c r="G349" s="1919">
        <v>0.36328837275505066</v>
      </c>
    </row>
    <row r="350" spans="1:8" x14ac:dyDescent="0.2">
      <c r="A350" s="1924">
        <v>1976</v>
      </c>
      <c r="B350" s="1918" t="s">
        <v>1189</v>
      </c>
      <c r="C350" s="1918" t="s">
        <v>40</v>
      </c>
      <c r="D350" s="1918" t="s">
        <v>1159</v>
      </c>
      <c r="E350" s="1919">
        <v>0.56219297647476196</v>
      </c>
      <c r="G350" s="1919">
        <v>0.36450278759002686</v>
      </c>
    </row>
    <row r="351" spans="1:8" x14ac:dyDescent="0.2">
      <c r="A351" s="1924">
        <v>1977</v>
      </c>
      <c r="B351" s="1918" t="s">
        <v>1189</v>
      </c>
      <c r="C351" s="1918" t="s">
        <v>40</v>
      </c>
      <c r="D351" s="1918" t="s">
        <v>1159</v>
      </c>
      <c r="E351" s="1919">
        <v>0.55700236558914185</v>
      </c>
      <c r="G351" s="1919">
        <v>0.36210909485816956</v>
      </c>
    </row>
    <row r="352" spans="1:8" x14ac:dyDescent="0.2">
      <c r="A352" s="1924">
        <v>1978</v>
      </c>
      <c r="B352" s="1918" t="s">
        <v>1189</v>
      </c>
      <c r="C352" s="1918" t="s">
        <v>40</v>
      </c>
      <c r="D352" s="1918" t="s">
        <v>1159</v>
      </c>
      <c r="E352" s="1919">
        <v>0.552162766456604</v>
      </c>
      <c r="G352" s="1919">
        <v>0.35918101668357849</v>
      </c>
    </row>
    <row r="353" spans="1:7" x14ac:dyDescent="0.2">
      <c r="A353" s="1924">
        <v>1979</v>
      </c>
      <c r="B353" s="1918" t="s">
        <v>1189</v>
      </c>
      <c r="C353" s="1918" t="s">
        <v>40</v>
      </c>
      <c r="D353" s="1918" t="s">
        <v>1159</v>
      </c>
      <c r="E353" s="1919">
        <v>0.54792118072509766</v>
      </c>
      <c r="G353" s="1919">
        <v>0.35657051205635071</v>
      </c>
    </row>
    <row r="354" spans="1:7" x14ac:dyDescent="0.2">
      <c r="A354" s="1924">
        <v>1980</v>
      </c>
      <c r="B354" s="1918" t="s">
        <v>1189</v>
      </c>
      <c r="C354" s="1918" t="s">
        <v>40</v>
      </c>
      <c r="D354" s="1918" t="s">
        <v>1159</v>
      </c>
      <c r="E354" s="1919">
        <v>0.55185157060623169</v>
      </c>
      <c r="G354" s="1919">
        <v>0.35625314712524414</v>
      </c>
    </row>
    <row r="355" spans="1:7" x14ac:dyDescent="0.2">
      <c r="A355" s="1924">
        <v>1981</v>
      </c>
      <c r="B355" s="1918" t="s">
        <v>1189</v>
      </c>
      <c r="C355" s="1918" t="s">
        <v>40</v>
      </c>
      <c r="D355" s="1918" t="s">
        <v>1159</v>
      </c>
      <c r="E355" s="1919">
        <v>0.55283588171005249</v>
      </c>
      <c r="G355" s="1919">
        <v>0.356061190366745</v>
      </c>
    </row>
    <row r="356" spans="1:7" x14ac:dyDescent="0.2">
      <c r="A356" s="1924">
        <v>1982</v>
      </c>
      <c r="B356" s="1918" t="s">
        <v>1189</v>
      </c>
      <c r="C356" s="1918" t="s">
        <v>40</v>
      </c>
      <c r="D356" s="1918" t="s">
        <v>1159</v>
      </c>
      <c r="E356" s="1919">
        <v>0.56234908103942871</v>
      </c>
      <c r="G356" s="1919">
        <v>0.3580680787563324</v>
      </c>
    </row>
    <row r="357" spans="1:7" x14ac:dyDescent="0.2">
      <c r="A357" s="1924">
        <v>1983</v>
      </c>
      <c r="B357" s="1918" t="s">
        <v>1189</v>
      </c>
      <c r="C357" s="1918" t="s">
        <v>40</v>
      </c>
      <c r="D357" s="1918" t="s">
        <v>1159</v>
      </c>
      <c r="E357" s="1919">
        <v>0.56319582462310791</v>
      </c>
      <c r="G357" s="1919">
        <v>0.35865995287895203</v>
      </c>
    </row>
    <row r="358" spans="1:7" x14ac:dyDescent="0.2">
      <c r="A358" s="1924">
        <v>1984</v>
      </c>
      <c r="B358" s="1918" t="s">
        <v>1189</v>
      </c>
      <c r="C358" s="1918" t="s">
        <v>40</v>
      </c>
      <c r="D358" s="1918" t="s">
        <v>1159</v>
      </c>
      <c r="E358" s="1919">
        <v>0.56572413444519043</v>
      </c>
      <c r="G358" s="1919">
        <v>0.36279666423797607</v>
      </c>
    </row>
    <row r="359" spans="1:7" x14ac:dyDescent="0.2">
      <c r="A359" s="1924">
        <v>1985</v>
      </c>
      <c r="B359" s="1918" t="s">
        <v>1189</v>
      </c>
      <c r="C359" s="1918" t="s">
        <v>40</v>
      </c>
      <c r="D359" s="1918" t="s">
        <v>1159</v>
      </c>
      <c r="E359" s="1919">
        <v>0.56887096166610718</v>
      </c>
      <c r="G359" s="1919">
        <v>0.36299949884414673</v>
      </c>
    </row>
    <row r="360" spans="1:7" x14ac:dyDescent="0.2">
      <c r="A360" s="1924">
        <v>1986</v>
      </c>
      <c r="B360" s="1918" t="s">
        <v>1189</v>
      </c>
      <c r="C360" s="1918" t="s">
        <v>40</v>
      </c>
      <c r="D360" s="1918" t="s">
        <v>1159</v>
      </c>
      <c r="E360" s="1919">
        <v>0.566947340965271</v>
      </c>
      <c r="G360" s="1919">
        <v>0.35742443799972534</v>
      </c>
    </row>
    <row r="361" spans="1:7" x14ac:dyDescent="0.2">
      <c r="A361" s="1924">
        <v>1987</v>
      </c>
      <c r="B361" s="1918" t="s">
        <v>1189</v>
      </c>
      <c r="C361" s="1918" t="s">
        <v>40</v>
      </c>
      <c r="D361" s="1918" t="s">
        <v>1159</v>
      </c>
      <c r="E361" s="1919">
        <v>0.57297790050506592</v>
      </c>
      <c r="G361" s="1919">
        <v>0.36229187250137329</v>
      </c>
    </row>
    <row r="362" spans="1:7" x14ac:dyDescent="0.2">
      <c r="A362" s="1924">
        <v>1988</v>
      </c>
      <c r="B362" s="1918" t="s">
        <v>1189</v>
      </c>
      <c r="C362" s="1918" t="s">
        <v>40</v>
      </c>
      <c r="D362" s="1918" t="s">
        <v>1159</v>
      </c>
      <c r="E362" s="1919">
        <v>0.55988049507141113</v>
      </c>
      <c r="G362" s="1919">
        <v>0.35495293140411377</v>
      </c>
    </row>
    <row r="363" spans="1:7" x14ac:dyDescent="0.2">
      <c r="A363" s="1924">
        <v>1989</v>
      </c>
      <c r="B363" s="1918" t="s">
        <v>1189</v>
      </c>
      <c r="C363" s="1918" t="s">
        <v>40</v>
      </c>
      <c r="D363" s="1918" t="s">
        <v>1159</v>
      </c>
      <c r="E363" s="1919">
        <v>0.55304324626922607</v>
      </c>
      <c r="G363" s="1919">
        <v>0.35402688384056091</v>
      </c>
    </row>
    <row r="364" spans="1:7" x14ac:dyDescent="0.2">
      <c r="A364" s="1924">
        <v>1990</v>
      </c>
      <c r="B364" s="1918" t="s">
        <v>1189</v>
      </c>
      <c r="C364" s="1918" t="s">
        <v>40</v>
      </c>
      <c r="D364" s="1918" t="s">
        <v>1159</v>
      </c>
      <c r="E364" s="1919">
        <v>0.54104214906692505</v>
      </c>
      <c r="G364" s="1919">
        <v>0.35133078694343567</v>
      </c>
    </row>
    <row r="365" spans="1:7" x14ac:dyDescent="0.2">
      <c r="A365" s="1924">
        <v>1991</v>
      </c>
      <c r="B365" s="1918" t="s">
        <v>1189</v>
      </c>
      <c r="C365" s="1918" t="s">
        <v>40</v>
      </c>
      <c r="D365" s="1918" t="s">
        <v>1159</v>
      </c>
      <c r="E365" s="1919">
        <v>0.54178464412689209</v>
      </c>
      <c r="G365" s="1919">
        <v>0.35047569870948792</v>
      </c>
    </row>
    <row r="366" spans="1:7" x14ac:dyDescent="0.2">
      <c r="A366" s="1924">
        <v>1992</v>
      </c>
      <c r="B366" s="1918" t="s">
        <v>1189</v>
      </c>
      <c r="C366" s="1918" t="s">
        <v>40</v>
      </c>
      <c r="D366" s="1918" t="s">
        <v>1159</v>
      </c>
      <c r="E366" s="1919">
        <v>0.53360390663146973</v>
      </c>
      <c r="G366" s="1919">
        <v>0.33991783857345581</v>
      </c>
    </row>
    <row r="367" spans="1:7" x14ac:dyDescent="0.2">
      <c r="A367" s="1924">
        <v>1993</v>
      </c>
      <c r="B367" s="1918" t="s">
        <v>1189</v>
      </c>
      <c r="C367" s="1918" t="s">
        <v>40</v>
      </c>
      <c r="D367" s="1918" t="s">
        <v>1159</v>
      </c>
      <c r="E367" s="1919">
        <v>0.52219635248184204</v>
      </c>
      <c r="G367" s="1919">
        <v>0.33669513463973999</v>
      </c>
    </row>
    <row r="368" spans="1:7" x14ac:dyDescent="0.2">
      <c r="A368" s="1924">
        <v>1994</v>
      </c>
      <c r="B368" s="1918" t="s">
        <v>1189</v>
      </c>
      <c r="C368" s="1918" t="s">
        <v>40</v>
      </c>
      <c r="D368" s="1918" t="s">
        <v>1159</v>
      </c>
      <c r="E368" s="1919">
        <v>0.52574431896209717</v>
      </c>
      <c r="G368" s="1919">
        <v>0.33658942580223083</v>
      </c>
    </row>
    <row r="369" spans="1:8" x14ac:dyDescent="0.2">
      <c r="A369" s="1924">
        <v>1995</v>
      </c>
      <c r="B369" s="1918" t="s">
        <v>1189</v>
      </c>
      <c r="C369" s="1918" t="s">
        <v>40</v>
      </c>
      <c r="D369" s="1918" t="s">
        <v>1159</v>
      </c>
      <c r="E369" s="1919">
        <v>0.51420408487319946</v>
      </c>
      <c r="G369" s="1919">
        <v>0.33097991347312927</v>
      </c>
      <c r="H369" s="1919">
        <v>0.41823801398277283</v>
      </c>
    </row>
    <row r="370" spans="1:8" x14ac:dyDescent="0.2">
      <c r="A370" s="1924">
        <v>1996</v>
      </c>
      <c r="B370" s="1918" t="s">
        <v>1189</v>
      </c>
      <c r="C370" s="1918" t="s">
        <v>40</v>
      </c>
      <c r="D370" s="1918" t="s">
        <v>1159</v>
      </c>
      <c r="E370" s="1919">
        <v>0.51251018047332764</v>
      </c>
      <c r="G370" s="1919">
        <v>0.32791557908058167</v>
      </c>
      <c r="H370" s="1919">
        <v>0.4178716242313385</v>
      </c>
    </row>
    <row r="371" spans="1:8" x14ac:dyDescent="0.2">
      <c r="A371" s="1924">
        <v>1997</v>
      </c>
      <c r="B371" s="1918" t="s">
        <v>1189</v>
      </c>
      <c r="C371" s="1918" t="s">
        <v>40</v>
      </c>
      <c r="D371" s="1918" t="s">
        <v>1159</v>
      </c>
      <c r="E371" s="1919">
        <v>0.51691114902496338</v>
      </c>
      <c r="G371" s="1919">
        <v>0.32980647683143616</v>
      </c>
      <c r="H371" s="1919">
        <v>0.42004525661468506</v>
      </c>
    </row>
    <row r="372" spans="1:8" x14ac:dyDescent="0.2">
      <c r="A372" s="1924">
        <v>1998</v>
      </c>
      <c r="B372" s="1918" t="s">
        <v>1189</v>
      </c>
      <c r="C372" s="1918" t="s">
        <v>40</v>
      </c>
      <c r="D372" s="1918" t="s">
        <v>1159</v>
      </c>
      <c r="E372" s="1919">
        <v>0.53256094455718994</v>
      </c>
      <c r="G372" s="1919">
        <v>0.33756116032600403</v>
      </c>
      <c r="H372" s="1919">
        <v>0.42169991135597229</v>
      </c>
    </row>
    <row r="373" spans="1:8" x14ac:dyDescent="0.2">
      <c r="A373" s="1924">
        <v>1999</v>
      </c>
      <c r="B373" s="1918" t="s">
        <v>1189</v>
      </c>
      <c r="C373" s="1918" t="s">
        <v>40</v>
      </c>
      <c r="D373" s="1918" t="s">
        <v>1159</v>
      </c>
      <c r="E373" s="1919">
        <v>0.52374225854873657</v>
      </c>
      <c r="G373" s="1919">
        <v>0.34000810980796814</v>
      </c>
      <c r="H373" s="1919">
        <v>0.43363875150680542</v>
      </c>
    </row>
    <row r="374" spans="1:8" x14ac:dyDescent="0.2">
      <c r="A374" s="1924">
        <v>2000</v>
      </c>
      <c r="B374" s="1918" t="s">
        <v>1189</v>
      </c>
      <c r="C374" s="1918" t="s">
        <v>40</v>
      </c>
      <c r="D374" s="1918" t="s">
        <v>1159</v>
      </c>
      <c r="E374" s="1919">
        <v>0.53091335296630859</v>
      </c>
      <c r="G374" s="1919">
        <v>0.34182253479957581</v>
      </c>
      <c r="H374" s="1919">
        <v>0.42467385530471802</v>
      </c>
    </row>
    <row r="375" spans="1:8" x14ac:dyDescent="0.2">
      <c r="A375" s="1924">
        <v>2001</v>
      </c>
      <c r="B375" s="1918" t="s">
        <v>1189</v>
      </c>
      <c r="C375" s="1918" t="s">
        <v>40</v>
      </c>
      <c r="D375" s="1918" t="s">
        <v>1159</v>
      </c>
      <c r="E375" s="1919">
        <v>0.53668242692947388</v>
      </c>
      <c r="G375" s="1919">
        <v>0.3463858962059021</v>
      </c>
      <c r="H375" s="1919">
        <v>0.43036168813705444</v>
      </c>
    </row>
    <row r="376" spans="1:8" x14ac:dyDescent="0.2">
      <c r="A376" s="1924">
        <v>2002</v>
      </c>
      <c r="B376" s="1918" t="s">
        <v>1189</v>
      </c>
      <c r="C376" s="1918" t="s">
        <v>40</v>
      </c>
      <c r="D376" s="1918" t="s">
        <v>1159</v>
      </c>
      <c r="E376" s="1919">
        <v>0.58423835039138794</v>
      </c>
      <c r="G376" s="1919">
        <v>0.38084587454795837</v>
      </c>
      <c r="H376" s="1919">
        <v>0.47101244330406189</v>
      </c>
    </row>
    <row r="377" spans="1:8" x14ac:dyDescent="0.2">
      <c r="A377" s="1924">
        <v>2003</v>
      </c>
      <c r="B377" s="1918" t="s">
        <v>1189</v>
      </c>
      <c r="C377" s="1918" t="s">
        <v>40</v>
      </c>
      <c r="D377" s="1918" t="s">
        <v>1159</v>
      </c>
      <c r="E377" s="1919">
        <v>0.5700981616973877</v>
      </c>
      <c r="G377" s="1919">
        <v>0.37087038159370422</v>
      </c>
      <c r="H377" s="1919">
        <v>0.47286957502365112</v>
      </c>
    </row>
    <row r="378" spans="1:8" x14ac:dyDescent="0.2">
      <c r="A378" s="1924">
        <v>2004</v>
      </c>
      <c r="B378" s="1918" t="s">
        <v>1189</v>
      </c>
      <c r="C378" s="1918" t="s">
        <v>40</v>
      </c>
      <c r="D378" s="1918" t="s">
        <v>1159</v>
      </c>
      <c r="E378" s="1919">
        <v>0.54995673894882202</v>
      </c>
      <c r="G378" s="1919">
        <v>0.35455778241157532</v>
      </c>
      <c r="H378" s="1919">
        <v>0.44768497347831726</v>
      </c>
    </row>
    <row r="379" spans="1:8" x14ac:dyDescent="0.2">
      <c r="A379" s="1924">
        <v>2005</v>
      </c>
      <c r="B379" s="1918" t="s">
        <v>1189</v>
      </c>
      <c r="C379" s="1918" t="s">
        <v>40</v>
      </c>
      <c r="D379" s="1918" t="s">
        <v>1159</v>
      </c>
      <c r="E379" s="1919">
        <v>0.58738815784454346</v>
      </c>
      <c r="G379" s="1919">
        <v>0.38433447480201721</v>
      </c>
      <c r="H379" s="1919">
        <v>0.46504011750221252</v>
      </c>
    </row>
    <row r="380" spans="1:8" x14ac:dyDescent="0.2">
      <c r="A380" s="1924">
        <v>2006</v>
      </c>
      <c r="B380" s="1918" t="s">
        <v>1189</v>
      </c>
      <c r="C380" s="1918" t="s">
        <v>40</v>
      </c>
      <c r="D380" s="1918" t="s">
        <v>1159</v>
      </c>
      <c r="E380" s="1919">
        <v>0.56122374534606934</v>
      </c>
      <c r="G380" s="1919">
        <v>0.36651697754859924</v>
      </c>
      <c r="H380" s="1919">
        <v>0.4680551290512085</v>
      </c>
    </row>
    <row r="381" spans="1:8" x14ac:dyDescent="0.2">
      <c r="A381" s="1924">
        <v>2007</v>
      </c>
      <c r="B381" s="1918" t="s">
        <v>1189</v>
      </c>
      <c r="C381" s="1918" t="s">
        <v>40</v>
      </c>
      <c r="D381" s="1918" t="s">
        <v>1159</v>
      </c>
      <c r="E381" s="1919">
        <v>0.57071685791015625</v>
      </c>
      <c r="G381" s="1919">
        <v>0.37969702482223511</v>
      </c>
      <c r="H381" s="1919">
        <v>0.46063938736915588</v>
      </c>
    </row>
    <row r="382" spans="1:8" x14ac:dyDescent="0.2">
      <c r="A382" s="1924">
        <v>2008</v>
      </c>
      <c r="B382" s="1918" t="s">
        <v>1189</v>
      </c>
      <c r="C382" s="1918" t="s">
        <v>40</v>
      </c>
      <c r="D382" s="1918" t="s">
        <v>1159</v>
      </c>
      <c r="E382" s="1919">
        <v>0.58777707815170288</v>
      </c>
      <c r="G382" s="1919">
        <v>0.39101964235305786</v>
      </c>
      <c r="H382" s="1919">
        <v>0.45897334814071655</v>
      </c>
    </row>
    <row r="383" spans="1:8" x14ac:dyDescent="0.2">
      <c r="A383" s="1924">
        <v>2009</v>
      </c>
      <c r="B383" s="1918" t="s">
        <v>1189</v>
      </c>
      <c r="C383" s="1918" t="s">
        <v>40</v>
      </c>
      <c r="D383" s="1918" t="s">
        <v>1159</v>
      </c>
      <c r="E383" s="1919">
        <v>0.60597622394561768</v>
      </c>
      <c r="G383" s="1919">
        <v>0.40425238013267517</v>
      </c>
      <c r="H383" s="1919">
        <v>0.4588417112827301</v>
      </c>
    </row>
    <row r="384" spans="1:8" x14ac:dyDescent="0.2">
      <c r="A384" s="1924">
        <v>2010</v>
      </c>
      <c r="B384" s="1918" t="s">
        <v>1189</v>
      </c>
      <c r="C384" s="1918" t="s">
        <v>40</v>
      </c>
      <c r="D384" s="1918" t="s">
        <v>1159</v>
      </c>
      <c r="E384" s="1919">
        <v>0.68464267253875732</v>
      </c>
      <c r="G384" s="1919">
        <v>0.45012146234512329</v>
      </c>
      <c r="H384" s="1919">
        <v>0.48547813296318054</v>
      </c>
    </row>
    <row r="385" spans="1:8" x14ac:dyDescent="0.2">
      <c r="A385" s="1924">
        <v>2011</v>
      </c>
      <c r="B385" s="1918" t="s">
        <v>1189</v>
      </c>
      <c r="C385" s="1918" t="s">
        <v>40</v>
      </c>
      <c r="D385" s="1918" t="s">
        <v>1159</v>
      </c>
      <c r="E385" s="1919">
        <v>0.68039923906326294</v>
      </c>
      <c r="G385" s="1919">
        <v>0.44013518095016479</v>
      </c>
      <c r="H385" s="1919">
        <v>0.47114437818527222</v>
      </c>
    </row>
    <row r="386" spans="1:8" x14ac:dyDescent="0.2">
      <c r="A386" s="1924">
        <v>2012</v>
      </c>
      <c r="B386" s="1918" t="s">
        <v>1189</v>
      </c>
      <c r="C386" s="1918" t="s">
        <v>40</v>
      </c>
      <c r="D386" s="1918" t="s">
        <v>1159</v>
      </c>
      <c r="E386" s="1919">
        <v>0.66574966907501221</v>
      </c>
      <c r="G386" s="1919">
        <v>0.42869332432746887</v>
      </c>
      <c r="H386" s="1919">
        <v>0.43529286980628967</v>
      </c>
    </row>
    <row r="387" spans="1:8" x14ac:dyDescent="0.2">
      <c r="A387" s="1924">
        <v>2013</v>
      </c>
      <c r="B387" s="1918" t="s">
        <v>1189</v>
      </c>
      <c r="C387" s="1918" t="s">
        <v>40</v>
      </c>
      <c r="D387" s="1918" t="s">
        <v>1159</v>
      </c>
      <c r="E387" s="1919">
        <v>0.61248129606246948</v>
      </c>
      <c r="G387" s="1919">
        <v>0.40121930837631226</v>
      </c>
      <c r="H387" s="1919">
        <v>0.41202720999717712</v>
      </c>
    </row>
    <row r="388" spans="1:8" x14ac:dyDescent="0.2">
      <c r="A388" s="1924">
        <v>2014</v>
      </c>
      <c r="B388" s="1918" t="s">
        <v>1189</v>
      </c>
      <c r="C388" s="1918" t="s">
        <v>40</v>
      </c>
      <c r="D388" s="1918" t="s">
        <v>1159</v>
      </c>
      <c r="E388" s="1919">
        <v>0.60428810119628906</v>
      </c>
      <c r="G388" s="1919">
        <v>0.39460355043411255</v>
      </c>
      <c r="H388" s="1919">
        <v>0.41788601875305176</v>
      </c>
    </row>
    <row r="389" spans="1:8" x14ac:dyDescent="0.2">
      <c r="A389" s="1924">
        <v>2015</v>
      </c>
      <c r="B389" s="1918" t="s">
        <v>1189</v>
      </c>
      <c r="C389" s="1918" t="s">
        <v>40</v>
      </c>
      <c r="D389" s="1918" t="s">
        <v>1159</v>
      </c>
      <c r="E389" s="1919">
        <v>0.59714740514755249</v>
      </c>
      <c r="G389" s="1919">
        <v>0.38830584287643433</v>
      </c>
      <c r="H389" s="1919">
        <v>0.40690505504608154</v>
      </c>
    </row>
    <row r="390" spans="1:8" x14ac:dyDescent="0.2">
      <c r="A390" s="1924">
        <v>1970</v>
      </c>
      <c r="B390" s="1918" t="s">
        <v>1188</v>
      </c>
      <c r="C390" s="1918" t="s">
        <v>58</v>
      </c>
      <c r="D390" s="1918" t="s">
        <v>1159</v>
      </c>
      <c r="E390" s="1919">
        <v>0.67351335287094116</v>
      </c>
      <c r="G390" s="1919">
        <v>0.55002349615097046</v>
      </c>
    </row>
    <row r="391" spans="1:8" x14ac:dyDescent="0.2">
      <c r="A391" s="1924">
        <v>1971</v>
      </c>
      <c r="B391" s="1918" t="s">
        <v>1188</v>
      </c>
      <c r="C391" s="1918" t="s">
        <v>58</v>
      </c>
      <c r="D391" s="1918" t="s">
        <v>1159</v>
      </c>
      <c r="E391" s="1919">
        <v>0.66982191801071167</v>
      </c>
      <c r="G391" s="1919">
        <v>0.5471610426902771</v>
      </c>
    </row>
    <row r="392" spans="1:8" x14ac:dyDescent="0.2">
      <c r="A392" s="1924">
        <v>1972</v>
      </c>
      <c r="B392" s="1918" t="s">
        <v>1188</v>
      </c>
      <c r="C392" s="1918" t="s">
        <v>58</v>
      </c>
      <c r="D392" s="1918" t="s">
        <v>1159</v>
      </c>
      <c r="E392" s="1919">
        <v>0.66109353303909302</v>
      </c>
      <c r="G392" s="1919">
        <v>0.54290533065795898</v>
      </c>
    </row>
    <row r="393" spans="1:8" x14ac:dyDescent="0.2">
      <c r="A393" s="1924">
        <v>1973</v>
      </c>
      <c r="B393" s="1918" t="s">
        <v>1188</v>
      </c>
      <c r="C393" s="1918" t="s">
        <v>58</v>
      </c>
      <c r="D393" s="1918" t="s">
        <v>1159</v>
      </c>
      <c r="E393" s="1919">
        <v>0.65075886249542236</v>
      </c>
      <c r="G393" s="1919">
        <v>0.53888773918151855</v>
      </c>
    </row>
    <row r="394" spans="1:8" x14ac:dyDescent="0.2">
      <c r="A394" s="1924">
        <v>1974</v>
      </c>
      <c r="B394" s="1918" t="s">
        <v>1188</v>
      </c>
      <c r="C394" s="1918" t="s">
        <v>58</v>
      </c>
      <c r="D394" s="1918" t="s">
        <v>1159</v>
      </c>
      <c r="E394" s="1919">
        <v>0.64000636339187622</v>
      </c>
      <c r="G394" s="1919">
        <v>0.53231227397918701</v>
      </c>
    </row>
    <row r="395" spans="1:8" x14ac:dyDescent="0.2">
      <c r="A395" s="1924">
        <v>1975</v>
      </c>
      <c r="B395" s="1918" t="s">
        <v>1188</v>
      </c>
      <c r="C395" s="1918" t="s">
        <v>58</v>
      </c>
      <c r="D395" s="1918" t="s">
        <v>1159</v>
      </c>
      <c r="E395" s="1919">
        <v>0.64813011884689331</v>
      </c>
      <c r="G395" s="1919">
        <v>0.53825211524963379</v>
      </c>
    </row>
    <row r="396" spans="1:8" x14ac:dyDescent="0.2">
      <c r="A396" s="1924">
        <v>1976</v>
      </c>
      <c r="B396" s="1918" t="s">
        <v>1188</v>
      </c>
      <c r="C396" s="1918" t="s">
        <v>58</v>
      </c>
      <c r="D396" s="1918" t="s">
        <v>1159</v>
      </c>
      <c r="E396" s="1919">
        <v>0.64773082733154297</v>
      </c>
      <c r="G396" s="1919">
        <v>0.53704959154129028</v>
      </c>
    </row>
    <row r="397" spans="1:8" x14ac:dyDescent="0.2">
      <c r="A397" s="1924">
        <v>1977</v>
      </c>
      <c r="B397" s="1918" t="s">
        <v>1188</v>
      </c>
      <c r="C397" s="1918" t="s">
        <v>58</v>
      </c>
      <c r="D397" s="1918" t="s">
        <v>1159</v>
      </c>
      <c r="E397" s="1919">
        <v>0.64571839570999146</v>
      </c>
      <c r="G397" s="1919">
        <v>0.53446531295776367</v>
      </c>
    </row>
    <row r="398" spans="1:8" x14ac:dyDescent="0.2">
      <c r="A398" s="1924">
        <v>1978</v>
      </c>
      <c r="B398" s="1918" t="s">
        <v>1188</v>
      </c>
      <c r="C398" s="1918" t="s">
        <v>58</v>
      </c>
      <c r="D398" s="1918" t="s">
        <v>1159</v>
      </c>
      <c r="E398" s="1919">
        <v>0.65296691656112671</v>
      </c>
      <c r="G398" s="1919">
        <v>0.53636860847473145</v>
      </c>
    </row>
    <row r="399" spans="1:8" x14ac:dyDescent="0.2">
      <c r="A399" s="1924">
        <v>1979</v>
      </c>
      <c r="B399" s="1918" t="s">
        <v>1188</v>
      </c>
      <c r="C399" s="1918" t="s">
        <v>58</v>
      </c>
      <c r="D399" s="1918" t="s">
        <v>1159</v>
      </c>
      <c r="E399" s="1919">
        <v>0.65469163656234741</v>
      </c>
      <c r="G399" s="1919">
        <v>0.5339626669883728</v>
      </c>
    </row>
    <row r="400" spans="1:8" x14ac:dyDescent="0.2">
      <c r="A400" s="1924">
        <v>1980</v>
      </c>
      <c r="B400" s="1918" t="s">
        <v>1188</v>
      </c>
      <c r="C400" s="1918" t="s">
        <v>58</v>
      </c>
      <c r="D400" s="1918" t="s">
        <v>1159</v>
      </c>
      <c r="E400" s="1919">
        <v>0.65656018257141113</v>
      </c>
      <c r="G400" s="1919">
        <v>0.53303110599517822</v>
      </c>
    </row>
    <row r="401" spans="1:13" x14ac:dyDescent="0.2">
      <c r="A401" s="1924">
        <v>1981</v>
      </c>
      <c r="B401" s="1918" t="s">
        <v>1188</v>
      </c>
      <c r="C401" s="1918" t="s">
        <v>58</v>
      </c>
      <c r="D401" s="1918" t="s">
        <v>1159</v>
      </c>
      <c r="E401" s="1919">
        <v>0.65928345918655396</v>
      </c>
      <c r="G401" s="1919">
        <v>0.52913999557495117</v>
      </c>
    </row>
    <row r="402" spans="1:13" x14ac:dyDescent="0.2">
      <c r="A402" s="1924">
        <v>1982</v>
      </c>
      <c r="B402" s="1918" t="s">
        <v>1188</v>
      </c>
      <c r="C402" s="1918" t="s">
        <v>58</v>
      </c>
      <c r="D402" s="1918" t="s">
        <v>1159</v>
      </c>
      <c r="E402" s="1919">
        <v>0.64660722017288208</v>
      </c>
      <c r="G402" s="1919">
        <v>0.52057015895843506</v>
      </c>
    </row>
    <row r="403" spans="1:13" x14ac:dyDescent="0.2">
      <c r="A403" s="1924">
        <v>1983</v>
      </c>
      <c r="B403" s="1918" t="s">
        <v>1188</v>
      </c>
      <c r="C403" s="1918" t="s">
        <v>58</v>
      </c>
      <c r="D403" s="1918" t="s">
        <v>1159</v>
      </c>
      <c r="E403" s="1919">
        <v>0.64527267217636108</v>
      </c>
      <c r="G403" s="1919">
        <v>0.51447439193725586</v>
      </c>
    </row>
    <row r="404" spans="1:13" x14ac:dyDescent="0.2">
      <c r="A404" s="1924">
        <v>1984</v>
      </c>
      <c r="B404" s="1918" t="s">
        <v>1188</v>
      </c>
      <c r="C404" s="1918" t="s">
        <v>58</v>
      </c>
      <c r="D404" s="1918" t="s">
        <v>1159</v>
      </c>
      <c r="E404" s="1919">
        <v>0.61374592781066895</v>
      </c>
      <c r="G404" s="1919">
        <v>0.48123544454574585</v>
      </c>
    </row>
    <row r="405" spans="1:13" x14ac:dyDescent="0.2">
      <c r="A405" s="1924">
        <v>1985</v>
      </c>
      <c r="B405" s="1918" t="s">
        <v>1188</v>
      </c>
      <c r="C405" s="1918" t="s">
        <v>58</v>
      </c>
      <c r="D405" s="1918" t="s">
        <v>1159</v>
      </c>
      <c r="E405" s="1919">
        <v>0.59862083196640015</v>
      </c>
      <c r="F405" s="1926"/>
      <c r="G405" s="1919">
        <v>0.47059953212738037</v>
      </c>
      <c r="K405" s="1922"/>
      <c r="L405" s="1922"/>
      <c r="M405" s="1919"/>
    </row>
    <row r="406" spans="1:13" x14ac:dyDescent="0.2">
      <c r="A406" s="1924">
        <v>1986</v>
      </c>
      <c r="B406" s="1918" t="s">
        <v>1188</v>
      </c>
      <c r="C406" s="1918" t="s">
        <v>58</v>
      </c>
      <c r="D406" s="1918" t="s">
        <v>1159</v>
      </c>
      <c r="E406" s="1919">
        <v>0.59744048118591309</v>
      </c>
      <c r="F406" s="1926"/>
      <c r="G406" s="1919">
        <v>0.47143781185150146</v>
      </c>
      <c r="K406" s="1922"/>
      <c r="L406" s="1919"/>
      <c r="M406" s="1919"/>
    </row>
    <row r="407" spans="1:13" x14ac:dyDescent="0.2">
      <c r="A407" s="1924">
        <v>1987</v>
      </c>
      <c r="B407" s="1918" t="s">
        <v>1188</v>
      </c>
      <c r="C407" s="1918" t="s">
        <v>58</v>
      </c>
      <c r="D407" s="1918" t="s">
        <v>1159</v>
      </c>
      <c r="E407" s="1919">
        <v>0.59642815589904785</v>
      </c>
      <c r="F407" s="1926"/>
      <c r="G407" s="1919">
        <v>0.47078627347946167</v>
      </c>
      <c r="K407" s="1922"/>
      <c r="L407" s="1919"/>
      <c r="M407" s="1919"/>
    </row>
    <row r="408" spans="1:13" x14ac:dyDescent="0.2">
      <c r="A408" s="1924">
        <v>1988</v>
      </c>
      <c r="B408" s="1918" t="s">
        <v>1188</v>
      </c>
      <c r="C408" s="1918" t="s">
        <v>58</v>
      </c>
      <c r="D408" s="1918" t="s">
        <v>1159</v>
      </c>
      <c r="E408" s="1919">
        <v>0.60387414693832397</v>
      </c>
      <c r="F408" s="1926"/>
      <c r="G408" s="1919">
        <v>0.47591811418533325</v>
      </c>
      <c r="K408" s="1922"/>
      <c r="L408" s="1919"/>
      <c r="M408" s="1919"/>
    </row>
    <row r="409" spans="1:13" x14ac:dyDescent="0.2">
      <c r="A409" s="1924">
        <v>1989</v>
      </c>
      <c r="B409" s="1918" t="s">
        <v>1188</v>
      </c>
      <c r="C409" s="1918" t="s">
        <v>58</v>
      </c>
      <c r="D409" s="1918" t="s">
        <v>1159</v>
      </c>
      <c r="E409" s="1919">
        <v>0.5971672534942627</v>
      </c>
      <c r="F409" s="1926"/>
      <c r="G409" s="1919">
        <v>0.47944468259811401</v>
      </c>
      <c r="K409" s="1922"/>
      <c r="L409" s="1919"/>
      <c r="M409" s="1919"/>
    </row>
    <row r="410" spans="1:13" x14ac:dyDescent="0.2">
      <c r="A410" s="1924">
        <v>1990</v>
      </c>
      <c r="B410" s="1918" t="s">
        <v>1188</v>
      </c>
      <c r="C410" s="1918" t="s">
        <v>58</v>
      </c>
      <c r="D410" s="1918" t="s">
        <v>1159</v>
      </c>
      <c r="E410" s="1919">
        <v>0.61543768644332886</v>
      </c>
      <c r="F410" s="1926"/>
      <c r="G410" s="1919">
        <v>0.49950248003005981</v>
      </c>
      <c r="K410" s="1922"/>
      <c r="L410" s="1919"/>
      <c r="M410" s="1919"/>
    </row>
    <row r="411" spans="1:13" x14ac:dyDescent="0.2">
      <c r="A411" s="1924">
        <v>1991</v>
      </c>
      <c r="B411" s="1918" t="s">
        <v>1188</v>
      </c>
      <c r="C411" s="1918" t="s">
        <v>58</v>
      </c>
      <c r="D411" s="1918" t="s">
        <v>1159</v>
      </c>
      <c r="E411" s="1919">
        <v>0.63408935070037842</v>
      </c>
      <c r="F411" s="1926"/>
      <c r="G411" s="1919">
        <v>0.51208311319351196</v>
      </c>
      <c r="K411" s="1922"/>
      <c r="L411" s="1919"/>
      <c r="M411" s="1919"/>
    </row>
    <row r="412" spans="1:13" x14ac:dyDescent="0.2">
      <c r="A412" s="1924">
        <v>1992</v>
      </c>
      <c r="B412" s="1918" t="s">
        <v>1188</v>
      </c>
      <c r="C412" s="1918" t="s">
        <v>58</v>
      </c>
      <c r="D412" s="1918" t="s">
        <v>1159</v>
      </c>
      <c r="E412" s="1919">
        <v>0.65077054500579834</v>
      </c>
      <c r="F412" s="1926"/>
      <c r="G412" s="1919">
        <v>0.52029132843017578</v>
      </c>
      <c r="K412" s="1922"/>
      <c r="L412" s="1919"/>
      <c r="M412" s="1919"/>
    </row>
    <row r="413" spans="1:13" x14ac:dyDescent="0.2">
      <c r="A413" s="1924">
        <v>1993</v>
      </c>
      <c r="B413" s="1918" t="s">
        <v>1188</v>
      </c>
      <c r="C413" s="1918" t="s">
        <v>58</v>
      </c>
      <c r="D413" s="1918" t="s">
        <v>1159</v>
      </c>
      <c r="E413" s="1919">
        <v>0.6563224196434021</v>
      </c>
      <c r="F413" s="1926"/>
      <c r="G413" s="1919">
        <v>0.52577471733093262</v>
      </c>
      <c r="K413" s="1922"/>
      <c r="L413" s="1919"/>
      <c r="M413" s="1919"/>
    </row>
    <row r="414" spans="1:13" x14ac:dyDescent="0.2">
      <c r="A414" s="1924">
        <v>1994</v>
      </c>
      <c r="B414" s="1918" t="s">
        <v>1188</v>
      </c>
      <c r="C414" s="1918" t="s">
        <v>58</v>
      </c>
      <c r="D414" s="1918" t="s">
        <v>1159</v>
      </c>
      <c r="E414" s="1919">
        <v>0.63621664047241211</v>
      </c>
      <c r="F414" s="1926"/>
      <c r="G414" s="1919">
        <v>0.50864648818969727</v>
      </c>
      <c r="K414" s="1922"/>
      <c r="L414" s="1919"/>
      <c r="M414" s="1919"/>
    </row>
    <row r="415" spans="1:13" x14ac:dyDescent="0.2">
      <c r="A415" s="1924">
        <v>1995</v>
      </c>
      <c r="B415" s="1918" t="s">
        <v>1188</v>
      </c>
      <c r="C415" s="1918" t="s">
        <v>58</v>
      </c>
      <c r="D415" s="1918" t="s">
        <v>1159</v>
      </c>
      <c r="E415" s="1919">
        <v>0.62968146800994873</v>
      </c>
      <c r="F415" s="1926"/>
      <c r="G415" s="1919">
        <v>0.50162649154663086</v>
      </c>
      <c r="H415" s="1919">
        <v>0.59971648454666138</v>
      </c>
      <c r="K415" s="1922"/>
      <c r="L415" s="1919"/>
      <c r="M415" s="1919"/>
    </row>
    <row r="416" spans="1:13" x14ac:dyDescent="0.2">
      <c r="A416" s="1924">
        <v>1996</v>
      </c>
      <c r="B416" s="1918" t="s">
        <v>1188</v>
      </c>
      <c r="C416" s="1918" t="s">
        <v>58</v>
      </c>
      <c r="D416" s="1918" t="s">
        <v>1159</v>
      </c>
      <c r="E416" s="1919">
        <v>0.63176047801971436</v>
      </c>
      <c r="F416" s="1926"/>
      <c r="G416" s="1919">
        <v>0.50831300020217896</v>
      </c>
      <c r="H416" s="1919">
        <v>0.59713512659072876</v>
      </c>
      <c r="K416" s="1922"/>
      <c r="L416" s="1919"/>
      <c r="M416" s="1919"/>
    </row>
    <row r="417" spans="1:13" x14ac:dyDescent="0.2">
      <c r="A417" s="1924">
        <v>1997</v>
      </c>
      <c r="B417" s="1918" t="s">
        <v>1188</v>
      </c>
      <c r="C417" s="1918" t="s">
        <v>58</v>
      </c>
      <c r="D417" s="1918" t="s">
        <v>1159</v>
      </c>
      <c r="E417" s="1919">
        <v>0.64170080423355103</v>
      </c>
      <c r="F417" s="1926"/>
      <c r="G417" s="1919">
        <v>0.52386319637298584</v>
      </c>
      <c r="H417" s="1919">
        <v>0.61937159299850464</v>
      </c>
      <c r="K417" s="1922"/>
      <c r="L417" s="1919"/>
      <c r="M417" s="1919"/>
    </row>
    <row r="418" spans="1:13" x14ac:dyDescent="0.2">
      <c r="A418" s="1924">
        <v>1998</v>
      </c>
      <c r="B418" s="1918" t="s">
        <v>1188</v>
      </c>
      <c r="C418" s="1918" t="s">
        <v>58</v>
      </c>
      <c r="D418" s="1918" t="s">
        <v>1159</v>
      </c>
      <c r="E418" s="1919">
        <v>0.6435697078704834</v>
      </c>
      <c r="F418" s="1926"/>
      <c r="G418" s="1919">
        <v>0.52570223808288574</v>
      </c>
      <c r="H418" s="1919">
        <v>0.62761670351028442</v>
      </c>
      <c r="K418" s="1922"/>
      <c r="L418" s="1919"/>
      <c r="M418" s="1919"/>
    </row>
    <row r="419" spans="1:13" x14ac:dyDescent="0.2">
      <c r="A419" s="1924">
        <v>1999</v>
      </c>
      <c r="B419" s="1918" t="s">
        <v>1188</v>
      </c>
      <c r="C419" s="1918" t="s">
        <v>58</v>
      </c>
      <c r="D419" s="1918" t="s">
        <v>1159</v>
      </c>
      <c r="E419" s="1919">
        <v>0.64664119482040405</v>
      </c>
      <c r="F419" s="1926"/>
      <c r="G419" s="1919">
        <v>0.53099203109741211</v>
      </c>
      <c r="H419" s="1919">
        <v>0.62656503915786743</v>
      </c>
      <c r="K419" s="1922"/>
      <c r="L419" s="1919"/>
      <c r="M419" s="1919"/>
    </row>
    <row r="420" spans="1:13" x14ac:dyDescent="0.2">
      <c r="A420" s="1924">
        <v>2000</v>
      </c>
      <c r="B420" s="1918" t="s">
        <v>1188</v>
      </c>
      <c r="C420" s="1918" t="s">
        <v>58</v>
      </c>
      <c r="D420" s="1918" t="s">
        <v>1159</v>
      </c>
      <c r="E420" s="1919">
        <v>0.64603227376937866</v>
      </c>
      <c r="F420" s="1926"/>
      <c r="G420" s="1919">
        <v>0.53221005201339722</v>
      </c>
      <c r="H420" s="1919">
        <v>0.62849777936935425</v>
      </c>
      <c r="K420" s="1922"/>
      <c r="L420" s="1919"/>
      <c r="M420" s="1919"/>
    </row>
    <row r="421" spans="1:13" x14ac:dyDescent="0.2">
      <c r="A421" s="1924">
        <v>2001</v>
      </c>
      <c r="B421" s="1918" t="s">
        <v>1188</v>
      </c>
      <c r="C421" s="1918" t="s">
        <v>58</v>
      </c>
      <c r="D421" s="1918" t="s">
        <v>1159</v>
      </c>
      <c r="E421" s="1919">
        <v>0.63876885175704956</v>
      </c>
      <c r="F421" s="1926"/>
      <c r="G421" s="1919">
        <v>0.52939999103546143</v>
      </c>
      <c r="H421" s="1919">
        <v>0.62216079235076904</v>
      </c>
      <c r="K421" s="1922"/>
      <c r="L421" s="1919"/>
      <c r="M421" s="1919"/>
    </row>
    <row r="422" spans="1:13" x14ac:dyDescent="0.2">
      <c r="A422" s="1924">
        <v>2002</v>
      </c>
      <c r="B422" s="1918" t="s">
        <v>1188</v>
      </c>
      <c r="C422" s="1918" t="s">
        <v>58</v>
      </c>
      <c r="D422" s="1918" t="s">
        <v>1159</v>
      </c>
      <c r="E422" s="1919">
        <v>0.63345760107040405</v>
      </c>
      <c r="F422" s="1926"/>
      <c r="G422" s="1919">
        <v>0.52878266572952271</v>
      </c>
      <c r="H422" s="1919">
        <v>0.62398713827133179</v>
      </c>
      <c r="K422" s="1922"/>
      <c r="L422" s="1919"/>
      <c r="M422" s="1919"/>
    </row>
    <row r="423" spans="1:13" x14ac:dyDescent="0.2">
      <c r="A423" s="1924">
        <v>2003</v>
      </c>
      <c r="B423" s="1918" t="s">
        <v>1188</v>
      </c>
      <c r="C423" s="1918" t="s">
        <v>58</v>
      </c>
      <c r="D423" s="1918" t="s">
        <v>1159</v>
      </c>
      <c r="E423" s="1919">
        <v>0.63640832901000977</v>
      </c>
      <c r="F423" s="1926"/>
      <c r="G423" s="1919">
        <v>0.53324192762374878</v>
      </c>
      <c r="H423" s="1919">
        <v>0.62092173099517822</v>
      </c>
      <c r="K423" s="1922"/>
      <c r="L423" s="1919"/>
      <c r="M423" s="1919"/>
    </row>
    <row r="424" spans="1:13" x14ac:dyDescent="0.2">
      <c r="A424" s="1924">
        <v>2004</v>
      </c>
      <c r="B424" s="1918" t="s">
        <v>1188</v>
      </c>
      <c r="C424" s="1918" t="s">
        <v>58</v>
      </c>
      <c r="D424" s="1918" t="s">
        <v>1159</v>
      </c>
      <c r="E424" s="1919">
        <v>0.63536638021469116</v>
      </c>
      <c r="F424" s="1926"/>
      <c r="G424" s="1919">
        <v>0.53346741199493408</v>
      </c>
      <c r="H424" s="1919">
        <v>0.62217670679092407</v>
      </c>
      <c r="K424" s="1922"/>
      <c r="L424" s="1919"/>
      <c r="M424" s="1919"/>
    </row>
    <row r="425" spans="1:13" x14ac:dyDescent="0.2">
      <c r="A425" s="1924">
        <v>2005</v>
      </c>
      <c r="B425" s="1918" t="s">
        <v>1188</v>
      </c>
      <c r="C425" s="1918" t="s">
        <v>58</v>
      </c>
      <c r="D425" s="1918" t="s">
        <v>1159</v>
      </c>
      <c r="E425" s="1919">
        <v>0.63647198677062988</v>
      </c>
      <c r="F425" s="1926"/>
      <c r="G425" s="1919">
        <v>0.53718471527099609</v>
      </c>
      <c r="H425" s="1919">
        <v>0.61810576915740967</v>
      </c>
      <c r="K425" s="1922"/>
      <c r="L425" s="1919"/>
      <c r="M425" s="1919"/>
    </row>
    <row r="426" spans="1:13" x14ac:dyDescent="0.2">
      <c r="A426" s="1924">
        <v>2006</v>
      </c>
      <c r="B426" s="1918" t="s">
        <v>1188</v>
      </c>
      <c r="C426" s="1918" t="s">
        <v>58</v>
      </c>
      <c r="D426" s="1918" t="s">
        <v>1159</v>
      </c>
      <c r="E426" s="1919">
        <v>0.63723891973495483</v>
      </c>
      <c r="F426" s="1926"/>
      <c r="G426" s="1919">
        <v>0.54013371467590332</v>
      </c>
      <c r="H426" s="1919">
        <v>0.62111049890518188</v>
      </c>
      <c r="K426" s="1922"/>
      <c r="L426" s="1919"/>
      <c r="M426" s="1919"/>
    </row>
    <row r="427" spans="1:13" x14ac:dyDescent="0.2">
      <c r="A427" s="1924">
        <v>2007</v>
      </c>
      <c r="B427" s="1918" t="s">
        <v>1188</v>
      </c>
      <c r="C427" s="1918" t="s">
        <v>58</v>
      </c>
      <c r="D427" s="1918" t="s">
        <v>1159</v>
      </c>
      <c r="E427" s="1919">
        <v>0.64232635498046875</v>
      </c>
      <c r="F427" s="1926"/>
      <c r="G427" s="1919">
        <v>0.54668092727661133</v>
      </c>
      <c r="H427" s="1919">
        <v>0.6048663854598999</v>
      </c>
      <c r="K427" s="1922"/>
      <c r="L427" s="1919"/>
      <c r="M427" s="1919"/>
    </row>
    <row r="428" spans="1:13" x14ac:dyDescent="0.2">
      <c r="A428" s="1924">
        <v>2008</v>
      </c>
      <c r="B428" s="1918" t="s">
        <v>1188</v>
      </c>
      <c r="C428" s="1918" t="s">
        <v>58</v>
      </c>
      <c r="D428" s="1918" t="s">
        <v>1159</v>
      </c>
      <c r="E428" s="1919">
        <v>0.65407818555831909</v>
      </c>
      <c r="F428" s="1926"/>
      <c r="G428" s="1919">
        <v>0.55601942539215088</v>
      </c>
      <c r="H428" s="1919">
        <v>0.59085315465927124</v>
      </c>
      <c r="K428" s="1922"/>
      <c r="L428" s="1919"/>
      <c r="M428" s="1919"/>
    </row>
    <row r="429" spans="1:13" x14ac:dyDescent="0.2">
      <c r="A429" s="1924">
        <v>2009</v>
      </c>
      <c r="B429" s="1918" t="s">
        <v>1188</v>
      </c>
      <c r="C429" s="1918" t="s">
        <v>58</v>
      </c>
      <c r="D429" s="1918" t="s">
        <v>1159</v>
      </c>
      <c r="E429" s="1919">
        <v>0.64697176218032837</v>
      </c>
      <c r="F429" s="1926"/>
      <c r="G429" s="1919">
        <v>0.54942065477371216</v>
      </c>
      <c r="H429" s="1919">
        <v>0.57415801286697388</v>
      </c>
      <c r="K429" s="1922"/>
      <c r="L429" s="1919"/>
      <c r="M429" s="1919"/>
    </row>
    <row r="430" spans="1:13" x14ac:dyDescent="0.2">
      <c r="A430" s="1924">
        <v>2010</v>
      </c>
      <c r="B430" s="1918" t="s">
        <v>1188</v>
      </c>
      <c r="C430" s="1918" t="s">
        <v>58</v>
      </c>
      <c r="D430" s="1918" t="s">
        <v>1159</v>
      </c>
      <c r="E430" s="1919">
        <v>0.66172683238983154</v>
      </c>
      <c r="F430" s="1926"/>
      <c r="G430" s="1919">
        <v>0.561287522315979</v>
      </c>
      <c r="H430" s="1919">
        <v>0.59078925848007202</v>
      </c>
      <c r="K430" s="1922"/>
      <c r="L430" s="1919"/>
      <c r="M430" s="1919"/>
    </row>
    <row r="431" spans="1:13" x14ac:dyDescent="0.2">
      <c r="A431" s="1924">
        <v>2011</v>
      </c>
      <c r="B431" s="1918" t="s">
        <v>1188</v>
      </c>
      <c r="C431" s="1918" t="s">
        <v>58</v>
      </c>
      <c r="D431" s="1918" t="s">
        <v>1159</v>
      </c>
      <c r="E431" s="1919">
        <v>0.65988945960998535</v>
      </c>
      <c r="F431" s="1926"/>
      <c r="G431" s="1919">
        <v>0.55774027109146118</v>
      </c>
      <c r="H431" s="1919">
        <v>0.58871954679489136</v>
      </c>
      <c r="K431" s="1922"/>
      <c r="L431" s="1919"/>
      <c r="M431" s="1919"/>
    </row>
    <row r="432" spans="1:13" x14ac:dyDescent="0.2">
      <c r="A432" s="1924">
        <v>2012</v>
      </c>
      <c r="B432" s="1918" t="s">
        <v>1188</v>
      </c>
      <c r="C432" s="1918" t="s">
        <v>58</v>
      </c>
      <c r="D432" s="1918" t="s">
        <v>1159</v>
      </c>
      <c r="E432" s="1919">
        <v>0.65016818046569824</v>
      </c>
      <c r="F432" s="1926"/>
      <c r="G432" s="1919">
        <v>0.5448150634765625</v>
      </c>
      <c r="H432" s="1919">
        <v>0.57260692119598389</v>
      </c>
      <c r="K432" s="1922"/>
      <c r="L432" s="1919"/>
      <c r="M432" s="1919"/>
    </row>
    <row r="433" spans="1:13" x14ac:dyDescent="0.2">
      <c r="A433" s="1924">
        <v>2013</v>
      </c>
      <c r="B433" s="1918" t="s">
        <v>1188</v>
      </c>
      <c r="C433" s="1918" t="s">
        <v>58</v>
      </c>
      <c r="D433" s="1918" t="s">
        <v>1159</v>
      </c>
      <c r="E433" s="1919">
        <v>0.65471756458282471</v>
      </c>
      <c r="F433" s="1926"/>
      <c r="G433" s="1919">
        <v>0.54356956481933594</v>
      </c>
      <c r="H433" s="1919">
        <v>0.564566969871521</v>
      </c>
      <c r="K433" s="1922"/>
      <c r="L433" s="1919"/>
      <c r="M433" s="1919"/>
    </row>
    <row r="434" spans="1:13" x14ac:dyDescent="0.2">
      <c r="A434" s="1924">
        <v>2014</v>
      </c>
      <c r="B434" s="1918" t="s">
        <v>1188</v>
      </c>
      <c r="C434" s="1918" t="s">
        <v>58</v>
      </c>
      <c r="D434" s="1918" t="s">
        <v>1159</v>
      </c>
      <c r="E434" s="1919">
        <v>0.65073013305664062</v>
      </c>
      <c r="F434" s="1926"/>
      <c r="G434" s="1919">
        <v>0.54124659299850464</v>
      </c>
      <c r="H434" s="1919">
        <v>0.5649140477180481</v>
      </c>
      <c r="K434" s="1922"/>
      <c r="L434" s="1919"/>
      <c r="M434" s="1919"/>
    </row>
    <row r="435" spans="1:13" x14ac:dyDescent="0.2">
      <c r="A435" s="1924">
        <v>2015</v>
      </c>
      <c r="B435" s="1918" t="s">
        <v>1188</v>
      </c>
      <c r="C435" s="1918" t="s">
        <v>58</v>
      </c>
      <c r="D435" s="1918" t="s">
        <v>1159</v>
      </c>
      <c r="E435" s="1919">
        <v>0.64433145523071289</v>
      </c>
      <c r="F435" s="1926"/>
      <c r="G435" s="1919">
        <v>0.53819555044174194</v>
      </c>
      <c r="H435" s="1919">
        <v>0.56185322999954224</v>
      </c>
      <c r="K435" s="1922"/>
      <c r="L435" s="1921"/>
      <c r="M435" s="1919"/>
    </row>
    <row r="436" spans="1:13" x14ac:dyDescent="0.2">
      <c r="A436" s="1924">
        <v>1970</v>
      </c>
      <c r="B436" s="1918" t="s">
        <v>1187</v>
      </c>
      <c r="C436" s="1918" t="s">
        <v>37</v>
      </c>
      <c r="D436" s="1918" t="s">
        <v>1159</v>
      </c>
      <c r="E436" s="1919">
        <v>0.75117367506027222</v>
      </c>
      <c r="G436" s="1919">
        <v>0.67514717578887939</v>
      </c>
    </row>
    <row r="437" spans="1:13" x14ac:dyDescent="0.2">
      <c r="A437" s="1924">
        <v>1971</v>
      </c>
      <c r="B437" s="1918" t="s">
        <v>1187</v>
      </c>
      <c r="C437" s="1918" t="s">
        <v>37</v>
      </c>
      <c r="D437" s="1918" t="s">
        <v>1159</v>
      </c>
      <c r="E437" s="1919">
        <v>0.74959826469421387</v>
      </c>
      <c r="G437" s="1919">
        <v>0.674224853515625</v>
      </c>
    </row>
    <row r="438" spans="1:13" x14ac:dyDescent="0.2">
      <c r="A438" s="1924">
        <v>1972</v>
      </c>
      <c r="B438" s="1918" t="s">
        <v>1187</v>
      </c>
      <c r="C438" s="1918" t="s">
        <v>37</v>
      </c>
      <c r="D438" s="1918" t="s">
        <v>1159</v>
      </c>
      <c r="E438" s="1919">
        <v>0.7456091046333313</v>
      </c>
      <c r="G438" s="1919">
        <v>0.67561805248260498</v>
      </c>
    </row>
    <row r="439" spans="1:13" x14ac:dyDescent="0.2">
      <c r="A439" s="1924">
        <v>1973</v>
      </c>
      <c r="B439" s="1918" t="s">
        <v>1187</v>
      </c>
      <c r="C439" s="1918" t="s">
        <v>37</v>
      </c>
      <c r="D439" s="1918" t="s">
        <v>1159</v>
      </c>
      <c r="E439" s="1919">
        <v>0.75224679708480835</v>
      </c>
      <c r="G439" s="1919">
        <v>0.68182843923568726</v>
      </c>
    </row>
    <row r="440" spans="1:13" x14ac:dyDescent="0.2">
      <c r="A440" s="1924">
        <v>1974</v>
      </c>
      <c r="B440" s="1918" t="s">
        <v>1187</v>
      </c>
      <c r="C440" s="1918" t="s">
        <v>37</v>
      </c>
      <c r="D440" s="1918" t="s">
        <v>1159</v>
      </c>
      <c r="E440" s="1919">
        <v>0.74213689565658569</v>
      </c>
      <c r="G440" s="1919">
        <v>0.67755097150802612</v>
      </c>
    </row>
    <row r="441" spans="1:13" x14ac:dyDescent="0.2">
      <c r="A441" s="1924">
        <v>1975</v>
      </c>
      <c r="B441" s="1918" t="s">
        <v>1187</v>
      </c>
      <c r="C441" s="1918" t="s">
        <v>37</v>
      </c>
      <c r="D441" s="1918" t="s">
        <v>1159</v>
      </c>
      <c r="E441" s="1919">
        <v>0.73785883188247681</v>
      </c>
      <c r="G441" s="1919">
        <v>0.67337745428085327</v>
      </c>
      <c r="H441" s="1919">
        <v>0.67305576801300049</v>
      </c>
    </row>
    <row r="442" spans="1:13" x14ac:dyDescent="0.2">
      <c r="A442" s="1924">
        <v>1976</v>
      </c>
      <c r="B442" s="1918" t="s">
        <v>1187</v>
      </c>
      <c r="C442" s="1918" t="s">
        <v>37</v>
      </c>
      <c r="D442" s="1918" t="s">
        <v>1159</v>
      </c>
      <c r="E442" s="1919">
        <v>0.7479127049446106</v>
      </c>
      <c r="G442" s="1919">
        <v>0.68155813217163086</v>
      </c>
      <c r="H442" s="1919">
        <v>0.68304574489593506</v>
      </c>
    </row>
    <row r="443" spans="1:13" x14ac:dyDescent="0.2">
      <c r="A443" s="1924">
        <v>1977</v>
      </c>
      <c r="B443" s="1918" t="s">
        <v>1187</v>
      </c>
      <c r="C443" s="1918" t="s">
        <v>37</v>
      </c>
      <c r="D443" s="1918" t="s">
        <v>1159</v>
      </c>
      <c r="E443" s="1919">
        <v>0.74000543355941772</v>
      </c>
      <c r="G443" s="1919">
        <v>0.67350631952285767</v>
      </c>
      <c r="H443" s="1919">
        <v>0.67482262849807739</v>
      </c>
    </row>
    <row r="444" spans="1:13" x14ac:dyDescent="0.2">
      <c r="A444" s="1924">
        <v>1978</v>
      </c>
      <c r="B444" s="1918" t="s">
        <v>1187</v>
      </c>
      <c r="C444" s="1918" t="s">
        <v>37</v>
      </c>
      <c r="D444" s="1918" t="s">
        <v>1159</v>
      </c>
      <c r="E444" s="1919">
        <v>0.69898706674575806</v>
      </c>
      <c r="G444" s="1919">
        <v>0.63413989543914795</v>
      </c>
      <c r="H444" s="1919">
        <v>0.63314414024353027</v>
      </c>
    </row>
    <row r="445" spans="1:13" x14ac:dyDescent="0.2">
      <c r="A445" s="1924">
        <v>1979</v>
      </c>
      <c r="B445" s="1918" t="s">
        <v>1187</v>
      </c>
      <c r="C445" s="1918" t="s">
        <v>37</v>
      </c>
      <c r="D445" s="1918" t="s">
        <v>1159</v>
      </c>
      <c r="E445" s="1919">
        <v>0.6773536205291748</v>
      </c>
      <c r="G445" s="1919">
        <v>0.6136479377746582</v>
      </c>
      <c r="H445" s="1919">
        <v>0.6121864914894104</v>
      </c>
    </row>
    <row r="446" spans="1:13" x14ac:dyDescent="0.2">
      <c r="A446" s="1924">
        <v>1980</v>
      </c>
      <c r="B446" s="1918" t="s">
        <v>1187</v>
      </c>
      <c r="C446" s="1918" t="s">
        <v>37</v>
      </c>
      <c r="D446" s="1918" t="s">
        <v>1159</v>
      </c>
      <c r="E446" s="1919">
        <v>0.69566869735717773</v>
      </c>
      <c r="G446" s="1919">
        <v>0.62836450338363647</v>
      </c>
      <c r="H446" s="1919">
        <v>0.62717646360397339</v>
      </c>
    </row>
    <row r="447" spans="1:13" x14ac:dyDescent="0.2">
      <c r="A447" s="1924">
        <v>1981</v>
      </c>
      <c r="B447" s="1918" t="s">
        <v>1187</v>
      </c>
      <c r="C447" s="1918" t="s">
        <v>37</v>
      </c>
      <c r="D447" s="1918" t="s">
        <v>1159</v>
      </c>
      <c r="E447" s="1919">
        <v>0.71292638778686523</v>
      </c>
      <c r="G447" s="1919">
        <v>0.64426630735397339</v>
      </c>
      <c r="H447" s="1919">
        <v>0.64349055290222168</v>
      </c>
    </row>
    <row r="448" spans="1:13" x14ac:dyDescent="0.2">
      <c r="A448" s="1924">
        <v>1982</v>
      </c>
      <c r="B448" s="1918" t="s">
        <v>1187</v>
      </c>
      <c r="C448" s="1918" t="s">
        <v>37</v>
      </c>
      <c r="D448" s="1918" t="s">
        <v>1159</v>
      </c>
      <c r="E448" s="1919">
        <v>0.70410460233688354</v>
      </c>
      <c r="G448" s="1919">
        <v>0.63409030437469482</v>
      </c>
      <c r="H448" s="1919">
        <v>0.63396525382995605</v>
      </c>
    </row>
    <row r="449" spans="1:8" x14ac:dyDescent="0.2">
      <c r="A449" s="1924">
        <v>1983</v>
      </c>
      <c r="B449" s="1918" t="s">
        <v>1187</v>
      </c>
      <c r="C449" s="1918" t="s">
        <v>37</v>
      </c>
      <c r="D449" s="1918" t="s">
        <v>1159</v>
      </c>
      <c r="E449" s="1919">
        <v>0.69681710004806519</v>
      </c>
      <c r="G449" s="1919">
        <v>0.62653124332427979</v>
      </c>
      <c r="H449" s="1919">
        <v>0.62564003467559814</v>
      </c>
    </row>
    <row r="450" spans="1:8" x14ac:dyDescent="0.2">
      <c r="A450" s="1924">
        <v>1984</v>
      </c>
      <c r="B450" s="1918" t="s">
        <v>1187</v>
      </c>
      <c r="C450" s="1918" t="s">
        <v>37</v>
      </c>
      <c r="D450" s="1918" t="s">
        <v>1159</v>
      </c>
      <c r="E450" s="1919">
        <v>0.69590747356414795</v>
      </c>
      <c r="G450" s="1919">
        <v>0.62536478042602539</v>
      </c>
      <c r="H450" s="1919">
        <v>0.62319362163543701</v>
      </c>
    </row>
    <row r="451" spans="1:8" x14ac:dyDescent="0.2">
      <c r="A451" s="1924">
        <v>1985</v>
      </c>
      <c r="B451" s="1918" t="s">
        <v>1187</v>
      </c>
      <c r="C451" s="1918" t="s">
        <v>37</v>
      </c>
      <c r="D451" s="1918" t="s">
        <v>1159</v>
      </c>
      <c r="E451" s="1919">
        <v>0.71270287036895752</v>
      </c>
      <c r="G451" s="1919">
        <v>0.64072239398956299</v>
      </c>
      <c r="H451" s="1919">
        <v>0.63864517211914062</v>
      </c>
    </row>
    <row r="452" spans="1:8" x14ac:dyDescent="0.2">
      <c r="A452" s="1924">
        <v>1986</v>
      </c>
      <c r="B452" s="1918" t="s">
        <v>1187</v>
      </c>
      <c r="C452" s="1918" t="s">
        <v>37</v>
      </c>
      <c r="D452" s="1918" t="s">
        <v>1159</v>
      </c>
      <c r="E452" s="1919">
        <v>0.71888452768325806</v>
      </c>
      <c r="G452" s="1919">
        <v>0.64423155784606934</v>
      </c>
      <c r="H452" s="1919">
        <v>0.64067554473876953</v>
      </c>
    </row>
    <row r="453" spans="1:8" x14ac:dyDescent="0.2">
      <c r="A453" s="1924">
        <v>1987</v>
      </c>
      <c r="B453" s="1918" t="s">
        <v>1187</v>
      </c>
      <c r="C453" s="1918" t="s">
        <v>37</v>
      </c>
      <c r="D453" s="1918" t="s">
        <v>1159</v>
      </c>
      <c r="E453" s="1919">
        <v>0.71409088373184204</v>
      </c>
      <c r="G453" s="1919">
        <v>0.636383056640625</v>
      </c>
      <c r="H453" s="1919">
        <v>0.63431715965270996</v>
      </c>
    </row>
    <row r="454" spans="1:8" x14ac:dyDescent="0.2">
      <c r="A454" s="1924">
        <v>1988</v>
      </c>
      <c r="B454" s="1918" t="s">
        <v>1187</v>
      </c>
      <c r="C454" s="1918" t="s">
        <v>37</v>
      </c>
      <c r="D454" s="1918" t="s">
        <v>1159</v>
      </c>
      <c r="E454" s="1919">
        <v>0.71436375379562378</v>
      </c>
      <c r="G454" s="1919">
        <v>0.63263756036758423</v>
      </c>
      <c r="H454" s="1919">
        <v>0.62812119722366333</v>
      </c>
    </row>
    <row r="455" spans="1:8" x14ac:dyDescent="0.2">
      <c r="A455" s="1924">
        <v>1989</v>
      </c>
      <c r="B455" s="1918" t="s">
        <v>1187</v>
      </c>
      <c r="C455" s="1918" t="s">
        <v>37</v>
      </c>
      <c r="D455" s="1918" t="s">
        <v>1159</v>
      </c>
      <c r="E455" s="1919">
        <v>0.72134578227996826</v>
      </c>
      <c r="G455" s="1919">
        <v>0.63372159004211426</v>
      </c>
      <c r="H455" s="1919">
        <v>0.6307603120803833</v>
      </c>
    </row>
    <row r="456" spans="1:8" x14ac:dyDescent="0.2">
      <c r="A456" s="1924">
        <v>1990</v>
      </c>
      <c r="B456" s="1918" t="s">
        <v>1187</v>
      </c>
      <c r="C456" s="1918" t="s">
        <v>37</v>
      </c>
      <c r="D456" s="1918" t="s">
        <v>1159</v>
      </c>
      <c r="E456" s="1919">
        <v>0.74569666385650635</v>
      </c>
      <c r="G456" s="1919">
        <v>0.65420717000961304</v>
      </c>
      <c r="H456" s="1919">
        <v>0.65248191356658936</v>
      </c>
    </row>
    <row r="457" spans="1:8" x14ac:dyDescent="0.2">
      <c r="A457" s="1924">
        <v>1991</v>
      </c>
      <c r="B457" s="1918" t="s">
        <v>1187</v>
      </c>
      <c r="C457" s="1918" t="s">
        <v>37</v>
      </c>
      <c r="D457" s="1918" t="s">
        <v>1159</v>
      </c>
      <c r="E457" s="1919">
        <v>0.80118930339813232</v>
      </c>
      <c r="G457" s="1919">
        <v>0.70040661096572876</v>
      </c>
      <c r="H457" s="1919">
        <v>0.69823217391967773</v>
      </c>
    </row>
    <row r="458" spans="1:8" x14ac:dyDescent="0.2">
      <c r="A458" s="1924">
        <v>1992</v>
      </c>
      <c r="B458" s="1918" t="s">
        <v>1187</v>
      </c>
      <c r="C458" s="1918" t="s">
        <v>37</v>
      </c>
      <c r="D458" s="1918" t="s">
        <v>1159</v>
      </c>
      <c r="E458" s="1919">
        <v>0.76985847949981689</v>
      </c>
      <c r="G458" s="1919">
        <v>0.66873311996459961</v>
      </c>
      <c r="H458" s="1919">
        <v>0.66448056697845459</v>
      </c>
    </row>
    <row r="459" spans="1:8" x14ac:dyDescent="0.2">
      <c r="A459" s="1924">
        <v>1993</v>
      </c>
      <c r="B459" s="1918" t="s">
        <v>1187</v>
      </c>
      <c r="C459" s="1918" t="s">
        <v>37</v>
      </c>
      <c r="D459" s="1918" t="s">
        <v>1159</v>
      </c>
      <c r="E459" s="1919">
        <v>0.70629703998565674</v>
      </c>
      <c r="G459" s="1919">
        <v>0.61240386962890625</v>
      </c>
      <c r="H459" s="1919">
        <v>0.6062922477722168</v>
      </c>
    </row>
    <row r="460" spans="1:8" x14ac:dyDescent="0.2">
      <c r="A460" s="1924">
        <v>1994</v>
      </c>
      <c r="B460" s="1918" t="s">
        <v>1187</v>
      </c>
      <c r="C460" s="1918" t="s">
        <v>37</v>
      </c>
      <c r="D460" s="1918" t="s">
        <v>1159</v>
      </c>
      <c r="E460" s="1919">
        <v>0.67534738779067993</v>
      </c>
      <c r="G460" s="1919">
        <v>0.58346056938171387</v>
      </c>
      <c r="H460" s="1919">
        <v>0.57650464773178101</v>
      </c>
    </row>
    <row r="461" spans="1:8" x14ac:dyDescent="0.2">
      <c r="A461" s="1924">
        <v>1995</v>
      </c>
      <c r="B461" s="1918" t="s">
        <v>1187</v>
      </c>
      <c r="C461" s="1918" t="s">
        <v>37</v>
      </c>
      <c r="D461" s="1918" t="s">
        <v>1159</v>
      </c>
      <c r="E461" s="1919">
        <v>0.65057271718978882</v>
      </c>
      <c r="F461" s="1919">
        <v>0.64834731817245483</v>
      </c>
      <c r="G461" s="1919">
        <v>0.56140410900115967</v>
      </c>
      <c r="H461" s="1919">
        <v>0.55145359039306641</v>
      </c>
    </row>
    <row r="462" spans="1:8" x14ac:dyDescent="0.2">
      <c r="A462" s="1924">
        <v>1996</v>
      </c>
      <c r="B462" s="1918" t="s">
        <v>1187</v>
      </c>
      <c r="C462" s="1918" t="s">
        <v>37</v>
      </c>
      <c r="D462" s="1918" t="s">
        <v>1159</v>
      </c>
      <c r="E462" s="1919">
        <v>0.66272079944610596</v>
      </c>
      <c r="F462" s="1919">
        <v>0.66298317909240723</v>
      </c>
      <c r="G462" s="1919">
        <v>0.56629091501235962</v>
      </c>
      <c r="H462" s="1919">
        <v>0.55791902542114258</v>
      </c>
    </row>
    <row r="463" spans="1:8" x14ac:dyDescent="0.2">
      <c r="A463" s="1924">
        <v>1997</v>
      </c>
      <c r="B463" s="1918" t="s">
        <v>1187</v>
      </c>
      <c r="C463" s="1918" t="s">
        <v>37</v>
      </c>
      <c r="D463" s="1918" t="s">
        <v>1159</v>
      </c>
      <c r="E463" s="1919">
        <v>0.65011346340179443</v>
      </c>
      <c r="F463" s="1919">
        <v>0.64857900142669678</v>
      </c>
      <c r="G463" s="1919">
        <v>0.55500799417495728</v>
      </c>
      <c r="H463" s="1919">
        <v>0.5459102988243103</v>
      </c>
    </row>
    <row r="464" spans="1:8" x14ac:dyDescent="0.2">
      <c r="A464" s="1924">
        <v>1998</v>
      </c>
      <c r="B464" s="1918" t="s">
        <v>1187</v>
      </c>
      <c r="C464" s="1918" t="s">
        <v>37</v>
      </c>
      <c r="D464" s="1918" t="s">
        <v>1159</v>
      </c>
      <c r="E464" s="1919">
        <v>0.63140386343002319</v>
      </c>
      <c r="F464" s="1919">
        <v>0.63200920820236206</v>
      </c>
      <c r="G464" s="1919">
        <v>0.54426670074462891</v>
      </c>
      <c r="H464" s="1919">
        <v>0.53699189424514771</v>
      </c>
    </row>
    <row r="465" spans="1:8" x14ac:dyDescent="0.2">
      <c r="A465" s="1924">
        <v>1999</v>
      </c>
      <c r="B465" s="1918" t="s">
        <v>1187</v>
      </c>
      <c r="C465" s="1918" t="s">
        <v>37</v>
      </c>
      <c r="D465" s="1918" t="s">
        <v>1159</v>
      </c>
      <c r="E465" s="1919">
        <v>0.64109033346176147</v>
      </c>
      <c r="F465" s="1919">
        <v>0.63903987407684326</v>
      </c>
      <c r="G465" s="1919">
        <v>0.55169898271560669</v>
      </c>
      <c r="H465" s="1919">
        <v>0.54436522722244263</v>
      </c>
    </row>
    <row r="466" spans="1:8" x14ac:dyDescent="0.2">
      <c r="A466" s="1924">
        <v>2000</v>
      </c>
      <c r="B466" s="1918" t="s">
        <v>1187</v>
      </c>
      <c r="C466" s="1918" t="s">
        <v>37</v>
      </c>
      <c r="D466" s="1918" t="s">
        <v>1159</v>
      </c>
      <c r="E466" s="1919">
        <v>0.62860840559005737</v>
      </c>
      <c r="F466" s="1919">
        <v>0.62121802568435669</v>
      </c>
      <c r="G466" s="1919">
        <v>0.54264295101165771</v>
      </c>
      <c r="H466" s="1919">
        <v>0.53612571954727173</v>
      </c>
    </row>
    <row r="467" spans="1:8" x14ac:dyDescent="0.2">
      <c r="A467" s="1924">
        <v>2001</v>
      </c>
      <c r="B467" s="1918" t="s">
        <v>1187</v>
      </c>
      <c r="C467" s="1918" t="s">
        <v>37</v>
      </c>
      <c r="D467" s="1918" t="s">
        <v>1159</v>
      </c>
      <c r="E467" s="1919">
        <v>0.61632311344146729</v>
      </c>
      <c r="F467" s="1919">
        <v>0.60817283391952515</v>
      </c>
      <c r="G467" s="1919">
        <v>0.5347520112991333</v>
      </c>
      <c r="H467" s="1919">
        <v>0.52934378385543823</v>
      </c>
    </row>
    <row r="468" spans="1:8" x14ac:dyDescent="0.2">
      <c r="A468" s="1924">
        <v>2002</v>
      </c>
      <c r="B468" s="1918" t="s">
        <v>1187</v>
      </c>
      <c r="C468" s="1918" t="s">
        <v>37</v>
      </c>
      <c r="D468" s="1918" t="s">
        <v>1159</v>
      </c>
      <c r="E468" s="1919">
        <v>0.62330389022827148</v>
      </c>
      <c r="F468" s="1919">
        <v>0.61297875642776489</v>
      </c>
      <c r="G468" s="1919">
        <v>0.54045271873474121</v>
      </c>
      <c r="H468" s="1919">
        <v>0.53486752510070801</v>
      </c>
    </row>
    <row r="469" spans="1:8" x14ac:dyDescent="0.2">
      <c r="A469" s="1924">
        <v>2003</v>
      </c>
      <c r="B469" s="1918" t="s">
        <v>1187</v>
      </c>
      <c r="C469" s="1918" t="s">
        <v>37</v>
      </c>
      <c r="D469" s="1918" t="s">
        <v>1159</v>
      </c>
      <c r="E469" s="1919">
        <v>0.6287846565246582</v>
      </c>
      <c r="F469" s="1919">
        <v>0.61648684740066528</v>
      </c>
      <c r="G469" s="1919">
        <v>0.54483199119567871</v>
      </c>
      <c r="H469" s="1919">
        <v>0.53908908367156982</v>
      </c>
    </row>
    <row r="470" spans="1:8" x14ac:dyDescent="0.2">
      <c r="A470" s="1924">
        <v>2004</v>
      </c>
      <c r="B470" s="1918" t="s">
        <v>1187</v>
      </c>
      <c r="C470" s="1918" t="s">
        <v>37</v>
      </c>
      <c r="D470" s="1918" t="s">
        <v>1159</v>
      </c>
      <c r="E470" s="1919">
        <v>0.62175005674362183</v>
      </c>
      <c r="F470" s="1919">
        <v>0.61055594682693481</v>
      </c>
      <c r="G470" s="1919">
        <v>0.5379977822303772</v>
      </c>
      <c r="H470" s="1919">
        <v>0.5327531099319458</v>
      </c>
    </row>
    <row r="471" spans="1:8" x14ac:dyDescent="0.2">
      <c r="A471" s="1924">
        <v>2005</v>
      </c>
      <c r="B471" s="1918" t="s">
        <v>1187</v>
      </c>
      <c r="C471" s="1918" t="s">
        <v>37</v>
      </c>
      <c r="D471" s="1918" t="s">
        <v>1159</v>
      </c>
      <c r="E471" s="1919">
        <v>0.63518470525741577</v>
      </c>
      <c r="F471" s="1919">
        <v>0.62190425395965576</v>
      </c>
      <c r="G471" s="1919">
        <v>0.54900765419006348</v>
      </c>
      <c r="H471" s="1919">
        <v>0.54463678598403931</v>
      </c>
    </row>
    <row r="472" spans="1:8" x14ac:dyDescent="0.2">
      <c r="A472" s="1924">
        <v>2006</v>
      </c>
      <c r="B472" s="1918" t="s">
        <v>1187</v>
      </c>
      <c r="C472" s="1918" t="s">
        <v>37</v>
      </c>
      <c r="D472" s="1918" t="s">
        <v>1159</v>
      </c>
      <c r="E472" s="1919">
        <v>0.63635712862014771</v>
      </c>
      <c r="F472" s="1919">
        <v>0.62478423118591309</v>
      </c>
      <c r="G472" s="1919">
        <v>0.54889410734176636</v>
      </c>
      <c r="H472" s="1919">
        <v>0.54731118679046631</v>
      </c>
    </row>
    <row r="473" spans="1:8" x14ac:dyDescent="0.2">
      <c r="A473" s="1924">
        <v>2007</v>
      </c>
      <c r="B473" s="1918" t="s">
        <v>1187</v>
      </c>
      <c r="C473" s="1918" t="s">
        <v>37</v>
      </c>
      <c r="D473" s="1918" t="s">
        <v>1159</v>
      </c>
      <c r="E473" s="1919">
        <v>0.61498939990997314</v>
      </c>
      <c r="F473" s="1919">
        <v>0.59969717264175415</v>
      </c>
      <c r="G473" s="1919">
        <v>0.53101462125778198</v>
      </c>
      <c r="H473" s="1919">
        <v>0.52927887439727783</v>
      </c>
    </row>
    <row r="474" spans="1:8" x14ac:dyDescent="0.2">
      <c r="A474" s="1924">
        <v>2008</v>
      </c>
      <c r="B474" s="1918" t="s">
        <v>1187</v>
      </c>
      <c r="C474" s="1918" t="s">
        <v>37</v>
      </c>
      <c r="D474" s="1918" t="s">
        <v>1159</v>
      </c>
      <c r="E474" s="1919">
        <v>0.63656163215637207</v>
      </c>
      <c r="F474" s="1919">
        <v>0.62107580900192261</v>
      </c>
      <c r="G474" s="1919">
        <v>0.54942178726196289</v>
      </c>
      <c r="H474" s="1919">
        <v>0.54640704393386841</v>
      </c>
    </row>
    <row r="475" spans="1:8" x14ac:dyDescent="0.2">
      <c r="A475" s="1924">
        <v>2009</v>
      </c>
      <c r="B475" s="1918" t="s">
        <v>1187</v>
      </c>
      <c r="C475" s="1918" t="s">
        <v>37</v>
      </c>
      <c r="D475" s="1918" t="s">
        <v>1159</v>
      </c>
      <c r="E475" s="1919">
        <v>0.70460087060928345</v>
      </c>
      <c r="F475" s="1919">
        <v>0.68325597047805786</v>
      </c>
      <c r="G475" s="1919">
        <v>0.60025203227996826</v>
      </c>
      <c r="H475" s="1919">
        <v>0.59658145904541016</v>
      </c>
    </row>
    <row r="476" spans="1:8" x14ac:dyDescent="0.2">
      <c r="A476" s="1924">
        <v>2010</v>
      </c>
      <c r="B476" s="1918" t="s">
        <v>1187</v>
      </c>
      <c r="C476" s="1918" t="s">
        <v>37</v>
      </c>
      <c r="D476" s="1918" t="s">
        <v>1159</v>
      </c>
      <c r="E476" s="1919">
        <v>0.68742817640304565</v>
      </c>
      <c r="F476" s="1919">
        <v>0.6655886173248291</v>
      </c>
      <c r="G476" s="1919">
        <v>0.58569467067718506</v>
      </c>
      <c r="H476" s="1919">
        <v>0.58129209280014038</v>
      </c>
    </row>
    <row r="477" spans="1:8" x14ac:dyDescent="0.2">
      <c r="A477" s="1924">
        <v>2011</v>
      </c>
      <c r="B477" s="1918" t="s">
        <v>1187</v>
      </c>
      <c r="C477" s="1918" t="s">
        <v>37</v>
      </c>
      <c r="D477" s="1918" t="s">
        <v>1159</v>
      </c>
      <c r="E477" s="1919">
        <v>0.69443291425704956</v>
      </c>
      <c r="F477" s="1919">
        <v>0.67322063446044922</v>
      </c>
      <c r="G477" s="1919">
        <v>0.59372979402542114</v>
      </c>
      <c r="H477" s="1919">
        <v>0.58938324451446533</v>
      </c>
    </row>
    <row r="478" spans="1:8" x14ac:dyDescent="0.2">
      <c r="A478" s="1924">
        <v>2012</v>
      </c>
      <c r="B478" s="1918" t="s">
        <v>1187</v>
      </c>
      <c r="C478" s="1918" t="s">
        <v>37</v>
      </c>
      <c r="D478" s="1918" t="s">
        <v>1159</v>
      </c>
      <c r="E478" s="1919">
        <v>0.72073894739151001</v>
      </c>
      <c r="F478" s="1919">
        <v>0.69866734743118286</v>
      </c>
      <c r="G478" s="1919">
        <v>0.61515170335769653</v>
      </c>
      <c r="H478" s="1919">
        <v>0.61172431707382202</v>
      </c>
    </row>
    <row r="479" spans="1:8" x14ac:dyDescent="0.2">
      <c r="A479" s="1924">
        <v>2013</v>
      </c>
      <c r="B479" s="1918" t="s">
        <v>1187</v>
      </c>
      <c r="C479" s="1918" t="s">
        <v>37</v>
      </c>
      <c r="D479" s="1918" t="s">
        <v>1159</v>
      </c>
      <c r="E479" s="1919">
        <v>0.71816557645797729</v>
      </c>
      <c r="F479" s="1919">
        <v>0.69291198253631592</v>
      </c>
      <c r="G479" s="1919">
        <v>0.61563128232955933</v>
      </c>
      <c r="H479" s="1919">
        <v>0.60958582162857056</v>
      </c>
    </row>
    <row r="480" spans="1:8" x14ac:dyDescent="0.2">
      <c r="A480" s="1924">
        <v>2014</v>
      </c>
      <c r="B480" s="1918" t="s">
        <v>1187</v>
      </c>
      <c r="C480" s="1918" t="s">
        <v>37</v>
      </c>
      <c r="D480" s="1918" t="s">
        <v>1159</v>
      </c>
      <c r="E480" s="1919">
        <v>0.71139723062515259</v>
      </c>
      <c r="F480" s="1919">
        <v>0.68986392021179199</v>
      </c>
      <c r="G480" s="1919">
        <v>0.60869723558425903</v>
      </c>
      <c r="H480" s="1919">
        <v>0.60129588842391968</v>
      </c>
    </row>
    <row r="481" spans="1:24" x14ac:dyDescent="0.2">
      <c r="A481" s="1924">
        <v>2015</v>
      </c>
      <c r="B481" s="1918" t="s">
        <v>1187</v>
      </c>
      <c r="C481" s="1918" t="s">
        <v>37</v>
      </c>
      <c r="D481" s="1918" t="s">
        <v>1159</v>
      </c>
      <c r="E481" s="1919">
        <v>0.70440936088562012</v>
      </c>
      <c r="F481" s="1919">
        <v>0.68406331539154053</v>
      </c>
      <c r="G481" s="1919">
        <v>0.6017463207244873</v>
      </c>
      <c r="H481" s="1919">
        <v>0.59374725818634033</v>
      </c>
    </row>
    <row r="482" spans="1:24" x14ac:dyDescent="0.2">
      <c r="A482" s="1924">
        <v>1970</v>
      </c>
      <c r="B482" s="1918" t="s">
        <v>781</v>
      </c>
      <c r="C482" s="1918" t="s">
        <v>38</v>
      </c>
      <c r="D482" s="1918" t="s">
        <v>1149</v>
      </c>
      <c r="E482" s="1919">
        <v>0.75862449407577515</v>
      </c>
      <c r="G482" s="1919">
        <v>0.61797487735748291</v>
      </c>
      <c r="H482" s="1919">
        <v>0.67853480577468872</v>
      </c>
    </row>
    <row r="483" spans="1:24" x14ac:dyDescent="0.2">
      <c r="A483" s="1924">
        <v>1971</v>
      </c>
      <c r="B483" s="1918" t="s">
        <v>781</v>
      </c>
      <c r="C483" s="1918" t="s">
        <v>38</v>
      </c>
      <c r="D483" s="1918" t="s">
        <v>1149</v>
      </c>
      <c r="E483" s="1919">
        <v>0.75020706653594971</v>
      </c>
      <c r="G483" s="1919">
        <v>0.61817258596420288</v>
      </c>
      <c r="H483" s="1919">
        <v>0.67492789030075073</v>
      </c>
    </row>
    <row r="484" spans="1:24" x14ac:dyDescent="0.2">
      <c r="A484" s="1924">
        <v>1972</v>
      </c>
      <c r="B484" s="1918" t="s">
        <v>781</v>
      </c>
      <c r="C484" s="1918" t="s">
        <v>38</v>
      </c>
      <c r="D484" s="1918" t="s">
        <v>1149</v>
      </c>
      <c r="E484" s="1919">
        <v>0.75357252359390259</v>
      </c>
      <c r="G484" s="1919">
        <v>0.61906313896179199</v>
      </c>
      <c r="H484" s="1919">
        <v>0.68136024475097656</v>
      </c>
    </row>
    <row r="485" spans="1:24" x14ac:dyDescent="0.2">
      <c r="A485" s="1924">
        <v>1973</v>
      </c>
      <c r="B485" s="1918" t="s">
        <v>781</v>
      </c>
      <c r="C485" s="1918" t="s">
        <v>38</v>
      </c>
      <c r="D485" s="1918" t="s">
        <v>1149</v>
      </c>
      <c r="E485" s="1919">
        <v>0.74158680438995361</v>
      </c>
      <c r="G485" s="1919">
        <v>0.62029385566711426</v>
      </c>
      <c r="H485" s="1919">
        <v>0.66875815391540527</v>
      </c>
    </row>
    <row r="486" spans="1:24" x14ac:dyDescent="0.2">
      <c r="A486" s="1924">
        <v>1974</v>
      </c>
      <c r="B486" s="1918" t="s">
        <v>781</v>
      </c>
      <c r="C486" s="1918" t="s">
        <v>38</v>
      </c>
      <c r="D486" s="1918" t="s">
        <v>1149</v>
      </c>
      <c r="E486" s="1919">
        <v>0.74542373418807983</v>
      </c>
      <c r="G486" s="1919">
        <v>0.62198305130004883</v>
      </c>
      <c r="H486" s="1919">
        <v>0.67759954929351807</v>
      </c>
    </row>
    <row r="487" spans="1:24" x14ac:dyDescent="0.2">
      <c r="A487" s="1924">
        <v>1975</v>
      </c>
      <c r="B487" s="1918" t="s">
        <v>781</v>
      </c>
      <c r="C487" s="1918" t="s">
        <v>38</v>
      </c>
      <c r="D487" s="1918" t="s">
        <v>1149</v>
      </c>
      <c r="E487" s="1919">
        <v>0.77295464277267456</v>
      </c>
      <c r="G487" s="1919">
        <v>0.62141484022140503</v>
      </c>
      <c r="H487" s="1919">
        <v>0.70709234476089478</v>
      </c>
    </row>
    <row r="488" spans="1:24" x14ac:dyDescent="0.2">
      <c r="A488" s="1924">
        <v>1976</v>
      </c>
      <c r="B488" s="1918" t="s">
        <v>781</v>
      </c>
      <c r="C488" s="1918" t="s">
        <v>38</v>
      </c>
      <c r="D488" s="1918" t="s">
        <v>1149</v>
      </c>
      <c r="E488" s="1919">
        <v>0.76914608478546143</v>
      </c>
      <c r="G488" s="1919">
        <v>0.620810866355896</v>
      </c>
      <c r="H488" s="1919">
        <v>0.7101893424987793</v>
      </c>
    </row>
    <row r="489" spans="1:24" x14ac:dyDescent="0.2">
      <c r="A489" s="1924">
        <v>1977</v>
      </c>
      <c r="B489" s="1918" t="s">
        <v>781</v>
      </c>
      <c r="C489" s="1918" t="s">
        <v>38</v>
      </c>
      <c r="D489" s="1918" t="s">
        <v>1149</v>
      </c>
      <c r="E489" s="1919">
        <v>0.76707553863525391</v>
      </c>
      <c r="G489" s="1919">
        <v>0.62166780233383179</v>
      </c>
      <c r="H489" s="1919">
        <v>0.70838475227355957</v>
      </c>
    </row>
    <row r="490" spans="1:24" x14ac:dyDescent="0.2">
      <c r="A490" s="1924">
        <v>1978</v>
      </c>
      <c r="B490" s="1918" t="s">
        <v>781</v>
      </c>
      <c r="C490" s="1918" t="s">
        <v>38</v>
      </c>
      <c r="D490" s="1918" t="s">
        <v>1149</v>
      </c>
      <c r="E490" s="1919">
        <v>0.75862526893615723</v>
      </c>
      <c r="G490" s="1919">
        <v>0.62060749530792236</v>
      </c>
      <c r="H490" s="1919">
        <v>0.71530830860137939</v>
      </c>
    </row>
    <row r="491" spans="1:24" x14ac:dyDescent="0.2">
      <c r="A491" s="1924">
        <v>1979</v>
      </c>
      <c r="B491" s="1918" t="s">
        <v>781</v>
      </c>
      <c r="C491" s="1918" t="s">
        <v>38</v>
      </c>
      <c r="D491" s="1918" t="s">
        <v>1149</v>
      </c>
      <c r="E491" s="1919">
        <v>0.76493316888809204</v>
      </c>
      <c r="G491" s="1919">
        <v>0.62792307138442993</v>
      </c>
      <c r="H491" s="1919">
        <v>0.71632617712020874</v>
      </c>
    </row>
    <row r="492" spans="1:24" x14ac:dyDescent="0.2">
      <c r="A492" s="1924">
        <v>1980</v>
      </c>
      <c r="B492" s="1918" t="s">
        <v>781</v>
      </c>
      <c r="C492" s="1918" t="s">
        <v>38</v>
      </c>
      <c r="D492" s="1918" t="s">
        <v>1149</v>
      </c>
      <c r="E492" s="1919">
        <v>0.76923149824142456</v>
      </c>
      <c r="G492" s="1919">
        <v>0.63363021612167358</v>
      </c>
      <c r="H492" s="1919">
        <v>0.72200900316238403</v>
      </c>
    </row>
    <row r="493" spans="1:24" x14ac:dyDescent="0.2">
      <c r="A493" s="1924">
        <v>1981</v>
      </c>
      <c r="B493" s="1918" t="s">
        <v>781</v>
      </c>
      <c r="C493" s="1918" t="s">
        <v>38</v>
      </c>
      <c r="D493" s="1918" t="s">
        <v>1149</v>
      </c>
      <c r="E493" s="1919">
        <v>0.779899001121521</v>
      </c>
      <c r="G493" s="1919">
        <v>0.64625787734985352</v>
      </c>
      <c r="H493" s="1919">
        <v>0.72117072343826294</v>
      </c>
    </row>
    <row r="494" spans="1:24" x14ac:dyDescent="0.2">
      <c r="A494" s="1924">
        <v>1982</v>
      </c>
      <c r="B494" s="1918" t="s">
        <v>781</v>
      </c>
      <c r="C494" s="1918" t="s">
        <v>38</v>
      </c>
      <c r="D494" s="1918" t="s">
        <v>1149</v>
      </c>
      <c r="E494" s="1919">
        <v>0.78827524185180664</v>
      </c>
      <c r="G494" s="1919">
        <v>0.65345406532287598</v>
      </c>
      <c r="H494" s="1919">
        <v>0.72111064195632935</v>
      </c>
    </row>
    <row r="495" spans="1:24" x14ac:dyDescent="0.2">
      <c r="A495" s="1924">
        <v>1983</v>
      </c>
      <c r="B495" s="1918" t="s">
        <v>781</v>
      </c>
      <c r="C495" s="1918" t="s">
        <v>38</v>
      </c>
      <c r="D495" s="1918" t="s">
        <v>1149</v>
      </c>
      <c r="E495" s="1919">
        <v>0.77512848377227783</v>
      </c>
      <c r="G495" s="1919">
        <v>0.64577746391296387</v>
      </c>
      <c r="H495" s="1919">
        <v>0.71203809976577759</v>
      </c>
    </row>
    <row r="496" spans="1:24" x14ac:dyDescent="0.2">
      <c r="A496" s="1924">
        <v>1984</v>
      </c>
      <c r="B496" s="1918" t="s">
        <v>781</v>
      </c>
      <c r="C496" s="1918" t="s">
        <v>38</v>
      </c>
      <c r="D496" s="1918" t="s">
        <v>1149</v>
      </c>
      <c r="E496" s="1919">
        <v>0.7657463550567627</v>
      </c>
      <c r="G496" s="1919">
        <v>0.63433772325515747</v>
      </c>
      <c r="H496" s="1919">
        <v>0.69691067934036255</v>
      </c>
      <c r="J496" s="1925" t="s">
        <v>1155</v>
      </c>
      <c r="K496" s="1921" t="s">
        <v>1154</v>
      </c>
      <c r="L496" s="1925" t="s">
        <v>1153</v>
      </c>
      <c r="M496" s="1925" t="s">
        <v>1150</v>
      </c>
      <c r="N496" s="1925" t="s">
        <v>1152</v>
      </c>
      <c r="O496" s="1925" t="s">
        <v>1151</v>
      </c>
      <c r="P496" s="1925" t="s">
        <v>1150</v>
      </c>
      <c r="Q496" s="1925" t="s">
        <v>1150</v>
      </c>
      <c r="S496" s="1925" t="s">
        <v>1186</v>
      </c>
      <c r="T496" s="1925" t="s">
        <v>1185</v>
      </c>
      <c r="U496" s="1925" t="s">
        <v>1184</v>
      </c>
      <c r="V496" s="1925" t="s">
        <v>1183</v>
      </c>
      <c r="X496" s="1925" t="s">
        <v>1182</v>
      </c>
    </row>
    <row r="497" spans="1:24" x14ac:dyDescent="0.2">
      <c r="A497" s="1924">
        <v>1985</v>
      </c>
      <c r="B497" s="1918" t="s">
        <v>781</v>
      </c>
      <c r="C497" s="1918" t="s">
        <v>38</v>
      </c>
      <c r="D497" s="1918" t="s">
        <v>1149</v>
      </c>
      <c r="E497" s="1919">
        <v>0.7542111873626709</v>
      </c>
      <c r="F497" s="1926">
        <f t="shared" ref="F497:F506" si="10">1-(1-F498)*(1-E497)/(1-E498)</f>
        <v>0.77943064604147683</v>
      </c>
      <c r="G497" s="1919">
        <v>0.62668031454086304</v>
      </c>
      <c r="H497" s="1919">
        <v>0.68536150455474854</v>
      </c>
      <c r="J497" s="1923">
        <v>0</v>
      </c>
      <c r="K497" s="1922">
        <f>1-Tableau1[[#This Row],[Adjusted corporate sector labor share]]-J497</f>
        <v>0.22056935395852317</v>
      </c>
      <c r="L497" s="1919">
        <f t="shared" ref="L497:L526" si="11">L498*$X497/$X498</f>
        <v>6.4335694288088927E-2</v>
      </c>
      <c r="M497" s="1919">
        <f t="shared" ref="M497:M527" si="12">$L497*371/616</f>
        <v>3.8747634059871736E-2</v>
      </c>
      <c r="N497" s="1919">
        <f t="shared" ref="N497:N527" si="13">$L497*737/616</f>
        <v>7.6973062808963544E-2</v>
      </c>
      <c r="O497" s="1919">
        <f t="shared" ref="O497:O527" si="14">K497*(1+L497)/(1+K497*L497)</f>
        <v>0.23147509321868928</v>
      </c>
      <c r="P497" s="1919">
        <f t="shared" ref="P497:P527" si="15">$K497*(1+M497)/(1+$K497*M497)</f>
        <v>0.22717433984900492</v>
      </c>
      <c r="Q497" s="1919">
        <f t="shared" ref="Q497:Q527" si="16">$K497*(1+N497)/(1+$K497*N497)</f>
        <v>0.23358152914606733</v>
      </c>
      <c r="S497" s="1927">
        <f>FractionShifted!$M16</f>
        <v>14.034467783965514</v>
      </c>
      <c r="T497" s="1927">
        <f t="shared" ref="T497:T526" si="17">T498*S497/S498</f>
        <v>28.306545834075028</v>
      </c>
      <c r="U497" s="1927">
        <f>TableC6!$G18</f>
        <v>1727.2222738821888</v>
      </c>
      <c r="V497" s="1927">
        <f>TableC6!$H18</f>
        <v>61.931708457322088</v>
      </c>
      <c r="W497" s="1919">
        <f t="shared" ref="W497:W527" si="18">T497/V497</f>
        <v>0.45706063241548422</v>
      </c>
      <c r="X497" s="1920">
        <f t="shared" ref="X497:X527" si="19">T497/U497</f>
        <v>1.6388478924864638E-2</v>
      </c>
    </row>
    <row r="498" spans="1:24" x14ac:dyDescent="0.2">
      <c r="A498" s="1924">
        <v>1986</v>
      </c>
      <c r="B498" s="1918" t="s">
        <v>781</v>
      </c>
      <c r="C498" s="1918" t="s">
        <v>38</v>
      </c>
      <c r="D498" s="1918" t="s">
        <v>1149</v>
      </c>
      <c r="E498" s="1919">
        <v>0.725669264793396</v>
      </c>
      <c r="F498" s="1926">
        <f t="shared" si="10"/>
        <v>0.75381730199099573</v>
      </c>
      <c r="G498" s="1919">
        <v>0.60232198238372803</v>
      </c>
      <c r="H498" s="1919">
        <v>0.65522432327270508</v>
      </c>
      <c r="J498" s="1923">
        <v>0</v>
      </c>
      <c r="K498" s="1922">
        <f>1-Tableau1[[#This Row],[Adjusted corporate sector labor share]]-J498</f>
        <v>0.24618269800900427</v>
      </c>
      <c r="L498" s="1919">
        <f t="shared" si="11"/>
        <v>5.0264529125930574E-2</v>
      </c>
      <c r="M498" s="1919">
        <f t="shared" si="12"/>
        <v>3.0272955041753643E-2</v>
      </c>
      <c r="N498" s="1919">
        <f t="shared" si="13"/>
        <v>6.0137918775666932E-2</v>
      </c>
      <c r="O498" s="1919">
        <f t="shared" si="14"/>
        <v>0.25539661198897545</v>
      </c>
      <c r="P498" s="1919">
        <f t="shared" si="15"/>
        <v>0.25175909634249755</v>
      </c>
      <c r="Q498" s="1919">
        <f t="shared" si="16"/>
        <v>0.25718008380057855</v>
      </c>
      <c r="S498" s="1927">
        <f>FractionShifted!$M17</f>
        <v>12.910644387503272</v>
      </c>
      <c r="T498" s="1927">
        <f t="shared" si="17"/>
        <v>26.039872172412611</v>
      </c>
      <c r="U498" s="1927">
        <f>TableC6!$G19</f>
        <v>2033.7172606860956</v>
      </c>
      <c r="V498" s="1927">
        <f>TableC6!$H19</f>
        <v>78.111115240509491</v>
      </c>
      <c r="W498" s="1919">
        <f t="shared" si="18"/>
        <v>0.33336961189497877</v>
      </c>
      <c r="X498" s="1920">
        <f t="shared" si="19"/>
        <v>1.2804076887083011E-2</v>
      </c>
    </row>
    <row r="499" spans="1:24" x14ac:dyDescent="0.2">
      <c r="A499" s="1924">
        <v>1987</v>
      </c>
      <c r="B499" s="1918" t="s">
        <v>781</v>
      </c>
      <c r="C499" s="1918" t="s">
        <v>38</v>
      </c>
      <c r="D499" s="1918" t="s">
        <v>1149</v>
      </c>
      <c r="E499" s="1919">
        <v>0.72488027811050415</v>
      </c>
      <c r="F499" s="1926">
        <f t="shared" si="10"/>
        <v>0.75310927024186924</v>
      </c>
      <c r="G499" s="1919">
        <v>0.60046809911727905</v>
      </c>
      <c r="H499" s="1919">
        <v>0.65153580904006958</v>
      </c>
      <c r="J499" s="1923">
        <v>0</v>
      </c>
      <c r="K499" s="1922">
        <f>1-Tableau1[[#This Row],[Adjusted corporate sector labor share]]-J499</f>
        <v>0.24689072975813076</v>
      </c>
      <c r="L499" s="1919">
        <f t="shared" si="11"/>
        <v>5.9304453535498118E-2</v>
      </c>
      <c r="M499" s="1919">
        <f t="shared" si="12"/>
        <v>3.5717454970243187E-2</v>
      </c>
      <c r="N499" s="1919">
        <f t="shared" si="13"/>
        <v>7.0953542622828103E-2</v>
      </c>
      <c r="O499" s="1919">
        <f t="shared" si="14"/>
        <v>0.25775842296141693</v>
      </c>
      <c r="P499" s="1919">
        <f t="shared" si="15"/>
        <v>0.25347382786429851</v>
      </c>
      <c r="Q499" s="1919">
        <f t="shared" si="16"/>
        <v>0.25985639658857385</v>
      </c>
      <c r="S499" s="1927">
        <f>FractionShifted!$M18</f>
        <v>17.451331937947558</v>
      </c>
      <c r="T499" s="1927">
        <f t="shared" si="17"/>
        <v>35.19812328983032</v>
      </c>
      <c r="U499" s="1927">
        <f>TableC6!$G20</f>
        <v>2329.9443322532161</v>
      </c>
      <c r="V499" s="1927">
        <f>TableC6!$H20</f>
        <v>100.13077294187255</v>
      </c>
      <c r="W499" s="1919">
        <f t="shared" si="18"/>
        <v>0.35152153784195167</v>
      </c>
      <c r="X499" s="1920">
        <f t="shared" si="19"/>
        <v>1.5106851611253441E-2</v>
      </c>
    </row>
    <row r="500" spans="1:24" x14ac:dyDescent="0.2">
      <c r="A500" s="1924">
        <v>1988</v>
      </c>
      <c r="B500" s="1918" t="s">
        <v>781</v>
      </c>
      <c r="C500" s="1918" t="s">
        <v>38</v>
      </c>
      <c r="D500" s="1918" t="s">
        <v>1149</v>
      </c>
      <c r="E500" s="1919">
        <v>0.70554500818252563</v>
      </c>
      <c r="F500" s="1926">
        <f t="shared" si="10"/>
        <v>0.73575791909261778</v>
      </c>
      <c r="G500" s="1919">
        <v>0.58992624282836914</v>
      </c>
      <c r="H500" s="1919">
        <v>0.63119548559188843</v>
      </c>
      <c r="J500" s="1923">
        <v>0</v>
      </c>
      <c r="K500" s="1922">
        <f>1-Tableau1[[#This Row],[Adjusted corporate sector labor share]]-J500</f>
        <v>0.26424208090738222</v>
      </c>
      <c r="L500" s="1919">
        <f t="shared" si="11"/>
        <v>5.128998009238691E-2</v>
      </c>
      <c r="M500" s="1919">
        <f t="shared" si="12"/>
        <v>3.0890556192005751E-2</v>
      </c>
      <c r="N500" s="1919">
        <f t="shared" si="13"/>
        <v>6.1364797610534344E-2</v>
      </c>
      <c r="O500" s="1919">
        <f t="shared" si="14"/>
        <v>0.27408044759971018</v>
      </c>
      <c r="P500" s="1919">
        <f t="shared" si="15"/>
        <v>0.2701991423306615</v>
      </c>
      <c r="Q500" s="1919">
        <f t="shared" si="16"/>
        <v>0.27598214754198691</v>
      </c>
      <c r="S500" s="1927">
        <f>FractionShifted!$M19</f>
        <v>17.273613414105295</v>
      </c>
      <c r="T500" s="1927">
        <f t="shared" si="17"/>
        <v>34.839677382358673</v>
      </c>
      <c r="U500" s="1927">
        <f>TableC6!$G21</f>
        <v>2666.5819764218941</v>
      </c>
      <c r="V500" s="1927">
        <f>TableC6!$H21</f>
        <v>131.19660550959392</v>
      </c>
      <c r="W500" s="1919">
        <f t="shared" si="18"/>
        <v>0.26555319207409656</v>
      </c>
      <c r="X500" s="1920">
        <f t="shared" si="19"/>
        <v>1.3065293956988218E-2</v>
      </c>
    </row>
    <row r="501" spans="1:24" x14ac:dyDescent="0.2">
      <c r="A501" s="1924">
        <v>1989</v>
      </c>
      <c r="B501" s="1918" t="s">
        <v>781</v>
      </c>
      <c r="C501" s="1918" t="s">
        <v>38</v>
      </c>
      <c r="D501" s="1918" t="s">
        <v>1149</v>
      </c>
      <c r="E501" s="1919">
        <v>0.6979631781578064</v>
      </c>
      <c r="F501" s="1926">
        <f t="shared" si="10"/>
        <v>0.72895403191634012</v>
      </c>
      <c r="G501" s="1919">
        <v>0.58292168378829956</v>
      </c>
      <c r="H501" s="1919">
        <v>0.62259548902511597</v>
      </c>
      <c r="J501" s="1923">
        <v>0</v>
      </c>
      <c r="K501" s="1922">
        <f>1-Tableau1[[#This Row],[Adjusted corporate sector labor share]]-J501</f>
        <v>0.27104596808365988</v>
      </c>
      <c r="L501" s="1919">
        <f t="shared" si="11"/>
        <v>6.0528414190833373E-2</v>
      </c>
      <c r="M501" s="1919">
        <f t="shared" si="12"/>
        <v>3.6454613092206462E-2</v>
      </c>
      <c r="N501" s="1919">
        <f t="shared" si="13"/>
        <v>7.2417924121175647E-2</v>
      </c>
      <c r="O501" s="1919">
        <f t="shared" si="14"/>
        <v>0.28281213965639412</v>
      </c>
      <c r="P501" s="1919">
        <f t="shared" si="15"/>
        <v>0.27817819971183433</v>
      </c>
      <c r="Q501" s="1919">
        <f t="shared" si="16"/>
        <v>0.28507885942490235</v>
      </c>
      <c r="S501" s="1927">
        <f>FractionShifted!$M20</f>
        <v>21.542412765591241</v>
      </c>
      <c r="T501" s="1927">
        <f t="shared" si="17"/>
        <v>43.4495489043384</v>
      </c>
      <c r="U501" s="1927">
        <f>TableC6!$G22</f>
        <v>2817.989179937817</v>
      </c>
      <c r="V501" s="1927">
        <f>TableC6!$H22</f>
        <v>138.74370684443437</v>
      </c>
      <c r="W501" s="1919">
        <f t="shared" si="18"/>
        <v>0.31316410590828436</v>
      </c>
      <c r="X501" s="1920">
        <f t="shared" si="19"/>
        <v>1.5418635817933544E-2</v>
      </c>
    </row>
    <row r="502" spans="1:24" x14ac:dyDescent="0.2">
      <c r="A502" s="1924">
        <v>1990</v>
      </c>
      <c r="B502" s="1918" t="s">
        <v>781</v>
      </c>
      <c r="C502" s="1918" t="s">
        <v>38</v>
      </c>
      <c r="D502" s="1918" t="s">
        <v>1149</v>
      </c>
      <c r="E502" s="1919">
        <v>0.70462220907211304</v>
      </c>
      <c r="F502" s="1926">
        <f t="shared" si="10"/>
        <v>0.73492980490209303</v>
      </c>
      <c r="G502" s="1919">
        <v>0.59311795234680176</v>
      </c>
      <c r="H502" s="1919">
        <v>0.62969356775283813</v>
      </c>
      <c r="J502" s="1923">
        <v>0</v>
      </c>
      <c r="K502" s="1922">
        <f>1-Tableau1[[#This Row],[Adjusted corporate sector labor share]]-J502</f>
        <v>0.26507019509790697</v>
      </c>
      <c r="L502" s="1919">
        <f t="shared" si="11"/>
        <v>6.4778448362416349E-2</v>
      </c>
      <c r="M502" s="1919">
        <f t="shared" si="12"/>
        <v>3.9014292763728031E-2</v>
      </c>
      <c r="N502" s="1919">
        <f t="shared" si="13"/>
        <v>7.7502786433605281E-2</v>
      </c>
      <c r="O502" s="1919">
        <f t="shared" si="14"/>
        <v>0.27747652711759102</v>
      </c>
      <c r="P502" s="1919">
        <f t="shared" si="15"/>
        <v>0.27259269677823683</v>
      </c>
      <c r="Q502" s="1919">
        <f t="shared" si="16"/>
        <v>0.2798644289057341</v>
      </c>
      <c r="S502" s="1927">
        <f>FractionShifted!$M21</f>
        <v>25.379522682576166</v>
      </c>
      <c r="T502" s="1927">
        <f t="shared" si="17"/>
        <v>51.188732848286129</v>
      </c>
      <c r="U502" s="1927">
        <f>TableC6!$G23</f>
        <v>3102.1099226922647</v>
      </c>
      <c r="V502" s="1927">
        <f>TableC6!$H23</f>
        <v>142.27723731158349</v>
      </c>
      <c r="W502" s="1919">
        <f t="shared" si="18"/>
        <v>0.35978160537503356</v>
      </c>
      <c r="X502" s="1920">
        <f t="shared" si="19"/>
        <v>1.6501263373626798E-2</v>
      </c>
    </row>
    <row r="503" spans="1:24" x14ac:dyDescent="0.2">
      <c r="A503" s="1924">
        <v>1991</v>
      </c>
      <c r="B503" s="1918" t="s">
        <v>781</v>
      </c>
      <c r="C503" s="1918" t="s">
        <v>38</v>
      </c>
      <c r="D503" s="1918" t="s">
        <v>1149</v>
      </c>
      <c r="E503" s="1919">
        <v>0.70429974794387817</v>
      </c>
      <c r="F503" s="1926">
        <f t="shared" si="10"/>
        <v>0.73464043028830028</v>
      </c>
      <c r="G503" s="1919">
        <v>0.59393715858459473</v>
      </c>
      <c r="H503" s="1919">
        <v>0.63371390104293823</v>
      </c>
      <c r="J503" s="1923">
        <v>0</v>
      </c>
      <c r="K503" s="1922">
        <f>1-Tableau1[[#This Row],[Adjusted corporate sector labor share]]-J503</f>
        <v>0.26535956971169972</v>
      </c>
      <c r="L503" s="1919">
        <f t="shared" si="11"/>
        <v>5.8865062748796833E-2</v>
      </c>
      <c r="M503" s="1919">
        <f t="shared" si="12"/>
        <v>3.5452821882798094E-2</v>
      </c>
      <c r="N503" s="1919">
        <f t="shared" si="13"/>
        <v>7.0427842931596207E-2</v>
      </c>
      <c r="O503" s="1919">
        <f t="shared" si="14"/>
        <v>0.27665845949667395</v>
      </c>
      <c r="P503" s="1919">
        <f t="shared" si="15"/>
        <v>0.27220646609877186</v>
      </c>
      <c r="Q503" s="1919">
        <f t="shared" si="16"/>
        <v>0.27883716705927347</v>
      </c>
      <c r="S503" s="1927">
        <f>FractionShifted!$M22</f>
        <v>23.87178014511024</v>
      </c>
      <c r="T503" s="1927">
        <f t="shared" si="17"/>
        <v>48.14772096955106</v>
      </c>
      <c r="U503" s="1927">
        <f>TableC6!$G24</f>
        <v>3210.9346651160845</v>
      </c>
      <c r="V503" s="1927">
        <f>TableC6!$H24</f>
        <v>125.78863157366088</v>
      </c>
      <c r="W503" s="1919">
        <f t="shared" si="18"/>
        <v>0.38276687143508764</v>
      </c>
      <c r="X503" s="1920">
        <f t="shared" si="19"/>
        <v>1.4994923905687872E-2</v>
      </c>
    </row>
    <row r="504" spans="1:24" x14ac:dyDescent="0.2">
      <c r="A504" s="1924">
        <v>1992</v>
      </c>
      <c r="B504" s="1918" t="s">
        <v>781</v>
      </c>
      <c r="C504" s="1918" t="s">
        <v>38</v>
      </c>
      <c r="D504" s="1918" t="s">
        <v>1149</v>
      </c>
      <c r="E504" s="1919">
        <v>0.70572948455810547</v>
      </c>
      <c r="F504" s="1926">
        <f t="shared" si="10"/>
        <v>0.73592346704634948</v>
      </c>
      <c r="G504" s="1919">
        <v>0.59560149908065796</v>
      </c>
      <c r="H504" s="1919">
        <v>0.63370978832244873</v>
      </c>
      <c r="J504" s="1923">
        <v>0</v>
      </c>
      <c r="K504" s="1922">
        <f>1-Tableau1[[#This Row],[Adjusted corporate sector labor share]]-J504</f>
        <v>0.26407653295365052</v>
      </c>
      <c r="L504" s="1919">
        <f t="shared" si="11"/>
        <v>5.2229600285802341E-2</v>
      </c>
      <c r="M504" s="1919">
        <f t="shared" si="12"/>
        <v>3.1456463808494595E-2</v>
      </c>
      <c r="N504" s="1919">
        <f t="shared" si="13"/>
        <v>6.2488986056227797E-2</v>
      </c>
      <c r="O504" s="1919">
        <f t="shared" si="14"/>
        <v>0.27408874506591813</v>
      </c>
      <c r="P504" s="1919">
        <f t="shared" si="15"/>
        <v>0.27013942193575063</v>
      </c>
      <c r="Q504" s="1919">
        <f t="shared" si="16"/>
        <v>0.27602350246365298</v>
      </c>
      <c r="S504" s="1927">
        <f>FractionShifted!$M23</f>
        <v>22.234747148859213</v>
      </c>
      <c r="T504" s="1927">
        <f t="shared" si="17"/>
        <v>44.845939223811101</v>
      </c>
      <c r="U504" s="1927">
        <f>TableC6!$G25</f>
        <v>3370.6974069576563</v>
      </c>
      <c r="V504" s="1927">
        <f>TableC6!$H25</f>
        <v>126.75472791861176</v>
      </c>
      <c r="W504" s="1919">
        <f t="shared" si="18"/>
        <v>0.3538009189890442</v>
      </c>
      <c r="X504" s="1920">
        <f t="shared" si="19"/>
        <v>1.3304647023859792E-2</v>
      </c>
    </row>
    <row r="505" spans="1:24" x14ac:dyDescent="0.2">
      <c r="A505" s="1924">
        <v>1993</v>
      </c>
      <c r="B505" s="1918" t="s">
        <v>781</v>
      </c>
      <c r="C505" s="1918" t="s">
        <v>38</v>
      </c>
      <c r="D505" s="1918" t="s">
        <v>1149</v>
      </c>
      <c r="E505" s="1919">
        <v>0.70845043659210205</v>
      </c>
      <c r="F505" s="1926">
        <f t="shared" si="10"/>
        <v>0.73836523250284447</v>
      </c>
      <c r="G505" s="1919">
        <v>0.60789567232131958</v>
      </c>
      <c r="H505" s="1919">
        <v>0.63532352447509766</v>
      </c>
      <c r="J505" s="1923">
        <v>0</v>
      </c>
      <c r="K505" s="1922">
        <f>1-Tableau1[[#This Row],[Adjusted corporate sector labor share]]-J505</f>
        <v>0.26163476749715553</v>
      </c>
      <c r="L505" s="1919">
        <f t="shared" si="11"/>
        <v>5.4157136153399225E-2</v>
      </c>
      <c r="M505" s="1919">
        <f t="shared" si="12"/>
        <v>3.2617366092388168E-2</v>
      </c>
      <c r="N505" s="1919">
        <f t="shared" si="13"/>
        <v>6.4795145040674074E-2</v>
      </c>
      <c r="O505" s="1919">
        <f t="shared" si="14"/>
        <v>0.27195078062603434</v>
      </c>
      <c r="P505" s="1919">
        <f t="shared" si="15"/>
        <v>0.26788253857339578</v>
      </c>
      <c r="Q505" s="1919">
        <f t="shared" si="16"/>
        <v>0.273943360808035</v>
      </c>
      <c r="S505" s="1927">
        <f>FractionShifted!$M24</f>
        <v>23.624275964765971</v>
      </c>
      <c r="T505" s="1927">
        <f t="shared" si="17"/>
        <v>47.648522244463344</v>
      </c>
      <c r="U505" s="1927">
        <f>TableC6!$G26</f>
        <v>3453.878775252676</v>
      </c>
      <c r="V505" s="1927">
        <f>TableC6!$H26</f>
        <v>148.2530785885088</v>
      </c>
      <c r="W505" s="1919">
        <f t="shared" si="18"/>
        <v>0.32139988388852664</v>
      </c>
      <c r="X505" s="1920">
        <f t="shared" si="19"/>
        <v>1.3795655651225777E-2</v>
      </c>
    </row>
    <row r="506" spans="1:24" x14ac:dyDescent="0.2">
      <c r="A506" s="1924">
        <v>1994</v>
      </c>
      <c r="B506" s="1918" t="s">
        <v>781</v>
      </c>
      <c r="C506" s="1918" t="s">
        <v>38</v>
      </c>
      <c r="D506" s="1918" t="s">
        <v>1149</v>
      </c>
      <c r="E506" s="1919">
        <v>0.70508807897567749</v>
      </c>
      <c r="F506" s="1926">
        <f t="shared" si="10"/>
        <v>0.73534787366020837</v>
      </c>
      <c r="G506" s="1919">
        <v>0.60581856966018677</v>
      </c>
      <c r="H506" s="1919">
        <v>0.63367152214050293</v>
      </c>
      <c r="J506" s="1923">
        <v>0</v>
      </c>
      <c r="K506" s="1922">
        <f>1-Tableau1[[#This Row],[Adjusted corporate sector labor share]]-J506</f>
        <v>0.26465212633979163</v>
      </c>
      <c r="L506" s="1919">
        <f t="shared" si="11"/>
        <v>5.6310573665870181E-2</v>
      </c>
      <c r="M506" s="1919">
        <f t="shared" si="12"/>
        <v>3.3914322776035448E-2</v>
      </c>
      <c r="N506" s="1919">
        <f t="shared" si="13"/>
        <v>6.7371579207380392E-2</v>
      </c>
      <c r="O506" s="1919">
        <f t="shared" si="14"/>
        <v>0.27544988874261567</v>
      </c>
      <c r="P506" s="1919">
        <f t="shared" si="15"/>
        <v>0.27119352711431632</v>
      </c>
      <c r="Q506" s="1919">
        <f t="shared" si="16"/>
        <v>0.2775337229559624</v>
      </c>
      <c r="S506" s="1927">
        <f>FractionShifted!$M25</f>
        <v>27.228827910891635</v>
      </c>
      <c r="T506" s="1927">
        <f t="shared" si="17"/>
        <v>54.918652928783501</v>
      </c>
      <c r="U506" s="1927">
        <f>TableC6!$G27</f>
        <v>3828.6288666460609</v>
      </c>
      <c r="V506" s="1927">
        <f>TableC6!$H27</f>
        <v>187.68617174182157</v>
      </c>
      <c r="W506" s="1919">
        <f t="shared" si="18"/>
        <v>0.29260894619518812</v>
      </c>
      <c r="X506" s="1920">
        <f t="shared" si="19"/>
        <v>1.4344209073702437E-2</v>
      </c>
    </row>
    <row r="507" spans="1:24" x14ac:dyDescent="0.2">
      <c r="A507" s="1924">
        <v>1995</v>
      </c>
      <c r="B507" s="1918" t="s">
        <v>781</v>
      </c>
      <c r="C507" s="1918" t="s">
        <v>38</v>
      </c>
      <c r="D507" s="1918" t="s">
        <v>1149</v>
      </c>
      <c r="E507" s="1919">
        <v>0.70187050104141235</v>
      </c>
      <c r="F507" s="1919">
        <v>0.73246043920516968</v>
      </c>
      <c r="G507" s="1919">
        <v>0.60483747720718384</v>
      </c>
      <c r="H507" s="1919">
        <v>0.63464885950088501</v>
      </c>
      <c r="J507" s="1923">
        <v>0</v>
      </c>
      <c r="K507" s="1922">
        <f>1-Tableau1[[#This Row],[Adjusted corporate sector labor share]]-J507</f>
        <v>0.26753956079483032</v>
      </c>
      <c r="L507" s="1919">
        <f t="shared" si="11"/>
        <v>6.8777318443023178E-2</v>
      </c>
      <c r="M507" s="1919">
        <f t="shared" si="12"/>
        <v>4.1422703153184415E-2</v>
      </c>
      <c r="N507" s="1919">
        <f t="shared" si="13"/>
        <v>8.2287148851474159E-2</v>
      </c>
      <c r="O507" s="1919">
        <f t="shared" si="14"/>
        <v>0.28077379306628625</v>
      </c>
      <c r="P507" s="1919">
        <f t="shared" si="15"/>
        <v>0.27556787108833913</v>
      </c>
      <c r="Q507" s="1919">
        <f t="shared" si="16"/>
        <v>0.28331737722789846</v>
      </c>
      <c r="S507" s="1927">
        <f>FractionShifted!$M26</f>
        <v>37.470160828559081</v>
      </c>
      <c r="T507" s="1927">
        <f t="shared" si="17"/>
        <v>75.574709438969379</v>
      </c>
      <c r="U507" s="1927">
        <f>TableC6!$G28</f>
        <v>4313.6468971301183</v>
      </c>
      <c r="V507" s="1927">
        <f>TableC6!$H28</f>
        <v>225.53837996703288</v>
      </c>
      <c r="W507" s="1919">
        <f t="shared" si="18"/>
        <v>0.33508580424323431</v>
      </c>
      <c r="X507" s="1920">
        <f t="shared" si="19"/>
        <v>1.7519910934121533E-2</v>
      </c>
    </row>
    <row r="508" spans="1:24" x14ac:dyDescent="0.2">
      <c r="A508" s="1924">
        <v>1996</v>
      </c>
      <c r="B508" s="1918" t="s">
        <v>781</v>
      </c>
      <c r="C508" s="1918" t="s">
        <v>38</v>
      </c>
      <c r="D508" s="1918" t="s">
        <v>1149</v>
      </c>
      <c r="E508" s="1919">
        <v>0.70510590076446533</v>
      </c>
      <c r="F508" s="1919">
        <v>0.73358535766601562</v>
      </c>
      <c r="G508" s="1919">
        <v>0.60896140336990356</v>
      </c>
      <c r="H508" s="1919">
        <v>0.64080327749252319</v>
      </c>
      <c r="J508" s="1923">
        <v>0</v>
      </c>
      <c r="K508" s="1922">
        <f>1-Tableau1[[#This Row],[Adjusted corporate sector labor share]]-J508</f>
        <v>0.26641464233398438</v>
      </c>
      <c r="L508" s="1919">
        <f t="shared" si="11"/>
        <v>6.8829578806437239E-2</v>
      </c>
      <c r="M508" s="1919">
        <f t="shared" si="12"/>
        <v>4.1454178144786066E-2</v>
      </c>
      <c r="N508" s="1919">
        <f t="shared" si="13"/>
        <v>8.2349674643415985E-2</v>
      </c>
      <c r="O508" s="1919">
        <f t="shared" si="14"/>
        <v>0.27962432072897103</v>
      </c>
      <c r="P508" s="1919">
        <f t="shared" si="15"/>
        <v>0.27442786106805089</v>
      </c>
      <c r="Q508" s="1919">
        <f t="shared" si="16"/>
        <v>0.28216337428515481</v>
      </c>
      <c r="S508" s="1927">
        <f>FractionShifted!$M27</f>
        <v>38.904441850158591</v>
      </c>
      <c r="T508" s="1927">
        <f t="shared" si="17"/>
        <v>78.467554547298718</v>
      </c>
      <c r="U508" s="1927">
        <f>TableC6!$G29</f>
        <v>4475.363866562715</v>
      </c>
      <c r="V508" s="1927">
        <f>TableC6!$H29</f>
        <v>276.10143238204006</v>
      </c>
      <c r="W508" s="1919">
        <f t="shared" si="18"/>
        <v>0.28419828854318868</v>
      </c>
      <c r="X508" s="1920">
        <f t="shared" si="19"/>
        <v>1.7533223417555411E-2</v>
      </c>
    </row>
    <row r="509" spans="1:24" x14ac:dyDescent="0.2">
      <c r="A509" s="1924">
        <v>1997</v>
      </c>
      <c r="B509" s="1918" t="s">
        <v>781</v>
      </c>
      <c r="C509" s="1918" t="s">
        <v>38</v>
      </c>
      <c r="D509" s="1918" t="s">
        <v>1149</v>
      </c>
      <c r="E509" s="1919">
        <v>0.6964074969291687</v>
      </c>
      <c r="F509" s="1919">
        <v>0.72737383842468262</v>
      </c>
      <c r="G509" s="1919">
        <v>0.60330033302307129</v>
      </c>
      <c r="H509" s="1919">
        <v>0.63362205028533936</v>
      </c>
      <c r="J509" s="1923">
        <v>0</v>
      </c>
      <c r="K509" s="1922">
        <f>1-Tableau1[[#This Row],[Adjusted corporate sector labor share]]-J509</f>
        <v>0.27262616157531738</v>
      </c>
      <c r="L509" s="1919">
        <f t="shared" si="11"/>
        <v>8.5297920696351309E-2</v>
      </c>
      <c r="M509" s="1919">
        <f t="shared" si="12"/>
        <v>5.1372611328484315E-2</v>
      </c>
      <c r="N509" s="1919">
        <f t="shared" si="13"/>
        <v>0.10205286940456318</v>
      </c>
      <c r="O509" s="1919">
        <f t="shared" si="14"/>
        <v>0.2891564339786788</v>
      </c>
      <c r="P509" s="1919">
        <f t="shared" si="15"/>
        <v>0.28267270184430648</v>
      </c>
      <c r="Q509" s="1919">
        <f t="shared" si="16"/>
        <v>0.29231555773983958</v>
      </c>
      <c r="S509" s="1927">
        <f>FractionShifted!$M28</f>
        <v>48.841844528700072</v>
      </c>
      <c r="T509" s="1927">
        <f t="shared" si="17"/>
        <v>98.510604894613934</v>
      </c>
      <c r="U509" s="1927">
        <f>TableC6!$G30</f>
        <v>4533.7533177939222</v>
      </c>
      <c r="V509" s="1927">
        <f>TableC6!$H30</f>
        <v>297.48187839215478</v>
      </c>
      <c r="W509" s="1919">
        <f t="shared" si="18"/>
        <v>0.33114825490227867</v>
      </c>
      <c r="X509" s="1920">
        <f t="shared" si="19"/>
        <v>2.1728267505861609E-2</v>
      </c>
    </row>
    <row r="510" spans="1:24" x14ac:dyDescent="0.2">
      <c r="A510" s="1924">
        <v>1998</v>
      </c>
      <c r="B510" s="1918" t="s">
        <v>781</v>
      </c>
      <c r="C510" s="1918" t="s">
        <v>38</v>
      </c>
      <c r="D510" s="1918" t="s">
        <v>1149</v>
      </c>
      <c r="E510" s="1919">
        <v>0.68657964468002319</v>
      </c>
      <c r="F510" s="1919">
        <v>0.71176868677139282</v>
      </c>
      <c r="G510" s="1919">
        <v>0.59657120704650879</v>
      </c>
      <c r="H510" s="1919">
        <v>0.62530559301376343</v>
      </c>
      <c r="J510" s="1923">
        <v>0</v>
      </c>
      <c r="K510" s="1922">
        <f>1-Tableau1[[#This Row],[Adjusted corporate sector labor share]]-J510</f>
        <v>0.28823131322860718</v>
      </c>
      <c r="L510" s="1919">
        <f t="shared" si="11"/>
        <v>8.8556874667398255E-2</v>
      </c>
      <c r="M510" s="1919">
        <f t="shared" si="12"/>
        <v>5.3335390424683035E-2</v>
      </c>
      <c r="N510" s="1919">
        <f t="shared" si="13"/>
        <v>0.10595197504849434</v>
      </c>
      <c r="O510" s="1919">
        <f t="shared" si="14"/>
        <v>0.30594692380223065</v>
      </c>
      <c r="P510" s="1919">
        <f t="shared" si="15"/>
        <v>0.29900761975681239</v>
      </c>
      <c r="Q510" s="1919">
        <f t="shared" si="16"/>
        <v>0.30932365497684777</v>
      </c>
      <c r="S510" s="1927">
        <f>FractionShifted!$M29</f>
        <v>50.117759458311603</v>
      </c>
      <c r="T510" s="1927">
        <f t="shared" si="17"/>
        <v>101.08403660512688</v>
      </c>
      <c r="U510" s="1927">
        <f>TableC6!$G31</f>
        <v>4480.9865499803163</v>
      </c>
      <c r="V510" s="1927">
        <f>TableC6!$H31</f>
        <v>293.29385675233658</v>
      </c>
      <c r="W510" s="1919">
        <f t="shared" si="18"/>
        <v>0.34465105312616329</v>
      </c>
      <c r="X510" s="1920">
        <f t="shared" si="19"/>
        <v>2.2558433389087258E-2</v>
      </c>
    </row>
    <row r="511" spans="1:24" x14ac:dyDescent="0.2">
      <c r="A511" s="1924">
        <v>1999</v>
      </c>
      <c r="B511" s="1918" t="s">
        <v>781</v>
      </c>
      <c r="C511" s="1918" t="s">
        <v>38</v>
      </c>
      <c r="D511" s="1918" t="s">
        <v>1149</v>
      </c>
      <c r="E511" s="1919">
        <v>0.68792873620986938</v>
      </c>
      <c r="F511" s="1919">
        <v>0.70813071727752686</v>
      </c>
      <c r="G511" s="1919">
        <v>0.60024309158325195</v>
      </c>
      <c r="H511" s="1919">
        <v>0.63117539882659912</v>
      </c>
      <c r="J511" s="1923">
        <v>0</v>
      </c>
      <c r="K511" s="1922">
        <f>1-Tableau1[[#This Row],[Adjusted corporate sector labor share]]-J511</f>
        <v>0.29186928272247314</v>
      </c>
      <c r="L511" s="1919">
        <f t="shared" si="11"/>
        <v>9.6139124902551609E-2</v>
      </c>
      <c r="M511" s="1919">
        <f t="shared" si="12"/>
        <v>5.7901972952673124E-2</v>
      </c>
      <c r="N511" s="1919">
        <f t="shared" si="13"/>
        <v>0.11502359586555283</v>
      </c>
      <c r="O511" s="1919">
        <f t="shared" si="14"/>
        <v>0.31119713078834771</v>
      </c>
      <c r="P511" s="1919">
        <f t="shared" si="15"/>
        <v>0.30363767188822971</v>
      </c>
      <c r="Q511" s="1919">
        <f t="shared" si="16"/>
        <v>0.31487035541044556</v>
      </c>
      <c r="S511" s="1927">
        <f>FractionShifted!$M30</f>
        <v>55.834709770599353</v>
      </c>
      <c r="T511" s="1927">
        <f t="shared" si="17"/>
        <v>112.61472793855896</v>
      </c>
      <c r="U511" s="1927">
        <f>TableC6!$G32</f>
        <v>4598.4172157911598</v>
      </c>
      <c r="V511" s="1927">
        <f>TableC6!$H32</f>
        <v>379.10198068083832</v>
      </c>
      <c r="W511" s="1919">
        <f t="shared" si="18"/>
        <v>0.29705655384947205</v>
      </c>
      <c r="X511" s="1920">
        <f t="shared" si="19"/>
        <v>2.4489889162696069E-2</v>
      </c>
    </row>
    <row r="512" spans="1:24" x14ac:dyDescent="0.2">
      <c r="A512" s="1924">
        <v>2000</v>
      </c>
      <c r="B512" s="1918" t="s">
        <v>781</v>
      </c>
      <c r="C512" s="1918" t="s">
        <v>38</v>
      </c>
      <c r="D512" s="1918" t="s">
        <v>1149</v>
      </c>
      <c r="E512" s="1919">
        <v>0.68341785669326782</v>
      </c>
      <c r="F512" s="1919">
        <v>0.69975954294204712</v>
      </c>
      <c r="G512" s="1919">
        <v>0.5974535346031189</v>
      </c>
      <c r="H512" s="1919">
        <v>0.62583649158477783</v>
      </c>
      <c r="J512" s="1923">
        <v>0</v>
      </c>
      <c r="K512" s="1922">
        <f>1-Tableau1[[#This Row],[Adjusted corporate sector labor share]]-J512</f>
        <v>0.30024045705795288</v>
      </c>
      <c r="L512" s="1919">
        <f t="shared" si="11"/>
        <v>0.11560728734158979</v>
      </c>
      <c r="M512" s="1919">
        <f t="shared" si="12"/>
        <v>6.9627116239821124E-2</v>
      </c>
      <c r="N512" s="1919">
        <f t="shared" si="13"/>
        <v>0.13831586164083065</v>
      </c>
      <c r="O512" s="1919">
        <f t="shared" si="14"/>
        <v>0.3237143226334917</v>
      </c>
      <c r="P512" s="1919">
        <f t="shared" si="15"/>
        <v>0.31456930163868563</v>
      </c>
      <c r="Q512" s="1919">
        <f t="shared" si="16"/>
        <v>0.3281414122588866</v>
      </c>
      <c r="S512" s="1927">
        <f>FractionShifted!$M31</f>
        <v>67.474187044692101</v>
      </c>
      <c r="T512" s="1927">
        <f t="shared" si="17"/>
        <v>136.09074441566446</v>
      </c>
      <c r="U512" s="1927">
        <f>TableC6!$G33</f>
        <v>4621.2208480454574</v>
      </c>
      <c r="V512" s="1927">
        <f>TableC6!$H33</f>
        <v>440.6241509117329</v>
      </c>
      <c r="W512" s="1919">
        <f t="shared" si="18"/>
        <v>0.30885902221670675</v>
      </c>
      <c r="X512" s="1920">
        <f t="shared" si="19"/>
        <v>2.9449089080696926E-2</v>
      </c>
    </row>
    <row r="513" spans="1:24" x14ac:dyDescent="0.2">
      <c r="A513" s="1924">
        <v>2001</v>
      </c>
      <c r="B513" s="1918" t="s">
        <v>781</v>
      </c>
      <c r="C513" s="1918" t="s">
        <v>38</v>
      </c>
      <c r="D513" s="1918" t="s">
        <v>1149</v>
      </c>
      <c r="E513" s="1919">
        <v>0.68510627746582031</v>
      </c>
      <c r="F513" s="1919">
        <v>0.70157790184020996</v>
      </c>
      <c r="G513" s="1919">
        <v>0.60095751285552979</v>
      </c>
      <c r="H513" s="1919">
        <v>0.63079220056533813</v>
      </c>
      <c r="J513" s="1923">
        <v>0</v>
      </c>
      <c r="K513" s="1922">
        <f>1-Tableau1[[#This Row],[Adjusted corporate sector labor share]]-J513</f>
        <v>0.29842209815979004</v>
      </c>
      <c r="L513" s="1919">
        <f t="shared" si="11"/>
        <v>0.11486115073038948</v>
      </c>
      <c r="M513" s="1919">
        <f t="shared" si="12"/>
        <v>6.9177738508075473E-2</v>
      </c>
      <c r="N513" s="1919">
        <f t="shared" si="13"/>
        <v>0.1374231624810017</v>
      </c>
      <c r="O513" s="1919">
        <f t="shared" si="14"/>
        <v>0.3216731782585836</v>
      </c>
      <c r="P513" s="1919">
        <f t="shared" si="15"/>
        <v>0.31261263690158669</v>
      </c>
      <c r="Q513" s="1919">
        <f t="shared" si="16"/>
        <v>0.32606043291707221</v>
      </c>
      <c r="S513" s="1927">
        <f>FractionShifted!$M32</f>
        <v>66.254123658257882</v>
      </c>
      <c r="T513" s="1927">
        <f t="shared" si="17"/>
        <v>133.62996138490112</v>
      </c>
      <c r="U513" s="1927">
        <f>TableC6!$G34</f>
        <v>4567.1368506129529</v>
      </c>
      <c r="V513" s="1927">
        <f>TableC6!$H34</f>
        <v>369.95715089507036</v>
      </c>
      <c r="W513" s="1919">
        <f t="shared" si="18"/>
        <v>0.36120388823840338</v>
      </c>
      <c r="X513" s="1920">
        <f t="shared" si="19"/>
        <v>2.9259022831112827E-2</v>
      </c>
    </row>
    <row r="514" spans="1:24" x14ac:dyDescent="0.2">
      <c r="A514" s="1924">
        <v>2002</v>
      </c>
      <c r="B514" s="1918" t="s">
        <v>781</v>
      </c>
      <c r="C514" s="1918" t="s">
        <v>38</v>
      </c>
      <c r="D514" s="1918" t="s">
        <v>1149</v>
      </c>
      <c r="E514" s="1919">
        <v>0.68877959251403809</v>
      </c>
      <c r="F514" s="1919">
        <v>0.7067151665687561</v>
      </c>
      <c r="G514" s="1919">
        <v>0.60461348295211792</v>
      </c>
      <c r="H514" s="1919">
        <v>0.63595491647720337</v>
      </c>
      <c r="J514" s="1923">
        <v>0</v>
      </c>
      <c r="K514" s="1922">
        <f>1-Tableau1[[#This Row],[Adjusted corporate sector labor share]]-J514</f>
        <v>0.2932848334312439</v>
      </c>
      <c r="L514" s="1919">
        <f t="shared" si="11"/>
        <v>0.11507140007781583</v>
      </c>
      <c r="M514" s="1919">
        <f t="shared" si="12"/>
        <v>6.9304365955957264E-2</v>
      </c>
      <c r="N514" s="1919">
        <f t="shared" si="13"/>
        <v>0.1376747108073868</v>
      </c>
      <c r="O514" s="1919">
        <f t="shared" si="14"/>
        <v>0.31635689696463015</v>
      </c>
      <c r="P514" s="1919">
        <f t="shared" si="15"/>
        <v>0.30736331096370673</v>
      </c>
      <c r="Q514" s="1919">
        <f t="shared" si="16"/>
        <v>0.3207130183889868</v>
      </c>
      <c r="S514" s="1927">
        <f>FractionShifted!$M33</f>
        <v>70.845822104414538</v>
      </c>
      <c r="T514" s="1927">
        <f t="shared" si="17"/>
        <v>142.89109793265692</v>
      </c>
      <c r="U514" s="1927">
        <f>TableC6!$G35</f>
        <v>4874.7362295790444</v>
      </c>
      <c r="V514" s="1927">
        <f>TableC6!$H35</f>
        <v>414.23877240473689</v>
      </c>
      <c r="W514" s="1919">
        <f t="shared" si="18"/>
        <v>0.34494863216966926</v>
      </c>
      <c r="X514" s="1920">
        <f t="shared" si="19"/>
        <v>2.9312580456275522E-2</v>
      </c>
    </row>
    <row r="515" spans="1:24" x14ac:dyDescent="0.2">
      <c r="A515" s="1924">
        <v>2003</v>
      </c>
      <c r="B515" s="1918" t="s">
        <v>781</v>
      </c>
      <c r="C515" s="1918" t="s">
        <v>38</v>
      </c>
      <c r="D515" s="1918" t="s">
        <v>1149</v>
      </c>
      <c r="E515" s="1919">
        <v>0.69240438938140869</v>
      </c>
      <c r="F515" s="1919">
        <v>0.71337318420410156</v>
      </c>
      <c r="G515" s="1919">
        <v>0.6065446138381958</v>
      </c>
      <c r="H515" s="1919">
        <v>0.63868129253387451</v>
      </c>
      <c r="J515" s="1923">
        <v>0</v>
      </c>
      <c r="K515" s="1922">
        <f>1-Tableau1[[#This Row],[Adjusted corporate sector labor share]]-J515</f>
        <v>0.28662681579589844</v>
      </c>
      <c r="L515" s="1919">
        <f t="shared" si="11"/>
        <v>0.11564128139611847</v>
      </c>
      <c r="M515" s="1919">
        <f t="shared" si="12"/>
        <v>6.964758993175317E-2</v>
      </c>
      <c r="N515" s="1919">
        <f t="shared" si="13"/>
        <v>0.13835653309892745</v>
      </c>
      <c r="O515" s="1919">
        <f t="shared" si="14"/>
        <v>0.30951360350199503</v>
      </c>
      <c r="P515" s="1919">
        <f t="shared" si="15"/>
        <v>0.3005890632555131</v>
      </c>
      <c r="Q515" s="1919">
        <f t="shared" si="16"/>
        <v>0.31383774150448479</v>
      </c>
      <c r="S515" s="1927">
        <f>FractionShifted!$M34</f>
        <v>82.129832910581314</v>
      </c>
      <c r="T515" s="1927">
        <f t="shared" si="17"/>
        <v>165.65016325623745</v>
      </c>
      <c r="U515" s="1927">
        <f>TableC6!$G36</f>
        <v>5623.3137831522918</v>
      </c>
      <c r="V515" s="1927">
        <f>TableC6!$H36</f>
        <v>582.85807630747797</v>
      </c>
      <c r="W515" s="1919">
        <f t="shared" si="18"/>
        <v>0.28420325631526672</v>
      </c>
      <c r="X515" s="1920">
        <f t="shared" si="19"/>
        <v>2.945774851699242E-2</v>
      </c>
    </row>
    <row r="516" spans="1:24" x14ac:dyDescent="0.2">
      <c r="A516" s="1924">
        <v>2004</v>
      </c>
      <c r="B516" s="1918" t="s">
        <v>781</v>
      </c>
      <c r="C516" s="1918" t="s">
        <v>38</v>
      </c>
      <c r="D516" s="1918" t="s">
        <v>1149</v>
      </c>
      <c r="E516" s="1919">
        <v>0.69198650121688843</v>
      </c>
      <c r="F516" s="1919">
        <v>0.70873725414276123</v>
      </c>
      <c r="G516" s="1919">
        <v>0.60437190532684326</v>
      </c>
      <c r="H516" s="1919">
        <v>0.63416731357574463</v>
      </c>
      <c r="J516" s="1923">
        <v>0</v>
      </c>
      <c r="K516" s="1922">
        <f>1-Tableau1[[#This Row],[Adjusted corporate sector labor share]]-J516</f>
        <v>0.29126274585723877</v>
      </c>
      <c r="L516" s="1919">
        <f t="shared" si="11"/>
        <v>0.14216584737059304</v>
      </c>
      <c r="M516" s="1919">
        <f t="shared" si="12"/>
        <v>8.5622612620925354E-2</v>
      </c>
      <c r="N516" s="1919">
        <f t="shared" si="13"/>
        <v>0.17009128167553098</v>
      </c>
      <c r="O516" s="1919">
        <f t="shared" si="14"/>
        <v>0.31944298861923487</v>
      </c>
      <c r="P516" s="1919">
        <f t="shared" si="15"/>
        <v>0.30850765039149802</v>
      </c>
      <c r="Q516" s="1919">
        <f t="shared" si="16"/>
        <v>0.32471710700999462</v>
      </c>
      <c r="S516" s="1927">
        <f>FractionShifted!$M35</f>
        <v>118.38626227759964</v>
      </c>
      <c r="T516" s="1927">
        <f t="shared" si="17"/>
        <v>238.77686071675367</v>
      </c>
      <c r="U516" s="1927">
        <f>TableC6!$G37</f>
        <v>6593.4133819685367</v>
      </c>
      <c r="V516" s="1927">
        <f>TableC6!$H37</f>
        <v>879.34979617921624</v>
      </c>
      <c r="W516" s="1919">
        <f t="shared" si="18"/>
        <v>0.27153797243627231</v>
      </c>
      <c r="X516" s="1920">
        <f t="shared" si="19"/>
        <v>3.6214453255692003E-2</v>
      </c>
    </row>
    <row r="517" spans="1:24" x14ac:dyDescent="0.2">
      <c r="A517" s="1924">
        <v>2005</v>
      </c>
      <c r="B517" s="1918" t="s">
        <v>781</v>
      </c>
      <c r="C517" s="1918" t="s">
        <v>38</v>
      </c>
      <c r="D517" s="1918" t="s">
        <v>1149</v>
      </c>
      <c r="E517" s="1919">
        <v>0.69708144664764404</v>
      </c>
      <c r="F517" s="1919">
        <v>0.71297568082809448</v>
      </c>
      <c r="G517" s="1919">
        <v>0.60820883512496948</v>
      </c>
      <c r="H517" s="1919">
        <v>0.63563442230224609</v>
      </c>
      <c r="J517" s="1923">
        <v>0</v>
      </c>
      <c r="K517" s="1922">
        <f>1-Tableau1[[#This Row],[Adjusted corporate sector labor share]]-J517</f>
        <v>0.28702431917190552</v>
      </c>
      <c r="L517" s="1919">
        <f t="shared" si="11"/>
        <v>0.13529817389372681</v>
      </c>
      <c r="M517" s="1919">
        <f t="shared" si="12"/>
        <v>8.1486400185994554E-2</v>
      </c>
      <c r="N517" s="1919">
        <f t="shared" si="13"/>
        <v>0.16187460090856601</v>
      </c>
      <c r="O517" s="1919">
        <f t="shared" si="14"/>
        <v>0.31367689869042154</v>
      </c>
      <c r="P517" s="1919">
        <f t="shared" si="15"/>
        <v>0.30331870436875025</v>
      </c>
      <c r="Q517" s="1919">
        <f t="shared" si="16"/>
        <v>0.31867978306106853</v>
      </c>
      <c r="S517" s="1927">
        <f>FractionShifted!$M36</f>
        <v>124.02786834530129</v>
      </c>
      <c r="T517" s="1927">
        <f t="shared" si="17"/>
        <v>250.15558794684105</v>
      </c>
      <c r="U517" s="1927">
        <f>TableC6!$G38</f>
        <v>7258.2449171998196</v>
      </c>
      <c r="V517" s="1927">
        <f>TableC6!$H38</f>
        <v>1154.5272410233706</v>
      </c>
      <c r="W517" s="1919">
        <f t="shared" si="18"/>
        <v>0.21667361241741134</v>
      </c>
      <c r="X517" s="1920">
        <f t="shared" si="19"/>
        <v>3.4465024368914424E-2</v>
      </c>
    </row>
    <row r="518" spans="1:24" x14ac:dyDescent="0.2">
      <c r="A518" s="1924">
        <v>2006</v>
      </c>
      <c r="B518" s="1918" t="s">
        <v>781</v>
      </c>
      <c r="C518" s="1918" t="s">
        <v>38</v>
      </c>
      <c r="D518" s="1918" t="s">
        <v>1149</v>
      </c>
      <c r="E518" s="1919">
        <v>0.70120006799697876</v>
      </c>
      <c r="F518" s="1919">
        <v>0.71552532911300659</v>
      </c>
      <c r="G518" s="1919">
        <v>0.61158055067062378</v>
      </c>
      <c r="H518" s="1919">
        <v>0.63797420263290405</v>
      </c>
      <c r="J518" s="1923">
        <v>0</v>
      </c>
      <c r="K518" s="1922">
        <f>1-Tableau1[[#This Row],[Adjusted corporate sector labor share]]-J518</f>
        <v>0.28447467088699341</v>
      </c>
      <c r="L518" s="1919">
        <f t="shared" si="11"/>
        <v>0.14770594621528577</v>
      </c>
      <c r="M518" s="1919">
        <f t="shared" si="12"/>
        <v>8.895926306147893E-2</v>
      </c>
      <c r="N518" s="1919">
        <f t="shared" si="13"/>
        <v>0.17671961422185975</v>
      </c>
      <c r="O518" s="1919">
        <f t="shared" si="14"/>
        <v>0.31332768070312028</v>
      </c>
      <c r="P518" s="1919">
        <f t="shared" si="15"/>
        <v>0.30213529369882297</v>
      </c>
      <c r="Q518" s="1919">
        <f t="shared" si="16"/>
        <v>0.31872395341002874</v>
      </c>
      <c r="S518" s="1927">
        <f>FractionShifted!$M37</f>
        <v>148.91481702384974</v>
      </c>
      <c r="T518" s="1927">
        <f t="shared" si="17"/>
        <v>300.35083327309843</v>
      </c>
      <c r="U518" s="1927">
        <f>TableC6!$G39</f>
        <v>7982.5970480585947</v>
      </c>
      <c r="V518" s="1927">
        <f>TableC6!$H39</f>
        <v>1340.0586449522318</v>
      </c>
      <c r="W518" s="1919">
        <f t="shared" si="18"/>
        <v>0.22413260375168495</v>
      </c>
      <c r="X518" s="1920">
        <f t="shared" si="19"/>
        <v>3.7625703948835194E-2</v>
      </c>
    </row>
    <row r="519" spans="1:24" x14ac:dyDescent="0.2">
      <c r="A519" s="1924">
        <v>2007</v>
      </c>
      <c r="B519" s="1918" t="s">
        <v>781</v>
      </c>
      <c r="C519" s="1918" t="s">
        <v>38</v>
      </c>
      <c r="D519" s="1918" t="s">
        <v>1149</v>
      </c>
      <c r="E519" s="1919">
        <v>0.69499301910400391</v>
      </c>
      <c r="F519" s="1919">
        <v>0.70454990863800049</v>
      </c>
      <c r="G519" s="1919">
        <v>0.60631418228149414</v>
      </c>
      <c r="H519" s="1919">
        <v>0.62919849157333374</v>
      </c>
      <c r="J519" s="1923">
        <v>0</v>
      </c>
      <c r="K519" s="1922">
        <f>1-Tableau1[[#This Row],[Adjusted corporate sector labor share]]-J519</f>
        <v>0.29545009136199951</v>
      </c>
      <c r="L519" s="1919">
        <f t="shared" si="11"/>
        <v>0.15126102885102574</v>
      </c>
      <c r="M519" s="1919">
        <f t="shared" si="12"/>
        <v>9.110039237618596E-2</v>
      </c>
      <c r="N519" s="1919">
        <f t="shared" si="13"/>
        <v>0.18097301666104865</v>
      </c>
      <c r="O519" s="1919">
        <f t="shared" si="14"/>
        <v>0.3255895514914976</v>
      </c>
      <c r="P519" s="1919">
        <f t="shared" si="15"/>
        <v>0.31391645483772895</v>
      </c>
      <c r="Q519" s="1919">
        <f t="shared" si="16"/>
        <v>0.33120932192493863</v>
      </c>
      <c r="S519" s="1927">
        <f>FractionShifted!$M38</f>
        <v>171.52669486799655</v>
      </c>
      <c r="T519" s="1927">
        <f t="shared" si="17"/>
        <v>345.95741889091039</v>
      </c>
      <c r="U519" s="1927">
        <f>TableC6!$G40</f>
        <v>8978.6066013275668</v>
      </c>
      <c r="V519" s="1927">
        <f>TableC6!$H40</f>
        <v>1626.0616625384382</v>
      </c>
      <c r="W519" s="1919">
        <f t="shared" si="18"/>
        <v>0.21275787189449979</v>
      </c>
      <c r="X519" s="1920">
        <f t="shared" si="19"/>
        <v>3.8531303826114569E-2</v>
      </c>
    </row>
    <row r="520" spans="1:24" x14ac:dyDescent="0.2">
      <c r="A520" s="1924">
        <v>2008</v>
      </c>
      <c r="B520" s="1918" t="s">
        <v>781</v>
      </c>
      <c r="C520" s="1918" t="s">
        <v>38</v>
      </c>
      <c r="D520" s="1918" t="s">
        <v>1149</v>
      </c>
      <c r="E520" s="1919">
        <v>0.69994050264358521</v>
      </c>
      <c r="F520" s="1919">
        <v>0.70977538824081421</v>
      </c>
      <c r="G520" s="1919">
        <v>0.60980534553527832</v>
      </c>
      <c r="H520" s="1919">
        <v>0.63376736640930176</v>
      </c>
      <c r="J520" s="1923">
        <v>0</v>
      </c>
      <c r="K520" s="1922">
        <f>1-Tableau1[[#This Row],[Adjusted corporate sector labor share]]-J520</f>
        <v>0.29022461175918579</v>
      </c>
      <c r="L520" s="1919">
        <f t="shared" si="11"/>
        <v>0.14235923978868414</v>
      </c>
      <c r="M520" s="1919">
        <f t="shared" si="12"/>
        <v>8.5739087600002942E-2</v>
      </c>
      <c r="N520" s="1919">
        <f t="shared" si="13"/>
        <v>0.17032266189003281</v>
      </c>
      <c r="O520" s="1919">
        <f t="shared" si="14"/>
        <v>0.31838627033111422</v>
      </c>
      <c r="P520" s="1919">
        <f t="shared" si="15"/>
        <v>0.30745755634711086</v>
      </c>
      <c r="Q520" s="1919">
        <f t="shared" si="16"/>
        <v>0.32365746014309776</v>
      </c>
      <c r="S520" s="1927">
        <f>FractionShifted!$M39</f>
        <v>174.07824202076597</v>
      </c>
      <c r="T520" s="1927">
        <f t="shared" si="17"/>
        <v>351.10371211267329</v>
      </c>
      <c r="U520" s="1927">
        <f>TableC6!$G41</f>
        <v>9681.9560322836423</v>
      </c>
      <c r="V520" s="1927">
        <f>TableC6!$H41</f>
        <v>1451.1898023409158</v>
      </c>
      <c r="W520" s="1919">
        <f t="shared" si="18"/>
        <v>0.24194196482521274</v>
      </c>
      <c r="X520" s="1920">
        <f t="shared" si="19"/>
        <v>3.6263716850391432E-2</v>
      </c>
    </row>
    <row r="521" spans="1:24" x14ac:dyDescent="0.2">
      <c r="A521" s="1924">
        <v>2009</v>
      </c>
      <c r="B521" s="1918" t="s">
        <v>781</v>
      </c>
      <c r="C521" s="1918" t="s">
        <v>38</v>
      </c>
      <c r="D521" s="1918" t="s">
        <v>1149</v>
      </c>
      <c r="E521" s="1919">
        <v>0.72358059883117676</v>
      </c>
      <c r="F521" s="1919">
        <v>0.73631083965301514</v>
      </c>
      <c r="G521" s="1919">
        <v>0.62839150428771973</v>
      </c>
      <c r="H521" s="1919">
        <v>0.65017318725585938</v>
      </c>
      <c r="J521" s="1923">
        <v>0</v>
      </c>
      <c r="K521" s="1922">
        <f>1-Tableau1[[#This Row],[Adjusted corporate sector labor share]]-J521</f>
        <v>0.26368916034698486</v>
      </c>
      <c r="L521" s="1919">
        <f t="shared" si="11"/>
        <v>0.16669941783441436</v>
      </c>
      <c r="M521" s="1919">
        <f t="shared" si="12"/>
        <v>0.10039851301390865</v>
      </c>
      <c r="N521" s="1919">
        <f t="shared" si="13"/>
        <v>0.19944394633760287</v>
      </c>
      <c r="O521" s="1919">
        <f t="shared" si="14"/>
        <v>0.29469225275128841</v>
      </c>
      <c r="P521" s="1919">
        <f t="shared" si="15"/>
        <v>0.28267950289798505</v>
      </c>
      <c r="Q521" s="1919">
        <f t="shared" si="16"/>
        <v>0.30047787314391117</v>
      </c>
      <c r="S521" s="1927">
        <f>FractionShifted!$M40</f>
        <v>190.92460470417925</v>
      </c>
      <c r="T521" s="1927">
        <f t="shared" si="17"/>
        <v>385.08165447400091</v>
      </c>
      <c r="U521" s="1927">
        <f>TableC6!$G42</f>
        <v>9068.4297083077108</v>
      </c>
      <c r="V521" s="1927">
        <f>TableC6!$H42</f>
        <v>1351.0670902278241</v>
      </c>
      <c r="W521" s="1919">
        <f t="shared" si="18"/>
        <v>0.28502037926855756</v>
      </c>
      <c r="X521" s="1920">
        <f t="shared" si="19"/>
        <v>4.2463984048001432E-2</v>
      </c>
    </row>
    <row r="522" spans="1:24" x14ac:dyDescent="0.2">
      <c r="A522" s="1924">
        <v>2010</v>
      </c>
      <c r="B522" s="1918" t="s">
        <v>781</v>
      </c>
      <c r="C522" s="1918" t="s">
        <v>38</v>
      </c>
      <c r="D522" s="1918" t="s">
        <v>1149</v>
      </c>
      <c r="E522" s="1919">
        <v>0.72504997253417969</v>
      </c>
      <c r="F522" s="1919">
        <v>0.73466449975967407</v>
      </c>
      <c r="G522" s="1919">
        <v>0.62799310684204102</v>
      </c>
      <c r="H522" s="1919">
        <v>0.6461951732635498</v>
      </c>
      <c r="J522" s="1923">
        <v>0</v>
      </c>
      <c r="K522" s="1922">
        <f>1-Tableau1[[#This Row],[Adjusted corporate sector labor share]]-J522</f>
        <v>0.26533550024032593</v>
      </c>
      <c r="L522" s="1919">
        <f t="shared" si="11"/>
        <v>0.15563881501952251</v>
      </c>
      <c r="M522" s="1919">
        <f t="shared" si="12"/>
        <v>9.373701359130332E-2</v>
      </c>
      <c r="N522" s="1919">
        <f t="shared" si="13"/>
        <v>0.186210725112643</v>
      </c>
      <c r="O522" s="1919">
        <f t="shared" si="14"/>
        <v>0.29447136549872105</v>
      </c>
      <c r="P522" s="1919">
        <f t="shared" si="15"/>
        <v>0.28316445988425076</v>
      </c>
      <c r="Q522" s="1919">
        <f t="shared" si="16"/>
        <v>0.2999250257216679</v>
      </c>
      <c r="S522" s="1927">
        <f>FractionShifted!$M41</f>
        <v>204.31658274936669</v>
      </c>
      <c r="T522" s="1927">
        <f t="shared" si="17"/>
        <v>412.09234317130421</v>
      </c>
      <c r="U522" s="1927">
        <f>TableC6!$G43</f>
        <v>10394.173810299038</v>
      </c>
      <c r="V522" s="1927">
        <f>TableC6!$H43</f>
        <v>1784.5592123315012</v>
      </c>
      <c r="W522" s="1919">
        <f t="shared" si="18"/>
        <v>0.23092108142094733</v>
      </c>
      <c r="X522" s="1920">
        <f t="shared" si="19"/>
        <v>3.9646474139482218E-2</v>
      </c>
    </row>
    <row r="523" spans="1:24" x14ac:dyDescent="0.2">
      <c r="A523" s="1924">
        <v>2011</v>
      </c>
      <c r="B523" s="1918" t="s">
        <v>781</v>
      </c>
      <c r="C523" s="1918" t="s">
        <v>38</v>
      </c>
      <c r="D523" s="1918" t="s">
        <v>1149</v>
      </c>
      <c r="E523" s="1919">
        <v>0.73037558794021606</v>
      </c>
      <c r="F523" s="1919">
        <v>0.74043327569961548</v>
      </c>
      <c r="G523" s="1919">
        <v>0.62936544418334961</v>
      </c>
      <c r="H523" s="1919">
        <v>0.64671486616134644</v>
      </c>
      <c r="J523" s="1923">
        <v>0</v>
      </c>
      <c r="K523" s="1922">
        <f>1-Tableau1[[#This Row],[Adjusted corporate sector labor share]]-J523</f>
        <v>0.25956672430038452</v>
      </c>
      <c r="L523" s="1919">
        <f t="shared" si="11"/>
        <v>0.16157018684505473</v>
      </c>
      <c r="M523" s="1919">
        <f t="shared" si="12"/>
        <v>9.7309317077135235E-2</v>
      </c>
      <c r="N523" s="1919">
        <f t="shared" si="13"/>
        <v>0.19330718783247619</v>
      </c>
      <c r="O523" s="1919">
        <f t="shared" si="14"/>
        <v>0.28936932696242929</v>
      </c>
      <c r="P523" s="1919">
        <f t="shared" si="15"/>
        <v>0.27780803715715091</v>
      </c>
      <c r="Q523" s="1919">
        <f t="shared" si="16"/>
        <v>0.2949437088116646</v>
      </c>
      <c r="S523" s="1927">
        <f>FractionShifted!$M42</f>
        <v>233.38379203830584</v>
      </c>
      <c r="T523" s="1927">
        <f t="shared" si="17"/>
        <v>470.71888353402846</v>
      </c>
      <c r="U523" s="1927">
        <f>TableC6!$G44</f>
        <v>11437.042603226486</v>
      </c>
      <c r="V523" s="1927">
        <f>TableC6!$H44</f>
        <v>1934.2740680795559</v>
      </c>
      <c r="W523" s="1919">
        <f t="shared" si="18"/>
        <v>0.2433568703122726</v>
      </c>
      <c r="X523" s="1920">
        <f t="shared" si="19"/>
        <v>4.1157395304380062E-2</v>
      </c>
    </row>
    <row r="524" spans="1:24" x14ac:dyDescent="0.2">
      <c r="A524" s="1924">
        <v>2012</v>
      </c>
      <c r="B524" s="1918" t="s">
        <v>781</v>
      </c>
      <c r="C524" s="1918" t="s">
        <v>38</v>
      </c>
      <c r="D524" s="1918" t="s">
        <v>1149</v>
      </c>
      <c r="E524" s="1919">
        <v>0.74357742071151733</v>
      </c>
      <c r="F524" s="1919">
        <v>0.7534605860710144</v>
      </c>
      <c r="G524" s="1919">
        <v>0.63762086629867554</v>
      </c>
      <c r="H524" s="1919">
        <v>0.65438765287399292</v>
      </c>
      <c r="J524" s="1923">
        <v>0</v>
      </c>
      <c r="K524" s="1922">
        <f>1-Tableau1[[#This Row],[Adjusted corporate sector labor share]]-J524</f>
        <v>0.2465394139289856</v>
      </c>
      <c r="L524" s="1919">
        <f t="shared" si="11"/>
        <v>0.16994700944835511</v>
      </c>
      <c r="M524" s="1919">
        <f t="shared" si="12"/>
        <v>0.10235444887230478</v>
      </c>
      <c r="N524" s="1919">
        <f t="shared" si="13"/>
        <v>0.20332945773285344</v>
      </c>
      <c r="O524" s="1919">
        <f t="shared" si="14"/>
        <v>0.2768388786021625</v>
      </c>
      <c r="P524" s="1919">
        <f t="shared" si="15"/>
        <v>0.26508456819184339</v>
      </c>
      <c r="Q524" s="1919">
        <f t="shared" si="16"/>
        <v>0.28250645098368476</v>
      </c>
      <c r="S524" s="1927">
        <f>FractionShifted!$M43</f>
        <v>245.64589657937114</v>
      </c>
      <c r="T524" s="1927">
        <f t="shared" si="17"/>
        <v>495.45069592312711</v>
      </c>
      <c r="U524" s="1927">
        <f>TableC6!$G45</f>
        <v>11444.590589474463</v>
      </c>
      <c r="V524" s="1927">
        <f>TableC6!$H45</f>
        <v>1820.351698336842</v>
      </c>
      <c r="W524" s="1919">
        <f t="shared" si="18"/>
        <v>0.27217306214826176</v>
      </c>
      <c r="X524" s="1920">
        <f t="shared" si="19"/>
        <v>4.3291255554287006E-2</v>
      </c>
    </row>
    <row r="525" spans="1:24" x14ac:dyDescent="0.2">
      <c r="A525" s="1924">
        <v>2013</v>
      </c>
      <c r="B525" s="1918" t="s">
        <v>781</v>
      </c>
      <c r="C525" s="1918" t="s">
        <v>38</v>
      </c>
      <c r="D525" s="1918" t="s">
        <v>1149</v>
      </c>
      <c r="E525" s="1919">
        <v>0.74481791257858276</v>
      </c>
      <c r="F525" s="1919">
        <v>0.76062512397766113</v>
      </c>
      <c r="G525" s="1919">
        <v>0.6355515718460083</v>
      </c>
      <c r="H525" s="1919">
        <v>0.65415626764297485</v>
      </c>
      <c r="J525" s="1923">
        <v>0</v>
      </c>
      <c r="K525" s="1922">
        <f>1-Tableau1[[#This Row],[Adjusted corporate sector labor share]]-J525</f>
        <v>0.23937487602233887</v>
      </c>
      <c r="L525" s="1919">
        <f t="shared" si="11"/>
        <v>0.1639395812682489</v>
      </c>
      <c r="M525" s="1919">
        <f t="shared" si="12"/>
        <v>9.8736338718377184E-2</v>
      </c>
      <c r="N525" s="1919">
        <f t="shared" si="13"/>
        <v>0.19614199901736923</v>
      </c>
      <c r="O525" s="1919">
        <f t="shared" si="14"/>
        <v>0.26809695944229101</v>
      </c>
      <c r="P525" s="1919">
        <f t="shared" si="15"/>
        <v>0.25693716525919602</v>
      </c>
      <c r="Q525" s="1919">
        <f t="shared" si="16"/>
        <v>0.27348578403836299</v>
      </c>
      <c r="S525" s="1927">
        <f>FractionShifted!$M44</f>
        <v>243.93071213397585</v>
      </c>
      <c r="T525" s="1927">
        <f t="shared" si="17"/>
        <v>491.99128813760746</v>
      </c>
      <c r="U525" s="1927">
        <f>TableC6!$G46</f>
        <v>11781.129673645861</v>
      </c>
      <c r="V525" s="1927">
        <f>TableC6!$H46</f>
        <v>1891.539644452339</v>
      </c>
      <c r="W525" s="1919">
        <f t="shared" si="18"/>
        <v>0.26010096567659019</v>
      </c>
      <c r="X525" s="1920">
        <f t="shared" si="19"/>
        <v>4.1760960261576753E-2</v>
      </c>
    </row>
    <row r="526" spans="1:24" x14ac:dyDescent="0.2">
      <c r="A526" s="1924">
        <v>2014</v>
      </c>
      <c r="B526" s="1918" t="s">
        <v>781</v>
      </c>
      <c r="C526" s="1918" t="s">
        <v>38</v>
      </c>
      <c r="D526" s="1918" t="s">
        <v>1149</v>
      </c>
      <c r="E526" s="1919">
        <v>0.74844324588775635</v>
      </c>
      <c r="F526" s="1919">
        <v>0.76160633563995361</v>
      </c>
      <c r="G526" s="1919">
        <v>0.63829189538955688</v>
      </c>
      <c r="H526" s="1919">
        <v>0.65439176559448242</v>
      </c>
      <c r="J526" s="1923">
        <v>0</v>
      </c>
      <c r="K526" s="1922">
        <f>1-Tableau1[[#This Row],[Adjusted corporate sector labor share]]-J526</f>
        <v>0.23839366436004639</v>
      </c>
      <c r="L526" s="1919">
        <f t="shared" si="11"/>
        <v>0.17791352529188886</v>
      </c>
      <c r="M526" s="1919">
        <f t="shared" si="12"/>
        <v>0.10715246409625125</v>
      </c>
      <c r="N526" s="1919">
        <f t="shared" si="13"/>
        <v>0.21286082490279559</v>
      </c>
      <c r="O526" s="1919">
        <f t="shared" si="14"/>
        <v>0.26938171187738247</v>
      </c>
      <c r="P526" s="1919">
        <f t="shared" si="15"/>
        <v>0.25736390864793746</v>
      </c>
      <c r="Q526" s="1919">
        <f t="shared" si="16"/>
        <v>0.27517468715208093</v>
      </c>
      <c r="S526" s="1927">
        <f>FractionShifted!$M45</f>
        <v>271.68945901670236</v>
      </c>
      <c r="T526" s="1927">
        <f t="shared" si="17"/>
        <v>547.97875079223809</v>
      </c>
      <c r="U526" s="1927">
        <f>TableC6!$G47</f>
        <v>12091.163613652559</v>
      </c>
      <c r="V526" s="1927">
        <f>TableC6!$H47</f>
        <v>1965.6631759746599</v>
      </c>
      <c r="W526" s="1919">
        <f t="shared" si="18"/>
        <v>0.27877550817958768</v>
      </c>
      <c r="X526" s="1920">
        <f t="shared" si="19"/>
        <v>4.5320596784704487E-2</v>
      </c>
    </row>
    <row r="527" spans="1:24" x14ac:dyDescent="0.2">
      <c r="A527" s="1924">
        <v>2015</v>
      </c>
      <c r="B527" s="1918" t="s">
        <v>781</v>
      </c>
      <c r="C527" s="1918" t="s">
        <v>38</v>
      </c>
      <c r="D527" s="1918" t="s">
        <v>1149</v>
      </c>
      <c r="E527" s="1919">
        <v>0.74074482917785645</v>
      </c>
      <c r="F527" s="1919">
        <v>0.75338506698608398</v>
      </c>
      <c r="G527" s="1919">
        <v>0.63258230686187744</v>
      </c>
      <c r="H527" s="1919">
        <v>0.64574003219604492</v>
      </c>
      <c r="J527" s="1923">
        <v>0</v>
      </c>
      <c r="K527" s="1922">
        <f>1-Tableau1[[#This Row],[Adjusted corporate sector labor share]]-J527</f>
        <v>0.24661493301391602</v>
      </c>
      <c r="L527" s="1921">
        <v>0.21</v>
      </c>
      <c r="M527" s="1919">
        <f t="shared" si="12"/>
        <v>0.12647727272727272</v>
      </c>
      <c r="N527" s="1919">
        <f t="shared" si="13"/>
        <v>0.25124999999999997</v>
      </c>
      <c r="O527" s="1919">
        <f t="shared" si="14"/>
        <v>0.28371092527225822</v>
      </c>
      <c r="P527" s="1919">
        <f t="shared" si="15"/>
        <v>0.26940311498748848</v>
      </c>
      <c r="Q527" s="1919">
        <f t="shared" si="16"/>
        <v>0.29057248223179072</v>
      </c>
      <c r="S527" s="1927">
        <f>FractionShifted!$M46</f>
        <v>305.41459228542641</v>
      </c>
      <c r="T527" s="1927">
        <v>616</v>
      </c>
      <c r="U527" s="1927">
        <f>TableC6!$G48</f>
        <v>11515.286894140656</v>
      </c>
      <c r="V527" s="1927">
        <f>TableC6!$H48</f>
        <v>1703.2290592571803</v>
      </c>
      <c r="W527" s="1919">
        <f t="shared" si="18"/>
        <v>0.3616659759601874</v>
      </c>
      <c r="X527" s="1920">
        <f t="shared" si="19"/>
        <v>5.3494107933467157E-2</v>
      </c>
    </row>
    <row r="528" spans="1:24" x14ac:dyDescent="0.2">
      <c r="A528" s="1924">
        <v>1997</v>
      </c>
      <c r="B528" s="1918" t="s">
        <v>1181</v>
      </c>
      <c r="C528" s="1918" t="s">
        <v>472</v>
      </c>
      <c r="D528" s="1918" t="s">
        <v>1163</v>
      </c>
      <c r="H528" s="1919">
        <v>0.68446099758148193</v>
      </c>
    </row>
    <row r="529" spans="1:8" x14ac:dyDescent="0.2">
      <c r="A529" s="1924">
        <v>1998</v>
      </c>
      <c r="B529" s="1918" t="s">
        <v>1181</v>
      </c>
      <c r="C529" s="1918" t="s">
        <v>472</v>
      </c>
      <c r="D529" s="1918" t="s">
        <v>1163</v>
      </c>
      <c r="H529" s="1919">
        <v>0.69014579057693481</v>
      </c>
    </row>
    <row r="530" spans="1:8" x14ac:dyDescent="0.2">
      <c r="A530" s="1924">
        <v>1999</v>
      </c>
      <c r="B530" s="1918" t="s">
        <v>1181</v>
      </c>
      <c r="C530" s="1918" t="s">
        <v>472</v>
      </c>
      <c r="D530" s="1918" t="s">
        <v>1163</v>
      </c>
      <c r="H530" s="1919">
        <v>0.7306017279624939</v>
      </c>
    </row>
    <row r="531" spans="1:8" x14ac:dyDescent="0.2">
      <c r="A531" s="1924">
        <v>2000</v>
      </c>
      <c r="B531" s="1918" t="s">
        <v>1181</v>
      </c>
      <c r="C531" s="1918" t="s">
        <v>472</v>
      </c>
      <c r="D531" s="1918" t="s">
        <v>1163</v>
      </c>
      <c r="H531" s="1919">
        <v>0.70583844184875488</v>
      </c>
    </row>
    <row r="532" spans="1:8" x14ac:dyDescent="0.2">
      <c r="A532" s="1924">
        <v>2001</v>
      </c>
      <c r="B532" s="1918" t="s">
        <v>1181</v>
      </c>
      <c r="C532" s="1918" t="s">
        <v>472</v>
      </c>
      <c r="D532" s="1918" t="s">
        <v>1163</v>
      </c>
      <c r="H532" s="1919">
        <v>0.66538286209106445</v>
      </c>
    </row>
    <row r="533" spans="1:8" x14ac:dyDescent="0.2">
      <c r="A533" s="1924">
        <v>2002</v>
      </c>
      <c r="B533" s="1918" t="s">
        <v>1181</v>
      </c>
      <c r="C533" s="1918" t="s">
        <v>472</v>
      </c>
      <c r="D533" s="1918" t="s">
        <v>1163</v>
      </c>
      <c r="H533" s="1919">
        <v>0.66094315052032471</v>
      </c>
    </row>
    <row r="534" spans="1:8" x14ac:dyDescent="0.2">
      <c r="A534" s="1924">
        <v>2003</v>
      </c>
      <c r="B534" s="1918" t="s">
        <v>1181</v>
      </c>
      <c r="C534" s="1918" t="s">
        <v>472</v>
      </c>
      <c r="D534" s="1918" t="s">
        <v>1163</v>
      </c>
      <c r="H534" s="1919">
        <v>0.64872175455093384</v>
      </c>
    </row>
    <row r="535" spans="1:8" x14ac:dyDescent="0.2">
      <c r="A535" s="1924">
        <v>2004</v>
      </c>
      <c r="B535" s="1918" t="s">
        <v>1181</v>
      </c>
      <c r="C535" s="1918" t="s">
        <v>472</v>
      </c>
      <c r="D535" s="1918" t="s">
        <v>1163</v>
      </c>
      <c r="H535" s="1919">
        <v>0.61881697177886963</v>
      </c>
    </row>
    <row r="536" spans="1:8" x14ac:dyDescent="0.2">
      <c r="A536" s="1924">
        <v>2005</v>
      </c>
      <c r="B536" s="1918" t="s">
        <v>1181</v>
      </c>
      <c r="C536" s="1918" t="s">
        <v>472</v>
      </c>
      <c r="D536" s="1918" t="s">
        <v>1163</v>
      </c>
      <c r="H536" s="1919">
        <v>0.60812348127365112</v>
      </c>
    </row>
    <row r="537" spans="1:8" x14ac:dyDescent="0.2">
      <c r="A537" s="1924">
        <v>2006</v>
      </c>
      <c r="B537" s="1918" t="s">
        <v>1181</v>
      </c>
      <c r="C537" s="1918" t="s">
        <v>472</v>
      </c>
      <c r="D537" s="1918" t="s">
        <v>1163</v>
      </c>
      <c r="H537" s="1919">
        <v>0.59087616205215454</v>
      </c>
    </row>
    <row r="538" spans="1:8" x14ac:dyDescent="0.2">
      <c r="A538" s="1924">
        <v>2007</v>
      </c>
      <c r="B538" s="1918" t="s">
        <v>1181</v>
      </c>
      <c r="C538" s="1918" t="s">
        <v>472</v>
      </c>
      <c r="D538" s="1918" t="s">
        <v>1163</v>
      </c>
      <c r="H538" s="1919">
        <v>0.58321058750152588</v>
      </c>
    </row>
    <row r="539" spans="1:8" x14ac:dyDescent="0.2">
      <c r="A539" s="1924">
        <v>2008</v>
      </c>
      <c r="B539" s="1918" t="s">
        <v>1181</v>
      </c>
      <c r="C539" s="1918" t="s">
        <v>472</v>
      </c>
      <c r="D539" s="1918" t="s">
        <v>1163</v>
      </c>
      <c r="E539" s="1919">
        <v>0.65980780124664307</v>
      </c>
      <c r="G539" s="1919">
        <v>0.57707267999649048</v>
      </c>
      <c r="H539" s="1919">
        <v>0.58483713865280151</v>
      </c>
    </row>
    <row r="540" spans="1:8" x14ac:dyDescent="0.2">
      <c r="A540" s="1924">
        <v>2009</v>
      </c>
      <c r="B540" s="1918" t="s">
        <v>1181</v>
      </c>
      <c r="C540" s="1918" t="s">
        <v>472</v>
      </c>
      <c r="D540" s="1918" t="s">
        <v>1163</v>
      </c>
      <c r="E540" s="1919">
        <v>0.68222296237945557</v>
      </c>
      <c r="G540" s="1919">
        <v>0.59839141368865967</v>
      </c>
      <c r="H540" s="1919">
        <v>0.61974316835403442</v>
      </c>
    </row>
    <row r="541" spans="1:8" x14ac:dyDescent="0.2">
      <c r="A541" s="1924">
        <v>2010</v>
      </c>
      <c r="B541" s="1918" t="s">
        <v>1181</v>
      </c>
      <c r="C541" s="1918" t="s">
        <v>472</v>
      </c>
      <c r="D541" s="1918" t="s">
        <v>1163</v>
      </c>
      <c r="E541" s="1919">
        <v>0.6834227442741394</v>
      </c>
      <c r="G541" s="1919">
        <v>0.59336346387863159</v>
      </c>
      <c r="H541" s="1919">
        <v>0.6347540020942688</v>
      </c>
    </row>
    <row r="542" spans="1:8" x14ac:dyDescent="0.2">
      <c r="A542" s="1924">
        <v>2011</v>
      </c>
      <c r="B542" s="1918" t="s">
        <v>1181</v>
      </c>
      <c r="C542" s="1918" t="s">
        <v>472</v>
      </c>
      <c r="D542" s="1918" t="s">
        <v>1163</v>
      </c>
      <c r="E542" s="1919">
        <v>0.66660279035568237</v>
      </c>
      <c r="G542" s="1919">
        <v>0.58117127418518066</v>
      </c>
      <c r="H542" s="1919">
        <v>0.61804187297821045</v>
      </c>
    </row>
    <row r="543" spans="1:8" x14ac:dyDescent="0.2">
      <c r="A543" s="1924">
        <v>2012</v>
      </c>
      <c r="B543" s="1918" t="s">
        <v>1181</v>
      </c>
      <c r="C543" s="1918" t="s">
        <v>472</v>
      </c>
      <c r="D543" s="1918" t="s">
        <v>1163</v>
      </c>
      <c r="E543" s="1919">
        <v>0.67758685350418091</v>
      </c>
      <c r="G543" s="1919">
        <v>0.58769625425338745</v>
      </c>
      <c r="H543" s="1919">
        <v>0.62578177452087402</v>
      </c>
    </row>
    <row r="544" spans="1:8" x14ac:dyDescent="0.2">
      <c r="A544" s="1924">
        <v>2013</v>
      </c>
      <c r="B544" s="1918" t="s">
        <v>1181</v>
      </c>
      <c r="C544" s="1918" t="s">
        <v>472</v>
      </c>
      <c r="D544" s="1918" t="s">
        <v>1163</v>
      </c>
      <c r="E544" s="1919">
        <v>0.67038166522979736</v>
      </c>
      <c r="G544" s="1919">
        <v>0.58387815952301025</v>
      </c>
    </row>
    <row r="545" spans="1:8" x14ac:dyDescent="0.2">
      <c r="A545" s="1924">
        <v>2014</v>
      </c>
      <c r="B545" s="1918" t="s">
        <v>1181</v>
      </c>
      <c r="C545" s="1918" t="s">
        <v>472</v>
      </c>
      <c r="D545" s="1918" t="s">
        <v>1163</v>
      </c>
      <c r="E545" s="1919">
        <v>0.66973185539245605</v>
      </c>
      <c r="G545" s="1919">
        <v>0.58707511425018311</v>
      </c>
    </row>
    <row r="546" spans="1:8" x14ac:dyDescent="0.2">
      <c r="A546" s="1924">
        <v>2015</v>
      </c>
      <c r="B546" s="1918" t="s">
        <v>1181</v>
      </c>
      <c r="C546" s="1918" t="s">
        <v>472</v>
      </c>
      <c r="D546" s="1918" t="s">
        <v>1163</v>
      </c>
      <c r="E546" s="1919">
        <v>0.66298520565032959</v>
      </c>
      <c r="G546" s="1919">
        <v>0.58340948820114136</v>
      </c>
    </row>
    <row r="547" spans="1:8" x14ac:dyDescent="0.2">
      <c r="A547" s="1924">
        <v>1995</v>
      </c>
      <c r="B547" s="1918" t="s">
        <v>1180</v>
      </c>
      <c r="C547" s="1918" t="s">
        <v>41</v>
      </c>
      <c r="D547" s="1918" t="s">
        <v>1163</v>
      </c>
      <c r="H547" s="1919">
        <v>0.688518226146698</v>
      </c>
    </row>
    <row r="548" spans="1:8" x14ac:dyDescent="0.2">
      <c r="A548" s="1924">
        <v>1996</v>
      </c>
      <c r="B548" s="1918" t="s">
        <v>1180</v>
      </c>
      <c r="C548" s="1918" t="s">
        <v>41</v>
      </c>
      <c r="D548" s="1918" t="s">
        <v>1163</v>
      </c>
      <c r="H548" s="1919">
        <v>0.67197698354721069</v>
      </c>
    </row>
    <row r="549" spans="1:8" x14ac:dyDescent="0.2">
      <c r="A549" s="1924">
        <v>1997</v>
      </c>
      <c r="B549" s="1918" t="s">
        <v>1180</v>
      </c>
      <c r="C549" s="1918" t="s">
        <v>41</v>
      </c>
      <c r="D549" s="1918" t="s">
        <v>1163</v>
      </c>
      <c r="H549" s="1919">
        <v>0.62428677082061768</v>
      </c>
    </row>
    <row r="550" spans="1:8" x14ac:dyDescent="0.2">
      <c r="A550" s="1924">
        <v>1998</v>
      </c>
      <c r="B550" s="1918" t="s">
        <v>1180</v>
      </c>
      <c r="C550" s="1918" t="s">
        <v>41</v>
      </c>
      <c r="D550" s="1918" t="s">
        <v>1163</v>
      </c>
      <c r="H550" s="1919">
        <v>0.60176604986190796</v>
      </c>
    </row>
    <row r="551" spans="1:8" x14ac:dyDescent="0.2">
      <c r="A551" s="1924">
        <v>1999</v>
      </c>
      <c r="B551" s="1918" t="s">
        <v>1180</v>
      </c>
      <c r="C551" s="1918" t="s">
        <v>41</v>
      </c>
      <c r="D551" s="1918" t="s">
        <v>1163</v>
      </c>
      <c r="H551" s="1919">
        <v>0.59650129079818726</v>
      </c>
    </row>
    <row r="552" spans="1:8" x14ac:dyDescent="0.2">
      <c r="A552" s="1924">
        <v>2000</v>
      </c>
      <c r="B552" s="1918" t="s">
        <v>1180</v>
      </c>
      <c r="C552" s="1918" t="s">
        <v>41</v>
      </c>
      <c r="D552" s="1918" t="s">
        <v>1163</v>
      </c>
      <c r="H552" s="1919">
        <v>0.61779987812042236</v>
      </c>
    </row>
    <row r="553" spans="1:8" x14ac:dyDescent="0.2">
      <c r="A553" s="1924">
        <v>2001</v>
      </c>
      <c r="B553" s="1918" t="s">
        <v>1180</v>
      </c>
      <c r="C553" s="1918" t="s">
        <v>41</v>
      </c>
      <c r="D553" s="1918" t="s">
        <v>1163</v>
      </c>
      <c r="H553" s="1919">
        <v>0.60766023397445679</v>
      </c>
    </row>
    <row r="554" spans="1:8" x14ac:dyDescent="0.2">
      <c r="A554" s="1924">
        <v>2002</v>
      </c>
      <c r="B554" s="1918" t="s">
        <v>1180</v>
      </c>
      <c r="C554" s="1918" t="s">
        <v>41</v>
      </c>
      <c r="D554" s="1918" t="s">
        <v>1163</v>
      </c>
      <c r="H554" s="1919">
        <v>0.56554752588272095</v>
      </c>
    </row>
    <row r="555" spans="1:8" x14ac:dyDescent="0.2">
      <c r="A555" s="1924">
        <v>2003</v>
      </c>
      <c r="B555" s="1918" t="s">
        <v>1180</v>
      </c>
      <c r="C555" s="1918" t="s">
        <v>41</v>
      </c>
      <c r="D555" s="1918" t="s">
        <v>1163</v>
      </c>
      <c r="H555" s="1919">
        <v>0.58563274145126343</v>
      </c>
    </row>
    <row r="556" spans="1:8" x14ac:dyDescent="0.2">
      <c r="A556" s="1924">
        <v>2004</v>
      </c>
      <c r="B556" s="1918" t="s">
        <v>1180</v>
      </c>
      <c r="C556" s="1918" t="s">
        <v>41</v>
      </c>
      <c r="D556" s="1918" t="s">
        <v>1163</v>
      </c>
      <c r="H556" s="1919">
        <v>0.5850677490234375</v>
      </c>
    </row>
    <row r="557" spans="1:8" x14ac:dyDescent="0.2">
      <c r="A557" s="1924">
        <v>2005</v>
      </c>
      <c r="B557" s="1918" t="s">
        <v>1180</v>
      </c>
      <c r="C557" s="1918" t="s">
        <v>41</v>
      </c>
      <c r="D557" s="1918" t="s">
        <v>1163</v>
      </c>
      <c r="H557" s="1919">
        <v>0.59179657697677612</v>
      </c>
    </row>
    <row r="558" spans="1:8" x14ac:dyDescent="0.2">
      <c r="A558" s="1924">
        <v>2006</v>
      </c>
      <c r="B558" s="1918" t="s">
        <v>1180</v>
      </c>
      <c r="C558" s="1918" t="s">
        <v>41</v>
      </c>
      <c r="D558" s="1918" t="s">
        <v>1163</v>
      </c>
      <c r="H558" s="1919">
        <v>0.56854701042175293</v>
      </c>
    </row>
    <row r="559" spans="1:8" x14ac:dyDescent="0.2">
      <c r="A559" s="1924">
        <v>2007</v>
      </c>
      <c r="B559" s="1918" t="s">
        <v>1180</v>
      </c>
      <c r="C559" s="1918" t="s">
        <v>41</v>
      </c>
      <c r="D559" s="1918" t="s">
        <v>1163</v>
      </c>
      <c r="H559" s="1919">
        <v>0.58124649524688721</v>
      </c>
    </row>
    <row r="560" spans="1:8" x14ac:dyDescent="0.2">
      <c r="A560" s="1924">
        <v>2008</v>
      </c>
      <c r="B560" s="1918" t="s">
        <v>1180</v>
      </c>
      <c r="C560" s="1918" t="s">
        <v>41</v>
      </c>
      <c r="D560" s="1918" t="s">
        <v>1163</v>
      </c>
      <c r="H560" s="1919">
        <v>0.58342278003692627</v>
      </c>
    </row>
    <row r="561" spans="1:8" x14ac:dyDescent="0.2">
      <c r="A561" s="1924">
        <v>2009</v>
      </c>
      <c r="B561" s="1918" t="s">
        <v>1180</v>
      </c>
      <c r="C561" s="1918" t="s">
        <v>41</v>
      </c>
      <c r="D561" s="1918" t="s">
        <v>1163</v>
      </c>
      <c r="H561" s="1919">
        <v>0.58437800407409668</v>
      </c>
    </row>
    <row r="562" spans="1:8" x14ac:dyDescent="0.2">
      <c r="A562" s="1924">
        <v>2010</v>
      </c>
      <c r="B562" s="1918" t="s">
        <v>1180</v>
      </c>
      <c r="C562" s="1918" t="s">
        <v>41</v>
      </c>
      <c r="D562" s="1918" t="s">
        <v>1163</v>
      </c>
      <c r="E562" s="1919">
        <v>0.56594669818878174</v>
      </c>
      <c r="G562" s="1919">
        <v>0.5100131630897522</v>
      </c>
      <c r="H562" s="1919">
        <v>0.56934690475463867</v>
      </c>
    </row>
    <row r="563" spans="1:8" x14ac:dyDescent="0.2">
      <c r="A563" s="1924">
        <v>2011</v>
      </c>
      <c r="B563" s="1918" t="s">
        <v>1180</v>
      </c>
      <c r="C563" s="1918" t="s">
        <v>41</v>
      </c>
      <c r="D563" s="1918" t="s">
        <v>1163</v>
      </c>
      <c r="E563" s="1919">
        <v>0.56789278984069824</v>
      </c>
      <c r="G563" s="1919">
        <v>0.51372921466827393</v>
      </c>
      <c r="H563" s="1919">
        <v>0.56809252500534058</v>
      </c>
    </row>
    <row r="564" spans="1:8" x14ac:dyDescent="0.2">
      <c r="A564" s="1924">
        <v>2012</v>
      </c>
      <c r="B564" s="1918" t="s">
        <v>1180</v>
      </c>
      <c r="C564" s="1918" t="s">
        <v>41</v>
      </c>
      <c r="D564" s="1918" t="s">
        <v>1163</v>
      </c>
      <c r="E564" s="1919">
        <v>0.57851678133010864</v>
      </c>
      <c r="G564" s="1919">
        <v>0.5253414511680603</v>
      </c>
      <c r="H564" s="1919">
        <v>0.57592785358428955</v>
      </c>
    </row>
    <row r="565" spans="1:8" x14ac:dyDescent="0.2">
      <c r="A565" s="1924">
        <v>2013</v>
      </c>
      <c r="B565" s="1918" t="s">
        <v>1180</v>
      </c>
      <c r="C565" s="1918" t="s">
        <v>41</v>
      </c>
      <c r="D565" s="1918" t="s">
        <v>1163</v>
      </c>
      <c r="E565" s="1919">
        <v>0.55719619989395142</v>
      </c>
      <c r="G565" s="1919">
        <v>0.51078534126281738</v>
      </c>
      <c r="H565" s="1919">
        <v>0.55546188354492188</v>
      </c>
    </row>
    <row r="566" spans="1:8" x14ac:dyDescent="0.2">
      <c r="A566" s="1924">
        <v>2014</v>
      </c>
      <c r="B566" s="1918" t="s">
        <v>1180</v>
      </c>
      <c r="C566" s="1918" t="s">
        <v>41</v>
      </c>
      <c r="D566" s="1918" t="s">
        <v>1163</v>
      </c>
      <c r="E566" s="1919">
        <v>0.54145389795303345</v>
      </c>
      <c r="G566" s="1919">
        <v>0.49880674481391907</v>
      </c>
      <c r="H566" s="1919">
        <v>0.53808540105819702</v>
      </c>
    </row>
    <row r="567" spans="1:8" x14ac:dyDescent="0.2">
      <c r="A567" s="1924">
        <v>2015</v>
      </c>
      <c r="B567" s="1918" t="s">
        <v>1180</v>
      </c>
      <c r="C567" s="1918" t="s">
        <v>41</v>
      </c>
      <c r="D567" s="1918" t="s">
        <v>1163</v>
      </c>
      <c r="E567" s="1919">
        <v>0.53282862901687622</v>
      </c>
      <c r="G567" s="1919">
        <v>0.4919169545173645</v>
      </c>
      <c r="H567" s="1919">
        <v>0.50763744115829468</v>
      </c>
    </row>
    <row r="568" spans="1:8" x14ac:dyDescent="0.2">
      <c r="A568" s="1924">
        <v>1970</v>
      </c>
      <c r="B568" s="1918" t="s">
        <v>1179</v>
      </c>
      <c r="C568" s="1918" t="s">
        <v>43</v>
      </c>
      <c r="D568" s="1918" t="s">
        <v>1159</v>
      </c>
      <c r="E568" s="1919">
        <v>0.64331358671188354</v>
      </c>
      <c r="G568" s="1919">
        <v>0.52280789613723755</v>
      </c>
    </row>
    <row r="569" spans="1:8" x14ac:dyDescent="0.2">
      <c r="A569" s="1924">
        <v>1971</v>
      </c>
      <c r="B569" s="1918" t="s">
        <v>1179</v>
      </c>
      <c r="C569" s="1918" t="s">
        <v>43</v>
      </c>
      <c r="D569" s="1918" t="s">
        <v>1159</v>
      </c>
      <c r="E569" s="1919">
        <v>0.65106761455535889</v>
      </c>
      <c r="G569" s="1919">
        <v>0.5278962254524231</v>
      </c>
    </row>
    <row r="570" spans="1:8" x14ac:dyDescent="0.2">
      <c r="A570" s="1924">
        <v>1972</v>
      </c>
      <c r="B570" s="1918" t="s">
        <v>1179</v>
      </c>
      <c r="C570" s="1918" t="s">
        <v>43</v>
      </c>
      <c r="D570" s="1918" t="s">
        <v>1159</v>
      </c>
      <c r="E570" s="1919">
        <v>0.64858490228652954</v>
      </c>
      <c r="G570" s="1919">
        <v>0.52672350406646729</v>
      </c>
    </row>
    <row r="571" spans="1:8" x14ac:dyDescent="0.2">
      <c r="A571" s="1924">
        <v>1973</v>
      </c>
      <c r="B571" s="1918" t="s">
        <v>1179</v>
      </c>
      <c r="C571" s="1918" t="s">
        <v>43</v>
      </c>
      <c r="D571" s="1918" t="s">
        <v>1159</v>
      </c>
      <c r="E571" s="1919">
        <v>0.64567846059799194</v>
      </c>
      <c r="G571" s="1919">
        <v>0.52405714988708496</v>
      </c>
    </row>
    <row r="572" spans="1:8" x14ac:dyDescent="0.2">
      <c r="A572" s="1924">
        <v>1974</v>
      </c>
      <c r="B572" s="1918" t="s">
        <v>1179</v>
      </c>
      <c r="C572" s="1918" t="s">
        <v>43</v>
      </c>
      <c r="D572" s="1918" t="s">
        <v>1159</v>
      </c>
      <c r="E572" s="1919">
        <v>0.63831055164337158</v>
      </c>
      <c r="G572" s="1919">
        <v>0.51827627420425415</v>
      </c>
    </row>
    <row r="573" spans="1:8" x14ac:dyDescent="0.2">
      <c r="A573" s="1924">
        <v>1975</v>
      </c>
      <c r="B573" s="1918" t="s">
        <v>1179</v>
      </c>
      <c r="C573" s="1918" t="s">
        <v>43</v>
      </c>
      <c r="D573" s="1918" t="s">
        <v>1159</v>
      </c>
      <c r="E573" s="1919">
        <v>0.64786654710769653</v>
      </c>
      <c r="G573" s="1919">
        <v>0.52590370178222656</v>
      </c>
    </row>
    <row r="574" spans="1:8" x14ac:dyDescent="0.2">
      <c r="A574" s="1924">
        <v>1976</v>
      </c>
      <c r="B574" s="1918" t="s">
        <v>1179</v>
      </c>
      <c r="C574" s="1918" t="s">
        <v>43</v>
      </c>
      <c r="D574" s="1918" t="s">
        <v>1159</v>
      </c>
      <c r="E574" s="1919">
        <v>0.64539361000061035</v>
      </c>
      <c r="G574" s="1919">
        <v>0.52326691150665283</v>
      </c>
    </row>
    <row r="575" spans="1:8" x14ac:dyDescent="0.2">
      <c r="A575" s="1924">
        <v>1977</v>
      </c>
      <c r="B575" s="1918" t="s">
        <v>1179</v>
      </c>
      <c r="C575" s="1918" t="s">
        <v>43</v>
      </c>
      <c r="D575" s="1918" t="s">
        <v>1159</v>
      </c>
      <c r="E575" s="1919">
        <v>0.63730555772781372</v>
      </c>
      <c r="G575" s="1919">
        <v>0.5181659460067749</v>
      </c>
    </row>
    <row r="576" spans="1:8" x14ac:dyDescent="0.2">
      <c r="A576" s="1924">
        <v>1978</v>
      </c>
      <c r="B576" s="1918" t="s">
        <v>1179</v>
      </c>
      <c r="C576" s="1918" t="s">
        <v>43</v>
      </c>
      <c r="D576" s="1918" t="s">
        <v>1159</v>
      </c>
      <c r="E576" s="1919">
        <v>0.63792836666107178</v>
      </c>
      <c r="G576" s="1919">
        <v>0.51829969882965088</v>
      </c>
    </row>
    <row r="577" spans="1:7" x14ac:dyDescent="0.2">
      <c r="A577" s="1924">
        <v>1979</v>
      </c>
      <c r="B577" s="1918" t="s">
        <v>1179</v>
      </c>
      <c r="C577" s="1918" t="s">
        <v>43</v>
      </c>
      <c r="D577" s="1918" t="s">
        <v>1159</v>
      </c>
      <c r="E577" s="1919">
        <v>0.64138263463973999</v>
      </c>
      <c r="G577" s="1919">
        <v>0.51992207765579224</v>
      </c>
    </row>
    <row r="578" spans="1:7" x14ac:dyDescent="0.2">
      <c r="A578" s="1924">
        <v>1980</v>
      </c>
      <c r="B578" s="1918" t="s">
        <v>1179</v>
      </c>
      <c r="C578" s="1918" t="s">
        <v>43</v>
      </c>
      <c r="D578" s="1918" t="s">
        <v>1159</v>
      </c>
      <c r="E578" s="1919">
        <v>0.64727187156677246</v>
      </c>
      <c r="G578" s="1919">
        <v>0.52323925495147705</v>
      </c>
    </row>
    <row r="579" spans="1:7" x14ac:dyDescent="0.2">
      <c r="A579" s="1924">
        <v>1981</v>
      </c>
      <c r="B579" s="1918" t="s">
        <v>1179</v>
      </c>
      <c r="C579" s="1918" t="s">
        <v>43</v>
      </c>
      <c r="D579" s="1918" t="s">
        <v>1159</v>
      </c>
      <c r="E579" s="1919">
        <v>0.63958686590194702</v>
      </c>
      <c r="G579" s="1919">
        <v>0.51710772514343262</v>
      </c>
    </row>
    <row r="580" spans="1:7" x14ac:dyDescent="0.2">
      <c r="A580" s="1924">
        <v>1982</v>
      </c>
      <c r="B580" s="1918" t="s">
        <v>1179</v>
      </c>
      <c r="C580" s="1918" t="s">
        <v>43</v>
      </c>
      <c r="D580" s="1918" t="s">
        <v>1159</v>
      </c>
      <c r="E580" s="1919">
        <v>0.63301730155944824</v>
      </c>
      <c r="G580" s="1919">
        <v>0.51374953985214233</v>
      </c>
    </row>
    <row r="581" spans="1:7" x14ac:dyDescent="0.2">
      <c r="A581" s="1924">
        <v>1983</v>
      </c>
      <c r="B581" s="1918" t="s">
        <v>1179</v>
      </c>
      <c r="C581" s="1918" t="s">
        <v>43</v>
      </c>
      <c r="D581" s="1918" t="s">
        <v>1159</v>
      </c>
      <c r="E581" s="1919">
        <v>0.61984801292419434</v>
      </c>
      <c r="G581" s="1919">
        <v>0.50521880388259888</v>
      </c>
    </row>
    <row r="582" spans="1:7" x14ac:dyDescent="0.2">
      <c r="A582" s="1924">
        <v>1984</v>
      </c>
      <c r="B582" s="1918" t="s">
        <v>1179</v>
      </c>
      <c r="C582" s="1918" t="s">
        <v>43</v>
      </c>
      <c r="D582" s="1918" t="s">
        <v>1159</v>
      </c>
      <c r="E582" s="1919">
        <v>0.60636919736862183</v>
      </c>
      <c r="G582" s="1919">
        <v>0.49710631370544434</v>
      </c>
    </row>
    <row r="583" spans="1:7" x14ac:dyDescent="0.2">
      <c r="A583" s="1924">
        <v>1985</v>
      </c>
      <c r="B583" s="1918" t="s">
        <v>1179</v>
      </c>
      <c r="C583" s="1918" t="s">
        <v>43</v>
      </c>
      <c r="D583" s="1918" t="s">
        <v>1159</v>
      </c>
      <c r="E583" s="1919">
        <v>0.59415847063064575</v>
      </c>
      <c r="G583" s="1919">
        <v>0.48914536833763123</v>
      </c>
    </row>
    <row r="584" spans="1:7" x14ac:dyDescent="0.2">
      <c r="A584" s="1924">
        <v>1986</v>
      </c>
      <c r="B584" s="1918" t="s">
        <v>1179</v>
      </c>
      <c r="C584" s="1918" t="s">
        <v>43</v>
      </c>
      <c r="D584" s="1918" t="s">
        <v>1159</v>
      </c>
      <c r="E584" s="1919">
        <v>0.59543454647064209</v>
      </c>
      <c r="G584" s="1919">
        <v>0.48956656455993652</v>
      </c>
    </row>
    <row r="585" spans="1:7" x14ac:dyDescent="0.2">
      <c r="A585" s="1924">
        <v>1987</v>
      </c>
      <c r="B585" s="1918" t="s">
        <v>1179</v>
      </c>
      <c r="C585" s="1918" t="s">
        <v>43</v>
      </c>
      <c r="D585" s="1918" t="s">
        <v>1159</v>
      </c>
      <c r="E585" s="1919">
        <v>0.59199172258377075</v>
      </c>
      <c r="G585" s="1919">
        <v>0.48751753568649292</v>
      </c>
    </row>
    <row r="586" spans="1:7" x14ac:dyDescent="0.2">
      <c r="A586" s="1924">
        <v>1988</v>
      </c>
      <c r="B586" s="1918" t="s">
        <v>1179</v>
      </c>
      <c r="C586" s="1918" t="s">
        <v>43</v>
      </c>
      <c r="D586" s="1918" t="s">
        <v>1159</v>
      </c>
      <c r="E586" s="1919">
        <v>0.58865952491760254</v>
      </c>
      <c r="G586" s="1919">
        <v>0.48534584045410156</v>
      </c>
    </row>
    <row r="587" spans="1:7" x14ac:dyDescent="0.2">
      <c r="A587" s="1924">
        <v>1989</v>
      </c>
      <c r="B587" s="1918" t="s">
        <v>1179</v>
      </c>
      <c r="C587" s="1918" t="s">
        <v>43</v>
      </c>
      <c r="D587" s="1918" t="s">
        <v>1159</v>
      </c>
      <c r="E587" s="1919">
        <v>0.58069497346878052</v>
      </c>
      <c r="G587" s="1919">
        <v>0.48051756620407104</v>
      </c>
    </row>
    <row r="588" spans="1:7" x14ac:dyDescent="0.2">
      <c r="A588" s="1924">
        <v>1990</v>
      </c>
      <c r="B588" s="1918" t="s">
        <v>1179</v>
      </c>
      <c r="C588" s="1918" t="s">
        <v>43</v>
      </c>
      <c r="D588" s="1918" t="s">
        <v>1159</v>
      </c>
      <c r="E588" s="1919">
        <v>0.58042597770690918</v>
      </c>
      <c r="G588" s="1919">
        <v>0.47798949480056763</v>
      </c>
    </row>
    <row r="589" spans="1:7" x14ac:dyDescent="0.2">
      <c r="A589" s="1924">
        <v>1991</v>
      </c>
      <c r="B589" s="1918" t="s">
        <v>1179</v>
      </c>
      <c r="C589" s="1918" t="s">
        <v>43</v>
      </c>
      <c r="D589" s="1918" t="s">
        <v>1159</v>
      </c>
      <c r="E589" s="1919">
        <v>0.5885738730430603</v>
      </c>
      <c r="G589" s="1919">
        <v>0.48436814546585083</v>
      </c>
    </row>
    <row r="590" spans="1:7" x14ac:dyDescent="0.2">
      <c r="A590" s="1924">
        <v>1992</v>
      </c>
      <c r="B590" s="1918" t="s">
        <v>1179</v>
      </c>
      <c r="C590" s="1918" t="s">
        <v>43</v>
      </c>
      <c r="D590" s="1918" t="s">
        <v>1159</v>
      </c>
      <c r="E590" s="1919">
        <v>0.61776500940322876</v>
      </c>
      <c r="G590" s="1919">
        <v>0.50816810131072998</v>
      </c>
    </row>
    <row r="591" spans="1:7" x14ac:dyDescent="0.2">
      <c r="A591" s="1924">
        <v>1993</v>
      </c>
      <c r="B591" s="1918" t="s">
        <v>1179</v>
      </c>
      <c r="C591" s="1918" t="s">
        <v>43</v>
      </c>
      <c r="D591" s="1918" t="s">
        <v>1159</v>
      </c>
      <c r="E591" s="1919">
        <v>0.59838753938674927</v>
      </c>
      <c r="G591" s="1919">
        <v>0.4922889769077301</v>
      </c>
    </row>
    <row r="592" spans="1:7" x14ac:dyDescent="0.2">
      <c r="A592" s="1924">
        <v>1994</v>
      </c>
      <c r="B592" s="1918" t="s">
        <v>1179</v>
      </c>
      <c r="C592" s="1918" t="s">
        <v>43</v>
      </c>
      <c r="D592" s="1918" t="s">
        <v>1159</v>
      </c>
      <c r="E592" s="1919">
        <v>0.59546375274658203</v>
      </c>
      <c r="G592" s="1919">
        <v>0.48877474665641785</v>
      </c>
    </row>
    <row r="593" spans="1:8" x14ac:dyDescent="0.2">
      <c r="A593" s="1924">
        <v>1995</v>
      </c>
      <c r="B593" s="1918" t="s">
        <v>1179</v>
      </c>
      <c r="C593" s="1918" t="s">
        <v>43</v>
      </c>
      <c r="D593" s="1918" t="s">
        <v>1159</v>
      </c>
      <c r="E593" s="1919">
        <v>0.56641501188278198</v>
      </c>
      <c r="G593" s="1919">
        <v>0.46882009506225586</v>
      </c>
      <c r="H593" s="1919">
        <v>0.50007498264312744</v>
      </c>
    </row>
    <row r="594" spans="1:8" x14ac:dyDescent="0.2">
      <c r="A594" s="1924">
        <v>1996</v>
      </c>
      <c r="B594" s="1918" t="s">
        <v>1179</v>
      </c>
      <c r="C594" s="1918" t="s">
        <v>43</v>
      </c>
      <c r="D594" s="1918" t="s">
        <v>1159</v>
      </c>
      <c r="E594" s="1919">
        <v>0.55887413024902344</v>
      </c>
      <c r="G594" s="1919">
        <v>0.46595615148544312</v>
      </c>
      <c r="H594" s="1919">
        <v>0.50650465488433838</v>
      </c>
    </row>
    <row r="595" spans="1:8" x14ac:dyDescent="0.2">
      <c r="A595" s="1924">
        <v>1997</v>
      </c>
      <c r="B595" s="1918" t="s">
        <v>1179</v>
      </c>
      <c r="C595" s="1918" t="s">
        <v>43</v>
      </c>
      <c r="D595" s="1918" t="s">
        <v>1159</v>
      </c>
      <c r="E595" s="1919">
        <v>0.53942787647247314</v>
      </c>
      <c r="G595" s="1919">
        <v>0.44743037223815918</v>
      </c>
      <c r="H595" s="1919">
        <v>0.48153185844421387</v>
      </c>
    </row>
    <row r="596" spans="1:8" x14ac:dyDescent="0.2">
      <c r="A596" s="1924">
        <v>1998</v>
      </c>
      <c r="B596" s="1918" t="s">
        <v>1179</v>
      </c>
      <c r="C596" s="1918" t="s">
        <v>43</v>
      </c>
      <c r="D596" s="1918" t="s">
        <v>1159</v>
      </c>
      <c r="E596" s="1919">
        <v>0.52285873889923096</v>
      </c>
      <c r="G596" s="1919">
        <v>0.4341372549533844</v>
      </c>
      <c r="H596" s="1919">
        <v>0.46223777532577515</v>
      </c>
    </row>
    <row r="597" spans="1:8" x14ac:dyDescent="0.2">
      <c r="A597" s="1924">
        <v>1999</v>
      </c>
      <c r="B597" s="1918" t="s">
        <v>1179</v>
      </c>
      <c r="C597" s="1918" t="s">
        <v>43</v>
      </c>
      <c r="D597" s="1918" t="s">
        <v>1159</v>
      </c>
      <c r="E597" s="1919">
        <v>0.51539266109466553</v>
      </c>
      <c r="G597" s="1919">
        <v>0.42831429839134216</v>
      </c>
      <c r="H597" s="1919">
        <v>0.45254123210906982</v>
      </c>
    </row>
    <row r="598" spans="1:8" x14ac:dyDescent="0.2">
      <c r="A598" s="1924">
        <v>2000</v>
      </c>
      <c r="B598" s="1918" t="s">
        <v>1179</v>
      </c>
      <c r="C598" s="1918" t="s">
        <v>43</v>
      </c>
      <c r="D598" s="1918" t="s">
        <v>1159</v>
      </c>
      <c r="E598" s="1919">
        <v>0.50263184309005737</v>
      </c>
      <c r="G598" s="1919">
        <v>0.41673898696899414</v>
      </c>
      <c r="H598" s="1919">
        <v>0.44228720664978027</v>
      </c>
    </row>
    <row r="599" spans="1:8" x14ac:dyDescent="0.2">
      <c r="A599" s="1924">
        <v>2001</v>
      </c>
      <c r="B599" s="1918" t="s">
        <v>1179</v>
      </c>
      <c r="C599" s="1918" t="s">
        <v>43</v>
      </c>
      <c r="D599" s="1918" t="s">
        <v>1159</v>
      </c>
      <c r="E599" s="1919">
        <v>0.48726233839988708</v>
      </c>
      <c r="G599" s="1919">
        <v>0.40403661131858826</v>
      </c>
      <c r="H599" s="1919">
        <v>0.43400412797927856</v>
      </c>
    </row>
    <row r="600" spans="1:8" x14ac:dyDescent="0.2">
      <c r="A600" s="1924">
        <v>2002</v>
      </c>
      <c r="B600" s="1918" t="s">
        <v>1179</v>
      </c>
      <c r="C600" s="1918" t="s">
        <v>43</v>
      </c>
      <c r="D600" s="1918" t="s">
        <v>1159</v>
      </c>
      <c r="E600" s="1919">
        <v>0.46504878997802734</v>
      </c>
      <c r="G600" s="1919">
        <v>0.3819521963596344</v>
      </c>
      <c r="H600" s="1919">
        <v>0.40459460020065308</v>
      </c>
    </row>
    <row r="601" spans="1:8" x14ac:dyDescent="0.2">
      <c r="A601" s="1924">
        <v>2003</v>
      </c>
      <c r="B601" s="1918" t="s">
        <v>1179</v>
      </c>
      <c r="C601" s="1918" t="s">
        <v>43</v>
      </c>
      <c r="D601" s="1918" t="s">
        <v>1159</v>
      </c>
      <c r="E601" s="1919">
        <v>0.46864679455757141</v>
      </c>
      <c r="G601" s="1919">
        <v>0.38435524702072144</v>
      </c>
      <c r="H601" s="1919">
        <v>0.41238090395927429</v>
      </c>
    </row>
    <row r="602" spans="1:8" x14ac:dyDescent="0.2">
      <c r="A602" s="1924">
        <v>2004</v>
      </c>
      <c r="B602" s="1918" t="s">
        <v>1179</v>
      </c>
      <c r="C602" s="1918" t="s">
        <v>43</v>
      </c>
      <c r="D602" s="1918" t="s">
        <v>1159</v>
      </c>
      <c r="E602" s="1919">
        <v>0.47958618402481079</v>
      </c>
      <c r="G602" s="1919">
        <v>0.39271202683448792</v>
      </c>
      <c r="H602" s="1919">
        <v>0.42235183715820312</v>
      </c>
    </row>
    <row r="603" spans="1:8" x14ac:dyDescent="0.2">
      <c r="A603" s="1924">
        <v>2005</v>
      </c>
      <c r="B603" s="1918" t="s">
        <v>1179</v>
      </c>
      <c r="C603" s="1918" t="s">
        <v>43</v>
      </c>
      <c r="D603" s="1918" t="s">
        <v>1159</v>
      </c>
      <c r="E603" s="1919">
        <v>0.48502111434936523</v>
      </c>
      <c r="G603" s="1919">
        <v>0.40082371234893799</v>
      </c>
      <c r="H603" s="1919">
        <v>0.42845278978347778</v>
      </c>
    </row>
    <row r="604" spans="1:8" x14ac:dyDescent="0.2">
      <c r="A604" s="1924">
        <v>2006</v>
      </c>
      <c r="B604" s="1918" t="s">
        <v>1179</v>
      </c>
      <c r="C604" s="1918" t="s">
        <v>43</v>
      </c>
      <c r="D604" s="1918" t="s">
        <v>1159</v>
      </c>
      <c r="E604" s="1919">
        <v>0.48914578557014465</v>
      </c>
      <c r="G604" s="1919">
        <v>0.40581929683685303</v>
      </c>
      <c r="H604" s="1919">
        <v>0.43526607751846313</v>
      </c>
    </row>
    <row r="605" spans="1:8" x14ac:dyDescent="0.2">
      <c r="A605" s="1924">
        <v>2007</v>
      </c>
      <c r="B605" s="1918" t="s">
        <v>1179</v>
      </c>
      <c r="C605" s="1918" t="s">
        <v>43</v>
      </c>
      <c r="D605" s="1918" t="s">
        <v>1159</v>
      </c>
      <c r="E605" s="1919">
        <v>0.51400071382522583</v>
      </c>
      <c r="G605" s="1919">
        <v>0.42137780785560608</v>
      </c>
      <c r="H605" s="1919">
        <v>0.44808223843574524</v>
      </c>
    </row>
    <row r="606" spans="1:8" x14ac:dyDescent="0.2">
      <c r="A606" s="1924">
        <v>2008</v>
      </c>
      <c r="B606" s="1918" t="s">
        <v>1179</v>
      </c>
      <c r="C606" s="1918" t="s">
        <v>43</v>
      </c>
      <c r="D606" s="1918" t="s">
        <v>1159</v>
      </c>
      <c r="E606" s="1919">
        <v>0.5560157299041748</v>
      </c>
      <c r="G606" s="1919">
        <v>0.45323604345321655</v>
      </c>
      <c r="H606" s="1919">
        <v>0.48951098322868347</v>
      </c>
    </row>
    <row r="607" spans="1:8" x14ac:dyDescent="0.2">
      <c r="A607" s="1924">
        <v>2009</v>
      </c>
      <c r="B607" s="1918" t="s">
        <v>1179</v>
      </c>
      <c r="C607" s="1918" t="s">
        <v>43</v>
      </c>
      <c r="D607" s="1918" t="s">
        <v>1159</v>
      </c>
      <c r="E607" s="1919">
        <v>0.53457832336425781</v>
      </c>
      <c r="G607" s="1919">
        <v>0.43201103806495667</v>
      </c>
      <c r="H607" s="1919">
        <v>0.46598878502845764</v>
      </c>
    </row>
    <row r="608" spans="1:8" x14ac:dyDescent="0.2">
      <c r="A608" s="1924">
        <v>2010</v>
      </c>
      <c r="B608" s="1918" t="s">
        <v>1179</v>
      </c>
      <c r="C608" s="1918" t="s">
        <v>43</v>
      </c>
      <c r="D608" s="1918" t="s">
        <v>1159</v>
      </c>
      <c r="E608" s="1919">
        <v>0.49450737237930298</v>
      </c>
      <c r="G608" s="1919">
        <v>0.40183523297309875</v>
      </c>
      <c r="H608" s="1919">
        <v>0.43162238597869873</v>
      </c>
    </row>
    <row r="609" spans="1:8" x14ac:dyDescent="0.2">
      <c r="A609" s="1924">
        <v>2011</v>
      </c>
      <c r="B609" s="1918" t="s">
        <v>1179</v>
      </c>
      <c r="C609" s="1918" t="s">
        <v>43</v>
      </c>
      <c r="D609" s="1918" t="s">
        <v>1159</v>
      </c>
      <c r="E609" s="1919">
        <v>0.47298318147659302</v>
      </c>
      <c r="G609" s="1919">
        <v>0.38876378536224365</v>
      </c>
      <c r="H609" s="1919">
        <v>0.41220596432685852</v>
      </c>
    </row>
    <row r="610" spans="1:8" x14ac:dyDescent="0.2">
      <c r="A610" s="1924">
        <v>2012</v>
      </c>
      <c r="B610" s="1918" t="s">
        <v>1179</v>
      </c>
      <c r="C610" s="1918" t="s">
        <v>43</v>
      </c>
      <c r="D610" s="1918" t="s">
        <v>1159</v>
      </c>
      <c r="E610" s="1919">
        <v>0.4681498110294342</v>
      </c>
      <c r="G610" s="1919">
        <v>0.38812828063964844</v>
      </c>
      <c r="H610" s="1919">
        <v>0.40556064248085022</v>
      </c>
    </row>
    <row r="611" spans="1:8" x14ac:dyDescent="0.2">
      <c r="A611" s="1924">
        <v>2013</v>
      </c>
      <c r="B611" s="1918" t="s">
        <v>1179</v>
      </c>
      <c r="C611" s="1918" t="s">
        <v>43</v>
      </c>
      <c r="D611" s="1918" t="s">
        <v>1159</v>
      </c>
      <c r="E611" s="1919">
        <v>0.47223728895187378</v>
      </c>
      <c r="G611" s="1919">
        <v>0.38868927955627441</v>
      </c>
      <c r="H611" s="1919">
        <v>0.40094268321990967</v>
      </c>
    </row>
    <row r="612" spans="1:8" x14ac:dyDescent="0.2">
      <c r="A612" s="1924">
        <v>2014</v>
      </c>
      <c r="B612" s="1918" t="s">
        <v>1179</v>
      </c>
      <c r="C612" s="1918" t="s">
        <v>43</v>
      </c>
      <c r="D612" s="1918" t="s">
        <v>1159</v>
      </c>
      <c r="E612" s="1919">
        <v>0.4609205424785614</v>
      </c>
      <c r="G612" s="1919">
        <v>0.3794744610786438</v>
      </c>
      <c r="H612" s="1919">
        <v>0.38213315606117249</v>
      </c>
    </row>
    <row r="613" spans="1:8" x14ac:dyDescent="0.2">
      <c r="A613" s="1924">
        <v>2015</v>
      </c>
      <c r="B613" s="1918" t="s">
        <v>1179</v>
      </c>
      <c r="C613" s="1918" t="s">
        <v>43</v>
      </c>
      <c r="D613" s="1918" t="s">
        <v>1159</v>
      </c>
      <c r="E613" s="1919">
        <v>0.38036826252937317</v>
      </c>
      <c r="G613" s="1919">
        <v>0.31454619765281677</v>
      </c>
      <c r="H613" s="1919">
        <v>0.27786034345626831</v>
      </c>
    </row>
    <row r="614" spans="1:8" x14ac:dyDescent="0.2">
      <c r="A614" s="1924">
        <v>1980</v>
      </c>
      <c r="B614" s="1918" t="s">
        <v>1178</v>
      </c>
      <c r="C614" s="1918" t="s">
        <v>69</v>
      </c>
      <c r="D614" s="1918" t="s">
        <v>1161</v>
      </c>
      <c r="E614" s="1919">
        <v>0.49119701981544495</v>
      </c>
    </row>
    <row r="615" spans="1:8" x14ac:dyDescent="0.2">
      <c r="A615" s="1924">
        <v>1981</v>
      </c>
      <c r="B615" s="1918" t="s">
        <v>1178</v>
      </c>
      <c r="C615" s="1918" t="s">
        <v>69</v>
      </c>
      <c r="D615" s="1918" t="s">
        <v>1161</v>
      </c>
      <c r="E615" s="1919">
        <v>0.46880778670310974</v>
      </c>
    </row>
    <row r="616" spans="1:8" x14ac:dyDescent="0.2">
      <c r="A616" s="1924">
        <v>1982</v>
      </c>
      <c r="B616" s="1918" t="s">
        <v>1178</v>
      </c>
      <c r="C616" s="1918" t="s">
        <v>69</v>
      </c>
      <c r="D616" s="1918" t="s">
        <v>1161</v>
      </c>
      <c r="E616" s="1919">
        <v>0.46295154094696045</v>
      </c>
    </row>
    <row r="617" spans="1:8" x14ac:dyDescent="0.2">
      <c r="A617" s="1924">
        <v>1983</v>
      </c>
      <c r="B617" s="1918" t="s">
        <v>1178</v>
      </c>
      <c r="C617" s="1918" t="s">
        <v>69</v>
      </c>
      <c r="D617" s="1918" t="s">
        <v>1161</v>
      </c>
      <c r="E617" s="1919">
        <v>0.46556133031845093</v>
      </c>
    </row>
    <row r="618" spans="1:8" x14ac:dyDescent="0.2">
      <c r="A618" s="1924">
        <v>1984</v>
      </c>
      <c r="B618" s="1918" t="s">
        <v>1178</v>
      </c>
      <c r="C618" s="1918" t="s">
        <v>69</v>
      </c>
      <c r="D618" s="1918" t="s">
        <v>1161</v>
      </c>
      <c r="E618" s="1919">
        <v>0.47198054194450378</v>
      </c>
    </row>
    <row r="619" spans="1:8" x14ac:dyDescent="0.2">
      <c r="A619" s="1924">
        <v>1985</v>
      </c>
      <c r="B619" s="1918" t="s">
        <v>1178</v>
      </c>
      <c r="C619" s="1918" t="s">
        <v>69</v>
      </c>
      <c r="D619" s="1918" t="s">
        <v>1161</v>
      </c>
      <c r="E619" s="1919">
        <v>0.46775069832801819</v>
      </c>
    </row>
    <row r="620" spans="1:8" x14ac:dyDescent="0.2">
      <c r="A620" s="1924">
        <v>1986</v>
      </c>
      <c r="B620" s="1918" t="s">
        <v>1178</v>
      </c>
      <c r="C620" s="1918" t="s">
        <v>69</v>
      </c>
      <c r="D620" s="1918" t="s">
        <v>1161</v>
      </c>
      <c r="E620" s="1919">
        <v>0.46739983558654785</v>
      </c>
    </row>
    <row r="621" spans="1:8" x14ac:dyDescent="0.2">
      <c r="A621" s="1924">
        <v>1987</v>
      </c>
      <c r="B621" s="1918" t="s">
        <v>1178</v>
      </c>
      <c r="C621" s="1918" t="s">
        <v>69</v>
      </c>
      <c r="D621" s="1918" t="s">
        <v>1161</v>
      </c>
      <c r="E621" s="1919">
        <v>0.47772401571273804</v>
      </c>
    </row>
    <row r="622" spans="1:8" x14ac:dyDescent="0.2">
      <c r="A622" s="1924">
        <v>1988</v>
      </c>
      <c r="B622" s="1918" t="s">
        <v>1178</v>
      </c>
      <c r="C622" s="1918" t="s">
        <v>69</v>
      </c>
      <c r="D622" s="1918" t="s">
        <v>1161</v>
      </c>
      <c r="E622" s="1919">
        <v>0.45945167541503906</v>
      </c>
    </row>
    <row r="623" spans="1:8" x14ac:dyDescent="0.2">
      <c r="A623" s="1924">
        <v>1989</v>
      </c>
      <c r="B623" s="1918" t="s">
        <v>1178</v>
      </c>
      <c r="C623" s="1918" t="s">
        <v>69</v>
      </c>
      <c r="D623" s="1918" t="s">
        <v>1161</v>
      </c>
      <c r="E623" s="1919">
        <v>0.45199555158615112</v>
      </c>
    </row>
    <row r="624" spans="1:8" x14ac:dyDescent="0.2">
      <c r="A624" s="1924">
        <v>1990</v>
      </c>
      <c r="B624" s="1918" t="s">
        <v>1178</v>
      </c>
      <c r="C624" s="1918" t="s">
        <v>69</v>
      </c>
      <c r="D624" s="1918" t="s">
        <v>1161</v>
      </c>
      <c r="E624" s="1919">
        <v>0.45358696579933167</v>
      </c>
    </row>
    <row r="625" spans="1:8" x14ac:dyDescent="0.2">
      <c r="A625" s="1924">
        <v>1991</v>
      </c>
      <c r="B625" s="1918" t="s">
        <v>1178</v>
      </c>
      <c r="C625" s="1918" t="s">
        <v>69</v>
      </c>
      <c r="D625" s="1918" t="s">
        <v>1161</v>
      </c>
      <c r="E625" s="1919">
        <v>0.44371959567070007</v>
      </c>
    </row>
    <row r="626" spans="1:8" x14ac:dyDescent="0.2">
      <c r="A626" s="1924">
        <v>1992</v>
      </c>
      <c r="B626" s="1918" t="s">
        <v>1178</v>
      </c>
      <c r="C626" s="1918" t="s">
        <v>69</v>
      </c>
      <c r="D626" s="1918" t="s">
        <v>1161</v>
      </c>
      <c r="E626" s="1919">
        <v>0.44370493292808533</v>
      </c>
    </row>
    <row r="627" spans="1:8" x14ac:dyDescent="0.2">
      <c r="A627" s="1924">
        <v>1993</v>
      </c>
      <c r="B627" s="1918" t="s">
        <v>1178</v>
      </c>
      <c r="C627" s="1918" t="s">
        <v>69</v>
      </c>
      <c r="D627" s="1918" t="s">
        <v>1161</v>
      </c>
      <c r="E627" s="1919">
        <v>0.41761854290962219</v>
      </c>
    </row>
    <row r="628" spans="1:8" x14ac:dyDescent="0.2">
      <c r="A628" s="1924">
        <v>1994</v>
      </c>
      <c r="B628" s="1918" t="s">
        <v>1178</v>
      </c>
      <c r="C628" s="1918" t="s">
        <v>69</v>
      </c>
      <c r="D628" s="1918" t="s">
        <v>1161</v>
      </c>
      <c r="E628" s="1919">
        <v>0.40357860922813416</v>
      </c>
    </row>
    <row r="629" spans="1:8" x14ac:dyDescent="0.2">
      <c r="A629" s="1924">
        <v>1995</v>
      </c>
      <c r="B629" s="1918" t="s">
        <v>1178</v>
      </c>
      <c r="C629" s="1918" t="s">
        <v>69</v>
      </c>
      <c r="D629" s="1918" t="s">
        <v>1161</v>
      </c>
      <c r="E629" s="1919">
        <v>0.40685319900512695</v>
      </c>
    </row>
    <row r="630" spans="1:8" x14ac:dyDescent="0.2">
      <c r="A630" s="1924">
        <v>1996</v>
      </c>
      <c r="B630" s="1918" t="s">
        <v>1178</v>
      </c>
      <c r="C630" s="1918" t="s">
        <v>69</v>
      </c>
      <c r="D630" s="1918" t="s">
        <v>1161</v>
      </c>
      <c r="E630" s="1919">
        <v>0.40011078119277954</v>
      </c>
    </row>
    <row r="631" spans="1:8" x14ac:dyDescent="0.2">
      <c r="A631" s="1924">
        <v>1997</v>
      </c>
      <c r="B631" s="1918" t="s">
        <v>1178</v>
      </c>
      <c r="C631" s="1918" t="s">
        <v>69</v>
      </c>
      <c r="D631" s="1918" t="s">
        <v>1161</v>
      </c>
      <c r="E631" s="1919">
        <v>0.41802492737770081</v>
      </c>
    </row>
    <row r="632" spans="1:8" x14ac:dyDescent="0.2">
      <c r="A632" s="1924">
        <v>1998</v>
      </c>
      <c r="B632" s="1918" t="s">
        <v>1178</v>
      </c>
      <c r="C632" s="1918" t="s">
        <v>69</v>
      </c>
      <c r="D632" s="1918" t="s">
        <v>1161</v>
      </c>
      <c r="E632" s="1919">
        <v>0.41901886463165283</v>
      </c>
    </row>
    <row r="633" spans="1:8" x14ac:dyDescent="0.2">
      <c r="A633" s="1924">
        <v>1999</v>
      </c>
      <c r="B633" s="1918" t="s">
        <v>1178</v>
      </c>
      <c r="C633" s="1918" t="s">
        <v>69</v>
      </c>
      <c r="D633" s="1918" t="s">
        <v>1161</v>
      </c>
      <c r="E633" s="1919">
        <v>0.41958528757095337</v>
      </c>
      <c r="H633" s="1919">
        <v>0.33874070644378662</v>
      </c>
    </row>
    <row r="634" spans="1:8" x14ac:dyDescent="0.2">
      <c r="A634" s="1924">
        <v>2000</v>
      </c>
      <c r="B634" s="1918" t="s">
        <v>1178</v>
      </c>
      <c r="C634" s="1918" t="s">
        <v>69</v>
      </c>
      <c r="D634" s="1918" t="s">
        <v>1161</v>
      </c>
      <c r="E634" s="1919">
        <v>0.43660706281661987</v>
      </c>
      <c r="H634" s="1919">
        <v>0.36467245221138</v>
      </c>
    </row>
    <row r="635" spans="1:8" x14ac:dyDescent="0.2">
      <c r="A635" s="1924">
        <v>2001</v>
      </c>
      <c r="B635" s="1918" t="s">
        <v>1178</v>
      </c>
      <c r="C635" s="1918" t="s">
        <v>69</v>
      </c>
      <c r="D635" s="1918" t="s">
        <v>1161</v>
      </c>
      <c r="E635" s="1919">
        <v>0.42551374435424805</v>
      </c>
      <c r="H635" s="1919">
        <v>0.34565848112106323</v>
      </c>
    </row>
    <row r="636" spans="1:8" x14ac:dyDescent="0.2">
      <c r="A636" s="1924">
        <v>2002</v>
      </c>
      <c r="B636" s="1918" t="s">
        <v>1178</v>
      </c>
      <c r="C636" s="1918" t="s">
        <v>69</v>
      </c>
      <c r="D636" s="1918" t="s">
        <v>1161</v>
      </c>
      <c r="E636" s="1919">
        <v>0.41408419609069824</v>
      </c>
      <c r="H636" s="1919">
        <v>0.33144539594650269</v>
      </c>
    </row>
    <row r="637" spans="1:8" x14ac:dyDescent="0.2">
      <c r="A637" s="1924">
        <v>2003</v>
      </c>
      <c r="B637" s="1918" t="s">
        <v>1178</v>
      </c>
      <c r="C637" s="1918" t="s">
        <v>69</v>
      </c>
      <c r="D637" s="1918" t="s">
        <v>1161</v>
      </c>
      <c r="E637" s="1919">
        <v>0.41060703992843628</v>
      </c>
      <c r="H637" s="1919">
        <v>0.32449465990066528</v>
      </c>
    </row>
    <row r="638" spans="1:8" x14ac:dyDescent="0.2">
      <c r="A638" s="1924">
        <v>2004</v>
      </c>
      <c r="B638" s="1918" t="s">
        <v>1178</v>
      </c>
      <c r="C638" s="1918" t="s">
        <v>69</v>
      </c>
      <c r="D638" s="1918" t="s">
        <v>1161</v>
      </c>
      <c r="E638" s="1919">
        <v>0.42021295428276062</v>
      </c>
      <c r="H638" s="1919">
        <v>0.3044833242893219</v>
      </c>
    </row>
    <row r="639" spans="1:8" x14ac:dyDescent="0.2">
      <c r="A639" s="1924">
        <v>2005</v>
      </c>
      <c r="B639" s="1918" t="s">
        <v>1178</v>
      </c>
      <c r="C639" s="1918" t="s">
        <v>69</v>
      </c>
      <c r="D639" s="1918" t="s">
        <v>1161</v>
      </c>
      <c r="E639" s="1919">
        <v>0.40466213226318359</v>
      </c>
      <c r="H639" s="1919">
        <v>0.28954130411148071</v>
      </c>
    </row>
    <row r="640" spans="1:8" x14ac:dyDescent="0.2">
      <c r="A640" s="1924">
        <v>2006</v>
      </c>
      <c r="B640" s="1918" t="s">
        <v>1178</v>
      </c>
      <c r="C640" s="1918" t="s">
        <v>69</v>
      </c>
      <c r="D640" s="1918" t="s">
        <v>1161</v>
      </c>
      <c r="E640" s="1919">
        <v>0.38864758610725403</v>
      </c>
      <c r="H640" s="1919">
        <v>0.26414421200752258</v>
      </c>
    </row>
    <row r="641" spans="1:8" x14ac:dyDescent="0.2">
      <c r="A641" s="1924">
        <v>2007</v>
      </c>
      <c r="B641" s="1918" t="s">
        <v>1178</v>
      </c>
      <c r="C641" s="1918" t="s">
        <v>69</v>
      </c>
      <c r="D641" s="1918" t="s">
        <v>1161</v>
      </c>
      <c r="E641" s="1919">
        <v>0.3893740177154541</v>
      </c>
      <c r="H641" s="1919">
        <v>0.26648879051208496</v>
      </c>
    </row>
    <row r="642" spans="1:8" x14ac:dyDescent="0.2">
      <c r="A642" s="1924">
        <v>2008</v>
      </c>
      <c r="B642" s="1918" t="s">
        <v>1178</v>
      </c>
      <c r="C642" s="1918" t="s">
        <v>69</v>
      </c>
      <c r="D642" s="1918" t="s">
        <v>1161</v>
      </c>
      <c r="E642" s="1919">
        <v>0.42160904407501221</v>
      </c>
      <c r="H642" s="1919">
        <v>0.29510676860809326</v>
      </c>
    </row>
    <row r="643" spans="1:8" x14ac:dyDescent="0.2">
      <c r="A643" s="1924">
        <v>2009</v>
      </c>
      <c r="B643" s="1918" t="s">
        <v>1178</v>
      </c>
      <c r="C643" s="1918" t="s">
        <v>69</v>
      </c>
      <c r="D643" s="1918" t="s">
        <v>1161</v>
      </c>
      <c r="E643" s="1919">
        <v>0.43189296126365662</v>
      </c>
      <c r="H643" s="1919">
        <v>0.28568732738494873</v>
      </c>
    </row>
    <row r="644" spans="1:8" x14ac:dyDescent="0.2">
      <c r="A644" s="1924">
        <v>2010</v>
      </c>
      <c r="B644" s="1918" t="s">
        <v>1178</v>
      </c>
      <c r="C644" s="1918" t="s">
        <v>69</v>
      </c>
      <c r="D644" s="1918" t="s">
        <v>1161</v>
      </c>
      <c r="E644" s="1919">
        <v>0.42795825004577637</v>
      </c>
      <c r="H644" s="1919">
        <v>0.28597450256347656</v>
      </c>
    </row>
    <row r="645" spans="1:8" x14ac:dyDescent="0.2">
      <c r="A645" s="1924">
        <v>2011</v>
      </c>
      <c r="B645" s="1918" t="s">
        <v>1178</v>
      </c>
      <c r="C645" s="1918" t="s">
        <v>69</v>
      </c>
      <c r="D645" s="1918" t="s">
        <v>1161</v>
      </c>
      <c r="E645" s="1919">
        <v>0.43309789896011353</v>
      </c>
    </row>
    <row r="646" spans="1:8" x14ac:dyDescent="0.2">
      <c r="A646" s="1924">
        <v>2012</v>
      </c>
      <c r="B646" s="1918" t="s">
        <v>1178</v>
      </c>
      <c r="C646" s="1918" t="s">
        <v>69</v>
      </c>
      <c r="D646" s="1918" t="s">
        <v>1161</v>
      </c>
      <c r="E646" s="1919">
        <v>0.4371054470539093</v>
      </c>
    </row>
    <row r="647" spans="1:8" x14ac:dyDescent="0.2">
      <c r="A647" s="1924">
        <v>2013</v>
      </c>
      <c r="B647" s="1918" t="s">
        <v>1178</v>
      </c>
      <c r="C647" s="1918" t="s">
        <v>69</v>
      </c>
      <c r="D647" s="1918" t="s">
        <v>1161</v>
      </c>
      <c r="E647" s="1919">
        <v>0.44244685769081116</v>
      </c>
    </row>
    <row r="648" spans="1:8" x14ac:dyDescent="0.2">
      <c r="A648" s="1924">
        <v>2014</v>
      </c>
      <c r="B648" s="1918" t="s">
        <v>1178</v>
      </c>
      <c r="C648" s="1918" t="s">
        <v>69</v>
      </c>
      <c r="D648" s="1918" t="s">
        <v>1161</v>
      </c>
      <c r="E648" s="1919">
        <v>0.44266316294670105</v>
      </c>
    </row>
    <row r="649" spans="1:8" x14ac:dyDescent="0.2">
      <c r="A649" s="1924">
        <v>2015</v>
      </c>
      <c r="B649" s="1918" t="s">
        <v>1178</v>
      </c>
      <c r="C649" s="1918" t="s">
        <v>69</v>
      </c>
      <c r="D649" s="1918" t="s">
        <v>1161</v>
      </c>
      <c r="E649" s="1919">
        <v>0.42968496680259705</v>
      </c>
    </row>
    <row r="650" spans="1:8" x14ac:dyDescent="0.2">
      <c r="A650" s="1924">
        <v>2000</v>
      </c>
      <c r="B650" s="1918" t="s">
        <v>1177</v>
      </c>
      <c r="C650" s="1918" t="s">
        <v>42</v>
      </c>
      <c r="D650" s="1918" t="s">
        <v>1167</v>
      </c>
      <c r="H650" s="1919">
        <v>0.60793715715408325</v>
      </c>
    </row>
    <row r="651" spans="1:8" x14ac:dyDescent="0.2">
      <c r="A651" s="1924">
        <v>2001</v>
      </c>
      <c r="B651" s="1918" t="s">
        <v>1177</v>
      </c>
      <c r="C651" s="1918" t="s">
        <v>42</v>
      </c>
      <c r="D651" s="1918" t="s">
        <v>1167</v>
      </c>
      <c r="H651" s="1919">
        <v>0.56468969583511353</v>
      </c>
    </row>
    <row r="652" spans="1:8" x14ac:dyDescent="0.2">
      <c r="A652" s="1924">
        <v>2002</v>
      </c>
      <c r="B652" s="1918" t="s">
        <v>1177</v>
      </c>
      <c r="C652" s="1918" t="s">
        <v>42</v>
      </c>
      <c r="D652" s="1918" t="s">
        <v>1167</v>
      </c>
      <c r="H652" s="1919">
        <v>0.57268202304840088</v>
      </c>
    </row>
    <row r="653" spans="1:8" x14ac:dyDescent="0.2">
      <c r="A653" s="1924">
        <v>2003</v>
      </c>
      <c r="B653" s="1918" t="s">
        <v>1177</v>
      </c>
      <c r="C653" s="1918" t="s">
        <v>42</v>
      </c>
      <c r="D653" s="1918" t="s">
        <v>1167</v>
      </c>
      <c r="H653" s="1919">
        <v>0.60698145627975464</v>
      </c>
    </row>
    <row r="654" spans="1:8" x14ac:dyDescent="0.2">
      <c r="A654" s="1924">
        <v>2004</v>
      </c>
      <c r="B654" s="1918" t="s">
        <v>1177</v>
      </c>
      <c r="C654" s="1918" t="s">
        <v>42</v>
      </c>
      <c r="D654" s="1918" t="s">
        <v>1167</v>
      </c>
      <c r="H654" s="1919">
        <v>0.60879462957382202</v>
      </c>
    </row>
    <row r="655" spans="1:8" x14ac:dyDescent="0.2">
      <c r="A655" s="1924">
        <v>2005</v>
      </c>
      <c r="B655" s="1918" t="s">
        <v>1177</v>
      </c>
      <c r="C655" s="1918" t="s">
        <v>42</v>
      </c>
      <c r="D655" s="1918" t="s">
        <v>1167</v>
      </c>
      <c r="H655" s="1919">
        <v>0.64674675464630127</v>
      </c>
    </row>
    <row r="656" spans="1:8" x14ac:dyDescent="0.2">
      <c r="A656" s="1924">
        <v>2006</v>
      </c>
      <c r="B656" s="1918" t="s">
        <v>1177</v>
      </c>
      <c r="C656" s="1918" t="s">
        <v>42</v>
      </c>
      <c r="D656" s="1918" t="s">
        <v>1167</v>
      </c>
      <c r="H656" s="1919">
        <v>0.66744059324264526</v>
      </c>
    </row>
    <row r="657" spans="1:8" x14ac:dyDescent="0.2">
      <c r="A657" s="1924">
        <v>2007</v>
      </c>
      <c r="B657" s="1918" t="s">
        <v>1177</v>
      </c>
      <c r="C657" s="1918" t="s">
        <v>42</v>
      </c>
      <c r="D657" s="1918" t="s">
        <v>1167</v>
      </c>
      <c r="H657" s="1919">
        <v>0.68120783567428589</v>
      </c>
    </row>
    <row r="658" spans="1:8" x14ac:dyDescent="0.2">
      <c r="A658" s="1924">
        <v>2008</v>
      </c>
      <c r="B658" s="1918" t="s">
        <v>1177</v>
      </c>
      <c r="C658" s="1918" t="s">
        <v>42</v>
      </c>
      <c r="D658" s="1918" t="s">
        <v>1167</v>
      </c>
      <c r="E658" s="1919">
        <v>0.63579493761062622</v>
      </c>
      <c r="G658" s="1919">
        <v>0.61071246862411499</v>
      </c>
      <c r="H658" s="1919">
        <v>0.53513836860656738</v>
      </c>
    </row>
    <row r="659" spans="1:8" x14ac:dyDescent="0.2">
      <c r="A659" s="1924">
        <v>2009</v>
      </c>
      <c r="B659" s="1918" t="s">
        <v>1177</v>
      </c>
      <c r="C659" s="1918" t="s">
        <v>42</v>
      </c>
      <c r="D659" s="1918" t="s">
        <v>1167</v>
      </c>
      <c r="E659" s="1919">
        <v>0.53701281547546387</v>
      </c>
      <c r="G659" s="1919">
        <v>0.51451677083969116</v>
      </c>
      <c r="H659" s="1919">
        <v>0.45645076036453247</v>
      </c>
    </row>
    <row r="660" spans="1:8" x14ac:dyDescent="0.2">
      <c r="A660" s="1924">
        <v>2010</v>
      </c>
      <c r="B660" s="1918" t="s">
        <v>1177</v>
      </c>
      <c r="C660" s="1918" t="s">
        <v>42</v>
      </c>
      <c r="D660" s="1918" t="s">
        <v>1167</v>
      </c>
      <c r="E660" s="1919">
        <v>0.56038880348205566</v>
      </c>
      <c r="G660" s="1919">
        <v>0.53754144906997681</v>
      </c>
      <c r="H660" s="1919">
        <v>0.45427286624908447</v>
      </c>
    </row>
    <row r="661" spans="1:8" x14ac:dyDescent="0.2">
      <c r="A661" s="1924">
        <v>2011</v>
      </c>
      <c r="B661" s="1918" t="s">
        <v>1177</v>
      </c>
      <c r="C661" s="1918" t="s">
        <v>42</v>
      </c>
      <c r="D661" s="1918" t="s">
        <v>1167</v>
      </c>
      <c r="E661" s="1919">
        <v>0.5874793529510498</v>
      </c>
      <c r="G661" s="1919">
        <v>0.56335681676864624</v>
      </c>
      <c r="H661" s="1919">
        <v>0.51212817430496216</v>
      </c>
    </row>
    <row r="662" spans="1:8" x14ac:dyDescent="0.2">
      <c r="A662" s="1924">
        <v>2012</v>
      </c>
      <c r="B662" s="1918" t="s">
        <v>1177</v>
      </c>
      <c r="C662" s="1918" t="s">
        <v>42</v>
      </c>
      <c r="D662" s="1918" t="s">
        <v>1167</v>
      </c>
      <c r="E662" s="1919">
        <v>0.60331940650939941</v>
      </c>
      <c r="G662" s="1919">
        <v>0.57757657766342163</v>
      </c>
      <c r="H662" s="1919">
        <v>0.54177629947662354</v>
      </c>
    </row>
    <row r="663" spans="1:8" x14ac:dyDescent="0.2">
      <c r="A663" s="1924">
        <v>2013</v>
      </c>
      <c r="B663" s="1918" t="s">
        <v>1177</v>
      </c>
      <c r="C663" s="1918" t="s">
        <v>42</v>
      </c>
      <c r="D663" s="1918" t="s">
        <v>1167</v>
      </c>
      <c r="E663" s="1919">
        <v>0.61431276798248291</v>
      </c>
      <c r="G663" s="1919">
        <v>0.58870816230773926</v>
      </c>
      <c r="H663" s="1919">
        <v>0.55464142560958862</v>
      </c>
    </row>
    <row r="664" spans="1:8" x14ac:dyDescent="0.2">
      <c r="A664" s="1924">
        <v>2014</v>
      </c>
      <c r="B664" s="1918" t="s">
        <v>1177</v>
      </c>
      <c r="C664" s="1918" t="s">
        <v>42</v>
      </c>
      <c r="D664" s="1918" t="s">
        <v>1167</v>
      </c>
      <c r="E664" s="1919">
        <v>0.61738818883895874</v>
      </c>
      <c r="G664" s="1919">
        <v>0.59158784151077271</v>
      </c>
      <c r="H664" s="1919">
        <v>0.55636292695999146</v>
      </c>
    </row>
    <row r="665" spans="1:8" x14ac:dyDescent="0.2">
      <c r="A665" s="1924">
        <v>2015</v>
      </c>
      <c r="B665" s="1918" t="s">
        <v>1177</v>
      </c>
      <c r="C665" s="1918" t="s">
        <v>42</v>
      </c>
      <c r="D665" s="1918" t="s">
        <v>1167</v>
      </c>
      <c r="E665" s="1919">
        <v>0.61321938037872314</v>
      </c>
      <c r="G665" s="1919">
        <v>0.58872711658477783</v>
      </c>
    </row>
    <row r="666" spans="1:8" x14ac:dyDescent="0.2">
      <c r="A666" s="1924">
        <v>1970</v>
      </c>
      <c r="B666" s="1918" t="s">
        <v>1176</v>
      </c>
      <c r="C666" s="1918" t="s">
        <v>45</v>
      </c>
      <c r="D666" s="1918" t="s">
        <v>1149</v>
      </c>
      <c r="E666" s="1919">
        <v>0.65272378921508789</v>
      </c>
      <c r="G666" s="1919">
        <v>0.48108673095703125</v>
      </c>
    </row>
    <row r="667" spans="1:8" x14ac:dyDescent="0.2">
      <c r="A667" s="1924">
        <v>1971</v>
      </c>
      <c r="B667" s="1918" t="s">
        <v>1176</v>
      </c>
      <c r="C667" s="1918" t="s">
        <v>45</v>
      </c>
      <c r="D667" s="1918" t="s">
        <v>1149</v>
      </c>
      <c r="E667" s="1919">
        <v>0.67695039510726929</v>
      </c>
      <c r="G667" s="1919">
        <v>0.50658643245697021</v>
      </c>
    </row>
    <row r="668" spans="1:8" x14ac:dyDescent="0.2">
      <c r="A668" s="1924">
        <v>1972</v>
      </c>
      <c r="B668" s="1918" t="s">
        <v>1176</v>
      </c>
      <c r="C668" s="1918" t="s">
        <v>45</v>
      </c>
      <c r="D668" s="1918" t="s">
        <v>1149</v>
      </c>
      <c r="E668" s="1919">
        <v>0.67827737331390381</v>
      </c>
      <c r="G668" s="1919">
        <v>0.50637096166610718</v>
      </c>
    </row>
    <row r="669" spans="1:8" x14ac:dyDescent="0.2">
      <c r="A669" s="1924">
        <v>1973</v>
      </c>
      <c r="B669" s="1918" t="s">
        <v>1176</v>
      </c>
      <c r="C669" s="1918" t="s">
        <v>45</v>
      </c>
      <c r="D669" s="1918" t="s">
        <v>1149</v>
      </c>
      <c r="E669" s="1919">
        <v>0.68190509080886841</v>
      </c>
      <c r="G669" s="1919">
        <v>0.5069650411605835</v>
      </c>
    </row>
    <row r="670" spans="1:8" x14ac:dyDescent="0.2">
      <c r="A670" s="1924">
        <v>1974</v>
      </c>
      <c r="B670" s="1918" t="s">
        <v>1176</v>
      </c>
      <c r="C670" s="1918" t="s">
        <v>45</v>
      </c>
      <c r="D670" s="1918" t="s">
        <v>1149</v>
      </c>
      <c r="E670" s="1919">
        <v>0.66368377208709717</v>
      </c>
      <c r="G670" s="1919">
        <v>0.49191296100616455</v>
      </c>
    </row>
    <row r="671" spans="1:8" x14ac:dyDescent="0.2">
      <c r="A671" s="1924">
        <v>1975</v>
      </c>
      <c r="B671" s="1918" t="s">
        <v>1176</v>
      </c>
      <c r="C671" s="1918" t="s">
        <v>45</v>
      </c>
      <c r="D671" s="1918" t="s">
        <v>1149</v>
      </c>
      <c r="E671" s="1919">
        <v>0.70432192087173462</v>
      </c>
      <c r="G671" s="1919">
        <v>0.51747298240661621</v>
      </c>
    </row>
    <row r="672" spans="1:8" x14ac:dyDescent="0.2">
      <c r="A672" s="1924">
        <v>1976</v>
      </c>
      <c r="B672" s="1918" t="s">
        <v>1176</v>
      </c>
      <c r="C672" s="1918" t="s">
        <v>45</v>
      </c>
      <c r="D672" s="1918" t="s">
        <v>1149</v>
      </c>
      <c r="E672" s="1919">
        <v>0.68428510427474976</v>
      </c>
      <c r="G672" s="1919">
        <v>0.50215023756027222</v>
      </c>
    </row>
    <row r="673" spans="1:24" x14ac:dyDescent="0.2">
      <c r="A673" s="1924">
        <v>1977</v>
      </c>
      <c r="B673" s="1918" t="s">
        <v>1176</v>
      </c>
      <c r="C673" s="1918" t="s">
        <v>45</v>
      </c>
      <c r="D673" s="1918" t="s">
        <v>1149</v>
      </c>
      <c r="E673" s="1919">
        <v>0.69247668981552124</v>
      </c>
      <c r="G673" s="1919">
        <v>0.50076925754547119</v>
      </c>
    </row>
    <row r="674" spans="1:24" x14ac:dyDescent="0.2">
      <c r="A674" s="1924">
        <v>1978</v>
      </c>
      <c r="B674" s="1918" t="s">
        <v>1176</v>
      </c>
      <c r="C674" s="1918" t="s">
        <v>45</v>
      </c>
      <c r="D674" s="1918" t="s">
        <v>1149</v>
      </c>
      <c r="E674" s="1919">
        <v>0.68210351467132568</v>
      </c>
      <c r="G674" s="1919">
        <v>0.48763328790664673</v>
      </c>
    </row>
    <row r="675" spans="1:24" x14ac:dyDescent="0.2">
      <c r="A675" s="1924">
        <v>1979</v>
      </c>
      <c r="B675" s="1918" t="s">
        <v>1176</v>
      </c>
      <c r="C675" s="1918" t="s">
        <v>45</v>
      </c>
      <c r="D675" s="1918" t="s">
        <v>1149</v>
      </c>
      <c r="E675" s="1919">
        <v>0.66633903980255127</v>
      </c>
      <c r="G675" s="1919">
        <v>0.47648125886917114</v>
      </c>
    </row>
    <row r="676" spans="1:24" x14ac:dyDescent="0.2">
      <c r="A676" s="1924">
        <v>1980</v>
      </c>
      <c r="B676" s="1918" t="s">
        <v>1176</v>
      </c>
      <c r="C676" s="1918" t="s">
        <v>45</v>
      </c>
      <c r="D676" s="1918" t="s">
        <v>1149</v>
      </c>
      <c r="E676" s="1919">
        <v>0.66153144836425781</v>
      </c>
      <c r="G676" s="1919">
        <v>0.46491783857345581</v>
      </c>
      <c r="H676" s="1919">
        <v>0.58600741624832153</v>
      </c>
    </row>
    <row r="677" spans="1:24" x14ac:dyDescent="0.2">
      <c r="A677" s="1924">
        <v>1981</v>
      </c>
      <c r="B677" s="1918" t="s">
        <v>1176</v>
      </c>
      <c r="C677" s="1918" t="s">
        <v>45</v>
      </c>
      <c r="D677" s="1918" t="s">
        <v>1149</v>
      </c>
      <c r="E677" s="1919">
        <v>0.67893689870834351</v>
      </c>
      <c r="G677" s="1919">
        <v>0.46560907363891602</v>
      </c>
      <c r="H677" s="1919">
        <v>0.58809012174606323</v>
      </c>
    </row>
    <row r="678" spans="1:24" x14ac:dyDescent="0.2">
      <c r="A678" s="1924">
        <v>1982</v>
      </c>
      <c r="B678" s="1918" t="s">
        <v>1176</v>
      </c>
      <c r="C678" s="1918" t="s">
        <v>45</v>
      </c>
      <c r="D678" s="1918" t="s">
        <v>1149</v>
      </c>
      <c r="E678" s="1919">
        <v>0.68434411287307739</v>
      </c>
      <c r="G678" s="1919">
        <v>0.46227827668190002</v>
      </c>
      <c r="H678" s="1919">
        <v>0.58981019258499146</v>
      </c>
    </row>
    <row r="679" spans="1:24" x14ac:dyDescent="0.2">
      <c r="A679" s="1924">
        <v>1983</v>
      </c>
      <c r="B679" s="1918" t="s">
        <v>1176</v>
      </c>
      <c r="C679" s="1918" t="s">
        <v>45</v>
      </c>
      <c r="D679" s="1918" t="s">
        <v>1149</v>
      </c>
      <c r="E679" s="1919">
        <v>0.69395935535430908</v>
      </c>
      <c r="G679" s="1919">
        <v>0.4607941210269928</v>
      </c>
      <c r="H679" s="1919">
        <v>0.58097946643829346</v>
      </c>
    </row>
    <row r="680" spans="1:24" x14ac:dyDescent="0.2">
      <c r="A680" s="1924">
        <v>1984</v>
      </c>
      <c r="B680" s="1918" t="s">
        <v>1176</v>
      </c>
      <c r="C680" s="1918" t="s">
        <v>45</v>
      </c>
      <c r="D680" s="1918" t="s">
        <v>1149</v>
      </c>
      <c r="E680" s="1919">
        <v>0.69320756196975708</v>
      </c>
      <c r="G680" s="1919">
        <v>0.44675827026367188</v>
      </c>
      <c r="H680" s="1919">
        <v>0.55540221929550171</v>
      </c>
      <c r="J680" s="1925" t="s">
        <v>1155</v>
      </c>
      <c r="K680" s="1921" t="s">
        <v>1154</v>
      </c>
      <c r="L680" s="1925" t="s">
        <v>1153</v>
      </c>
      <c r="M680" s="1925" t="s">
        <v>1150</v>
      </c>
      <c r="N680" s="1925" t="s">
        <v>1152</v>
      </c>
      <c r="O680" s="1925" t="s">
        <v>1151</v>
      </c>
      <c r="P680" s="1925" t="s">
        <v>1150</v>
      </c>
      <c r="Q680" s="1925" t="s">
        <v>1150</v>
      </c>
      <c r="S680" s="1918" t="str">
        <f t="shared" ref="S680:V711" si="20">S496</f>
        <v>Profits booked in havens, US MNEs</v>
      </c>
      <c r="T680" s="1918" t="str">
        <f t="shared" si="20"/>
        <v>Global profits in havens</v>
      </c>
      <c r="U680" s="1918" t="str">
        <f t="shared" si="20"/>
        <v>Global profits</v>
      </c>
      <c r="V680" s="1918" t="str">
        <f t="shared" si="20"/>
        <v>Global multinational profits</v>
      </c>
      <c r="X680" s="1918" t="str">
        <f t="shared" ref="X680:X711" si="21">X496</f>
        <v>Share global profits in havens</v>
      </c>
    </row>
    <row r="681" spans="1:24" x14ac:dyDescent="0.2">
      <c r="A681" s="1924">
        <v>1985</v>
      </c>
      <c r="B681" s="1918" t="s">
        <v>1176</v>
      </c>
      <c r="C681" s="1918" t="s">
        <v>45</v>
      </c>
      <c r="D681" s="1918" t="s">
        <v>1149</v>
      </c>
      <c r="E681" s="1919">
        <v>0.68372362852096558</v>
      </c>
      <c r="F681" s="1926">
        <f t="shared" ref="F681:F690" si="22">1-(1-F682)*(1-E681)/(1-E682)</f>
        <v>0.69066614819138428</v>
      </c>
      <c r="G681" s="1919">
        <v>0.4436551034450531</v>
      </c>
      <c r="H681" s="1919">
        <v>0.54731357097625732</v>
      </c>
      <c r="J681" s="1923">
        <v>0</v>
      </c>
      <c r="K681" s="1922">
        <f>1-Tableau1[[#This Row],[Adjusted corporate sector labor share]]-J681</f>
        <v>0.30933385180861572</v>
      </c>
      <c r="L681" s="1919">
        <f t="shared" ref="L681:L710" si="23">L682*X681/X682</f>
        <v>5.8208485308270913E-2</v>
      </c>
      <c r="M681" s="1919">
        <f t="shared" ref="M681:M711" si="24">L681*371/616</f>
        <v>3.5057383197026795E-2</v>
      </c>
      <c r="N681" s="1919">
        <f t="shared" ref="N681:N711" si="25">L681*737/616</f>
        <v>6.9642294922395556E-2</v>
      </c>
      <c r="O681" s="1919">
        <f t="shared" ref="O681:O711" si="26">K681*(1+L681)/(1+K681*L681)</f>
        <v>0.32154992545415628</v>
      </c>
      <c r="P681" s="1919">
        <f t="shared" ref="P681:P711" si="27">$K681*(1+M681)/(1+$K681*M681)</f>
        <v>0.31674338402757535</v>
      </c>
      <c r="Q681" s="1919">
        <f t="shared" ref="Q681:Q711" si="28">$K681*(1+N681)/(1+$K681*N681)</f>
        <v>0.32389890787969478</v>
      </c>
      <c r="S681" s="1918">
        <f t="shared" si="20"/>
        <v>14.034467783965514</v>
      </c>
      <c r="T681" s="1918">
        <f t="shared" si="20"/>
        <v>28.306545834075028</v>
      </c>
      <c r="U681" s="1918">
        <f t="shared" si="20"/>
        <v>1727.2222738821888</v>
      </c>
      <c r="V681" s="1918">
        <f t="shared" si="20"/>
        <v>61.931708457322088</v>
      </c>
      <c r="W681" s="1918">
        <f t="shared" ref="W681:W711" si="29">W497</f>
        <v>0.45706063241548422</v>
      </c>
      <c r="X681" s="1918">
        <f t="shared" si="21"/>
        <v>1.6388478924864638E-2</v>
      </c>
    </row>
    <row r="682" spans="1:24" x14ac:dyDescent="0.2">
      <c r="A682" s="1924">
        <v>1986</v>
      </c>
      <c r="B682" s="1918" t="s">
        <v>1176</v>
      </c>
      <c r="C682" s="1918" t="s">
        <v>45</v>
      </c>
      <c r="D682" s="1918" t="s">
        <v>1149</v>
      </c>
      <c r="E682" s="1919">
        <v>0.6665613055229187</v>
      </c>
      <c r="F682" s="1926">
        <f t="shared" si="22"/>
        <v>0.67388055192903007</v>
      </c>
      <c r="G682" s="1919">
        <v>0.43325775861740112</v>
      </c>
      <c r="H682" s="1919">
        <v>0.53035253286361694</v>
      </c>
      <c r="J682" s="1923">
        <v>0</v>
      </c>
      <c r="K682" s="1922">
        <f>1-Tableau1[[#This Row],[Adjusted corporate sector labor share]]-J682</f>
        <v>0.32611944807096993</v>
      </c>
      <c r="L682" s="1919">
        <f t="shared" si="23"/>
        <v>4.5477431113937164E-2</v>
      </c>
      <c r="M682" s="1919">
        <f t="shared" si="24"/>
        <v>2.7389816466348516E-2</v>
      </c>
      <c r="N682" s="1919">
        <f t="shared" si="25"/>
        <v>5.4410497939889113E-2</v>
      </c>
      <c r="O682" s="1919">
        <f t="shared" si="26"/>
        <v>0.33596775985078209</v>
      </c>
      <c r="P682" s="1919">
        <f t="shared" si="27"/>
        <v>0.33208549541744042</v>
      </c>
      <c r="Q682" s="1919">
        <f t="shared" si="28"/>
        <v>0.33786852193111616</v>
      </c>
      <c r="S682" s="1918">
        <f t="shared" si="20"/>
        <v>12.910644387503272</v>
      </c>
      <c r="T682" s="1918">
        <f t="shared" si="20"/>
        <v>26.039872172412611</v>
      </c>
      <c r="U682" s="1918">
        <f t="shared" si="20"/>
        <v>2033.7172606860956</v>
      </c>
      <c r="V682" s="1918">
        <f t="shared" si="20"/>
        <v>78.111115240509491</v>
      </c>
      <c r="W682" s="1918">
        <f t="shared" si="29"/>
        <v>0.33336961189497877</v>
      </c>
      <c r="X682" s="1918">
        <f t="shared" si="21"/>
        <v>1.2804076887083011E-2</v>
      </c>
    </row>
    <row r="683" spans="1:24" x14ac:dyDescent="0.2">
      <c r="A683" s="1924">
        <v>1987</v>
      </c>
      <c r="B683" s="1918" t="s">
        <v>1176</v>
      </c>
      <c r="C683" s="1918" t="s">
        <v>45</v>
      </c>
      <c r="D683" s="1918" t="s">
        <v>1149</v>
      </c>
      <c r="E683" s="1919">
        <v>0.66703212261199951</v>
      </c>
      <c r="F683" s="1926">
        <f t="shared" si="22"/>
        <v>0.67434103420591229</v>
      </c>
      <c r="G683" s="1919">
        <v>0.43268045783042908</v>
      </c>
      <c r="H683" s="1919">
        <v>0.52842807769775391</v>
      </c>
      <c r="J683" s="1923">
        <v>0</v>
      </c>
      <c r="K683" s="1922">
        <f>1-Tableau1[[#This Row],[Adjusted corporate sector labor share]]-J683</f>
        <v>0.32565896579408771</v>
      </c>
      <c r="L683" s="1919">
        <f t="shared" si="23"/>
        <v>5.3656410341641127E-2</v>
      </c>
      <c r="M683" s="1919">
        <f t="shared" si="24"/>
        <v>3.2315792592124769E-2</v>
      </c>
      <c r="N683" s="1919">
        <f t="shared" si="25"/>
        <v>6.4196062373034921E-2</v>
      </c>
      <c r="O683" s="1919">
        <f t="shared" si="26"/>
        <v>0.33723983223898224</v>
      </c>
      <c r="P683" s="1919">
        <f t="shared" si="27"/>
        <v>0.33268177448184261</v>
      </c>
      <c r="Q683" s="1919">
        <f t="shared" si="28"/>
        <v>0.33946806187011536</v>
      </c>
      <c r="S683" s="1918">
        <f t="shared" si="20"/>
        <v>17.451331937947558</v>
      </c>
      <c r="T683" s="1918">
        <f t="shared" si="20"/>
        <v>35.19812328983032</v>
      </c>
      <c r="U683" s="1918">
        <f t="shared" si="20"/>
        <v>2329.9443322532161</v>
      </c>
      <c r="V683" s="1918">
        <f t="shared" si="20"/>
        <v>100.13077294187255</v>
      </c>
      <c r="W683" s="1918">
        <f t="shared" si="29"/>
        <v>0.35152153784195167</v>
      </c>
      <c r="X683" s="1918">
        <f t="shared" si="21"/>
        <v>1.5106851611253441E-2</v>
      </c>
    </row>
    <row r="684" spans="1:24" x14ac:dyDescent="0.2">
      <c r="A684" s="1924">
        <v>1988</v>
      </c>
      <c r="B684" s="1918" t="s">
        <v>1176</v>
      </c>
      <c r="C684" s="1918" t="s">
        <v>45</v>
      </c>
      <c r="D684" s="1918" t="s">
        <v>1149</v>
      </c>
      <c r="E684" s="1919">
        <v>0.65882152318954468</v>
      </c>
      <c r="F684" s="1926">
        <f t="shared" si="22"/>
        <v>0.6663106640169274</v>
      </c>
      <c r="G684" s="1919">
        <v>0.42536821961402893</v>
      </c>
      <c r="H684" s="1919">
        <v>0.51896727085113525</v>
      </c>
      <c r="J684" s="1923">
        <v>0</v>
      </c>
      <c r="K684" s="1922">
        <f>1-Tableau1[[#This Row],[Adjusted corporate sector labor share]]-J684</f>
        <v>0.3336893359830726</v>
      </c>
      <c r="L684" s="1919">
        <f t="shared" si="23"/>
        <v>4.6405220083588133E-2</v>
      </c>
      <c r="M684" s="1919">
        <f t="shared" si="24"/>
        <v>2.794859845943376E-2</v>
      </c>
      <c r="N684" s="1919">
        <f t="shared" si="25"/>
        <v>5.5520531171435801E-2</v>
      </c>
      <c r="O684" s="1919">
        <f t="shared" si="26"/>
        <v>0.34384977437763148</v>
      </c>
      <c r="P684" s="1919">
        <f t="shared" si="27"/>
        <v>0.33984603043882866</v>
      </c>
      <c r="Q684" s="1919">
        <f t="shared" si="28"/>
        <v>0.34580927193119859</v>
      </c>
      <c r="S684" s="1918">
        <f t="shared" si="20"/>
        <v>17.273613414105295</v>
      </c>
      <c r="T684" s="1918">
        <f t="shared" si="20"/>
        <v>34.839677382358673</v>
      </c>
      <c r="U684" s="1918">
        <f t="shared" si="20"/>
        <v>2666.5819764218941</v>
      </c>
      <c r="V684" s="1918">
        <f t="shared" si="20"/>
        <v>131.19660550959392</v>
      </c>
      <c r="W684" s="1918">
        <f t="shared" si="29"/>
        <v>0.26555319207409656</v>
      </c>
      <c r="X684" s="1918">
        <f t="shared" si="21"/>
        <v>1.3065293956988218E-2</v>
      </c>
    </row>
    <row r="685" spans="1:24" x14ac:dyDescent="0.2">
      <c r="A685" s="1924">
        <v>1989</v>
      </c>
      <c r="B685" s="1918" t="s">
        <v>1176</v>
      </c>
      <c r="C685" s="1918" t="s">
        <v>45</v>
      </c>
      <c r="D685" s="1918" t="s">
        <v>1149</v>
      </c>
      <c r="E685" s="1919">
        <v>0.66099643707275391</v>
      </c>
      <c r="F685" s="1926">
        <f t="shared" si="22"/>
        <v>0.66843783679843793</v>
      </c>
      <c r="G685" s="1919">
        <v>0.4270750880241394</v>
      </c>
      <c r="H685" s="1919">
        <v>0.52194327116012573</v>
      </c>
      <c r="J685" s="1923">
        <v>0</v>
      </c>
      <c r="K685" s="1922">
        <f>1-Tableau1[[#This Row],[Adjusted corporate sector labor share]]-J685</f>
        <v>0.33156216320156207</v>
      </c>
      <c r="L685" s="1919">
        <f t="shared" si="23"/>
        <v>5.4763803315515884E-2</v>
      </c>
      <c r="M685" s="1919">
        <f t="shared" si="24"/>
        <v>3.2982745178662974E-2</v>
      </c>
      <c r="N685" s="1919">
        <f t="shared" si="25"/>
        <v>6.5520978966777943E-2</v>
      </c>
      <c r="O685" s="1919">
        <f t="shared" si="26"/>
        <v>0.34348294070076585</v>
      </c>
      <c r="P685" s="1919">
        <f t="shared" si="27"/>
        <v>0.33879301065648848</v>
      </c>
      <c r="Q685" s="1919">
        <f t="shared" si="28"/>
        <v>0.3457747344322088</v>
      </c>
      <c r="S685" s="1918">
        <f t="shared" si="20"/>
        <v>21.542412765591241</v>
      </c>
      <c r="T685" s="1918">
        <f t="shared" si="20"/>
        <v>43.4495489043384</v>
      </c>
      <c r="U685" s="1918">
        <f t="shared" si="20"/>
        <v>2817.989179937817</v>
      </c>
      <c r="V685" s="1918">
        <f t="shared" si="20"/>
        <v>138.74370684443437</v>
      </c>
      <c r="W685" s="1918">
        <f t="shared" si="29"/>
        <v>0.31316410590828436</v>
      </c>
      <c r="X685" s="1918">
        <f t="shared" si="21"/>
        <v>1.5418635817933544E-2</v>
      </c>
    </row>
    <row r="686" spans="1:24" x14ac:dyDescent="0.2">
      <c r="A686" s="1924">
        <v>1990</v>
      </c>
      <c r="B686" s="1918" t="s">
        <v>1176</v>
      </c>
      <c r="C686" s="1918" t="s">
        <v>45</v>
      </c>
      <c r="D686" s="1918" t="s">
        <v>1149</v>
      </c>
      <c r="E686" s="1919">
        <v>0.67134857177734375</v>
      </c>
      <c r="F686" s="1926">
        <f t="shared" si="22"/>
        <v>0.67856273385488686</v>
      </c>
      <c r="G686" s="1919">
        <v>0.43368077278137207</v>
      </c>
      <c r="H686" s="1919">
        <v>0.54022979736328125</v>
      </c>
      <c r="J686" s="1923">
        <v>0</v>
      </c>
      <c r="K686" s="1922">
        <f>1-Tableau1[[#This Row],[Adjusted corporate sector labor share]]-J686</f>
        <v>0.32143726614511314</v>
      </c>
      <c r="L686" s="1919">
        <f t="shared" si="23"/>
        <v>5.8609072327900483E-2</v>
      </c>
      <c r="M686" s="1919">
        <f t="shared" si="24"/>
        <v>3.5298645833849153E-2</v>
      </c>
      <c r="N686" s="1919">
        <f t="shared" si="25"/>
        <v>7.0121568678023799E-2</v>
      </c>
      <c r="O686" s="1919">
        <f t="shared" si="26"/>
        <v>0.33398442675852336</v>
      </c>
      <c r="P686" s="1919">
        <f t="shared" si="27"/>
        <v>0.32905006553113814</v>
      </c>
      <c r="Q686" s="1919">
        <f t="shared" si="28"/>
        <v>0.33639472033453532</v>
      </c>
      <c r="S686" s="1918">
        <f t="shared" si="20"/>
        <v>25.379522682576166</v>
      </c>
      <c r="T686" s="1918">
        <f t="shared" si="20"/>
        <v>51.188732848286129</v>
      </c>
      <c r="U686" s="1918">
        <f t="shared" si="20"/>
        <v>3102.1099226922647</v>
      </c>
      <c r="V686" s="1918">
        <f t="shared" si="20"/>
        <v>142.27723731158349</v>
      </c>
      <c r="W686" s="1918">
        <f t="shared" si="29"/>
        <v>0.35978160537503356</v>
      </c>
      <c r="X686" s="1918">
        <f t="shared" si="21"/>
        <v>1.6501263373626798E-2</v>
      </c>
    </row>
    <row r="687" spans="1:24" x14ac:dyDescent="0.2">
      <c r="A687" s="1924">
        <v>1991</v>
      </c>
      <c r="B687" s="1918" t="s">
        <v>1176</v>
      </c>
      <c r="C687" s="1918" t="s">
        <v>45</v>
      </c>
      <c r="D687" s="1918" t="s">
        <v>1149</v>
      </c>
      <c r="E687" s="1919">
        <v>0.68100827932357788</v>
      </c>
      <c r="F687" s="1926">
        <f t="shared" si="22"/>
        <v>0.68801040308369432</v>
      </c>
      <c r="G687" s="1919">
        <v>0.44081568717956543</v>
      </c>
      <c r="H687" s="1919">
        <v>0.55079329013824463</v>
      </c>
      <c r="J687" s="1923">
        <v>0</v>
      </c>
      <c r="K687" s="1922">
        <f>1-Tableau1[[#This Row],[Adjusted corporate sector labor share]]-J687</f>
        <v>0.31198959691630568</v>
      </c>
      <c r="L687" s="1919">
        <f t="shared" si="23"/>
        <v>5.3258866296530441E-2</v>
      </c>
      <c r="M687" s="1919">
        <f t="shared" si="24"/>
        <v>3.2076362655864922E-2</v>
      </c>
      <c r="N687" s="1919">
        <f t="shared" si="25"/>
        <v>6.3720429319063202E-2</v>
      </c>
      <c r="O687" s="1919">
        <f t="shared" si="26"/>
        <v>0.3232348699458456</v>
      </c>
      <c r="P687" s="1919">
        <f t="shared" si="27"/>
        <v>0.31880663370903611</v>
      </c>
      <c r="Q687" s="1919">
        <f t="shared" si="28"/>
        <v>0.32540070580494868</v>
      </c>
      <c r="S687" s="1918">
        <f t="shared" si="20"/>
        <v>23.87178014511024</v>
      </c>
      <c r="T687" s="1918">
        <f t="shared" si="20"/>
        <v>48.14772096955106</v>
      </c>
      <c r="U687" s="1918">
        <f t="shared" si="20"/>
        <v>3210.9346651160845</v>
      </c>
      <c r="V687" s="1918">
        <f t="shared" si="20"/>
        <v>125.78863157366088</v>
      </c>
      <c r="W687" s="1918">
        <f t="shared" si="29"/>
        <v>0.38276687143508764</v>
      </c>
      <c r="X687" s="1918">
        <f t="shared" si="21"/>
        <v>1.4994923905687872E-2</v>
      </c>
    </row>
    <row r="688" spans="1:24" x14ac:dyDescent="0.2">
      <c r="A688" s="1924">
        <v>1992</v>
      </c>
      <c r="B688" s="1918" t="s">
        <v>1176</v>
      </c>
      <c r="C688" s="1918" t="s">
        <v>45</v>
      </c>
      <c r="D688" s="1918" t="s">
        <v>1149</v>
      </c>
      <c r="E688" s="1919">
        <v>0.6959797739982605</v>
      </c>
      <c r="F688" s="1926">
        <f t="shared" si="22"/>
        <v>0.70265326145909068</v>
      </c>
      <c r="G688" s="1919">
        <v>0.44277176260948181</v>
      </c>
      <c r="H688" s="1919">
        <v>0.55252200365066528</v>
      </c>
      <c r="J688" s="1923">
        <v>0</v>
      </c>
      <c r="K688" s="1922">
        <f>1-Tableau1[[#This Row],[Adjusted corporate sector labor share]]-J688</f>
        <v>0.29734673854090932</v>
      </c>
      <c r="L688" s="1919">
        <f t="shared" si="23"/>
        <v>4.7255352639535432E-2</v>
      </c>
      <c r="M688" s="1919">
        <f t="shared" si="24"/>
        <v>2.8460610112447476E-2</v>
      </c>
      <c r="N688" s="1919">
        <f t="shared" si="25"/>
        <v>5.653765405087275E-2</v>
      </c>
      <c r="O688" s="1919">
        <f t="shared" si="26"/>
        <v>0.30708307021786324</v>
      </c>
      <c r="P688" s="1919">
        <f t="shared" si="27"/>
        <v>0.30324316145276958</v>
      </c>
      <c r="Q688" s="1919">
        <f t="shared" si="28"/>
        <v>0.30896394403057659</v>
      </c>
      <c r="S688" s="1918">
        <f t="shared" si="20"/>
        <v>22.234747148859213</v>
      </c>
      <c r="T688" s="1918">
        <f t="shared" si="20"/>
        <v>44.845939223811101</v>
      </c>
      <c r="U688" s="1918">
        <f t="shared" si="20"/>
        <v>3370.6974069576563</v>
      </c>
      <c r="V688" s="1918">
        <f t="shared" si="20"/>
        <v>126.75472791861176</v>
      </c>
      <c r="W688" s="1918">
        <f t="shared" si="29"/>
        <v>0.3538009189890442</v>
      </c>
      <c r="X688" s="1918">
        <f t="shared" si="21"/>
        <v>1.3304647023859792E-2</v>
      </c>
    </row>
    <row r="689" spans="1:24" x14ac:dyDescent="0.2">
      <c r="A689" s="1924">
        <v>1993</v>
      </c>
      <c r="B689" s="1918" t="s">
        <v>1176</v>
      </c>
      <c r="C689" s="1918" t="s">
        <v>45</v>
      </c>
      <c r="D689" s="1918" t="s">
        <v>1149</v>
      </c>
      <c r="E689" s="1919">
        <v>0.67170178890228271</v>
      </c>
      <c r="F689" s="1926">
        <f t="shared" si="22"/>
        <v>0.67890819758102983</v>
      </c>
      <c r="G689" s="1919">
        <v>0.43852347135543823</v>
      </c>
      <c r="H689" s="1919">
        <v>0.5417482852935791</v>
      </c>
      <c r="J689" s="1923">
        <v>0</v>
      </c>
      <c r="K689" s="1922">
        <f>1-Tableau1[[#This Row],[Adjusted corporate sector labor share]]-J689</f>
        <v>0.32109180241897017</v>
      </c>
      <c r="L689" s="1919">
        <f t="shared" si="23"/>
        <v>4.8999313662599284E-2</v>
      </c>
      <c r="M689" s="1919">
        <f t="shared" si="24"/>
        <v>2.9510950274065476E-2</v>
      </c>
      <c r="N689" s="1919">
        <f t="shared" si="25"/>
        <v>5.8624178846324135E-2</v>
      </c>
      <c r="O689" s="1919">
        <f t="shared" si="26"/>
        <v>0.33160780263387191</v>
      </c>
      <c r="P689" s="1919">
        <f t="shared" si="27"/>
        <v>0.32746456274692332</v>
      </c>
      <c r="Q689" s="1919">
        <f t="shared" si="28"/>
        <v>0.3336352808046929</v>
      </c>
      <c r="S689" s="1918">
        <f t="shared" si="20"/>
        <v>23.624275964765971</v>
      </c>
      <c r="T689" s="1918">
        <f t="shared" si="20"/>
        <v>47.648522244463344</v>
      </c>
      <c r="U689" s="1918">
        <f t="shared" si="20"/>
        <v>3453.878775252676</v>
      </c>
      <c r="V689" s="1918">
        <f t="shared" si="20"/>
        <v>148.2530785885088</v>
      </c>
      <c r="W689" s="1918">
        <f t="shared" si="29"/>
        <v>0.32139988388852664</v>
      </c>
      <c r="X689" s="1918">
        <f t="shared" si="21"/>
        <v>1.3795655651225777E-2</v>
      </c>
    </row>
    <row r="690" spans="1:24" x14ac:dyDescent="0.2">
      <c r="A690" s="1924">
        <v>1994</v>
      </c>
      <c r="B690" s="1918" t="s">
        <v>1176</v>
      </c>
      <c r="C690" s="1918" t="s">
        <v>45</v>
      </c>
      <c r="D690" s="1918" t="s">
        <v>1149</v>
      </c>
      <c r="E690" s="1919">
        <v>0.65146034955978394</v>
      </c>
      <c r="F690" s="1926">
        <f t="shared" si="22"/>
        <v>0.65911107404415292</v>
      </c>
      <c r="G690" s="1919">
        <v>0.42618709802627563</v>
      </c>
      <c r="H690" s="1919">
        <v>0.52351176738739014</v>
      </c>
      <c r="J690" s="1923">
        <v>0</v>
      </c>
      <c r="K690" s="1922">
        <f>1-Tableau1[[#This Row],[Adjusted corporate sector labor share]]-J690</f>
        <v>0.34088892595584708</v>
      </c>
      <c r="L690" s="1919">
        <f t="shared" si="23"/>
        <v>5.0947661888168246E-2</v>
      </c>
      <c r="M690" s="1919">
        <f t="shared" si="24"/>
        <v>3.0684387273555876E-2</v>
      </c>
      <c r="N690" s="1919">
        <f t="shared" si="25"/>
        <v>6.0955238330487001E-2</v>
      </c>
      <c r="O690" s="1919">
        <f t="shared" si="26"/>
        <v>0.35214061968846833</v>
      </c>
      <c r="P690" s="1919">
        <f t="shared" si="27"/>
        <v>0.34771183912877224</v>
      </c>
      <c r="Q690" s="1919">
        <f t="shared" si="28"/>
        <v>0.35430578394073026</v>
      </c>
      <c r="S690" s="1918">
        <f t="shared" si="20"/>
        <v>27.228827910891635</v>
      </c>
      <c r="T690" s="1918">
        <f t="shared" si="20"/>
        <v>54.918652928783501</v>
      </c>
      <c r="U690" s="1918">
        <f t="shared" si="20"/>
        <v>3828.6288666460609</v>
      </c>
      <c r="V690" s="1918">
        <f t="shared" si="20"/>
        <v>187.68617174182157</v>
      </c>
      <c r="W690" s="1918">
        <f t="shared" si="29"/>
        <v>0.29260894619518812</v>
      </c>
      <c r="X690" s="1918">
        <f t="shared" si="21"/>
        <v>1.4344209073702437E-2</v>
      </c>
    </row>
    <row r="691" spans="1:24" x14ac:dyDescent="0.2">
      <c r="A691" s="1924">
        <v>1995</v>
      </c>
      <c r="B691" s="1918" t="s">
        <v>1176</v>
      </c>
      <c r="C691" s="1918" t="s">
        <v>45</v>
      </c>
      <c r="D691" s="1918" t="s">
        <v>1149</v>
      </c>
      <c r="E691" s="1919">
        <v>0.63184952735900879</v>
      </c>
      <c r="F691" s="1919">
        <v>0.63993072509765625</v>
      </c>
      <c r="G691" s="1919">
        <v>0.41228735446929932</v>
      </c>
      <c r="H691" s="1919">
        <v>0.50473648309707642</v>
      </c>
      <c r="J691" s="1923">
        <v>0</v>
      </c>
      <c r="K691" s="1922">
        <f>1-Tableau1[[#This Row],[Adjusted corporate sector labor share]]-J691</f>
        <v>0.36006927490234375</v>
      </c>
      <c r="L691" s="1919">
        <f t="shared" si="23"/>
        <v>6.222709763892572E-2</v>
      </c>
      <c r="M691" s="1919">
        <f t="shared" si="24"/>
        <v>3.7477683805262084E-2</v>
      </c>
      <c r="N691" s="1919">
        <f t="shared" si="25"/>
        <v>7.4450277532286127E-2</v>
      </c>
      <c r="O691" s="1919">
        <f t="shared" si="26"/>
        <v>0.3740933798959924</v>
      </c>
      <c r="P691" s="1919">
        <f t="shared" si="27"/>
        <v>0.36858987821150785</v>
      </c>
      <c r="Q691" s="1919">
        <f t="shared" si="28"/>
        <v>0.37677619586703948</v>
      </c>
      <c r="S691" s="1918">
        <f t="shared" si="20"/>
        <v>37.470160828559081</v>
      </c>
      <c r="T691" s="1918">
        <f t="shared" si="20"/>
        <v>75.574709438969379</v>
      </c>
      <c r="U691" s="1918">
        <f t="shared" si="20"/>
        <v>4313.6468971301183</v>
      </c>
      <c r="V691" s="1918">
        <f t="shared" si="20"/>
        <v>225.53837996703288</v>
      </c>
      <c r="W691" s="1918">
        <f t="shared" si="29"/>
        <v>0.33508580424323431</v>
      </c>
      <c r="X691" s="1918">
        <f t="shared" si="21"/>
        <v>1.7519910934121533E-2</v>
      </c>
    </row>
    <row r="692" spans="1:24" x14ac:dyDescent="0.2">
      <c r="A692" s="1924">
        <v>1996</v>
      </c>
      <c r="B692" s="1918" t="s">
        <v>1176</v>
      </c>
      <c r="C692" s="1918" t="s">
        <v>45</v>
      </c>
      <c r="D692" s="1918" t="s">
        <v>1149</v>
      </c>
      <c r="E692" s="1919">
        <v>0.63208788633346558</v>
      </c>
      <c r="F692" s="1919">
        <v>0.64079713821411133</v>
      </c>
      <c r="G692" s="1919">
        <v>0.41167786717414856</v>
      </c>
      <c r="H692" s="1919">
        <v>0.50482511520385742</v>
      </c>
      <c r="J692" s="1923">
        <v>0</v>
      </c>
      <c r="K692" s="1922">
        <f>1-Tableau1[[#This Row],[Adjusted corporate sector labor share]]-J692</f>
        <v>0.35920286178588867</v>
      </c>
      <c r="L692" s="1919">
        <f t="shared" si="23"/>
        <v>6.2274380824871786E-2</v>
      </c>
      <c r="M692" s="1919">
        <f t="shared" si="24"/>
        <v>3.7506161178615958E-2</v>
      </c>
      <c r="N692" s="1919">
        <f t="shared" si="25"/>
        <v>7.4506848486900173E-2</v>
      </c>
      <c r="O692" s="1919">
        <f t="shared" si="26"/>
        <v>0.37322331458340979</v>
      </c>
      <c r="P692" s="1919">
        <f t="shared" si="27"/>
        <v>0.36772112538578694</v>
      </c>
      <c r="Q692" s="1919">
        <f t="shared" si="28"/>
        <v>0.37590554730650327</v>
      </c>
      <c r="S692" s="1918">
        <f t="shared" si="20"/>
        <v>38.904441850158591</v>
      </c>
      <c r="T692" s="1918">
        <f t="shared" si="20"/>
        <v>78.467554547298718</v>
      </c>
      <c r="U692" s="1918">
        <f t="shared" si="20"/>
        <v>4475.363866562715</v>
      </c>
      <c r="V692" s="1918">
        <f t="shared" si="20"/>
        <v>276.10143238204006</v>
      </c>
      <c r="W692" s="1918">
        <f t="shared" si="29"/>
        <v>0.28419828854318868</v>
      </c>
      <c r="X692" s="1918">
        <f t="shared" si="21"/>
        <v>1.7533223417555411E-2</v>
      </c>
    </row>
    <row r="693" spans="1:24" x14ac:dyDescent="0.2">
      <c r="A693" s="1924">
        <v>1997</v>
      </c>
      <c r="B693" s="1918" t="s">
        <v>1176</v>
      </c>
      <c r="C693" s="1918" t="s">
        <v>45</v>
      </c>
      <c r="D693" s="1918" t="s">
        <v>1149</v>
      </c>
      <c r="E693" s="1919">
        <v>0.63187128305435181</v>
      </c>
      <c r="F693" s="1919">
        <v>0.64166080951690674</v>
      </c>
      <c r="G693" s="1919">
        <v>0.41338819265365601</v>
      </c>
      <c r="H693" s="1919">
        <v>0.51103413105010986</v>
      </c>
      <c r="J693" s="1923">
        <v>0</v>
      </c>
      <c r="K693" s="1922">
        <f>1-Tableau1[[#This Row],[Adjusted corporate sector labor share]]-J693</f>
        <v>0.35833919048309326</v>
      </c>
      <c r="L693" s="1919">
        <f t="shared" si="23"/>
        <v>7.7174309201460706E-2</v>
      </c>
      <c r="M693" s="1919">
        <f t="shared" si="24"/>
        <v>4.6479981678152468E-2</v>
      </c>
      <c r="N693" s="1919">
        <f t="shared" si="25"/>
        <v>9.2333548508890487E-2</v>
      </c>
      <c r="O693" s="1919">
        <f t="shared" si="26"/>
        <v>0.37560652934738542</v>
      </c>
      <c r="P693" s="1919">
        <f t="shared" si="27"/>
        <v>0.36885134932334163</v>
      </c>
      <c r="Q693" s="1919">
        <f t="shared" si="28"/>
        <v>0.37888969871756994</v>
      </c>
      <c r="S693" s="1918">
        <f t="shared" si="20"/>
        <v>48.841844528700072</v>
      </c>
      <c r="T693" s="1918">
        <f t="shared" si="20"/>
        <v>98.510604894613934</v>
      </c>
      <c r="U693" s="1918">
        <f t="shared" si="20"/>
        <v>4533.7533177939222</v>
      </c>
      <c r="V693" s="1918">
        <f t="shared" si="20"/>
        <v>297.48187839215478</v>
      </c>
      <c r="W693" s="1918">
        <f t="shared" si="29"/>
        <v>0.33114825490227867</v>
      </c>
      <c r="X693" s="1918">
        <f t="shared" si="21"/>
        <v>2.1728267505861609E-2</v>
      </c>
    </row>
    <row r="694" spans="1:24" x14ac:dyDescent="0.2">
      <c r="A694" s="1924">
        <v>1998</v>
      </c>
      <c r="B694" s="1918" t="s">
        <v>1176</v>
      </c>
      <c r="C694" s="1918" t="s">
        <v>45</v>
      </c>
      <c r="D694" s="1918" t="s">
        <v>1149</v>
      </c>
      <c r="E694" s="1919">
        <v>0.61741912364959717</v>
      </c>
      <c r="F694" s="1919">
        <v>0.62905019521713257</v>
      </c>
      <c r="G694" s="1919">
        <v>0.40146547555923462</v>
      </c>
      <c r="H694" s="1919">
        <v>0.49330991506576538</v>
      </c>
      <c r="J694" s="1923">
        <v>0</v>
      </c>
      <c r="K694" s="1922">
        <f>1-Tableau1[[#This Row],[Adjusted corporate sector labor share]]-J694</f>
        <v>0.37094980478286743</v>
      </c>
      <c r="L694" s="1919">
        <f t="shared" si="23"/>
        <v>8.0122886603836513E-2</v>
      </c>
      <c r="M694" s="1919">
        <f t="shared" si="24"/>
        <v>4.8255829431856086E-2</v>
      </c>
      <c r="N694" s="1919">
        <f t="shared" si="25"/>
        <v>9.5861310758161539E-2</v>
      </c>
      <c r="O694" s="1919">
        <f t="shared" si="26"/>
        <v>0.38910651765811421</v>
      </c>
      <c r="P694" s="1919">
        <f t="shared" si="27"/>
        <v>0.38201209147312976</v>
      </c>
      <c r="Q694" s="1919">
        <f t="shared" si="28"/>
        <v>0.39255054609323314</v>
      </c>
      <c r="S694" s="1918">
        <f t="shared" si="20"/>
        <v>50.117759458311603</v>
      </c>
      <c r="T694" s="1918">
        <f t="shared" si="20"/>
        <v>101.08403660512688</v>
      </c>
      <c r="U694" s="1918">
        <f t="shared" si="20"/>
        <v>4480.9865499803163</v>
      </c>
      <c r="V694" s="1918">
        <f t="shared" si="20"/>
        <v>293.29385675233658</v>
      </c>
      <c r="W694" s="1918">
        <f t="shared" si="29"/>
        <v>0.34465105312616329</v>
      </c>
      <c r="X694" s="1918">
        <f t="shared" si="21"/>
        <v>2.2558433389087258E-2</v>
      </c>
    </row>
    <row r="695" spans="1:24" x14ac:dyDescent="0.2">
      <c r="A695" s="1924">
        <v>1999</v>
      </c>
      <c r="B695" s="1918" t="s">
        <v>1176</v>
      </c>
      <c r="C695" s="1918" t="s">
        <v>45</v>
      </c>
      <c r="D695" s="1918" t="s">
        <v>1149</v>
      </c>
      <c r="E695" s="1919">
        <v>0.6243596076965332</v>
      </c>
      <c r="F695" s="1919">
        <v>0.63319289684295654</v>
      </c>
      <c r="G695" s="1919">
        <v>0.40661671757698059</v>
      </c>
      <c r="H695" s="1919">
        <v>0.50006020069122314</v>
      </c>
      <c r="J695" s="1923">
        <v>0</v>
      </c>
      <c r="K695" s="1922">
        <f>1-Tableau1[[#This Row],[Adjusted corporate sector labor share]]-J695</f>
        <v>0.36680710315704346</v>
      </c>
      <c r="L695" s="1919">
        <f t="shared" si="23"/>
        <v>8.6983017768975268E-2</v>
      </c>
      <c r="M695" s="1919">
        <f t="shared" si="24"/>
        <v>5.2387499338132831E-2</v>
      </c>
      <c r="N695" s="1919">
        <f t="shared" si="25"/>
        <v>0.10406896768788113</v>
      </c>
      <c r="O695" s="1919">
        <f t="shared" si="26"/>
        <v>0.386385093474782</v>
      </c>
      <c r="P695" s="1919">
        <f t="shared" si="27"/>
        <v>0.37874520175599974</v>
      </c>
      <c r="Q695" s="1919">
        <f t="shared" si="28"/>
        <v>0.39008936607024575</v>
      </c>
      <c r="S695" s="1918">
        <f t="shared" si="20"/>
        <v>55.834709770599353</v>
      </c>
      <c r="T695" s="1918">
        <f t="shared" si="20"/>
        <v>112.61472793855896</v>
      </c>
      <c r="U695" s="1918">
        <f t="shared" si="20"/>
        <v>4598.4172157911598</v>
      </c>
      <c r="V695" s="1918">
        <f t="shared" si="20"/>
        <v>379.10198068083832</v>
      </c>
      <c r="W695" s="1918">
        <f t="shared" si="29"/>
        <v>0.29705655384947205</v>
      </c>
      <c r="X695" s="1918">
        <f t="shared" si="21"/>
        <v>2.4489889162696069E-2</v>
      </c>
    </row>
    <row r="696" spans="1:24" x14ac:dyDescent="0.2">
      <c r="A696" s="1924">
        <v>2000</v>
      </c>
      <c r="B696" s="1918" t="s">
        <v>1176</v>
      </c>
      <c r="C696" s="1918" t="s">
        <v>45</v>
      </c>
      <c r="D696" s="1918" t="s">
        <v>1149</v>
      </c>
      <c r="E696" s="1919">
        <v>0.61152255535125732</v>
      </c>
      <c r="F696" s="1919">
        <v>0.62008863687515259</v>
      </c>
      <c r="G696" s="1919">
        <v>0.39851877093315125</v>
      </c>
      <c r="H696" s="1919">
        <v>0.48934897780418396</v>
      </c>
      <c r="J696" s="1923">
        <v>0</v>
      </c>
      <c r="K696" s="1922">
        <f>1-Tableau1[[#This Row],[Adjusted corporate sector labor share]]-J696</f>
        <v>0.37991136312484741</v>
      </c>
      <c r="L696" s="1919">
        <f t="shared" si="23"/>
        <v>0.10459706949953362</v>
      </c>
      <c r="M696" s="1919">
        <f t="shared" si="24"/>
        <v>6.2995962312219114E-2</v>
      </c>
      <c r="N696" s="1919">
        <f t="shared" si="25"/>
        <v>0.125142922436942</v>
      </c>
      <c r="O696" s="1919">
        <f t="shared" si="26"/>
        <v>0.40361046115985266</v>
      </c>
      <c r="P696" s="1919">
        <f t="shared" si="27"/>
        <v>0.39440499682322044</v>
      </c>
      <c r="Q696" s="1919">
        <f t="shared" si="28"/>
        <v>0.40805436370255205</v>
      </c>
      <c r="S696" s="1918">
        <f t="shared" si="20"/>
        <v>67.474187044692101</v>
      </c>
      <c r="T696" s="1918">
        <f t="shared" si="20"/>
        <v>136.09074441566446</v>
      </c>
      <c r="U696" s="1918">
        <f t="shared" si="20"/>
        <v>4621.2208480454574</v>
      </c>
      <c r="V696" s="1918">
        <f t="shared" si="20"/>
        <v>440.6241509117329</v>
      </c>
      <c r="W696" s="1918">
        <f t="shared" si="29"/>
        <v>0.30885902221670675</v>
      </c>
      <c r="X696" s="1918">
        <f t="shared" si="21"/>
        <v>2.9449089080696926E-2</v>
      </c>
    </row>
    <row r="697" spans="1:24" x14ac:dyDescent="0.2">
      <c r="A697" s="1924">
        <v>2001</v>
      </c>
      <c r="B697" s="1918" t="s">
        <v>1176</v>
      </c>
      <c r="C697" s="1918" t="s">
        <v>45</v>
      </c>
      <c r="D697" s="1918" t="s">
        <v>1149</v>
      </c>
      <c r="E697" s="1919">
        <v>0.60587781667709351</v>
      </c>
      <c r="F697" s="1919">
        <v>0.61476457118988037</v>
      </c>
      <c r="G697" s="1919">
        <v>0.39831423759460449</v>
      </c>
      <c r="H697" s="1919">
        <v>0.48564371466636658</v>
      </c>
      <c r="J697" s="1923">
        <v>0</v>
      </c>
      <c r="K697" s="1922">
        <f>1-Tableau1[[#This Row],[Adjusted corporate sector labor share]]-J697</f>
        <v>0.38523542881011963</v>
      </c>
      <c r="L697" s="1919">
        <f t="shared" si="23"/>
        <v>0.10392199351797145</v>
      </c>
      <c r="M697" s="1919">
        <f t="shared" si="24"/>
        <v>6.2589382459687343E-2</v>
      </c>
      <c r="N697" s="1919">
        <f t="shared" si="25"/>
        <v>0.12433524224471584</v>
      </c>
      <c r="O697" s="1919">
        <f t="shared" si="26"/>
        <v>0.40889979096008544</v>
      </c>
      <c r="P697" s="1919">
        <f t="shared" si="27"/>
        <v>0.39970942363941514</v>
      </c>
      <c r="Q697" s="1919">
        <f t="shared" si="28"/>
        <v>0.41333567626674489</v>
      </c>
      <c r="S697" s="1918">
        <f t="shared" si="20"/>
        <v>66.254123658257882</v>
      </c>
      <c r="T697" s="1918">
        <f t="shared" si="20"/>
        <v>133.62996138490112</v>
      </c>
      <c r="U697" s="1918">
        <f t="shared" si="20"/>
        <v>4567.1368506129529</v>
      </c>
      <c r="V697" s="1918">
        <f t="shared" si="20"/>
        <v>369.95715089507036</v>
      </c>
      <c r="W697" s="1918">
        <f t="shared" si="29"/>
        <v>0.36120388823840338</v>
      </c>
      <c r="X697" s="1918">
        <f t="shared" si="21"/>
        <v>2.9259022831112827E-2</v>
      </c>
    </row>
    <row r="698" spans="1:24" x14ac:dyDescent="0.2">
      <c r="A698" s="1924">
        <v>2002</v>
      </c>
      <c r="B698" s="1918" t="s">
        <v>1176</v>
      </c>
      <c r="C698" s="1918" t="s">
        <v>45</v>
      </c>
      <c r="D698" s="1918" t="s">
        <v>1149</v>
      </c>
      <c r="E698" s="1919">
        <v>0.61621248722076416</v>
      </c>
      <c r="F698" s="1919">
        <v>0.62564849853515625</v>
      </c>
      <c r="G698" s="1919">
        <v>0.40580359101295471</v>
      </c>
      <c r="H698" s="1919">
        <v>0.49218267202377319</v>
      </c>
      <c r="J698" s="1923">
        <v>0</v>
      </c>
      <c r="K698" s="1922">
        <f>1-Tableau1[[#This Row],[Adjusted corporate sector labor share]]-J698</f>
        <v>0.37435150146484375</v>
      </c>
      <c r="L698" s="1919">
        <f t="shared" si="23"/>
        <v>0.10411221911802386</v>
      </c>
      <c r="M698" s="1919">
        <f t="shared" si="24"/>
        <v>6.2703950150628004E-2</v>
      </c>
      <c r="N698" s="1919">
        <f t="shared" si="25"/>
        <v>0.1245628335876357</v>
      </c>
      <c r="O698" s="1919">
        <f t="shared" si="26"/>
        <v>0.39782116013074731</v>
      </c>
      <c r="P698" s="1919">
        <f t="shared" si="27"/>
        <v>0.38870072370129111</v>
      </c>
      <c r="Q698" s="1919">
        <f t="shared" si="28"/>
        <v>0.40222587839191648</v>
      </c>
      <c r="S698" s="1918">
        <f t="shared" si="20"/>
        <v>70.845822104414538</v>
      </c>
      <c r="T698" s="1918">
        <f t="shared" si="20"/>
        <v>142.89109793265692</v>
      </c>
      <c r="U698" s="1918">
        <f t="shared" si="20"/>
        <v>4874.7362295790444</v>
      </c>
      <c r="V698" s="1918">
        <f t="shared" si="20"/>
        <v>414.23877240473689</v>
      </c>
      <c r="W698" s="1918">
        <f t="shared" si="29"/>
        <v>0.34494863216966926</v>
      </c>
      <c r="X698" s="1918">
        <f t="shared" si="21"/>
        <v>2.9312580456275522E-2</v>
      </c>
    </row>
    <row r="699" spans="1:24" x14ac:dyDescent="0.2">
      <c r="A699" s="1924">
        <v>2003</v>
      </c>
      <c r="B699" s="1918" t="s">
        <v>1176</v>
      </c>
      <c r="C699" s="1918" t="s">
        <v>45</v>
      </c>
      <c r="D699" s="1918" t="s">
        <v>1149</v>
      </c>
      <c r="E699" s="1919">
        <v>0.62989312410354614</v>
      </c>
      <c r="F699" s="1919">
        <v>0.63898885250091553</v>
      </c>
      <c r="G699" s="1919">
        <v>0.41005539894104004</v>
      </c>
      <c r="H699" s="1919">
        <v>0.49839839339256287</v>
      </c>
      <c r="J699" s="1923">
        <v>0</v>
      </c>
      <c r="K699" s="1922">
        <f>1-Tableau1[[#This Row],[Adjusted corporate sector labor share]]-J699</f>
        <v>0.36101114749908447</v>
      </c>
      <c r="L699" s="1919">
        <f t="shared" si="23"/>
        <v>0.1046278260250596</v>
      </c>
      <c r="M699" s="1919">
        <f t="shared" si="24"/>
        <v>6.3014486128729078E-2</v>
      </c>
      <c r="N699" s="1919">
        <f t="shared" si="25"/>
        <v>0.12517972042283917</v>
      </c>
      <c r="O699" s="1919">
        <f t="shared" si="26"/>
        <v>0.38426844379536179</v>
      </c>
      <c r="P699" s="1919">
        <f t="shared" si="27"/>
        <v>0.37522413121971859</v>
      </c>
      <c r="Q699" s="1919">
        <f t="shared" si="28"/>
        <v>0.38863931599662016</v>
      </c>
      <c r="S699" s="1918">
        <f t="shared" si="20"/>
        <v>82.129832910581314</v>
      </c>
      <c r="T699" s="1918">
        <f t="shared" si="20"/>
        <v>165.65016325623745</v>
      </c>
      <c r="U699" s="1918">
        <f t="shared" si="20"/>
        <v>5623.3137831522918</v>
      </c>
      <c r="V699" s="1918">
        <f t="shared" si="20"/>
        <v>582.85807630747797</v>
      </c>
      <c r="W699" s="1918">
        <f t="shared" si="29"/>
        <v>0.28420325631526672</v>
      </c>
      <c r="X699" s="1918">
        <f t="shared" si="21"/>
        <v>2.945774851699242E-2</v>
      </c>
    </row>
    <row r="700" spans="1:24" x14ac:dyDescent="0.2">
      <c r="A700" s="1924">
        <v>2004</v>
      </c>
      <c r="B700" s="1918" t="s">
        <v>1176</v>
      </c>
      <c r="C700" s="1918" t="s">
        <v>45</v>
      </c>
      <c r="D700" s="1918" t="s">
        <v>1149</v>
      </c>
      <c r="E700" s="1919">
        <v>0.63158899545669556</v>
      </c>
      <c r="F700" s="1919">
        <v>0.63976395130157471</v>
      </c>
      <c r="G700" s="1919">
        <v>0.41079479455947876</v>
      </c>
      <c r="H700" s="1919">
        <v>0.4993939995765686</v>
      </c>
      <c r="J700" s="1923">
        <v>0</v>
      </c>
      <c r="K700" s="1922">
        <f>1-Tableau1[[#This Row],[Adjusted corporate sector labor share]]-J700</f>
        <v>0.36023604869842529</v>
      </c>
      <c r="L700" s="1919">
        <f t="shared" si="23"/>
        <v>0.12862624285910801</v>
      </c>
      <c r="M700" s="1919">
        <f t="shared" si="24"/>
        <v>7.7468078085599135E-2</v>
      </c>
      <c r="N700" s="1919">
        <f t="shared" si="25"/>
        <v>0.15389211199214708</v>
      </c>
      <c r="O700" s="1919">
        <f t="shared" si="26"/>
        <v>0.38856727878256209</v>
      </c>
      <c r="P700" s="1919">
        <f t="shared" si="27"/>
        <v>0.37760509530803804</v>
      </c>
      <c r="Q700" s="1919">
        <f t="shared" si="28"/>
        <v>0.39384003356360292</v>
      </c>
      <c r="S700" s="1918">
        <f t="shared" si="20"/>
        <v>118.38626227759964</v>
      </c>
      <c r="T700" s="1918">
        <f t="shared" si="20"/>
        <v>238.77686071675367</v>
      </c>
      <c r="U700" s="1918">
        <f t="shared" si="20"/>
        <v>6593.4133819685367</v>
      </c>
      <c r="V700" s="1918">
        <f t="shared" si="20"/>
        <v>879.34979617921624</v>
      </c>
      <c r="W700" s="1918">
        <f t="shared" si="29"/>
        <v>0.27153797243627231</v>
      </c>
      <c r="X700" s="1918">
        <f t="shared" si="21"/>
        <v>3.6214453255692003E-2</v>
      </c>
    </row>
    <row r="701" spans="1:24" x14ac:dyDescent="0.2">
      <c r="A701" s="1924">
        <v>2005</v>
      </c>
      <c r="B701" s="1918" t="s">
        <v>1176</v>
      </c>
      <c r="C701" s="1918" t="s">
        <v>45</v>
      </c>
      <c r="D701" s="1918" t="s">
        <v>1149</v>
      </c>
      <c r="E701" s="1919">
        <v>0.63926750421524048</v>
      </c>
      <c r="F701" s="1919">
        <v>0.64899939298629761</v>
      </c>
      <c r="G701" s="1919">
        <v>0.41661486029624939</v>
      </c>
      <c r="H701" s="1919">
        <v>0.50449544191360474</v>
      </c>
      <c r="J701" s="1923">
        <v>0</v>
      </c>
      <c r="K701" s="1922">
        <f>1-Tableau1[[#This Row],[Adjusted corporate sector labor share]]-J701</f>
        <v>0.35100060701370239</v>
      </c>
      <c r="L701" s="1919">
        <f t="shared" si="23"/>
        <v>0.12241263352289571</v>
      </c>
      <c r="M701" s="1919">
        <f t="shared" si="24"/>
        <v>7.3725790644471281E-2</v>
      </c>
      <c r="N701" s="1919">
        <f t="shared" si="25"/>
        <v>0.14645797225060736</v>
      </c>
      <c r="O701" s="1919">
        <f t="shared" si="26"/>
        <v>0.37773731113651737</v>
      </c>
      <c r="P701" s="1919">
        <f t="shared" si="27"/>
        <v>0.36737163557477481</v>
      </c>
      <c r="Q701" s="1919">
        <f t="shared" si="28"/>
        <v>0.38273238289173744</v>
      </c>
      <c r="S701" s="1918">
        <f t="shared" si="20"/>
        <v>124.02786834530129</v>
      </c>
      <c r="T701" s="1918">
        <f t="shared" si="20"/>
        <v>250.15558794684105</v>
      </c>
      <c r="U701" s="1918">
        <f t="shared" si="20"/>
        <v>7258.2449171998196</v>
      </c>
      <c r="V701" s="1918">
        <f t="shared" si="20"/>
        <v>1154.5272410233706</v>
      </c>
      <c r="W701" s="1918">
        <f t="shared" si="29"/>
        <v>0.21667361241741134</v>
      </c>
      <c r="X701" s="1918">
        <f t="shared" si="21"/>
        <v>3.4465024368914424E-2</v>
      </c>
    </row>
    <row r="702" spans="1:24" x14ac:dyDescent="0.2">
      <c r="A702" s="1924">
        <v>2006</v>
      </c>
      <c r="B702" s="1918" t="s">
        <v>1176</v>
      </c>
      <c r="C702" s="1918" t="s">
        <v>45</v>
      </c>
      <c r="D702" s="1918" t="s">
        <v>1149</v>
      </c>
      <c r="E702" s="1919">
        <v>0.64453846216201782</v>
      </c>
      <c r="F702" s="1919">
        <v>0.6548810601234436</v>
      </c>
      <c r="G702" s="1919">
        <v>0.42374959588050842</v>
      </c>
      <c r="H702" s="1919">
        <v>0.51041406393051147</v>
      </c>
      <c r="J702" s="1923">
        <v>0</v>
      </c>
      <c r="K702" s="1922">
        <f>1-Tableau1[[#This Row],[Adjusted corporate sector labor share]]-J702</f>
        <v>0.3451189398765564</v>
      </c>
      <c r="L702" s="1919">
        <f t="shared" si="23"/>
        <v>0.13363871324240145</v>
      </c>
      <c r="M702" s="1919">
        <f t="shared" si="24"/>
        <v>8.0486952293719063E-2</v>
      </c>
      <c r="N702" s="1919">
        <f t="shared" si="25"/>
        <v>0.15988917477215889</v>
      </c>
      <c r="O702" s="1919">
        <f t="shared" si="26"/>
        <v>0.37399124673935658</v>
      </c>
      <c r="P702" s="1919">
        <f t="shared" si="27"/>
        <v>0.36281830019659772</v>
      </c>
      <c r="Q702" s="1919">
        <f t="shared" si="28"/>
        <v>0.37936600913551832</v>
      </c>
      <c r="S702" s="1918">
        <f t="shared" si="20"/>
        <v>148.91481702384974</v>
      </c>
      <c r="T702" s="1918">
        <f t="shared" si="20"/>
        <v>300.35083327309843</v>
      </c>
      <c r="U702" s="1918">
        <f t="shared" si="20"/>
        <v>7982.5970480585947</v>
      </c>
      <c r="V702" s="1918">
        <f t="shared" si="20"/>
        <v>1340.0586449522318</v>
      </c>
      <c r="W702" s="1918">
        <f t="shared" si="29"/>
        <v>0.22413260375168495</v>
      </c>
      <c r="X702" s="1918">
        <f t="shared" si="21"/>
        <v>3.7625703948835194E-2</v>
      </c>
    </row>
    <row r="703" spans="1:24" x14ac:dyDescent="0.2">
      <c r="A703" s="1924">
        <v>2007</v>
      </c>
      <c r="B703" s="1918" t="s">
        <v>1176</v>
      </c>
      <c r="C703" s="1918" t="s">
        <v>45</v>
      </c>
      <c r="D703" s="1918" t="s">
        <v>1149</v>
      </c>
      <c r="E703" s="1919">
        <v>0.64347004890441895</v>
      </c>
      <c r="F703" s="1919">
        <v>0.65441977977752686</v>
      </c>
      <c r="G703" s="1919">
        <v>0.42369717359542847</v>
      </c>
      <c r="H703" s="1919">
        <v>0.50958096981048584</v>
      </c>
      <c r="J703" s="1923">
        <v>0</v>
      </c>
      <c r="K703" s="1922">
        <f>1-Tableau1[[#This Row],[Adjusted corporate sector labor share]]-J703</f>
        <v>0.34558022022247314</v>
      </c>
      <c r="L703" s="1919">
        <f t="shared" si="23"/>
        <v>0.13685521657949951</v>
      </c>
      <c r="M703" s="1919">
        <f t="shared" si="24"/>
        <v>8.2424164530834926E-2</v>
      </c>
      <c r="N703" s="1919">
        <f t="shared" si="25"/>
        <v>0.16373749126475834</v>
      </c>
      <c r="O703" s="1919">
        <f t="shared" si="26"/>
        <v>0.37513296656854889</v>
      </c>
      <c r="P703" s="1919">
        <f t="shared" si="27"/>
        <v>0.36370456188101863</v>
      </c>
      <c r="Q703" s="1919">
        <f t="shared" si="28"/>
        <v>0.38062708851108468</v>
      </c>
      <c r="S703" s="1918">
        <f t="shared" si="20"/>
        <v>171.52669486799655</v>
      </c>
      <c r="T703" s="1918">
        <f t="shared" si="20"/>
        <v>345.95741889091039</v>
      </c>
      <c r="U703" s="1918">
        <f t="shared" si="20"/>
        <v>8978.6066013275668</v>
      </c>
      <c r="V703" s="1918">
        <f t="shared" si="20"/>
        <v>1626.0616625384382</v>
      </c>
      <c r="W703" s="1918">
        <f t="shared" si="29"/>
        <v>0.21275787189449979</v>
      </c>
      <c r="X703" s="1918">
        <f t="shared" si="21"/>
        <v>3.8531303826114569E-2</v>
      </c>
    </row>
    <row r="704" spans="1:24" x14ac:dyDescent="0.2">
      <c r="A704" s="1924">
        <v>2008</v>
      </c>
      <c r="B704" s="1918" t="s">
        <v>1176</v>
      </c>
      <c r="C704" s="1918" t="s">
        <v>45</v>
      </c>
      <c r="D704" s="1918" t="s">
        <v>1149</v>
      </c>
      <c r="E704" s="1919">
        <v>0.65075606107711792</v>
      </c>
      <c r="F704" s="1919">
        <v>0.66027384996414185</v>
      </c>
      <c r="G704" s="1919">
        <v>0.43370312452316284</v>
      </c>
      <c r="H704" s="1919">
        <v>0.5200926661491394</v>
      </c>
      <c r="J704" s="1923">
        <v>0</v>
      </c>
      <c r="K704" s="1922">
        <f>1-Tableau1[[#This Row],[Adjusted corporate sector labor share]]-J704</f>
        <v>0.33972615003585815</v>
      </c>
      <c r="L704" s="1919">
        <f t="shared" si="23"/>
        <v>0.12880121695166663</v>
      </c>
      <c r="M704" s="1919">
        <f t="shared" si="24"/>
        <v>7.7573460209526504E-2</v>
      </c>
      <c r="N704" s="1919">
        <f t="shared" si="25"/>
        <v>0.15410145599574401</v>
      </c>
      <c r="O704" s="1919">
        <f t="shared" si="26"/>
        <v>0.36740662777118072</v>
      </c>
      <c r="P704" s="1919">
        <f t="shared" si="27"/>
        <v>0.35668003267664961</v>
      </c>
      <c r="Q704" s="1919">
        <f t="shared" si="28"/>
        <v>0.37257337347710873</v>
      </c>
      <c r="S704" s="1918">
        <f t="shared" si="20"/>
        <v>174.07824202076597</v>
      </c>
      <c r="T704" s="1918">
        <f t="shared" si="20"/>
        <v>351.10371211267329</v>
      </c>
      <c r="U704" s="1918">
        <f t="shared" si="20"/>
        <v>9681.9560322836423</v>
      </c>
      <c r="V704" s="1918">
        <f t="shared" si="20"/>
        <v>1451.1898023409158</v>
      </c>
      <c r="W704" s="1918">
        <f t="shared" si="29"/>
        <v>0.24194196482521274</v>
      </c>
      <c r="X704" s="1918">
        <f t="shared" si="21"/>
        <v>3.6263716850391432E-2</v>
      </c>
    </row>
    <row r="705" spans="1:24" x14ac:dyDescent="0.2">
      <c r="A705" s="1924">
        <v>2009</v>
      </c>
      <c r="B705" s="1918" t="s">
        <v>1176</v>
      </c>
      <c r="C705" s="1918" t="s">
        <v>45</v>
      </c>
      <c r="D705" s="1918" t="s">
        <v>1149</v>
      </c>
      <c r="E705" s="1919">
        <v>0.68287992477416992</v>
      </c>
      <c r="F705" s="1919">
        <v>0.6900399923324585</v>
      </c>
      <c r="G705" s="1919">
        <v>0.45360428094863892</v>
      </c>
      <c r="H705" s="1919">
        <v>0.54412609338760376</v>
      </c>
      <c r="J705" s="1923">
        <v>0</v>
      </c>
      <c r="K705" s="1922">
        <f>1-Tableau1[[#This Row],[Adjusted corporate sector labor share]]-J705</f>
        <v>0.3099600076675415</v>
      </c>
      <c r="L705" s="1919">
        <f t="shared" si="23"/>
        <v>0.15082328280256541</v>
      </c>
      <c r="M705" s="1919">
        <f t="shared" si="24"/>
        <v>9.0836749869726896E-2</v>
      </c>
      <c r="N705" s="1919">
        <f t="shared" si="25"/>
        <v>0.18044928478164077</v>
      </c>
      <c r="O705" s="1919">
        <f t="shared" si="26"/>
        <v>0.34077809504751388</v>
      </c>
      <c r="P705" s="1919">
        <f t="shared" si="27"/>
        <v>0.32885656104954347</v>
      </c>
      <c r="Q705" s="1919">
        <f t="shared" si="28"/>
        <v>0.34651099501126192</v>
      </c>
      <c r="S705" s="1918">
        <f t="shared" si="20"/>
        <v>190.92460470417925</v>
      </c>
      <c r="T705" s="1918">
        <f t="shared" si="20"/>
        <v>385.08165447400091</v>
      </c>
      <c r="U705" s="1918">
        <f t="shared" si="20"/>
        <v>9068.4297083077108</v>
      </c>
      <c r="V705" s="1918">
        <f t="shared" si="20"/>
        <v>1351.0670902278241</v>
      </c>
      <c r="W705" s="1918">
        <f t="shared" si="29"/>
        <v>0.28502037926855756</v>
      </c>
      <c r="X705" s="1918">
        <f t="shared" si="21"/>
        <v>4.2463984048001432E-2</v>
      </c>
    </row>
    <row r="706" spans="1:24" x14ac:dyDescent="0.2">
      <c r="A706" s="1924">
        <v>2010</v>
      </c>
      <c r="B706" s="1918" t="s">
        <v>1176</v>
      </c>
      <c r="C706" s="1918" t="s">
        <v>45</v>
      </c>
      <c r="D706" s="1918" t="s">
        <v>1149</v>
      </c>
      <c r="E706" s="1919">
        <v>0.68373382091522217</v>
      </c>
      <c r="F706" s="1919">
        <v>0.69525790214538574</v>
      </c>
      <c r="G706" s="1919">
        <v>0.45055297017097473</v>
      </c>
      <c r="H706" s="1919">
        <v>0.54047524929046631</v>
      </c>
      <c r="J706" s="1923">
        <v>0</v>
      </c>
      <c r="K706" s="1922">
        <f>1-Tableau1[[#This Row],[Adjusted corporate sector labor share]]-J706</f>
        <v>0.30474209785461426</v>
      </c>
      <c r="L706" s="1919">
        <f t="shared" si="23"/>
        <v>0.14081607073194896</v>
      </c>
      <c r="M706" s="1919">
        <f t="shared" si="24"/>
        <v>8.4809678963560176E-2</v>
      </c>
      <c r="N706" s="1919">
        <f t="shared" si="25"/>
        <v>0.16847637034001037</v>
      </c>
      <c r="O706" s="1919">
        <f t="shared" si="26"/>
        <v>0.33334978187612535</v>
      </c>
      <c r="P706" s="1919">
        <f t="shared" si="27"/>
        <v>0.32225838379618998</v>
      </c>
      <c r="Q706" s="1919">
        <f t="shared" si="28"/>
        <v>0.33869472894935199</v>
      </c>
      <c r="S706" s="1918">
        <f t="shared" si="20"/>
        <v>204.31658274936669</v>
      </c>
      <c r="T706" s="1918">
        <f t="shared" si="20"/>
        <v>412.09234317130421</v>
      </c>
      <c r="U706" s="1918">
        <f t="shared" si="20"/>
        <v>10394.173810299038</v>
      </c>
      <c r="V706" s="1918">
        <f t="shared" si="20"/>
        <v>1784.5592123315012</v>
      </c>
      <c r="W706" s="1918">
        <f t="shared" si="29"/>
        <v>0.23092108142094733</v>
      </c>
      <c r="X706" s="1918">
        <f t="shared" si="21"/>
        <v>3.9646474139482218E-2</v>
      </c>
    </row>
    <row r="707" spans="1:24" x14ac:dyDescent="0.2">
      <c r="A707" s="1924">
        <v>2011</v>
      </c>
      <c r="B707" s="1918" t="s">
        <v>1176</v>
      </c>
      <c r="C707" s="1918" t="s">
        <v>45</v>
      </c>
      <c r="D707" s="1918" t="s">
        <v>1149</v>
      </c>
      <c r="E707" s="1919">
        <v>0.68490707874298096</v>
      </c>
      <c r="F707" s="1919">
        <v>0.69200605154037476</v>
      </c>
      <c r="G707" s="1919">
        <v>0.45234760642051697</v>
      </c>
      <c r="H707" s="1919">
        <v>0.54094094038009644</v>
      </c>
      <c r="J707" s="1923">
        <v>0</v>
      </c>
      <c r="K707" s="1922">
        <f>1-Tableau1[[#This Row],[Adjusted corporate sector labor share]]-J707</f>
        <v>0.30799394845962524</v>
      </c>
      <c r="L707" s="1919">
        <f t="shared" si="23"/>
        <v>0.14618255000266858</v>
      </c>
      <c r="M707" s="1919">
        <f t="shared" si="24"/>
        <v>8.8041763069789031E-2</v>
      </c>
      <c r="N707" s="1919">
        <f t="shared" si="25"/>
        <v>0.17489697946747848</v>
      </c>
      <c r="O707" s="1919">
        <f t="shared" si="26"/>
        <v>0.3378080426130195</v>
      </c>
      <c r="P707" s="1919">
        <f t="shared" si="27"/>
        <v>0.32626321754561444</v>
      </c>
      <c r="Q707" s="1919">
        <f t="shared" si="28"/>
        <v>0.34336504245161964</v>
      </c>
      <c r="S707" s="1918">
        <f t="shared" si="20"/>
        <v>233.38379203830584</v>
      </c>
      <c r="T707" s="1918">
        <f t="shared" si="20"/>
        <v>470.71888353402846</v>
      </c>
      <c r="U707" s="1918">
        <f t="shared" si="20"/>
        <v>11437.042603226486</v>
      </c>
      <c r="V707" s="1918">
        <f t="shared" si="20"/>
        <v>1934.2740680795559</v>
      </c>
      <c r="W707" s="1918">
        <f t="shared" si="29"/>
        <v>0.2433568703122726</v>
      </c>
      <c r="X707" s="1918">
        <f t="shared" si="21"/>
        <v>4.1157395304380062E-2</v>
      </c>
    </row>
    <row r="708" spans="1:24" x14ac:dyDescent="0.2">
      <c r="A708" s="1924">
        <v>2012</v>
      </c>
      <c r="B708" s="1918" t="s">
        <v>1176</v>
      </c>
      <c r="C708" s="1918" t="s">
        <v>45</v>
      </c>
      <c r="D708" s="1918" t="s">
        <v>1149</v>
      </c>
      <c r="E708" s="1919">
        <v>0.69354790449142456</v>
      </c>
      <c r="F708" s="1919">
        <v>0.69532263278961182</v>
      </c>
      <c r="G708" s="1919">
        <v>0.45815393328666687</v>
      </c>
      <c r="H708" s="1919">
        <v>0.55063879489898682</v>
      </c>
      <c r="J708" s="1923">
        <v>0</v>
      </c>
      <c r="K708" s="1922">
        <f>1-Tableau1[[#This Row],[Adjusted corporate sector labor share]]-J708</f>
        <v>0.30467736721038818</v>
      </c>
      <c r="L708" s="1919">
        <f t="shared" si="23"/>
        <v>0.15376157997708323</v>
      </c>
      <c r="M708" s="1919">
        <f t="shared" si="24"/>
        <v>9.2606406122561491E-2</v>
      </c>
      <c r="N708" s="1919">
        <f t="shared" si="25"/>
        <v>0.18396474747258171</v>
      </c>
      <c r="O708" s="1919">
        <f t="shared" si="26"/>
        <v>0.33579387863163701</v>
      </c>
      <c r="P708" s="1919">
        <f t="shared" si="27"/>
        <v>0.32375759798065251</v>
      </c>
      <c r="Q708" s="1919">
        <f t="shared" si="28"/>
        <v>0.3415816467245289</v>
      </c>
      <c r="S708" s="1918">
        <f t="shared" si="20"/>
        <v>245.64589657937114</v>
      </c>
      <c r="T708" s="1918">
        <f t="shared" si="20"/>
        <v>495.45069592312711</v>
      </c>
      <c r="U708" s="1918">
        <f t="shared" si="20"/>
        <v>11444.590589474463</v>
      </c>
      <c r="V708" s="1918">
        <f t="shared" si="20"/>
        <v>1820.351698336842</v>
      </c>
      <c r="W708" s="1918">
        <f t="shared" si="29"/>
        <v>0.27217306214826176</v>
      </c>
      <c r="X708" s="1918">
        <f t="shared" si="21"/>
        <v>4.3291255554287006E-2</v>
      </c>
    </row>
    <row r="709" spans="1:24" x14ac:dyDescent="0.2">
      <c r="A709" s="1924">
        <v>2013</v>
      </c>
      <c r="B709" s="1918" t="s">
        <v>1176</v>
      </c>
      <c r="C709" s="1918" t="s">
        <v>45</v>
      </c>
      <c r="D709" s="1918" t="s">
        <v>1149</v>
      </c>
      <c r="E709" s="1919">
        <v>0.69072234630584717</v>
      </c>
      <c r="F709" s="1919">
        <v>0.69140666723251343</v>
      </c>
      <c r="G709" s="1919">
        <v>0.45642495155334473</v>
      </c>
      <c r="H709" s="1919">
        <v>0.54744869470596313</v>
      </c>
      <c r="J709" s="1923">
        <v>0</v>
      </c>
      <c r="K709" s="1922">
        <f>1-Tableau1[[#This Row],[Adjusted corporate sector labor share]]-J709</f>
        <v>0.30859333276748657</v>
      </c>
      <c r="L709" s="1919">
        <f t="shared" si="23"/>
        <v>0.14832628781412999</v>
      </c>
      <c r="M709" s="1919">
        <f t="shared" si="24"/>
        <v>8.9332877888055565E-2</v>
      </c>
      <c r="N709" s="1919">
        <f t="shared" si="25"/>
        <v>0.17746180863476266</v>
      </c>
      <c r="O709" s="1919">
        <f t="shared" si="26"/>
        <v>0.33885556856510884</v>
      </c>
      <c r="P709" s="1919">
        <f t="shared" si="27"/>
        <v>0.32714235638876954</v>
      </c>
      <c r="Q709" s="1919">
        <f t="shared" si="28"/>
        <v>0.34449130356299973</v>
      </c>
      <c r="S709" s="1918">
        <f t="shared" si="20"/>
        <v>243.93071213397585</v>
      </c>
      <c r="T709" s="1918">
        <f t="shared" si="20"/>
        <v>491.99128813760746</v>
      </c>
      <c r="U709" s="1918">
        <f t="shared" si="20"/>
        <v>11781.129673645861</v>
      </c>
      <c r="V709" s="1918">
        <f t="shared" si="20"/>
        <v>1891.539644452339</v>
      </c>
      <c r="W709" s="1918">
        <f t="shared" si="29"/>
        <v>0.26010096567659019</v>
      </c>
      <c r="X709" s="1918">
        <f t="shared" si="21"/>
        <v>4.1760960261576753E-2</v>
      </c>
    </row>
    <row r="710" spans="1:24" x14ac:dyDescent="0.2">
      <c r="A710" s="1924">
        <v>2014</v>
      </c>
      <c r="B710" s="1918" t="s">
        <v>1176</v>
      </c>
      <c r="C710" s="1918" t="s">
        <v>45</v>
      </c>
      <c r="D710" s="1918" t="s">
        <v>1149</v>
      </c>
      <c r="E710" s="1919">
        <v>0.68404644727706909</v>
      </c>
      <c r="F710" s="1919">
        <v>0.68596446514129639</v>
      </c>
      <c r="G710" s="1919">
        <v>0.45283961296081543</v>
      </c>
      <c r="H710" s="1919">
        <v>0.54295927286148071</v>
      </c>
      <c r="J710" s="1923">
        <v>0</v>
      </c>
      <c r="K710" s="1922">
        <f>1-Tableau1[[#This Row],[Adjusted corporate sector labor share]]-J710</f>
        <v>0.31403553485870361</v>
      </c>
      <c r="L710" s="1919">
        <f t="shared" si="23"/>
        <v>0.1609693800259947</v>
      </c>
      <c r="M710" s="1919">
        <f t="shared" si="24"/>
        <v>9.6947467515655902E-2</v>
      </c>
      <c r="N710" s="1919">
        <f t="shared" si="25"/>
        <v>0.19258836538824367</v>
      </c>
      <c r="O710" s="1919">
        <f t="shared" si="26"/>
        <v>0.34704260020874</v>
      </c>
      <c r="P710" s="1919">
        <f t="shared" si="27"/>
        <v>0.33430265705625573</v>
      </c>
      <c r="Q710" s="1919">
        <f t="shared" si="28"/>
        <v>0.35315637246127879</v>
      </c>
      <c r="S710" s="1918">
        <f t="shared" si="20"/>
        <v>271.68945901670236</v>
      </c>
      <c r="T710" s="1918">
        <f t="shared" si="20"/>
        <v>547.97875079223809</v>
      </c>
      <c r="U710" s="1918">
        <f t="shared" si="20"/>
        <v>12091.163613652559</v>
      </c>
      <c r="V710" s="1918">
        <f t="shared" si="20"/>
        <v>1965.6631759746599</v>
      </c>
      <c r="W710" s="1918">
        <f t="shared" si="29"/>
        <v>0.27877550817958768</v>
      </c>
      <c r="X710" s="1918">
        <f t="shared" si="21"/>
        <v>4.5320596784704487E-2</v>
      </c>
    </row>
    <row r="711" spans="1:24" x14ac:dyDescent="0.2">
      <c r="A711" s="1924">
        <v>2015</v>
      </c>
      <c r="B711" s="1918" t="s">
        <v>1176</v>
      </c>
      <c r="C711" s="1918" t="s">
        <v>45</v>
      </c>
      <c r="D711" s="1918" t="s">
        <v>1149</v>
      </c>
      <c r="E711" s="1919">
        <v>0.68560004234313965</v>
      </c>
      <c r="F711" s="1919">
        <v>0.68641448020935059</v>
      </c>
      <c r="G711" s="1919">
        <v>0.45745527744293213</v>
      </c>
      <c r="H711" s="1919">
        <v>0.54519706964492798</v>
      </c>
      <c r="J711" s="1923">
        <v>0</v>
      </c>
      <c r="K711" s="1922">
        <f>1-Tableau1[[#This Row],[Adjusted corporate sector labor share]]-J711</f>
        <v>0.31358551979064941</v>
      </c>
      <c r="L711" s="1921">
        <v>0.19</v>
      </c>
      <c r="M711" s="1919">
        <f t="shared" si="24"/>
        <v>0.11443181818181818</v>
      </c>
      <c r="N711" s="1919">
        <f t="shared" si="25"/>
        <v>0.22732142857142856</v>
      </c>
      <c r="O711" s="1919">
        <f t="shared" si="26"/>
        <v>0.35218325068275919</v>
      </c>
      <c r="P711" s="1919">
        <f t="shared" si="27"/>
        <v>0.3373636687097934</v>
      </c>
      <c r="Q711" s="1919">
        <f t="shared" si="28"/>
        <v>0.35926045161777764</v>
      </c>
      <c r="S711" s="1918">
        <f t="shared" si="20"/>
        <v>305.41459228542641</v>
      </c>
      <c r="T711" s="1918">
        <f t="shared" si="20"/>
        <v>616</v>
      </c>
      <c r="U711" s="1918">
        <f t="shared" si="20"/>
        <v>11515.286894140656</v>
      </c>
      <c r="V711" s="1918">
        <f t="shared" si="20"/>
        <v>1703.2290592571803</v>
      </c>
      <c r="W711" s="1918">
        <f t="shared" si="29"/>
        <v>0.3616659759601874</v>
      </c>
      <c r="X711" s="1918">
        <f t="shared" si="21"/>
        <v>5.3494107933467157E-2</v>
      </c>
    </row>
    <row r="712" spans="1:24" x14ac:dyDescent="0.2">
      <c r="A712" s="1924">
        <v>1970</v>
      </c>
      <c r="B712" s="1918" t="s">
        <v>1175</v>
      </c>
      <c r="C712" s="1918" t="s">
        <v>46</v>
      </c>
      <c r="D712" s="1918" t="s">
        <v>1149</v>
      </c>
      <c r="E712" s="1919">
        <v>0.57548409700393677</v>
      </c>
    </row>
    <row r="713" spans="1:24" x14ac:dyDescent="0.2">
      <c r="A713" s="1924">
        <v>1971</v>
      </c>
      <c r="B713" s="1918" t="s">
        <v>1175</v>
      </c>
      <c r="C713" s="1918" t="s">
        <v>46</v>
      </c>
      <c r="D713" s="1918" t="s">
        <v>1149</v>
      </c>
      <c r="E713" s="1919">
        <v>0.58535802364349365</v>
      </c>
    </row>
    <row r="714" spans="1:24" x14ac:dyDescent="0.2">
      <c r="A714" s="1924">
        <v>1972</v>
      </c>
      <c r="B714" s="1918" t="s">
        <v>1175</v>
      </c>
      <c r="C714" s="1918" t="s">
        <v>46</v>
      </c>
      <c r="D714" s="1918" t="s">
        <v>1149</v>
      </c>
      <c r="E714" s="1919">
        <v>0.58500117063522339</v>
      </c>
    </row>
    <row r="715" spans="1:24" x14ac:dyDescent="0.2">
      <c r="A715" s="1924">
        <v>1973</v>
      </c>
      <c r="B715" s="1918" t="s">
        <v>1175</v>
      </c>
      <c r="C715" s="1918" t="s">
        <v>46</v>
      </c>
      <c r="D715" s="1918" t="s">
        <v>1149</v>
      </c>
      <c r="E715" s="1919">
        <v>0.66322159767150879</v>
      </c>
    </row>
    <row r="716" spans="1:24" x14ac:dyDescent="0.2">
      <c r="A716" s="1924">
        <v>1974</v>
      </c>
      <c r="B716" s="1918" t="s">
        <v>1175</v>
      </c>
      <c r="C716" s="1918" t="s">
        <v>46</v>
      </c>
      <c r="D716" s="1918" t="s">
        <v>1149</v>
      </c>
      <c r="E716" s="1919">
        <v>0.70700311660766602</v>
      </c>
    </row>
    <row r="717" spans="1:24" x14ac:dyDescent="0.2">
      <c r="A717" s="1924">
        <v>1975</v>
      </c>
      <c r="B717" s="1918" t="s">
        <v>1175</v>
      </c>
      <c r="C717" s="1918" t="s">
        <v>46</v>
      </c>
      <c r="D717" s="1918" t="s">
        <v>1149</v>
      </c>
      <c r="E717" s="1919">
        <v>0.75056827068328857</v>
      </c>
    </row>
    <row r="718" spans="1:24" x14ac:dyDescent="0.2">
      <c r="A718" s="1924">
        <v>1976</v>
      </c>
      <c r="B718" s="1918" t="s">
        <v>1175</v>
      </c>
      <c r="C718" s="1918" t="s">
        <v>46</v>
      </c>
      <c r="D718" s="1918" t="s">
        <v>1149</v>
      </c>
      <c r="E718" s="1919">
        <v>0.75301414728164673</v>
      </c>
    </row>
    <row r="719" spans="1:24" x14ac:dyDescent="0.2">
      <c r="A719" s="1924">
        <v>1977</v>
      </c>
      <c r="B719" s="1918" t="s">
        <v>1175</v>
      </c>
      <c r="C719" s="1918" t="s">
        <v>46</v>
      </c>
      <c r="D719" s="1918" t="s">
        <v>1149</v>
      </c>
      <c r="E719" s="1919">
        <v>0.75820106267929077</v>
      </c>
    </row>
    <row r="720" spans="1:24" x14ac:dyDescent="0.2">
      <c r="A720" s="1924">
        <v>1978</v>
      </c>
      <c r="B720" s="1918" t="s">
        <v>1175</v>
      </c>
      <c r="C720" s="1918" t="s">
        <v>46</v>
      </c>
      <c r="D720" s="1918" t="s">
        <v>1149</v>
      </c>
      <c r="E720" s="1919">
        <v>0.72796070575714111</v>
      </c>
    </row>
    <row r="721" spans="1:5" x14ac:dyDescent="0.2">
      <c r="A721" s="1924">
        <v>1979</v>
      </c>
      <c r="B721" s="1918" t="s">
        <v>1175</v>
      </c>
      <c r="C721" s="1918" t="s">
        <v>46</v>
      </c>
      <c r="D721" s="1918" t="s">
        <v>1149</v>
      </c>
      <c r="E721" s="1919">
        <v>0.71056395769119263</v>
      </c>
    </row>
    <row r="722" spans="1:5" x14ac:dyDescent="0.2">
      <c r="A722" s="1924">
        <v>1980</v>
      </c>
      <c r="B722" s="1918" t="s">
        <v>1175</v>
      </c>
      <c r="C722" s="1918" t="s">
        <v>46</v>
      </c>
      <c r="D722" s="1918" t="s">
        <v>1149</v>
      </c>
      <c r="E722" s="1919">
        <v>0.7051205039024353</v>
      </c>
    </row>
    <row r="723" spans="1:5" x14ac:dyDescent="0.2">
      <c r="A723" s="1924">
        <v>1981</v>
      </c>
      <c r="B723" s="1918" t="s">
        <v>1175</v>
      </c>
      <c r="C723" s="1918" t="s">
        <v>46</v>
      </c>
      <c r="D723" s="1918" t="s">
        <v>1149</v>
      </c>
      <c r="E723" s="1919">
        <v>0.69900095462799072</v>
      </c>
    </row>
    <row r="724" spans="1:5" x14ac:dyDescent="0.2">
      <c r="A724" s="1924">
        <v>1982</v>
      </c>
      <c r="B724" s="1918" t="s">
        <v>1175</v>
      </c>
      <c r="C724" s="1918" t="s">
        <v>46</v>
      </c>
      <c r="D724" s="1918" t="s">
        <v>1149</v>
      </c>
      <c r="E724" s="1919">
        <v>0.70563036203384399</v>
      </c>
    </row>
    <row r="725" spans="1:5" x14ac:dyDescent="0.2">
      <c r="A725" s="1924">
        <v>1983</v>
      </c>
      <c r="B725" s="1918" t="s">
        <v>1175</v>
      </c>
      <c r="C725" s="1918" t="s">
        <v>46</v>
      </c>
      <c r="D725" s="1918" t="s">
        <v>1149</v>
      </c>
      <c r="E725" s="1919">
        <v>0.7176586389541626</v>
      </c>
    </row>
    <row r="726" spans="1:5" x14ac:dyDescent="0.2">
      <c r="A726" s="1924">
        <v>1984</v>
      </c>
      <c r="B726" s="1918" t="s">
        <v>1175</v>
      </c>
      <c r="C726" s="1918" t="s">
        <v>46</v>
      </c>
      <c r="D726" s="1918" t="s">
        <v>1149</v>
      </c>
      <c r="E726" s="1919">
        <v>0.71462160348892212</v>
      </c>
    </row>
    <row r="727" spans="1:5" x14ac:dyDescent="0.2">
      <c r="A727" s="1924">
        <v>1985</v>
      </c>
      <c r="B727" s="1918" t="s">
        <v>1175</v>
      </c>
      <c r="C727" s="1918" t="s">
        <v>46</v>
      </c>
      <c r="D727" s="1918" t="s">
        <v>1149</v>
      </c>
      <c r="E727" s="1919">
        <v>0.68458807468414307</v>
      </c>
    </row>
    <row r="728" spans="1:5" x14ac:dyDescent="0.2">
      <c r="A728" s="1924">
        <v>1986</v>
      </c>
      <c r="B728" s="1918" t="s">
        <v>1175</v>
      </c>
      <c r="C728" s="1918" t="s">
        <v>46</v>
      </c>
      <c r="D728" s="1918" t="s">
        <v>1149</v>
      </c>
      <c r="E728" s="1919">
        <v>0.68454623222351074</v>
      </c>
    </row>
    <row r="729" spans="1:5" x14ac:dyDescent="0.2">
      <c r="A729" s="1924">
        <v>1987</v>
      </c>
      <c r="B729" s="1918" t="s">
        <v>1175</v>
      </c>
      <c r="C729" s="1918" t="s">
        <v>46</v>
      </c>
      <c r="D729" s="1918" t="s">
        <v>1149</v>
      </c>
      <c r="E729" s="1919">
        <v>0.67786622047424316</v>
      </c>
    </row>
    <row r="730" spans="1:5" x14ac:dyDescent="0.2">
      <c r="A730" s="1924">
        <v>1988</v>
      </c>
      <c r="B730" s="1918" t="s">
        <v>1175</v>
      </c>
      <c r="C730" s="1918" t="s">
        <v>46</v>
      </c>
      <c r="D730" s="1918" t="s">
        <v>1149</v>
      </c>
      <c r="E730" s="1919">
        <v>0.66221344470977783</v>
      </c>
    </row>
    <row r="731" spans="1:5" x14ac:dyDescent="0.2">
      <c r="A731" s="1924">
        <v>1989</v>
      </c>
      <c r="B731" s="1918" t="s">
        <v>1175</v>
      </c>
      <c r="C731" s="1918" t="s">
        <v>46</v>
      </c>
      <c r="D731" s="1918" t="s">
        <v>1149</v>
      </c>
      <c r="E731" s="1919">
        <v>0.65367478132247925</v>
      </c>
    </row>
    <row r="732" spans="1:5" x14ac:dyDescent="0.2">
      <c r="A732" s="1924">
        <v>1990</v>
      </c>
      <c r="B732" s="1918" t="s">
        <v>1175</v>
      </c>
      <c r="C732" s="1918" t="s">
        <v>46</v>
      </c>
      <c r="D732" s="1918" t="s">
        <v>1149</v>
      </c>
      <c r="E732" s="1919">
        <v>0.62514013051986694</v>
      </c>
    </row>
    <row r="733" spans="1:5" x14ac:dyDescent="0.2">
      <c r="A733" s="1924">
        <v>1991</v>
      </c>
      <c r="B733" s="1918" t="s">
        <v>1175</v>
      </c>
      <c r="C733" s="1918" t="s">
        <v>46</v>
      </c>
      <c r="D733" s="1918" t="s">
        <v>1149</v>
      </c>
      <c r="E733" s="1919">
        <v>0.6286281943321228</v>
      </c>
    </row>
    <row r="734" spans="1:5" x14ac:dyDescent="0.2">
      <c r="A734" s="1924">
        <v>1992</v>
      </c>
      <c r="B734" s="1918" t="s">
        <v>1175</v>
      </c>
      <c r="C734" s="1918" t="s">
        <v>46</v>
      </c>
      <c r="D734" s="1918" t="s">
        <v>1149</v>
      </c>
      <c r="E734" s="1919">
        <v>0.64271724224090576</v>
      </c>
    </row>
    <row r="735" spans="1:5" x14ac:dyDescent="0.2">
      <c r="A735" s="1924">
        <v>1993</v>
      </c>
      <c r="B735" s="1918" t="s">
        <v>1175</v>
      </c>
      <c r="C735" s="1918" t="s">
        <v>46</v>
      </c>
      <c r="D735" s="1918" t="s">
        <v>1149</v>
      </c>
      <c r="E735" s="1919">
        <v>0.64730113744735718</v>
      </c>
    </row>
    <row r="736" spans="1:5" x14ac:dyDescent="0.2">
      <c r="A736" s="1924">
        <v>1994</v>
      </c>
      <c r="B736" s="1918" t="s">
        <v>1175</v>
      </c>
      <c r="C736" s="1918" t="s">
        <v>46</v>
      </c>
      <c r="D736" s="1918" t="s">
        <v>1149</v>
      </c>
      <c r="E736" s="1919">
        <v>0.65637415647506714</v>
      </c>
    </row>
    <row r="737" spans="1:5" x14ac:dyDescent="0.2">
      <c r="A737" s="1924">
        <v>1995</v>
      </c>
      <c r="B737" s="1918" t="s">
        <v>1175</v>
      </c>
      <c r="C737" s="1918" t="s">
        <v>46</v>
      </c>
      <c r="D737" s="1918" t="s">
        <v>1149</v>
      </c>
      <c r="E737" s="1919">
        <v>0.66597551107406616</v>
      </c>
    </row>
    <row r="738" spans="1:5" x14ac:dyDescent="0.2">
      <c r="A738" s="1924">
        <v>1996</v>
      </c>
      <c r="B738" s="1918" t="s">
        <v>1175</v>
      </c>
      <c r="C738" s="1918" t="s">
        <v>46</v>
      </c>
      <c r="D738" s="1918" t="s">
        <v>1149</v>
      </c>
      <c r="E738" s="1919">
        <v>0.65989935398101807</v>
      </c>
    </row>
    <row r="739" spans="1:5" x14ac:dyDescent="0.2">
      <c r="A739" s="1924">
        <v>1997</v>
      </c>
      <c r="B739" s="1918" t="s">
        <v>1175</v>
      </c>
      <c r="C739" s="1918" t="s">
        <v>46</v>
      </c>
      <c r="D739" s="1918" t="s">
        <v>1149</v>
      </c>
      <c r="E739" s="1919">
        <v>0.6571466326713562</v>
      </c>
    </row>
    <row r="740" spans="1:5" x14ac:dyDescent="0.2">
      <c r="A740" s="1924">
        <v>1998</v>
      </c>
      <c r="B740" s="1918" t="s">
        <v>1175</v>
      </c>
      <c r="C740" s="1918" t="s">
        <v>46</v>
      </c>
      <c r="D740" s="1918" t="s">
        <v>1149</v>
      </c>
      <c r="E740" s="1919">
        <v>0.6652112603187561</v>
      </c>
    </row>
    <row r="741" spans="1:5" x14ac:dyDescent="0.2">
      <c r="A741" s="1924">
        <v>1999</v>
      </c>
      <c r="B741" s="1918" t="s">
        <v>1175</v>
      </c>
      <c r="C741" s="1918" t="s">
        <v>46</v>
      </c>
      <c r="D741" s="1918" t="s">
        <v>1149</v>
      </c>
      <c r="E741" s="1919">
        <v>0.64805203676223755</v>
      </c>
    </row>
    <row r="742" spans="1:5" x14ac:dyDescent="0.2">
      <c r="A742" s="1924">
        <v>2000</v>
      </c>
      <c r="B742" s="1918" t="s">
        <v>1175</v>
      </c>
      <c r="C742" s="1918" t="s">
        <v>46</v>
      </c>
      <c r="D742" s="1918" t="s">
        <v>1149</v>
      </c>
      <c r="E742" s="1919">
        <v>0.64843738079071045</v>
      </c>
    </row>
    <row r="743" spans="1:5" x14ac:dyDescent="0.2">
      <c r="A743" s="1924">
        <v>2001</v>
      </c>
      <c r="B743" s="1918" t="s">
        <v>1175</v>
      </c>
      <c r="C743" s="1918" t="s">
        <v>46</v>
      </c>
      <c r="D743" s="1918" t="s">
        <v>1149</v>
      </c>
      <c r="E743" s="1919">
        <v>0.64465391635894775</v>
      </c>
    </row>
    <row r="744" spans="1:5" x14ac:dyDescent="0.2">
      <c r="A744" s="1924">
        <v>2002</v>
      </c>
      <c r="B744" s="1918" t="s">
        <v>1175</v>
      </c>
      <c r="C744" s="1918" t="s">
        <v>46</v>
      </c>
      <c r="D744" s="1918" t="s">
        <v>1149</v>
      </c>
      <c r="E744" s="1919">
        <v>0.63135671615600586</v>
      </c>
    </row>
    <row r="745" spans="1:5" x14ac:dyDescent="0.2">
      <c r="A745" s="1924">
        <v>2003</v>
      </c>
      <c r="B745" s="1918" t="s">
        <v>1175</v>
      </c>
      <c r="C745" s="1918" t="s">
        <v>46</v>
      </c>
      <c r="D745" s="1918" t="s">
        <v>1149</v>
      </c>
      <c r="E745" s="1919">
        <v>0.63374382257461548</v>
      </c>
    </row>
    <row r="746" spans="1:5" x14ac:dyDescent="0.2">
      <c r="A746" s="1924">
        <v>2004</v>
      </c>
      <c r="B746" s="1918" t="s">
        <v>1175</v>
      </c>
      <c r="C746" s="1918" t="s">
        <v>46</v>
      </c>
      <c r="D746" s="1918" t="s">
        <v>1149</v>
      </c>
      <c r="E746" s="1919">
        <v>0.61554431915283203</v>
      </c>
    </row>
    <row r="747" spans="1:5" x14ac:dyDescent="0.2">
      <c r="A747" s="1924">
        <v>2005</v>
      </c>
      <c r="B747" s="1918" t="s">
        <v>1175</v>
      </c>
      <c r="C747" s="1918" t="s">
        <v>46</v>
      </c>
      <c r="D747" s="1918" t="s">
        <v>1149</v>
      </c>
      <c r="E747" s="1919">
        <v>0.61607253551483154</v>
      </c>
    </row>
    <row r="748" spans="1:5" x14ac:dyDescent="0.2">
      <c r="A748" s="1924">
        <v>2006</v>
      </c>
      <c r="B748" s="1918" t="s">
        <v>1175</v>
      </c>
      <c r="C748" s="1918" t="s">
        <v>46</v>
      </c>
      <c r="D748" s="1918" t="s">
        <v>1149</v>
      </c>
      <c r="E748" s="1919">
        <v>0.63366442918777466</v>
      </c>
    </row>
    <row r="749" spans="1:5" x14ac:dyDescent="0.2">
      <c r="A749" s="1924">
        <v>2007</v>
      </c>
      <c r="B749" s="1918" t="s">
        <v>1175</v>
      </c>
      <c r="C749" s="1918" t="s">
        <v>46</v>
      </c>
      <c r="D749" s="1918" t="s">
        <v>1149</v>
      </c>
      <c r="E749" s="1919">
        <v>0.61761105060577393</v>
      </c>
    </row>
    <row r="750" spans="1:5" x14ac:dyDescent="0.2">
      <c r="A750" s="1924">
        <v>2008</v>
      </c>
      <c r="B750" s="1918" t="s">
        <v>1175</v>
      </c>
      <c r="C750" s="1918" t="s">
        <v>46</v>
      </c>
      <c r="D750" s="1918" t="s">
        <v>1149</v>
      </c>
      <c r="E750" s="1919">
        <v>0.63597637414932251</v>
      </c>
    </row>
    <row r="751" spans="1:5" x14ac:dyDescent="0.2">
      <c r="A751" s="1924">
        <v>2009</v>
      </c>
      <c r="B751" s="1918" t="s">
        <v>1175</v>
      </c>
      <c r="C751" s="1918" t="s">
        <v>46</v>
      </c>
      <c r="D751" s="1918" t="s">
        <v>1149</v>
      </c>
      <c r="E751" s="1919">
        <v>0.6613193154335022</v>
      </c>
    </row>
    <row r="752" spans="1:5" x14ac:dyDescent="0.2">
      <c r="A752" s="1924">
        <v>2010</v>
      </c>
      <c r="B752" s="1918" t="s">
        <v>1175</v>
      </c>
      <c r="C752" s="1918" t="s">
        <v>46</v>
      </c>
      <c r="D752" s="1918" t="s">
        <v>1149</v>
      </c>
      <c r="E752" s="1919">
        <v>0.64175516366958618</v>
      </c>
    </row>
    <row r="753" spans="1:5" x14ac:dyDescent="0.2">
      <c r="A753" s="1924">
        <v>2011</v>
      </c>
      <c r="B753" s="1918" t="s">
        <v>1175</v>
      </c>
      <c r="C753" s="1918" t="s">
        <v>46</v>
      </c>
      <c r="D753" s="1918" t="s">
        <v>1149</v>
      </c>
      <c r="E753" s="1919">
        <v>0.65165472030639648</v>
      </c>
    </row>
    <row r="754" spans="1:5" x14ac:dyDescent="0.2">
      <c r="A754" s="1924">
        <v>2012</v>
      </c>
      <c r="B754" s="1918" t="s">
        <v>1175</v>
      </c>
      <c r="C754" s="1918" t="s">
        <v>46</v>
      </c>
      <c r="D754" s="1918" t="s">
        <v>1149</v>
      </c>
      <c r="E754" s="1919">
        <v>0.64503437280654907</v>
      </c>
    </row>
    <row r="755" spans="1:5" x14ac:dyDescent="0.2">
      <c r="A755" s="1924">
        <v>2013</v>
      </c>
      <c r="B755" s="1918" t="s">
        <v>1175</v>
      </c>
      <c r="C755" s="1918" t="s">
        <v>46</v>
      </c>
      <c r="D755" s="1918" t="s">
        <v>1149</v>
      </c>
      <c r="E755" s="1919">
        <v>0.63652050495147705</v>
      </c>
    </row>
    <row r="756" spans="1:5" x14ac:dyDescent="0.2">
      <c r="A756" s="1924">
        <v>2014</v>
      </c>
      <c r="B756" s="1918" t="s">
        <v>1175</v>
      </c>
      <c r="C756" s="1918" t="s">
        <v>46</v>
      </c>
      <c r="D756" s="1918" t="s">
        <v>1149</v>
      </c>
      <c r="E756" s="1919">
        <v>0.63048970699310303</v>
      </c>
    </row>
    <row r="757" spans="1:5" x14ac:dyDescent="0.2">
      <c r="A757" s="1924">
        <v>2015</v>
      </c>
      <c r="B757" s="1918" t="s">
        <v>1175</v>
      </c>
      <c r="C757" s="1918" t="s">
        <v>46</v>
      </c>
      <c r="D757" s="1918" t="s">
        <v>1149</v>
      </c>
      <c r="E757" s="1919">
        <v>0.61924463510513306</v>
      </c>
    </row>
    <row r="758" spans="1:5" x14ac:dyDescent="0.2">
      <c r="A758" s="1924">
        <v>1970</v>
      </c>
      <c r="B758" s="1918" t="s">
        <v>1174</v>
      </c>
      <c r="C758" s="1918" t="s">
        <v>47</v>
      </c>
      <c r="D758" s="1918" t="s">
        <v>1167</v>
      </c>
      <c r="E758" s="1919">
        <v>0.42948818206787109</v>
      </c>
    </row>
    <row r="759" spans="1:5" x14ac:dyDescent="0.2">
      <c r="A759" s="1924">
        <v>1971</v>
      </c>
      <c r="B759" s="1918" t="s">
        <v>1174</v>
      </c>
      <c r="C759" s="1918" t="s">
        <v>47</v>
      </c>
      <c r="D759" s="1918" t="s">
        <v>1167</v>
      </c>
      <c r="E759" s="1919">
        <v>0.42663237452507019</v>
      </c>
    </row>
    <row r="760" spans="1:5" x14ac:dyDescent="0.2">
      <c r="A760" s="1924">
        <v>1972</v>
      </c>
      <c r="B760" s="1918" t="s">
        <v>1174</v>
      </c>
      <c r="C760" s="1918" t="s">
        <v>47</v>
      </c>
      <c r="D760" s="1918" t="s">
        <v>1167</v>
      </c>
      <c r="E760" s="1919">
        <v>0.40921905636787415</v>
      </c>
    </row>
    <row r="761" spans="1:5" x14ac:dyDescent="0.2">
      <c r="A761" s="1924">
        <v>1973</v>
      </c>
      <c r="B761" s="1918" t="s">
        <v>1174</v>
      </c>
      <c r="C761" s="1918" t="s">
        <v>47</v>
      </c>
      <c r="D761" s="1918" t="s">
        <v>1167</v>
      </c>
      <c r="E761" s="1919">
        <v>0.40785917639732361</v>
      </c>
    </row>
    <row r="762" spans="1:5" x14ac:dyDescent="0.2">
      <c r="A762" s="1924">
        <v>1974</v>
      </c>
      <c r="B762" s="1918" t="s">
        <v>1174</v>
      </c>
      <c r="C762" s="1918" t="s">
        <v>47</v>
      </c>
      <c r="D762" s="1918" t="s">
        <v>1167</v>
      </c>
      <c r="E762" s="1919">
        <v>0.39408367872238159</v>
      </c>
    </row>
    <row r="763" spans="1:5" x14ac:dyDescent="0.2">
      <c r="A763" s="1924">
        <v>1975</v>
      </c>
      <c r="B763" s="1918" t="s">
        <v>1174</v>
      </c>
      <c r="C763" s="1918" t="s">
        <v>47</v>
      </c>
      <c r="D763" s="1918" t="s">
        <v>1167</v>
      </c>
      <c r="E763" s="1919">
        <v>0.4003852903842926</v>
      </c>
    </row>
    <row r="764" spans="1:5" x14ac:dyDescent="0.2">
      <c r="A764" s="1924">
        <v>1976</v>
      </c>
      <c r="B764" s="1918" t="s">
        <v>1174</v>
      </c>
      <c r="C764" s="1918" t="s">
        <v>47</v>
      </c>
      <c r="D764" s="1918" t="s">
        <v>1167</v>
      </c>
      <c r="E764" s="1919">
        <v>0.40319418907165527</v>
      </c>
    </row>
    <row r="765" spans="1:5" x14ac:dyDescent="0.2">
      <c r="A765" s="1924">
        <v>1977</v>
      </c>
      <c r="B765" s="1918" t="s">
        <v>1174</v>
      </c>
      <c r="C765" s="1918" t="s">
        <v>47</v>
      </c>
      <c r="D765" s="1918" t="s">
        <v>1167</v>
      </c>
      <c r="E765" s="1919">
        <v>0.42466682195663452</v>
      </c>
    </row>
    <row r="766" spans="1:5" x14ac:dyDescent="0.2">
      <c r="A766" s="1924">
        <v>1978</v>
      </c>
      <c r="B766" s="1918" t="s">
        <v>1174</v>
      </c>
      <c r="C766" s="1918" t="s">
        <v>47</v>
      </c>
      <c r="D766" s="1918" t="s">
        <v>1167</v>
      </c>
      <c r="E766" s="1919">
        <v>0.45540270209312439</v>
      </c>
    </row>
    <row r="767" spans="1:5" x14ac:dyDescent="0.2">
      <c r="A767" s="1924">
        <v>1979</v>
      </c>
      <c r="B767" s="1918" t="s">
        <v>1174</v>
      </c>
      <c r="C767" s="1918" t="s">
        <v>47</v>
      </c>
      <c r="D767" s="1918" t="s">
        <v>1167</v>
      </c>
      <c r="E767" s="1919">
        <v>0.46804910898208618</v>
      </c>
    </row>
    <row r="768" spans="1:5" x14ac:dyDescent="0.2">
      <c r="A768" s="1924">
        <v>1980</v>
      </c>
      <c r="B768" s="1918" t="s">
        <v>1174</v>
      </c>
      <c r="C768" s="1918" t="s">
        <v>47</v>
      </c>
      <c r="D768" s="1918" t="s">
        <v>1167</v>
      </c>
      <c r="E768" s="1919">
        <v>0.45782336592674255</v>
      </c>
    </row>
    <row r="769" spans="1:5" x14ac:dyDescent="0.2">
      <c r="A769" s="1924">
        <v>1981</v>
      </c>
      <c r="B769" s="1918" t="s">
        <v>1174</v>
      </c>
      <c r="C769" s="1918" t="s">
        <v>47</v>
      </c>
      <c r="D769" s="1918" t="s">
        <v>1167</v>
      </c>
      <c r="E769" s="1919">
        <v>0.45445054769515991</v>
      </c>
    </row>
    <row r="770" spans="1:5" x14ac:dyDescent="0.2">
      <c r="A770" s="1924">
        <v>1982</v>
      </c>
      <c r="B770" s="1918" t="s">
        <v>1174</v>
      </c>
      <c r="C770" s="1918" t="s">
        <v>47</v>
      </c>
      <c r="D770" s="1918" t="s">
        <v>1167</v>
      </c>
      <c r="E770" s="1919">
        <v>0.45971342921257019</v>
      </c>
    </row>
    <row r="771" spans="1:5" x14ac:dyDescent="0.2">
      <c r="A771" s="1924">
        <v>1983</v>
      </c>
      <c r="B771" s="1918" t="s">
        <v>1174</v>
      </c>
      <c r="C771" s="1918" t="s">
        <v>47</v>
      </c>
      <c r="D771" s="1918" t="s">
        <v>1167</v>
      </c>
      <c r="E771" s="1919">
        <v>0.47485560178756714</v>
      </c>
    </row>
    <row r="772" spans="1:5" x14ac:dyDescent="0.2">
      <c r="A772" s="1924">
        <v>1984</v>
      </c>
      <c r="B772" s="1918" t="s">
        <v>1174</v>
      </c>
      <c r="C772" s="1918" t="s">
        <v>47</v>
      </c>
      <c r="D772" s="1918" t="s">
        <v>1167</v>
      </c>
      <c r="E772" s="1919">
        <v>0.46912997961044312</v>
      </c>
    </row>
    <row r="773" spans="1:5" x14ac:dyDescent="0.2">
      <c r="A773" s="1924">
        <v>1985</v>
      </c>
      <c r="B773" s="1918" t="s">
        <v>1174</v>
      </c>
      <c r="C773" s="1918" t="s">
        <v>47</v>
      </c>
      <c r="D773" s="1918" t="s">
        <v>1167</v>
      </c>
      <c r="E773" s="1919">
        <v>0.46349307894706726</v>
      </c>
    </row>
    <row r="774" spans="1:5" x14ac:dyDescent="0.2">
      <c r="A774" s="1924">
        <v>1986</v>
      </c>
      <c r="B774" s="1918" t="s">
        <v>1174</v>
      </c>
      <c r="C774" s="1918" t="s">
        <v>47</v>
      </c>
      <c r="D774" s="1918" t="s">
        <v>1167</v>
      </c>
      <c r="E774" s="1919">
        <v>0.44651487469673157</v>
      </c>
    </row>
    <row r="775" spans="1:5" x14ac:dyDescent="0.2">
      <c r="A775" s="1924">
        <v>1987</v>
      </c>
      <c r="B775" s="1918" t="s">
        <v>1174</v>
      </c>
      <c r="C775" s="1918" t="s">
        <v>47</v>
      </c>
      <c r="D775" s="1918" t="s">
        <v>1167</v>
      </c>
      <c r="E775" s="1919">
        <v>0.45743566751480103</v>
      </c>
    </row>
    <row r="776" spans="1:5" x14ac:dyDescent="0.2">
      <c r="A776" s="1924">
        <v>1988</v>
      </c>
      <c r="B776" s="1918" t="s">
        <v>1174</v>
      </c>
      <c r="C776" s="1918" t="s">
        <v>47</v>
      </c>
      <c r="D776" s="1918" t="s">
        <v>1167</v>
      </c>
      <c r="E776" s="1919">
        <v>0.47905227541923523</v>
      </c>
    </row>
    <row r="777" spans="1:5" x14ac:dyDescent="0.2">
      <c r="A777" s="1924">
        <v>1989</v>
      </c>
      <c r="B777" s="1918" t="s">
        <v>1174</v>
      </c>
      <c r="C777" s="1918" t="s">
        <v>47</v>
      </c>
      <c r="D777" s="1918" t="s">
        <v>1167</v>
      </c>
      <c r="E777" s="1919">
        <v>0.50226378440856934</v>
      </c>
    </row>
    <row r="778" spans="1:5" x14ac:dyDescent="0.2">
      <c r="A778" s="1924">
        <v>1990</v>
      </c>
      <c r="B778" s="1918" t="s">
        <v>1174</v>
      </c>
      <c r="C778" s="1918" t="s">
        <v>47</v>
      </c>
      <c r="D778" s="1918" t="s">
        <v>1167</v>
      </c>
      <c r="E778" s="1919">
        <v>0.51919007301330566</v>
      </c>
    </row>
    <row r="779" spans="1:5" x14ac:dyDescent="0.2">
      <c r="A779" s="1924">
        <v>1991</v>
      </c>
      <c r="B779" s="1918" t="s">
        <v>1174</v>
      </c>
      <c r="C779" s="1918" t="s">
        <v>47</v>
      </c>
      <c r="D779" s="1918" t="s">
        <v>1167</v>
      </c>
      <c r="E779" s="1919">
        <v>0.53026634454727173</v>
      </c>
    </row>
    <row r="780" spans="1:5" x14ac:dyDescent="0.2">
      <c r="A780" s="1924">
        <v>1992</v>
      </c>
      <c r="B780" s="1918" t="s">
        <v>1174</v>
      </c>
      <c r="C780" s="1918" t="s">
        <v>47</v>
      </c>
      <c r="D780" s="1918" t="s">
        <v>1167</v>
      </c>
      <c r="E780" s="1919">
        <v>0.53005415201187134</v>
      </c>
    </row>
    <row r="781" spans="1:5" x14ac:dyDescent="0.2">
      <c r="A781" s="1924">
        <v>1993</v>
      </c>
      <c r="B781" s="1918" t="s">
        <v>1174</v>
      </c>
      <c r="C781" s="1918" t="s">
        <v>47</v>
      </c>
      <c r="D781" s="1918" t="s">
        <v>1167</v>
      </c>
      <c r="E781" s="1919">
        <v>0.5295107364654541</v>
      </c>
    </row>
    <row r="782" spans="1:5" x14ac:dyDescent="0.2">
      <c r="A782" s="1924">
        <v>1994</v>
      </c>
      <c r="B782" s="1918" t="s">
        <v>1174</v>
      </c>
      <c r="C782" s="1918" t="s">
        <v>47</v>
      </c>
      <c r="D782" s="1918" t="s">
        <v>1167</v>
      </c>
      <c r="E782" s="1919">
        <v>0.53618693351745605</v>
      </c>
    </row>
    <row r="783" spans="1:5" x14ac:dyDescent="0.2">
      <c r="A783" s="1924">
        <v>1995</v>
      </c>
      <c r="B783" s="1918" t="s">
        <v>1174</v>
      </c>
      <c r="C783" s="1918" t="s">
        <v>47</v>
      </c>
      <c r="D783" s="1918" t="s">
        <v>1167</v>
      </c>
      <c r="E783" s="1919">
        <v>0.54474633932113647</v>
      </c>
    </row>
    <row r="784" spans="1:5" x14ac:dyDescent="0.2">
      <c r="A784" s="1924">
        <v>1996</v>
      </c>
      <c r="B784" s="1918" t="s">
        <v>1174</v>
      </c>
      <c r="C784" s="1918" t="s">
        <v>47</v>
      </c>
      <c r="D784" s="1918" t="s">
        <v>1167</v>
      </c>
      <c r="E784" s="1919">
        <v>0.56159693002700806</v>
      </c>
    </row>
    <row r="785" spans="1:5" x14ac:dyDescent="0.2">
      <c r="A785" s="1924">
        <v>1997</v>
      </c>
      <c r="B785" s="1918" t="s">
        <v>1174</v>
      </c>
      <c r="C785" s="1918" t="s">
        <v>47</v>
      </c>
      <c r="D785" s="1918" t="s">
        <v>1167</v>
      </c>
      <c r="E785" s="1919">
        <v>0.5413825511932373</v>
      </c>
    </row>
    <row r="786" spans="1:5" x14ac:dyDescent="0.2">
      <c r="A786" s="1924">
        <v>1998</v>
      </c>
      <c r="B786" s="1918" t="s">
        <v>1174</v>
      </c>
      <c r="C786" s="1918" t="s">
        <v>47</v>
      </c>
      <c r="D786" s="1918" t="s">
        <v>1167</v>
      </c>
      <c r="E786" s="1919">
        <v>0.51239824295043945</v>
      </c>
    </row>
    <row r="787" spans="1:5" x14ac:dyDescent="0.2">
      <c r="A787" s="1924">
        <v>1999</v>
      </c>
      <c r="B787" s="1918" t="s">
        <v>1174</v>
      </c>
      <c r="C787" s="1918" t="s">
        <v>47</v>
      </c>
      <c r="D787" s="1918" t="s">
        <v>1167</v>
      </c>
      <c r="E787" s="1919">
        <v>0.49343428015708923</v>
      </c>
    </row>
    <row r="788" spans="1:5" x14ac:dyDescent="0.2">
      <c r="A788" s="1924">
        <v>2000</v>
      </c>
      <c r="B788" s="1918" t="s">
        <v>1174</v>
      </c>
      <c r="C788" s="1918" t="s">
        <v>47</v>
      </c>
      <c r="D788" s="1918" t="s">
        <v>1167</v>
      </c>
      <c r="E788" s="1919">
        <v>0.49389365315437317</v>
      </c>
    </row>
    <row r="789" spans="1:5" x14ac:dyDescent="0.2">
      <c r="A789" s="1924">
        <v>2001</v>
      </c>
      <c r="B789" s="1918" t="s">
        <v>1174</v>
      </c>
      <c r="C789" s="1918" t="s">
        <v>47</v>
      </c>
      <c r="D789" s="1918" t="s">
        <v>1167</v>
      </c>
      <c r="E789" s="1919">
        <v>0.49970859289169312</v>
      </c>
    </row>
    <row r="790" spans="1:5" x14ac:dyDescent="0.2">
      <c r="A790" s="1924">
        <v>2002</v>
      </c>
      <c r="B790" s="1918" t="s">
        <v>1174</v>
      </c>
      <c r="C790" s="1918" t="s">
        <v>47</v>
      </c>
      <c r="D790" s="1918" t="s">
        <v>1167</v>
      </c>
      <c r="E790" s="1919">
        <v>0.49205249547958374</v>
      </c>
    </row>
    <row r="791" spans="1:5" x14ac:dyDescent="0.2">
      <c r="A791" s="1924">
        <v>2003</v>
      </c>
      <c r="B791" s="1918" t="s">
        <v>1174</v>
      </c>
      <c r="C791" s="1918" t="s">
        <v>47</v>
      </c>
      <c r="D791" s="1918" t="s">
        <v>1167</v>
      </c>
      <c r="E791" s="1919">
        <v>0.50396573543548584</v>
      </c>
    </row>
    <row r="792" spans="1:5" x14ac:dyDescent="0.2">
      <c r="A792" s="1924">
        <v>2004</v>
      </c>
      <c r="B792" s="1918" t="s">
        <v>1174</v>
      </c>
      <c r="C792" s="1918" t="s">
        <v>47</v>
      </c>
      <c r="D792" s="1918" t="s">
        <v>1167</v>
      </c>
      <c r="E792" s="1919">
        <v>0.49850183725357056</v>
      </c>
    </row>
    <row r="793" spans="1:5" x14ac:dyDescent="0.2">
      <c r="A793" s="1924">
        <v>2005</v>
      </c>
      <c r="B793" s="1918" t="s">
        <v>1174</v>
      </c>
      <c r="C793" s="1918" t="s">
        <v>47</v>
      </c>
      <c r="D793" s="1918" t="s">
        <v>1167</v>
      </c>
      <c r="E793" s="1919">
        <v>0.50693780183792114</v>
      </c>
    </row>
    <row r="794" spans="1:5" x14ac:dyDescent="0.2">
      <c r="A794" s="1924">
        <v>2006</v>
      </c>
      <c r="B794" s="1918" t="s">
        <v>1174</v>
      </c>
      <c r="C794" s="1918" t="s">
        <v>47</v>
      </c>
      <c r="D794" s="1918" t="s">
        <v>1167</v>
      </c>
      <c r="E794" s="1919">
        <v>0.51032060384750366</v>
      </c>
    </row>
    <row r="795" spans="1:5" x14ac:dyDescent="0.2">
      <c r="A795" s="1924">
        <v>2007</v>
      </c>
      <c r="B795" s="1918" t="s">
        <v>1174</v>
      </c>
      <c r="C795" s="1918" t="s">
        <v>47</v>
      </c>
      <c r="D795" s="1918" t="s">
        <v>1167</v>
      </c>
      <c r="E795" s="1919">
        <v>0.50429528951644897</v>
      </c>
    </row>
    <row r="796" spans="1:5" x14ac:dyDescent="0.2">
      <c r="A796" s="1924">
        <v>2008</v>
      </c>
      <c r="B796" s="1918" t="s">
        <v>1174</v>
      </c>
      <c r="C796" s="1918" t="s">
        <v>47</v>
      </c>
      <c r="D796" s="1918" t="s">
        <v>1167</v>
      </c>
      <c r="E796" s="1919">
        <v>0.49220332503318787</v>
      </c>
    </row>
    <row r="797" spans="1:5" x14ac:dyDescent="0.2">
      <c r="A797" s="1924">
        <v>2009</v>
      </c>
      <c r="B797" s="1918" t="s">
        <v>1174</v>
      </c>
      <c r="C797" s="1918" t="s">
        <v>47</v>
      </c>
      <c r="D797" s="1918" t="s">
        <v>1167</v>
      </c>
      <c r="E797" s="1919">
        <v>0.50218623876571655</v>
      </c>
    </row>
    <row r="798" spans="1:5" x14ac:dyDescent="0.2">
      <c r="A798" s="1924">
        <v>2010</v>
      </c>
      <c r="B798" s="1918" t="s">
        <v>1174</v>
      </c>
      <c r="C798" s="1918" t="s">
        <v>47</v>
      </c>
      <c r="D798" s="1918" t="s">
        <v>1167</v>
      </c>
      <c r="E798" s="1919">
        <v>0.48049944639205933</v>
      </c>
    </row>
    <row r="799" spans="1:5" x14ac:dyDescent="0.2">
      <c r="A799" s="1924">
        <v>2011</v>
      </c>
      <c r="B799" s="1918" t="s">
        <v>1174</v>
      </c>
      <c r="C799" s="1918" t="s">
        <v>47</v>
      </c>
      <c r="D799" s="1918" t="s">
        <v>1167</v>
      </c>
      <c r="E799" s="1919">
        <v>0.48069712519645691</v>
      </c>
    </row>
    <row r="800" spans="1:5" x14ac:dyDescent="0.2">
      <c r="A800" s="1924">
        <v>2012</v>
      </c>
      <c r="B800" s="1918" t="s">
        <v>1174</v>
      </c>
      <c r="C800" s="1918" t="s">
        <v>47</v>
      </c>
      <c r="D800" s="1918" t="s">
        <v>1167</v>
      </c>
      <c r="E800" s="1919">
        <v>0.47934278845787048</v>
      </c>
    </row>
    <row r="801" spans="1:8" x14ac:dyDescent="0.2">
      <c r="A801" s="1924">
        <v>1995</v>
      </c>
      <c r="B801" s="1918" t="s">
        <v>1173</v>
      </c>
      <c r="C801" s="1918" t="s">
        <v>514</v>
      </c>
      <c r="D801" s="1918" t="s">
        <v>1156</v>
      </c>
      <c r="E801" s="1919">
        <v>0.47930598258972168</v>
      </c>
      <c r="G801" s="1919">
        <v>0.44310921430587769</v>
      </c>
      <c r="H801" s="1919">
        <v>0.5051339864730835</v>
      </c>
    </row>
    <row r="802" spans="1:8" x14ac:dyDescent="0.2">
      <c r="A802" s="1924">
        <v>1996</v>
      </c>
      <c r="B802" s="1918" t="s">
        <v>1173</v>
      </c>
      <c r="C802" s="1918" t="s">
        <v>514</v>
      </c>
      <c r="D802" s="1918" t="s">
        <v>1156</v>
      </c>
      <c r="E802" s="1919">
        <v>0.48702672123908997</v>
      </c>
      <c r="G802" s="1919">
        <v>0.43590202927589417</v>
      </c>
      <c r="H802" s="1919">
        <v>0.50338238477706909</v>
      </c>
    </row>
    <row r="803" spans="1:8" x14ac:dyDescent="0.2">
      <c r="A803" s="1924">
        <v>1997</v>
      </c>
      <c r="B803" s="1918" t="s">
        <v>1173</v>
      </c>
      <c r="C803" s="1918" t="s">
        <v>514</v>
      </c>
      <c r="D803" s="1918" t="s">
        <v>1156</v>
      </c>
      <c r="E803" s="1919">
        <v>0.5021863579750061</v>
      </c>
      <c r="G803" s="1919">
        <v>0.44617518782615662</v>
      </c>
      <c r="H803" s="1919">
        <v>0.51287227869033813</v>
      </c>
    </row>
    <row r="804" spans="1:8" x14ac:dyDescent="0.2">
      <c r="A804" s="1924">
        <v>1998</v>
      </c>
      <c r="B804" s="1918" t="s">
        <v>1173</v>
      </c>
      <c r="C804" s="1918" t="s">
        <v>514</v>
      </c>
      <c r="D804" s="1918" t="s">
        <v>1156</v>
      </c>
      <c r="E804" s="1919">
        <v>0.51962220668792725</v>
      </c>
      <c r="G804" s="1919">
        <v>0.46523818373680115</v>
      </c>
      <c r="H804" s="1919">
        <v>0.54264998435974121</v>
      </c>
    </row>
    <row r="805" spans="1:8" x14ac:dyDescent="0.2">
      <c r="A805" s="1924">
        <v>1999</v>
      </c>
      <c r="B805" s="1918" t="s">
        <v>1173</v>
      </c>
      <c r="C805" s="1918" t="s">
        <v>514</v>
      </c>
      <c r="D805" s="1918" t="s">
        <v>1156</v>
      </c>
      <c r="E805" s="1919">
        <v>0.5294608473777771</v>
      </c>
      <c r="G805" s="1919">
        <v>0.48005253076553345</v>
      </c>
      <c r="H805" s="1919">
        <v>0.56641918420791626</v>
      </c>
    </row>
    <row r="806" spans="1:8" x14ac:dyDescent="0.2">
      <c r="A806" s="1924">
        <v>2000</v>
      </c>
      <c r="B806" s="1918" t="s">
        <v>1173</v>
      </c>
      <c r="C806" s="1918" t="s">
        <v>514</v>
      </c>
      <c r="D806" s="1918" t="s">
        <v>1156</v>
      </c>
      <c r="E806" s="1919">
        <v>0.45769640803337097</v>
      </c>
      <c r="G806" s="1919">
        <v>0.41606941819190979</v>
      </c>
      <c r="H806" s="1919">
        <v>0.47883522510528564</v>
      </c>
    </row>
    <row r="807" spans="1:8" x14ac:dyDescent="0.2">
      <c r="A807" s="1924">
        <v>2001</v>
      </c>
      <c r="B807" s="1918" t="s">
        <v>1173</v>
      </c>
      <c r="C807" s="1918" t="s">
        <v>514</v>
      </c>
      <c r="D807" s="1918" t="s">
        <v>1156</v>
      </c>
      <c r="E807" s="1919">
        <v>0.43786463141441345</v>
      </c>
      <c r="G807" s="1919">
        <v>0.39209035038948059</v>
      </c>
      <c r="H807" s="1919">
        <v>0.43620821833610535</v>
      </c>
    </row>
    <row r="808" spans="1:8" x14ac:dyDescent="0.2">
      <c r="A808" s="1924">
        <v>2002</v>
      </c>
      <c r="B808" s="1918" t="s">
        <v>1173</v>
      </c>
      <c r="C808" s="1918" t="s">
        <v>514</v>
      </c>
      <c r="D808" s="1918" t="s">
        <v>1156</v>
      </c>
      <c r="E808" s="1919">
        <v>0.44743236899375916</v>
      </c>
      <c r="G808" s="1919">
        <v>0.39978128671646118</v>
      </c>
      <c r="H808" s="1919">
        <v>0.4359181821346283</v>
      </c>
    </row>
    <row r="809" spans="1:8" x14ac:dyDescent="0.2">
      <c r="A809" s="1924">
        <v>2003</v>
      </c>
      <c r="B809" s="1918" t="s">
        <v>1173</v>
      </c>
      <c r="C809" s="1918" t="s">
        <v>514</v>
      </c>
      <c r="D809" s="1918" t="s">
        <v>1156</v>
      </c>
      <c r="E809" s="1919">
        <v>0.44914877414703369</v>
      </c>
      <c r="G809" s="1919">
        <v>0.40214383602142334</v>
      </c>
      <c r="H809" s="1919">
        <v>0.43559339642524719</v>
      </c>
    </row>
    <row r="810" spans="1:8" x14ac:dyDescent="0.2">
      <c r="A810" s="1924">
        <v>2004</v>
      </c>
      <c r="B810" s="1918" t="s">
        <v>1173</v>
      </c>
      <c r="C810" s="1918" t="s">
        <v>514</v>
      </c>
      <c r="D810" s="1918" t="s">
        <v>1156</v>
      </c>
      <c r="E810" s="1919">
        <v>0.45811653137207031</v>
      </c>
      <c r="G810" s="1919">
        <v>0.41480419039726257</v>
      </c>
      <c r="H810" s="1919">
        <v>0.44594594836235046</v>
      </c>
    </row>
    <row r="811" spans="1:8" x14ac:dyDescent="0.2">
      <c r="A811" s="1924">
        <v>2005</v>
      </c>
      <c r="B811" s="1918" t="s">
        <v>1173</v>
      </c>
      <c r="C811" s="1918" t="s">
        <v>514</v>
      </c>
      <c r="D811" s="1918" t="s">
        <v>1156</v>
      </c>
      <c r="E811" s="1919">
        <v>0.47377729415893555</v>
      </c>
      <c r="G811" s="1919">
        <v>0.42741680145263672</v>
      </c>
      <c r="H811" s="1919">
        <v>0.4525848925113678</v>
      </c>
    </row>
    <row r="812" spans="1:8" x14ac:dyDescent="0.2">
      <c r="A812" s="1924">
        <v>2006</v>
      </c>
      <c r="B812" s="1918" t="s">
        <v>1173</v>
      </c>
      <c r="C812" s="1918" t="s">
        <v>514</v>
      </c>
      <c r="D812" s="1918" t="s">
        <v>1156</v>
      </c>
      <c r="E812" s="1919">
        <v>0.50722610950469971</v>
      </c>
      <c r="G812" s="1919">
        <v>0.45711767673492432</v>
      </c>
      <c r="H812" s="1919">
        <v>0.47745427489280701</v>
      </c>
    </row>
    <row r="813" spans="1:8" x14ac:dyDescent="0.2">
      <c r="A813" s="1924">
        <v>2007</v>
      </c>
      <c r="B813" s="1918" t="s">
        <v>1173</v>
      </c>
      <c r="C813" s="1918" t="s">
        <v>514</v>
      </c>
      <c r="D813" s="1918" t="s">
        <v>1156</v>
      </c>
      <c r="E813" s="1919">
        <v>0.51375305652618408</v>
      </c>
      <c r="G813" s="1919">
        <v>0.45507651567459106</v>
      </c>
      <c r="H813" s="1919">
        <v>0.46962955594062805</v>
      </c>
    </row>
    <row r="814" spans="1:8" x14ac:dyDescent="0.2">
      <c r="A814" s="1924">
        <v>2008</v>
      </c>
      <c r="B814" s="1918" t="s">
        <v>1173</v>
      </c>
      <c r="C814" s="1918" t="s">
        <v>514</v>
      </c>
      <c r="D814" s="1918" t="s">
        <v>1156</v>
      </c>
      <c r="E814" s="1919">
        <v>0.52640104293823242</v>
      </c>
      <c r="G814" s="1919">
        <v>0.4738764762878418</v>
      </c>
      <c r="H814" s="1919">
        <v>0.48436975479125977</v>
      </c>
    </row>
    <row r="815" spans="1:8" x14ac:dyDescent="0.2">
      <c r="A815" s="1924">
        <v>2009</v>
      </c>
      <c r="B815" s="1918" t="s">
        <v>1173</v>
      </c>
      <c r="C815" s="1918" t="s">
        <v>514</v>
      </c>
      <c r="D815" s="1918" t="s">
        <v>1156</v>
      </c>
      <c r="E815" s="1919">
        <v>0.51086145639419556</v>
      </c>
      <c r="G815" s="1919">
        <v>0.46423453092575073</v>
      </c>
      <c r="H815" s="1919">
        <v>0.47887662053108215</v>
      </c>
    </row>
    <row r="816" spans="1:8" x14ac:dyDescent="0.2">
      <c r="A816" s="1924">
        <v>2010</v>
      </c>
      <c r="B816" s="1918" t="s">
        <v>1173</v>
      </c>
      <c r="C816" s="1918" t="s">
        <v>514</v>
      </c>
      <c r="D816" s="1918" t="s">
        <v>1156</v>
      </c>
      <c r="E816" s="1919">
        <v>0.45943215489387512</v>
      </c>
      <c r="G816" s="1919">
        <v>0.42494651675224304</v>
      </c>
      <c r="H816" s="1919">
        <v>0.43748623132705688</v>
      </c>
    </row>
    <row r="817" spans="1:8" x14ac:dyDescent="0.2">
      <c r="A817" s="1924">
        <v>2011</v>
      </c>
      <c r="B817" s="1918" t="s">
        <v>1173</v>
      </c>
      <c r="C817" s="1918" t="s">
        <v>514</v>
      </c>
      <c r="D817" s="1918" t="s">
        <v>1156</v>
      </c>
      <c r="E817" s="1919">
        <v>0.43796926736831665</v>
      </c>
      <c r="G817" s="1919">
        <v>0.40523731708526611</v>
      </c>
      <c r="H817" s="1919">
        <v>0.41505792737007141</v>
      </c>
    </row>
    <row r="818" spans="1:8" x14ac:dyDescent="0.2">
      <c r="A818" s="1924">
        <v>2012</v>
      </c>
      <c r="B818" s="1918" t="s">
        <v>1173</v>
      </c>
      <c r="C818" s="1918" t="s">
        <v>514</v>
      </c>
      <c r="D818" s="1918" t="s">
        <v>1156</v>
      </c>
      <c r="E818" s="1919">
        <v>0.44034063816070557</v>
      </c>
      <c r="G818" s="1919">
        <v>0.40481892228126526</v>
      </c>
      <c r="H818" s="1919">
        <v>0.41703468561172485</v>
      </c>
    </row>
    <row r="819" spans="1:8" x14ac:dyDescent="0.2">
      <c r="A819" s="1924">
        <v>2013</v>
      </c>
      <c r="B819" s="1918" t="s">
        <v>1173</v>
      </c>
      <c r="C819" s="1918" t="s">
        <v>514</v>
      </c>
      <c r="D819" s="1918" t="s">
        <v>1156</v>
      </c>
      <c r="E819" s="1919">
        <v>0.45373296737670898</v>
      </c>
      <c r="G819" s="1919">
        <v>0.41017517447471619</v>
      </c>
      <c r="H819" s="1919">
        <v>0.42222601175308228</v>
      </c>
    </row>
    <row r="820" spans="1:8" x14ac:dyDescent="0.2">
      <c r="A820" s="1924">
        <v>2014</v>
      </c>
      <c r="B820" s="1918" t="s">
        <v>1173</v>
      </c>
      <c r="C820" s="1918" t="s">
        <v>514</v>
      </c>
      <c r="D820" s="1918" t="s">
        <v>1156</v>
      </c>
      <c r="E820" s="1919">
        <v>0.46477720141410828</v>
      </c>
      <c r="G820" s="1919">
        <v>0.4214959442615509</v>
      </c>
      <c r="H820" s="1919">
        <v>0.43469738960266113</v>
      </c>
    </row>
    <row r="821" spans="1:8" x14ac:dyDescent="0.2">
      <c r="A821" s="1924">
        <v>2015</v>
      </c>
      <c r="B821" s="1918" t="s">
        <v>1173</v>
      </c>
      <c r="C821" s="1918" t="s">
        <v>514</v>
      </c>
      <c r="D821" s="1918" t="s">
        <v>1156</v>
      </c>
      <c r="E821" s="1919">
        <v>0.49772581458091736</v>
      </c>
      <c r="G821" s="1919">
        <v>0.44872498512268066</v>
      </c>
      <c r="H821" s="1919">
        <v>0.46767321228981018</v>
      </c>
    </row>
    <row r="822" spans="1:8" x14ac:dyDescent="0.2">
      <c r="A822" s="1924">
        <v>1970</v>
      </c>
      <c r="B822" s="1918" t="s">
        <v>1172</v>
      </c>
      <c r="C822" s="1918" t="s">
        <v>49</v>
      </c>
      <c r="D822" s="1918" t="s">
        <v>1159</v>
      </c>
      <c r="E822" s="1919">
        <v>0.59717482328414917</v>
      </c>
      <c r="G822" s="1919">
        <v>0.55853551626205444</v>
      </c>
    </row>
    <row r="823" spans="1:8" x14ac:dyDescent="0.2">
      <c r="A823" s="1924">
        <v>1971</v>
      </c>
      <c r="B823" s="1918" t="s">
        <v>1172</v>
      </c>
      <c r="C823" s="1918" t="s">
        <v>49</v>
      </c>
      <c r="D823" s="1918" t="s">
        <v>1159</v>
      </c>
      <c r="E823" s="1919">
        <v>0.59722679853439331</v>
      </c>
      <c r="G823" s="1919">
        <v>0.55526721477508545</v>
      </c>
    </row>
    <row r="824" spans="1:8" x14ac:dyDescent="0.2">
      <c r="A824" s="1924">
        <v>1972</v>
      </c>
      <c r="B824" s="1918" t="s">
        <v>1172</v>
      </c>
      <c r="C824" s="1918" t="s">
        <v>49</v>
      </c>
      <c r="D824" s="1918" t="s">
        <v>1159</v>
      </c>
      <c r="E824" s="1919">
        <v>0.59197145700454712</v>
      </c>
      <c r="G824" s="1919">
        <v>0.55018210411071777</v>
      </c>
    </row>
    <row r="825" spans="1:8" x14ac:dyDescent="0.2">
      <c r="A825" s="1924">
        <v>1973</v>
      </c>
      <c r="B825" s="1918" t="s">
        <v>1172</v>
      </c>
      <c r="C825" s="1918" t="s">
        <v>49</v>
      </c>
      <c r="D825" s="1918" t="s">
        <v>1159</v>
      </c>
      <c r="E825" s="1919">
        <v>0.59238827228546143</v>
      </c>
      <c r="G825" s="1919">
        <v>0.552085280418396</v>
      </c>
    </row>
    <row r="826" spans="1:8" x14ac:dyDescent="0.2">
      <c r="A826" s="1924">
        <v>1974</v>
      </c>
      <c r="B826" s="1918" t="s">
        <v>1172</v>
      </c>
      <c r="C826" s="1918" t="s">
        <v>49</v>
      </c>
      <c r="D826" s="1918" t="s">
        <v>1159</v>
      </c>
      <c r="E826" s="1919">
        <v>0.59181749820709229</v>
      </c>
      <c r="G826" s="1919">
        <v>0.55262541770935059</v>
      </c>
    </row>
    <row r="827" spans="1:8" x14ac:dyDescent="0.2">
      <c r="A827" s="1924">
        <v>1975</v>
      </c>
      <c r="B827" s="1918" t="s">
        <v>1172</v>
      </c>
      <c r="C827" s="1918" t="s">
        <v>49</v>
      </c>
      <c r="D827" s="1918" t="s">
        <v>1159</v>
      </c>
      <c r="E827" s="1919">
        <v>0.57461494207382202</v>
      </c>
      <c r="G827" s="1919">
        <v>0.53184545040130615</v>
      </c>
    </row>
    <row r="828" spans="1:8" x14ac:dyDescent="0.2">
      <c r="A828" s="1924">
        <v>1976</v>
      </c>
      <c r="B828" s="1918" t="s">
        <v>1172</v>
      </c>
      <c r="C828" s="1918" t="s">
        <v>49</v>
      </c>
      <c r="D828" s="1918" t="s">
        <v>1159</v>
      </c>
      <c r="E828" s="1919">
        <v>0.56798219680786133</v>
      </c>
      <c r="G828" s="1919">
        <v>0.52713483572006226</v>
      </c>
    </row>
    <row r="829" spans="1:8" x14ac:dyDescent="0.2">
      <c r="A829" s="1924">
        <v>1977</v>
      </c>
      <c r="B829" s="1918" t="s">
        <v>1172</v>
      </c>
      <c r="C829" s="1918" t="s">
        <v>49</v>
      </c>
      <c r="D829" s="1918" t="s">
        <v>1159</v>
      </c>
      <c r="E829" s="1919">
        <v>0.56243079900741577</v>
      </c>
      <c r="G829" s="1919">
        <v>0.52077484130859375</v>
      </c>
    </row>
    <row r="830" spans="1:8" x14ac:dyDescent="0.2">
      <c r="A830" s="1924">
        <v>1978</v>
      </c>
      <c r="B830" s="1918" t="s">
        <v>1172</v>
      </c>
      <c r="C830" s="1918" t="s">
        <v>49</v>
      </c>
      <c r="D830" s="1918" t="s">
        <v>1159</v>
      </c>
      <c r="E830" s="1919">
        <v>0.56362980604171753</v>
      </c>
      <c r="G830" s="1919">
        <v>0.52212411165237427</v>
      </c>
    </row>
    <row r="831" spans="1:8" x14ac:dyDescent="0.2">
      <c r="A831" s="1924">
        <v>1979</v>
      </c>
      <c r="B831" s="1918" t="s">
        <v>1172</v>
      </c>
      <c r="C831" s="1918" t="s">
        <v>49</v>
      </c>
      <c r="D831" s="1918" t="s">
        <v>1159</v>
      </c>
      <c r="E831" s="1919">
        <v>0.57420915365219116</v>
      </c>
      <c r="G831" s="1919">
        <v>0.53051692247390747</v>
      </c>
    </row>
    <row r="832" spans="1:8" x14ac:dyDescent="0.2">
      <c r="A832" s="1924">
        <v>1980</v>
      </c>
      <c r="B832" s="1918" t="s">
        <v>1172</v>
      </c>
      <c r="C832" s="1918" t="s">
        <v>49</v>
      </c>
      <c r="D832" s="1918" t="s">
        <v>1159</v>
      </c>
      <c r="E832" s="1919">
        <v>0.5839850902557373</v>
      </c>
      <c r="G832" s="1919">
        <v>0.53790974617004395</v>
      </c>
    </row>
    <row r="833" spans="1:8" x14ac:dyDescent="0.2">
      <c r="A833" s="1924">
        <v>1981</v>
      </c>
      <c r="B833" s="1918" t="s">
        <v>1172</v>
      </c>
      <c r="C833" s="1918" t="s">
        <v>49</v>
      </c>
      <c r="D833" s="1918" t="s">
        <v>1159</v>
      </c>
      <c r="E833" s="1919">
        <v>0.57555657625198364</v>
      </c>
      <c r="G833" s="1919">
        <v>0.53042149543762207</v>
      </c>
    </row>
    <row r="834" spans="1:8" x14ac:dyDescent="0.2">
      <c r="A834" s="1924">
        <v>1982</v>
      </c>
      <c r="B834" s="1918" t="s">
        <v>1172</v>
      </c>
      <c r="C834" s="1918" t="s">
        <v>49</v>
      </c>
      <c r="D834" s="1918" t="s">
        <v>1159</v>
      </c>
      <c r="E834" s="1919">
        <v>0.54521751403808594</v>
      </c>
      <c r="G834" s="1919">
        <v>0.50614029169082642</v>
      </c>
    </row>
    <row r="835" spans="1:8" x14ac:dyDescent="0.2">
      <c r="A835" s="1924">
        <v>1983</v>
      </c>
      <c r="B835" s="1918" t="s">
        <v>1172</v>
      </c>
      <c r="C835" s="1918" t="s">
        <v>49</v>
      </c>
      <c r="D835" s="1918" t="s">
        <v>1159</v>
      </c>
      <c r="E835" s="1919">
        <v>0.53263217210769653</v>
      </c>
      <c r="G835" s="1919">
        <v>0.495228111743927</v>
      </c>
    </row>
    <row r="836" spans="1:8" x14ac:dyDescent="0.2">
      <c r="A836" s="1924">
        <v>1984</v>
      </c>
      <c r="B836" s="1918" t="s">
        <v>1172</v>
      </c>
      <c r="C836" s="1918" t="s">
        <v>49</v>
      </c>
      <c r="D836" s="1918" t="s">
        <v>1159</v>
      </c>
      <c r="E836" s="1919">
        <v>0.53930342197418213</v>
      </c>
      <c r="G836" s="1919">
        <v>0.50113695859909058</v>
      </c>
    </row>
    <row r="837" spans="1:8" x14ac:dyDescent="0.2">
      <c r="A837" s="1924">
        <v>1985</v>
      </c>
      <c r="B837" s="1918" t="s">
        <v>1172</v>
      </c>
      <c r="C837" s="1918" t="s">
        <v>49</v>
      </c>
      <c r="D837" s="1918" t="s">
        <v>1159</v>
      </c>
      <c r="E837" s="1919">
        <v>0.53937333822250366</v>
      </c>
      <c r="G837" s="1919">
        <v>0.50131338834762573</v>
      </c>
    </row>
    <row r="838" spans="1:8" x14ac:dyDescent="0.2">
      <c r="A838" s="1924">
        <v>1986</v>
      </c>
      <c r="B838" s="1918" t="s">
        <v>1172</v>
      </c>
      <c r="C838" s="1918" t="s">
        <v>49</v>
      </c>
      <c r="D838" s="1918" t="s">
        <v>1159</v>
      </c>
      <c r="E838" s="1919">
        <v>0.54727953672409058</v>
      </c>
      <c r="G838" s="1919">
        <v>0.50986760854721069</v>
      </c>
    </row>
    <row r="839" spans="1:8" x14ac:dyDescent="0.2">
      <c r="A839" s="1924">
        <v>1987</v>
      </c>
      <c r="B839" s="1918" t="s">
        <v>1172</v>
      </c>
      <c r="C839" s="1918" t="s">
        <v>49</v>
      </c>
      <c r="D839" s="1918" t="s">
        <v>1159</v>
      </c>
      <c r="E839" s="1919">
        <v>0.577556312084198</v>
      </c>
      <c r="G839" s="1919">
        <v>0.53904515504837036</v>
      </c>
    </row>
    <row r="840" spans="1:8" x14ac:dyDescent="0.2">
      <c r="A840" s="1924">
        <v>1988</v>
      </c>
      <c r="B840" s="1918" t="s">
        <v>1172</v>
      </c>
      <c r="C840" s="1918" t="s">
        <v>49</v>
      </c>
      <c r="D840" s="1918" t="s">
        <v>1159</v>
      </c>
      <c r="E840" s="1919">
        <v>0.56630939245223999</v>
      </c>
      <c r="G840" s="1919">
        <v>0.53164190053939819</v>
      </c>
    </row>
    <row r="841" spans="1:8" x14ac:dyDescent="0.2">
      <c r="A841" s="1924">
        <v>1989</v>
      </c>
      <c r="B841" s="1918" t="s">
        <v>1172</v>
      </c>
      <c r="C841" s="1918" t="s">
        <v>49</v>
      </c>
      <c r="D841" s="1918" t="s">
        <v>1159</v>
      </c>
      <c r="E841" s="1919">
        <v>0.58640646934509277</v>
      </c>
      <c r="G841" s="1919">
        <v>0.54987651109695435</v>
      </c>
    </row>
    <row r="842" spans="1:8" x14ac:dyDescent="0.2">
      <c r="A842" s="1924">
        <v>1990</v>
      </c>
      <c r="B842" s="1918" t="s">
        <v>1172</v>
      </c>
      <c r="C842" s="1918" t="s">
        <v>49</v>
      </c>
      <c r="D842" s="1918" t="s">
        <v>1159</v>
      </c>
      <c r="E842" s="1919">
        <v>0.60443925857543945</v>
      </c>
      <c r="G842" s="1919">
        <v>0.56936341524124146</v>
      </c>
    </row>
    <row r="843" spans="1:8" x14ac:dyDescent="0.2">
      <c r="A843" s="1924">
        <v>1991</v>
      </c>
      <c r="B843" s="1918" t="s">
        <v>1172</v>
      </c>
      <c r="C843" s="1918" t="s">
        <v>49</v>
      </c>
      <c r="D843" s="1918" t="s">
        <v>1159</v>
      </c>
      <c r="E843" s="1919">
        <v>0.6100085973739624</v>
      </c>
      <c r="G843" s="1919">
        <v>0.57777798175811768</v>
      </c>
    </row>
    <row r="844" spans="1:8" x14ac:dyDescent="0.2">
      <c r="A844" s="1924">
        <v>1992</v>
      </c>
      <c r="B844" s="1918" t="s">
        <v>1172</v>
      </c>
      <c r="C844" s="1918" t="s">
        <v>49</v>
      </c>
      <c r="D844" s="1918" t="s">
        <v>1159</v>
      </c>
      <c r="E844" s="1919">
        <v>0.62223303318023682</v>
      </c>
      <c r="G844" s="1919">
        <v>0.58687150478363037</v>
      </c>
    </row>
    <row r="845" spans="1:8" x14ac:dyDescent="0.2">
      <c r="A845" s="1924">
        <v>1993</v>
      </c>
      <c r="B845" s="1918" t="s">
        <v>1172</v>
      </c>
      <c r="C845" s="1918" t="s">
        <v>49</v>
      </c>
      <c r="D845" s="1918" t="s">
        <v>1159</v>
      </c>
      <c r="E845" s="1919">
        <v>0.64949768781661987</v>
      </c>
      <c r="G845" s="1919">
        <v>0.61241286993026733</v>
      </c>
    </row>
    <row r="846" spans="1:8" x14ac:dyDescent="0.2">
      <c r="A846" s="1924">
        <v>1994</v>
      </c>
      <c r="B846" s="1918" t="s">
        <v>1172</v>
      </c>
      <c r="C846" s="1918" t="s">
        <v>49</v>
      </c>
      <c r="D846" s="1918" t="s">
        <v>1159</v>
      </c>
      <c r="E846" s="1919">
        <v>0.57476335763931274</v>
      </c>
      <c r="G846" s="1919">
        <v>0.54257619380950928</v>
      </c>
    </row>
    <row r="847" spans="1:8" x14ac:dyDescent="0.2">
      <c r="A847" s="1924">
        <v>1995</v>
      </c>
      <c r="B847" s="1918" t="s">
        <v>1172</v>
      </c>
      <c r="C847" s="1918" t="s">
        <v>49</v>
      </c>
      <c r="D847" s="1918" t="s">
        <v>1159</v>
      </c>
      <c r="E847" s="1919">
        <v>0.56226605176925659</v>
      </c>
      <c r="F847" s="1919">
        <v>0.55058884620666504</v>
      </c>
      <c r="G847" s="1919">
        <v>0.53026336431503296</v>
      </c>
      <c r="H847" s="1919">
        <v>0.54378616809844971</v>
      </c>
    </row>
    <row r="848" spans="1:8" x14ac:dyDescent="0.2">
      <c r="A848" s="1924">
        <v>1996</v>
      </c>
      <c r="B848" s="1918" t="s">
        <v>1172</v>
      </c>
      <c r="C848" s="1918" t="s">
        <v>49</v>
      </c>
      <c r="D848" s="1918" t="s">
        <v>1159</v>
      </c>
      <c r="E848" s="1919">
        <v>0.55148810148239136</v>
      </c>
      <c r="F848" s="1919">
        <v>0.54237771034240723</v>
      </c>
      <c r="G848" s="1919">
        <v>0.519672691822052</v>
      </c>
      <c r="H848" s="1919">
        <v>0.53329020738601685</v>
      </c>
    </row>
    <row r="849" spans="1:8" x14ac:dyDescent="0.2">
      <c r="A849" s="1924">
        <v>1997</v>
      </c>
      <c r="B849" s="1918" t="s">
        <v>1172</v>
      </c>
      <c r="C849" s="1918" t="s">
        <v>49</v>
      </c>
      <c r="D849" s="1918" t="s">
        <v>1159</v>
      </c>
      <c r="E849" s="1919">
        <v>0.55938965082168579</v>
      </c>
      <c r="F849" s="1919">
        <v>0.55184310674667358</v>
      </c>
      <c r="G849" s="1919">
        <v>0.52769231796264648</v>
      </c>
      <c r="H849" s="1919">
        <v>0.5442122220993042</v>
      </c>
    </row>
    <row r="850" spans="1:8" x14ac:dyDescent="0.2">
      <c r="A850" s="1924">
        <v>1998</v>
      </c>
      <c r="B850" s="1918" t="s">
        <v>1172</v>
      </c>
      <c r="C850" s="1918" t="s">
        <v>49</v>
      </c>
      <c r="D850" s="1918" t="s">
        <v>1159</v>
      </c>
      <c r="E850" s="1919">
        <v>0.58317810297012329</v>
      </c>
      <c r="F850" s="1919">
        <v>0.57027459144592285</v>
      </c>
      <c r="G850" s="1919">
        <v>0.55138367414474487</v>
      </c>
      <c r="H850" s="1919">
        <v>0.56301289796829224</v>
      </c>
    </row>
    <row r="851" spans="1:8" x14ac:dyDescent="0.2">
      <c r="A851" s="1924">
        <v>1999</v>
      </c>
      <c r="B851" s="1918" t="s">
        <v>1172</v>
      </c>
      <c r="C851" s="1918" t="s">
        <v>49</v>
      </c>
      <c r="D851" s="1918" t="s">
        <v>1159</v>
      </c>
      <c r="E851" s="1919">
        <v>0.54404634237289429</v>
      </c>
      <c r="F851" s="1919">
        <v>0.53951674699783325</v>
      </c>
      <c r="G851" s="1919">
        <v>0.51639968156814575</v>
      </c>
      <c r="H851" s="1919">
        <v>0.5309908390045166</v>
      </c>
    </row>
    <row r="852" spans="1:8" x14ac:dyDescent="0.2">
      <c r="A852" s="1924">
        <v>2000</v>
      </c>
      <c r="B852" s="1918" t="s">
        <v>1172</v>
      </c>
      <c r="C852" s="1918" t="s">
        <v>49</v>
      </c>
      <c r="D852" s="1918" t="s">
        <v>1159</v>
      </c>
      <c r="E852" s="1919">
        <v>0.55300110578536987</v>
      </c>
      <c r="F852" s="1919">
        <v>0.54787898063659668</v>
      </c>
      <c r="G852" s="1919">
        <v>0.5266730785369873</v>
      </c>
      <c r="H852" s="1919">
        <v>0.53842073678970337</v>
      </c>
    </row>
    <row r="853" spans="1:8" x14ac:dyDescent="0.2">
      <c r="A853" s="1924">
        <v>2001</v>
      </c>
      <c r="B853" s="1918" t="s">
        <v>1172</v>
      </c>
      <c r="C853" s="1918" t="s">
        <v>49</v>
      </c>
      <c r="D853" s="1918" t="s">
        <v>1159</v>
      </c>
      <c r="E853" s="1919">
        <v>0.59745454788208008</v>
      </c>
      <c r="F853" s="1919">
        <v>0.58702707290649414</v>
      </c>
      <c r="G853" s="1919">
        <v>0.56855344772338867</v>
      </c>
      <c r="H853" s="1919">
        <v>0.57822602987289429</v>
      </c>
    </row>
    <row r="854" spans="1:8" x14ac:dyDescent="0.2">
      <c r="A854" s="1924">
        <v>2002</v>
      </c>
      <c r="B854" s="1918" t="s">
        <v>1172</v>
      </c>
      <c r="C854" s="1918" t="s">
        <v>49</v>
      </c>
      <c r="D854" s="1918" t="s">
        <v>1159</v>
      </c>
      <c r="E854" s="1919">
        <v>0.60942864418029785</v>
      </c>
      <c r="F854" s="1919">
        <v>0.59795272350311279</v>
      </c>
      <c r="G854" s="1919">
        <v>0.58019644021987915</v>
      </c>
      <c r="H854" s="1919">
        <v>0.59032952785491943</v>
      </c>
    </row>
    <row r="855" spans="1:8" x14ac:dyDescent="0.2">
      <c r="A855" s="1924">
        <v>2003</v>
      </c>
      <c r="B855" s="1918" t="s">
        <v>1172</v>
      </c>
      <c r="C855" s="1918" t="s">
        <v>49</v>
      </c>
      <c r="D855" s="1918" t="s">
        <v>1159</v>
      </c>
      <c r="E855" s="1919">
        <v>0.59855455160140991</v>
      </c>
      <c r="F855" s="1919">
        <v>0.59051346778869629</v>
      </c>
      <c r="G855" s="1919">
        <v>0.56954371929168701</v>
      </c>
      <c r="H855" s="1919">
        <v>0.57927656173706055</v>
      </c>
    </row>
    <row r="856" spans="1:8" x14ac:dyDescent="0.2">
      <c r="A856" s="1924">
        <v>2004</v>
      </c>
      <c r="B856" s="1918" t="s">
        <v>1172</v>
      </c>
      <c r="C856" s="1918" t="s">
        <v>49</v>
      </c>
      <c r="D856" s="1918" t="s">
        <v>1159</v>
      </c>
      <c r="E856" s="1919">
        <v>0.59994089603424072</v>
      </c>
      <c r="F856" s="1919">
        <v>0.58908307552337646</v>
      </c>
      <c r="G856" s="1919">
        <v>0.57076311111450195</v>
      </c>
      <c r="H856" s="1919">
        <v>0.5798221230506897</v>
      </c>
    </row>
    <row r="857" spans="1:8" x14ac:dyDescent="0.2">
      <c r="A857" s="1924">
        <v>2005</v>
      </c>
      <c r="B857" s="1918" t="s">
        <v>1172</v>
      </c>
      <c r="C857" s="1918" t="s">
        <v>49</v>
      </c>
      <c r="D857" s="1918" t="s">
        <v>1159</v>
      </c>
      <c r="E857" s="1919">
        <v>0.58954811096191406</v>
      </c>
      <c r="F857" s="1919">
        <v>0.58155357837677002</v>
      </c>
      <c r="G857" s="1919">
        <v>0.56125766038894653</v>
      </c>
      <c r="H857" s="1919">
        <v>0.56964868307113647</v>
      </c>
    </row>
    <row r="858" spans="1:8" x14ac:dyDescent="0.2">
      <c r="A858" s="1924">
        <v>2006</v>
      </c>
      <c r="B858" s="1918" t="s">
        <v>1172</v>
      </c>
      <c r="C858" s="1918" t="s">
        <v>49</v>
      </c>
      <c r="D858" s="1918" t="s">
        <v>1159</v>
      </c>
      <c r="E858" s="1919">
        <v>0.55208253860473633</v>
      </c>
      <c r="F858" s="1919">
        <v>0.54767310619354248</v>
      </c>
      <c r="G858" s="1919">
        <v>0.52658963203430176</v>
      </c>
      <c r="H858" s="1919">
        <v>0.53506505489349365</v>
      </c>
    </row>
    <row r="859" spans="1:8" x14ac:dyDescent="0.2">
      <c r="A859" s="1924">
        <v>2007</v>
      </c>
      <c r="B859" s="1918" t="s">
        <v>1172</v>
      </c>
      <c r="C859" s="1918" t="s">
        <v>49</v>
      </c>
      <c r="D859" s="1918" t="s">
        <v>1159</v>
      </c>
      <c r="E859" s="1919">
        <v>0.54844015836715698</v>
      </c>
      <c r="F859" s="1919">
        <v>0.54265415668487549</v>
      </c>
      <c r="G859" s="1919">
        <v>0.52306723594665527</v>
      </c>
      <c r="H859" s="1919">
        <v>0.52953445911407471</v>
      </c>
    </row>
    <row r="860" spans="1:8" x14ac:dyDescent="0.2">
      <c r="A860" s="1924">
        <v>2008</v>
      </c>
      <c r="B860" s="1918" t="s">
        <v>1172</v>
      </c>
      <c r="C860" s="1918" t="s">
        <v>49</v>
      </c>
      <c r="D860" s="1918" t="s">
        <v>1159</v>
      </c>
      <c r="E860" s="1919">
        <v>0.58111900091171265</v>
      </c>
      <c r="F860" s="1919">
        <v>0.57658165693283081</v>
      </c>
      <c r="G860" s="1919">
        <v>0.55330026149749756</v>
      </c>
      <c r="H860" s="1919">
        <v>0.5618293285369873</v>
      </c>
    </row>
    <row r="861" spans="1:8" x14ac:dyDescent="0.2">
      <c r="A861" s="1924">
        <v>2009</v>
      </c>
      <c r="B861" s="1918" t="s">
        <v>1172</v>
      </c>
      <c r="C861" s="1918" t="s">
        <v>49</v>
      </c>
      <c r="D861" s="1918" t="s">
        <v>1159</v>
      </c>
      <c r="E861" s="1919">
        <v>0.6213725209236145</v>
      </c>
      <c r="F861" s="1919">
        <v>0.61794120073318481</v>
      </c>
      <c r="G861" s="1919">
        <v>0.59122008085250854</v>
      </c>
      <c r="H861" s="1919">
        <v>0.60262292623519897</v>
      </c>
    </row>
    <row r="862" spans="1:8" x14ac:dyDescent="0.2">
      <c r="A862" s="1924">
        <v>2010</v>
      </c>
      <c r="B862" s="1918" t="s">
        <v>1172</v>
      </c>
      <c r="C862" s="1918" t="s">
        <v>49</v>
      </c>
      <c r="D862" s="1918" t="s">
        <v>1159</v>
      </c>
      <c r="E862" s="1919">
        <v>0.57728874683380127</v>
      </c>
      <c r="F862" s="1919">
        <v>0.57767027616500854</v>
      </c>
      <c r="G862" s="1919">
        <v>0.55039286613464355</v>
      </c>
      <c r="H862" s="1919">
        <v>0.5612674355506897</v>
      </c>
    </row>
    <row r="863" spans="1:8" x14ac:dyDescent="0.2">
      <c r="A863" s="1924">
        <v>2011</v>
      </c>
      <c r="B863" s="1918" t="s">
        <v>1172</v>
      </c>
      <c r="C863" s="1918" t="s">
        <v>49</v>
      </c>
      <c r="D863" s="1918" t="s">
        <v>1159</v>
      </c>
      <c r="E863" s="1919">
        <v>0.56157618761062622</v>
      </c>
      <c r="F863" s="1919">
        <v>0.56528156995773315</v>
      </c>
      <c r="G863" s="1919">
        <v>0.53503561019897461</v>
      </c>
      <c r="H863" s="1919">
        <v>0.54830902814865112</v>
      </c>
    </row>
    <row r="864" spans="1:8" x14ac:dyDescent="0.2">
      <c r="A864" s="1924">
        <v>2012</v>
      </c>
      <c r="B864" s="1918" t="s">
        <v>1172</v>
      </c>
      <c r="C864" s="1918" t="s">
        <v>49</v>
      </c>
      <c r="D864" s="1918" t="s">
        <v>1159</v>
      </c>
      <c r="E864" s="1919">
        <v>0.58304864168167114</v>
      </c>
      <c r="F864" s="1919">
        <v>0.5843203067779541</v>
      </c>
      <c r="G864" s="1919">
        <v>0.55492132902145386</v>
      </c>
      <c r="H864" s="1919">
        <v>0.56772899627685547</v>
      </c>
    </row>
    <row r="865" spans="1:8" x14ac:dyDescent="0.2">
      <c r="A865" s="1924">
        <v>2013</v>
      </c>
      <c r="B865" s="1918" t="s">
        <v>1172</v>
      </c>
      <c r="C865" s="1918" t="s">
        <v>49</v>
      </c>
      <c r="D865" s="1918" t="s">
        <v>1159</v>
      </c>
      <c r="E865" s="1919">
        <v>0.5758855938911438</v>
      </c>
      <c r="F865" s="1919">
        <v>0.57841938734054565</v>
      </c>
      <c r="G865" s="1919">
        <v>0.54758554697036743</v>
      </c>
      <c r="H865" s="1919">
        <v>0.56048864126205444</v>
      </c>
    </row>
    <row r="866" spans="1:8" x14ac:dyDescent="0.2">
      <c r="A866" s="1924">
        <v>2014</v>
      </c>
      <c r="B866" s="1918" t="s">
        <v>1172</v>
      </c>
      <c r="C866" s="1918" t="s">
        <v>49</v>
      </c>
      <c r="D866" s="1918" t="s">
        <v>1159</v>
      </c>
      <c r="E866" s="1919">
        <v>0.55705028772354126</v>
      </c>
      <c r="F866" s="1919">
        <v>0.57813727855682373</v>
      </c>
      <c r="G866" s="1919">
        <v>0.52884000539779663</v>
      </c>
      <c r="H866" s="1919">
        <v>0.55828332901000977</v>
      </c>
    </row>
    <row r="867" spans="1:8" x14ac:dyDescent="0.2">
      <c r="A867" s="1924">
        <v>2015</v>
      </c>
      <c r="B867" s="1918" t="s">
        <v>1172</v>
      </c>
      <c r="C867" s="1918" t="s">
        <v>49</v>
      </c>
      <c r="D867" s="1918" t="s">
        <v>1159</v>
      </c>
      <c r="E867" s="1919">
        <v>0.53994888067245483</v>
      </c>
      <c r="F867" s="1919">
        <v>0.57246291637420654</v>
      </c>
      <c r="G867" s="1919">
        <v>0.51251477003097534</v>
      </c>
      <c r="H867" s="1919">
        <v>0.55112135410308838</v>
      </c>
    </row>
    <row r="868" spans="1:8" x14ac:dyDescent="0.2">
      <c r="A868" s="1924">
        <v>1994</v>
      </c>
      <c r="B868" s="1918" t="s">
        <v>1171</v>
      </c>
      <c r="C868" s="1918" t="s">
        <v>48</v>
      </c>
      <c r="D868" s="1918" t="s">
        <v>1156</v>
      </c>
      <c r="H868" s="1919">
        <v>0.50151818990707397</v>
      </c>
    </row>
    <row r="869" spans="1:8" x14ac:dyDescent="0.2">
      <c r="A869" s="1924">
        <v>1995</v>
      </c>
      <c r="B869" s="1918" t="s">
        <v>1171</v>
      </c>
      <c r="C869" s="1918" t="s">
        <v>48</v>
      </c>
      <c r="D869" s="1918" t="s">
        <v>1156</v>
      </c>
      <c r="E869" s="1919">
        <v>0.51304376125335693</v>
      </c>
      <c r="F869" s="1919">
        <v>0.62858456373214722</v>
      </c>
      <c r="G869" s="1919">
        <v>0.50341707468032837</v>
      </c>
      <c r="H869" s="1919">
        <v>0.59097898006439209</v>
      </c>
    </row>
    <row r="870" spans="1:8" x14ac:dyDescent="0.2">
      <c r="A870" s="1924">
        <v>1996</v>
      </c>
      <c r="B870" s="1918" t="s">
        <v>1171</v>
      </c>
      <c r="C870" s="1918" t="s">
        <v>48</v>
      </c>
      <c r="D870" s="1918" t="s">
        <v>1156</v>
      </c>
      <c r="E870" s="1919">
        <v>0.54582101106643677</v>
      </c>
      <c r="F870" s="1919">
        <v>0.64840179681777954</v>
      </c>
      <c r="G870" s="1919">
        <v>0.53714889287948608</v>
      </c>
      <c r="H870" s="1919">
        <v>0.66337078809738159</v>
      </c>
    </row>
    <row r="871" spans="1:8" x14ac:dyDescent="0.2">
      <c r="A871" s="1924">
        <v>1997</v>
      </c>
      <c r="B871" s="1918" t="s">
        <v>1171</v>
      </c>
      <c r="C871" s="1918" t="s">
        <v>48</v>
      </c>
      <c r="D871" s="1918" t="s">
        <v>1156</v>
      </c>
      <c r="E871" s="1919">
        <v>0.50419944524765015</v>
      </c>
      <c r="F871" s="1919">
        <v>0.62913799285888672</v>
      </c>
      <c r="G871" s="1919">
        <v>0.49730697274208069</v>
      </c>
      <c r="H871" s="1919">
        <v>0.53536975383758545</v>
      </c>
    </row>
    <row r="872" spans="1:8" x14ac:dyDescent="0.2">
      <c r="A872" s="1924">
        <v>1998</v>
      </c>
      <c r="B872" s="1918" t="s">
        <v>1171</v>
      </c>
      <c r="C872" s="1918" t="s">
        <v>48</v>
      </c>
      <c r="D872" s="1918" t="s">
        <v>1156</v>
      </c>
      <c r="E872" s="1919">
        <v>0.50328195095062256</v>
      </c>
      <c r="F872" s="1919">
        <v>0.60692483186721802</v>
      </c>
      <c r="G872" s="1919">
        <v>0.49708768725395203</v>
      </c>
      <c r="H872" s="1919">
        <v>0.51120567321777344</v>
      </c>
    </row>
    <row r="873" spans="1:8" x14ac:dyDescent="0.2">
      <c r="A873" s="1924">
        <v>1999</v>
      </c>
      <c r="B873" s="1918" t="s">
        <v>1171</v>
      </c>
      <c r="C873" s="1918" t="s">
        <v>48</v>
      </c>
      <c r="D873" s="1918" t="s">
        <v>1156</v>
      </c>
      <c r="E873" s="1919">
        <v>0.50081896781921387</v>
      </c>
      <c r="F873" s="1919">
        <v>0.58619606494903564</v>
      </c>
      <c r="G873" s="1919">
        <v>0.48877468705177307</v>
      </c>
      <c r="H873" s="1919">
        <v>0.50598335266113281</v>
      </c>
    </row>
    <row r="874" spans="1:8" x14ac:dyDescent="0.2">
      <c r="A874" s="1924">
        <v>2000</v>
      </c>
      <c r="B874" s="1918" t="s">
        <v>1171</v>
      </c>
      <c r="C874" s="1918" t="s">
        <v>48</v>
      </c>
      <c r="D874" s="1918" t="s">
        <v>1156</v>
      </c>
      <c r="E874" s="1919">
        <v>0.46932971477508545</v>
      </c>
      <c r="F874" s="1919">
        <v>0.52726417779922485</v>
      </c>
      <c r="G874" s="1919">
        <v>0.45731958746910095</v>
      </c>
      <c r="H874" s="1919">
        <v>0.48433449864387512</v>
      </c>
    </row>
    <row r="875" spans="1:8" x14ac:dyDescent="0.2">
      <c r="A875" s="1924">
        <v>2001</v>
      </c>
      <c r="B875" s="1918" t="s">
        <v>1171</v>
      </c>
      <c r="C875" s="1918" t="s">
        <v>48</v>
      </c>
      <c r="D875" s="1918" t="s">
        <v>1156</v>
      </c>
      <c r="E875" s="1919">
        <v>0.44900611042976379</v>
      </c>
      <c r="F875" s="1919">
        <v>0.48902168869972229</v>
      </c>
      <c r="G875" s="1919">
        <v>0.43527022004127502</v>
      </c>
      <c r="H875" s="1919">
        <v>0.4568420946598053</v>
      </c>
    </row>
    <row r="876" spans="1:8" x14ac:dyDescent="0.2">
      <c r="A876" s="1924">
        <v>2002</v>
      </c>
      <c r="B876" s="1918" t="s">
        <v>1171</v>
      </c>
      <c r="C876" s="1918" t="s">
        <v>48</v>
      </c>
      <c r="D876" s="1918" t="s">
        <v>1156</v>
      </c>
      <c r="E876" s="1919">
        <v>0.41350549459457397</v>
      </c>
      <c r="F876" s="1919">
        <v>0.45053863525390625</v>
      </c>
      <c r="G876" s="1919">
        <v>0.40752381086349487</v>
      </c>
      <c r="H876" s="1919">
        <v>0.42803102731704712</v>
      </c>
    </row>
    <row r="877" spans="1:8" x14ac:dyDescent="0.2">
      <c r="A877" s="1924">
        <v>2003</v>
      </c>
      <c r="B877" s="1918" t="s">
        <v>1171</v>
      </c>
      <c r="C877" s="1918" t="s">
        <v>48</v>
      </c>
      <c r="D877" s="1918" t="s">
        <v>1156</v>
      </c>
      <c r="E877" s="1919">
        <v>0.42436191439628601</v>
      </c>
      <c r="F877" s="1919">
        <v>0.45896565914154053</v>
      </c>
      <c r="G877" s="1919">
        <v>0.41492506861686707</v>
      </c>
      <c r="H877" s="1919">
        <v>0.43811294436454773</v>
      </c>
    </row>
    <row r="878" spans="1:8" x14ac:dyDescent="0.2">
      <c r="A878" s="1924">
        <v>2004</v>
      </c>
      <c r="B878" s="1918" t="s">
        <v>1171</v>
      </c>
      <c r="C878" s="1918" t="s">
        <v>48</v>
      </c>
      <c r="D878" s="1918" t="s">
        <v>1156</v>
      </c>
      <c r="E878" s="1919">
        <v>0.43168208003044128</v>
      </c>
      <c r="F878" s="1919">
        <v>0.46581843495368958</v>
      </c>
      <c r="G878" s="1919">
        <v>0.42058637738227844</v>
      </c>
      <c r="H878" s="1919">
        <v>0.44218182563781738</v>
      </c>
    </row>
    <row r="879" spans="1:8" x14ac:dyDescent="0.2">
      <c r="A879" s="1924">
        <v>2005</v>
      </c>
      <c r="B879" s="1918" t="s">
        <v>1171</v>
      </c>
      <c r="C879" s="1918" t="s">
        <v>48</v>
      </c>
      <c r="D879" s="1918" t="s">
        <v>1156</v>
      </c>
      <c r="E879" s="1919">
        <v>0.46757149696350098</v>
      </c>
      <c r="F879" s="1919">
        <v>0.50149416923522949</v>
      </c>
      <c r="G879" s="1919">
        <v>0.45434102416038513</v>
      </c>
      <c r="H879" s="1919">
        <v>0.47438463568687439</v>
      </c>
    </row>
    <row r="880" spans="1:8" x14ac:dyDescent="0.2">
      <c r="A880" s="1924">
        <v>2006</v>
      </c>
      <c r="B880" s="1918" t="s">
        <v>1171</v>
      </c>
      <c r="C880" s="1918" t="s">
        <v>48</v>
      </c>
      <c r="D880" s="1918" t="s">
        <v>1156</v>
      </c>
      <c r="E880" s="1919">
        <v>0.50201982259750366</v>
      </c>
      <c r="F880" s="1919">
        <v>0.53431540727615356</v>
      </c>
      <c r="G880" s="1919">
        <v>0.48387005925178528</v>
      </c>
      <c r="H880" s="1919">
        <v>0.50589478015899658</v>
      </c>
    </row>
    <row r="881" spans="1:8" x14ac:dyDescent="0.2">
      <c r="A881" s="1924">
        <v>2007</v>
      </c>
      <c r="B881" s="1918" t="s">
        <v>1171</v>
      </c>
      <c r="C881" s="1918" t="s">
        <v>48</v>
      </c>
      <c r="D881" s="1918" t="s">
        <v>1156</v>
      </c>
      <c r="E881" s="1919">
        <v>0.54313266277313232</v>
      </c>
      <c r="F881" s="1919">
        <v>0.57922124862670898</v>
      </c>
      <c r="G881" s="1919">
        <v>0.52294296026229858</v>
      </c>
      <c r="H881" s="1919">
        <v>0.54260122776031494</v>
      </c>
    </row>
    <row r="882" spans="1:8" x14ac:dyDescent="0.2">
      <c r="A882" s="1924">
        <v>2008</v>
      </c>
      <c r="B882" s="1918" t="s">
        <v>1171</v>
      </c>
      <c r="C882" s="1918" t="s">
        <v>48</v>
      </c>
      <c r="D882" s="1918" t="s">
        <v>1156</v>
      </c>
      <c r="E882" s="1919">
        <v>0.5747336745262146</v>
      </c>
      <c r="F882" s="1919">
        <v>0.61390167474746704</v>
      </c>
      <c r="G882" s="1919">
        <v>0.55779129266738892</v>
      </c>
      <c r="H882" s="1919">
        <v>0.58519631624221802</v>
      </c>
    </row>
    <row r="883" spans="1:8" x14ac:dyDescent="0.2">
      <c r="A883" s="1924">
        <v>2009</v>
      </c>
      <c r="B883" s="1918" t="s">
        <v>1171</v>
      </c>
      <c r="C883" s="1918" t="s">
        <v>48</v>
      </c>
      <c r="D883" s="1918" t="s">
        <v>1156</v>
      </c>
      <c r="E883" s="1919">
        <v>0.54590404033660889</v>
      </c>
      <c r="F883" s="1919">
        <v>0.59026575088500977</v>
      </c>
      <c r="G883" s="1919">
        <v>0.5284157395362854</v>
      </c>
      <c r="H883" s="1919">
        <v>0.55337768793106079</v>
      </c>
    </row>
    <row r="884" spans="1:8" x14ac:dyDescent="0.2">
      <c r="A884" s="1924">
        <v>2010</v>
      </c>
      <c r="B884" s="1918" t="s">
        <v>1171</v>
      </c>
      <c r="C884" s="1918" t="s">
        <v>48</v>
      </c>
      <c r="D884" s="1918" t="s">
        <v>1156</v>
      </c>
      <c r="E884" s="1919">
        <v>0.50330358743667603</v>
      </c>
      <c r="F884" s="1919">
        <v>0.54511773586273193</v>
      </c>
      <c r="G884" s="1919">
        <v>0.48655790090560913</v>
      </c>
      <c r="H884" s="1919">
        <v>0.52367299795150757</v>
      </c>
    </row>
    <row r="885" spans="1:8" x14ac:dyDescent="0.2">
      <c r="A885" s="1924">
        <v>2011</v>
      </c>
      <c r="B885" s="1918" t="s">
        <v>1171</v>
      </c>
      <c r="C885" s="1918" t="s">
        <v>48</v>
      </c>
      <c r="D885" s="1918" t="s">
        <v>1156</v>
      </c>
      <c r="E885" s="1919">
        <v>0.45762243866920471</v>
      </c>
      <c r="F885" s="1919">
        <v>0.49947419762611389</v>
      </c>
      <c r="G885" s="1919">
        <v>0.44369843602180481</v>
      </c>
      <c r="H885" s="1919">
        <v>0.46893328428268433</v>
      </c>
    </row>
    <row r="886" spans="1:8" x14ac:dyDescent="0.2">
      <c r="A886" s="1924">
        <v>2012</v>
      </c>
      <c r="B886" s="1918" t="s">
        <v>1171</v>
      </c>
      <c r="C886" s="1918" t="s">
        <v>48</v>
      </c>
      <c r="D886" s="1918" t="s">
        <v>1156</v>
      </c>
      <c r="E886" s="1919">
        <v>0.47408515214920044</v>
      </c>
      <c r="F886" s="1919">
        <v>0.51364624500274658</v>
      </c>
      <c r="G886" s="1919">
        <v>0.46200773119926453</v>
      </c>
      <c r="H886" s="1919">
        <v>0.48340919613838196</v>
      </c>
    </row>
    <row r="887" spans="1:8" x14ac:dyDescent="0.2">
      <c r="A887" s="1924">
        <v>2013</v>
      </c>
      <c r="B887" s="1918" t="s">
        <v>1171</v>
      </c>
      <c r="C887" s="1918" t="s">
        <v>48</v>
      </c>
      <c r="D887" s="1918" t="s">
        <v>1156</v>
      </c>
      <c r="E887" s="1919">
        <v>0.50312316417694092</v>
      </c>
      <c r="F887" s="1919">
        <v>0.54145801067352295</v>
      </c>
      <c r="G887" s="1919">
        <v>0.48656246066093445</v>
      </c>
      <c r="H887" s="1919">
        <v>0.50661355257034302</v>
      </c>
    </row>
    <row r="888" spans="1:8" x14ac:dyDescent="0.2">
      <c r="A888" s="1924">
        <v>2014</v>
      </c>
      <c r="B888" s="1918" t="s">
        <v>1171</v>
      </c>
      <c r="C888" s="1918" t="s">
        <v>48</v>
      </c>
      <c r="D888" s="1918" t="s">
        <v>1156</v>
      </c>
      <c r="E888" s="1919">
        <v>0.52491450309753418</v>
      </c>
      <c r="F888" s="1919">
        <v>0.56743669509887695</v>
      </c>
      <c r="G888" s="1919">
        <v>0.50715923309326172</v>
      </c>
      <c r="H888" s="1919">
        <v>0.51698929071426392</v>
      </c>
    </row>
    <row r="889" spans="1:8" x14ac:dyDescent="0.2">
      <c r="A889" s="1924">
        <v>2015</v>
      </c>
      <c r="B889" s="1918" t="s">
        <v>1171</v>
      </c>
      <c r="C889" s="1918" t="s">
        <v>48</v>
      </c>
      <c r="D889" s="1918" t="s">
        <v>1156</v>
      </c>
      <c r="E889" s="1919">
        <v>0.55323714017868042</v>
      </c>
      <c r="F889" s="1919">
        <v>0.6052970290184021</v>
      </c>
      <c r="G889" s="1919">
        <v>0.53400015830993652</v>
      </c>
      <c r="H889" s="1919">
        <v>0.54581934213638306</v>
      </c>
    </row>
    <row r="890" spans="1:8" x14ac:dyDescent="0.2">
      <c r="A890" s="1924">
        <v>2000</v>
      </c>
      <c r="B890" s="1918" t="s">
        <v>1170</v>
      </c>
      <c r="C890" s="1918" t="s">
        <v>96</v>
      </c>
      <c r="D890" s="1918" t="s">
        <v>1156</v>
      </c>
      <c r="H890" s="1919">
        <v>0.44815772771835327</v>
      </c>
    </row>
    <row r="891" spans="1:8" x14ac:dyDescent="0.2">
      <c r="A891" s="1924">
        <v>2001</v>
      </c>
      <c r="B891" s="1918" t="s">
        <v>1170</v>
      </c>
      <c r="C891" s="1918" t="s">
        <v>96</v>
      </c>
      <c r="D891" s="1918" t="s">
        <v>1156</v>
      </c>
      <c r="H891" s="1919">
        <v>0.48888811469078064</v>
      </c>
    </row>
    <row r="892" spans="1:8" x14ac:dyDescent="0.2">
      <c r="A892" s="1924">
        <v>2002</v>
      </c>
      <c r="B892" s="1918" t="s">
        <v>1170</v>
      </c>
      <c r="C892" s="1918" t="s">
        <v>96</v>
      </c>
      <c r="D892" s="1918" t="s">
        <v>1156</v>
      </c>
      <c r="H892" s="1919">
        <v>0.47885230183601379</v>
      </c>
    </row>
    <row r="893" spans="1:8" x14ac:dyDescent="0.2">
      <c r="A893" s="1924">
        <v>2003</v>
      </c>
      <c r="B893" s="1918" t="s">
        <v>1170</v>
      </c>
      <c r="C893" s="1918" t="s">
        <v>96</v>
      </c>
      <c r="D893" s="1918" t="s">
        <v>1156</v>
      </c>
      <c r="H893" s="1919">
        <v>0.49294441938400269</v>
      </c>
    </row>
    <row r="894" spans="1:8" x14ac:dyDescent="0.2">
      <c r="A894" s="1924">
        <v>2004</v>
      </c>
      <c r="B894" s="1918" t="s">
        <v>1170</v>
      </c>
      <c r="C894" s="1918" t="s">
        <v>96</v>
      </c>
      <c r="D894" s="1918" t="s">
        <v>1156</v>
      </c>
      <c r="H894" s="1919">
        <v>0.49757099151611328</v>
      </c>
    </row>
    <row r="895" spans="1:8" x14ac:dyDescent="0.2">
      <c r="A895" s="1924">
        <v>2005</v>
      </c>
      <c r="B895" s="1918" t="s">
        <v>1170</v>
      </c>
      <c r="C895" s="1918" t="s">
        <v>96</v>
      </c>
      <c r="D895" s="1918" t="s">
        <v>1156</v>
      </c>
      <c r="H895" s="1919">
        <v>0.47682800889015198</v>
      </c>
    </row>
    <row r="896" spans="1:8" x14ac:dyDescent="0.2">
      <c r="A896" s="1924">
        <v>2006</v>
      </c>
      <c r="B896" s="1918" t="s">
        <v>1170</v>
      </c>
      <c r="C896" s="1918" t="s">
        <v>96</v>
      </c>
      <c r="D896" s="1918" t="s">
        <v>1156</v>
      </c>
      <c r="H896" s="1919">
        <v>0.48577892780303955</v>
      </c>
    </row>
    <row r="897" spans="1:8" x14ac:dyDescent="0.2">
      <c r="A897" s="1924">
        <v>2007</v>
      </c>
      <c r="B897" s="1918" t="s">
        <v>1170</v>
      </c>
      <c r="C897" s="1918" t="s">
        <v>96</v>
      </c>
      <c r="D897" s="1918" t="s">
        <v>1156</v>
      </c>
      <c r="E897" s="1919">
        <v>0.58911925554275513</v>
      </c>
      <c r="G897" s="1919">
        <v>0.48690664768218994</v>
      </c>
      <c r="H897" s="1919">
        <v>0.47326439619064331</v>
      </c>
    </row>
    <row r="898" spans="1:8" x14ac:dyDescent="0.2">
      <c r="A898" s="1924">
        <v>2008</v>
      </c>
      <c r="B898" s="1918" t="s">
        <v>1170</v>
      </c>
      <c r="C898" s="1918" t="s">
        <v>96</v>
      </c>
      <c r="D898" s="1918" t="s">
        <v>1156</v>
      </c>
      <c r="E898" s="1919">
        <v>0.5573773980140686</v>
      </c>
      <c r="G898" s="1919">
        <v>0.46496361494064331</v>
      </c>
      <c r="H898" s="1919">
        <v>0.45515507459640503</v>
      </c>
    </row>
    <row r="899" spans="1:8" x14ac:dyDescent="0.2">
      <c r="A899" s="1924">
        <v>2009</v>
      </c>
      <c r="B899" s="1918" t="s">
        <v>1170</v>
      </c>
      <c r="C899" s="1918" t="s">
        <v>96</v>
      </c>
      <c r="D899" s="1918" t="s">
        <v>1156</v>
      </c>
      <c r="E899" s="1919">
        <v>0.56042665243148804</v>
      </c>
      <c r="G899" s="1919">
        <v>0.47840780019760132</v>
      </c>
      <c r="H899" s="1919">
        <v>0.48007911443710327</v>
      </c>
    </row>
    <row r="900" spans="1:8" x14ac:dyDescent="0.2">
      <c r="A900" s="1924">
        <v>2010</v>
      </c>
      <c r="B900" s="1918" t="s">
        <v>1170</v>
      </c>
      <c r="C900" s="1918" t="s">
        <v>96</v>
      </c>
      <c r="D900" s="1918" t="s">
        <v>1156</v>
      </c>
      <c r="E900" s="1919">
        <v>0.5692441463470459</v>
      </c>
      <c r="G900" s="1919">
        <v>0.46901306509971619</v>
      </c>
      <c r="H900" s="1919">
        <v>0.45436000823974609</v>
      </c>
    </row>
    <row r="901" spans="1:8" x14ac:dyDescent="0.2">
      <c r="A901" s="1924">
        <v>2011</v>
      </c>
      <c r="B901" s="1918" t="s">
        <v>1170</v>
      </c>
      <c r="C901" s="1918" t="s">
        <v>96</v>
      </c>
      <c r="D901" s="1918" t="s">
        <v>1156</v>
      </c>
      <c r="E901" s="1919">
        <v>0.59339624643325806</v>
      </c>
      <c r="G901" s="1919">
        <v>0.49095812439918518</v>
      </c>
      <c r="H901" s="1919">
        <v>0.48364543914794922</v>
      </c>
    </row>
    <row r="902" spans="1:8" x14ac:dyDescent="0.2">
      <c r="A902" s="1924">
        <v>2012</v>
      </c>
      <c r="B902" s="1918" t="s">
        <v>1170</v>
      </c>
      <c r="C902" s="1918" t="s">
        <v>96</v>
      </c>
      <c r="D902" s="1918" t="s">
        <v>1156</v>
      </c>
      <c r="E902" s="1919">
        <v>0.57058179378509521</v>
      </c>
      <c r="G902" s="1919">
        <v>0.47673851251602173</v>
      </c>
      <c r="H902" s="1919">
        <v>0.48199251294136047</v>
      </c>
    </row>
    <row r="903" spans="1:8" x14ac:dyDescent="0.2">
      <c r="A903" s="1924">
        <v>2013</v>
      </c>
      <c r="B903" s="1918" t="s">
        <v>1170</v>
      </c>
      <c r="C903" s="1918" t="s">
        <v>96</v>
      </c>
      <c r="D903" s="1918" t="s">
        <v>1156</v>
      </c>
      <c r="E903" s="1919">
        <v>0.55499094724655151</v>
      </c>
      <c r="G903" s="1919">
        <v>0.46002393960952759</v>
      </c>
      <c r="H903" s="1919">
        <v>0.47623181343078613</v>
      </c>
    </row>
    <row r="904" spans="1:8" x14ac:dyDescent="0.2">
      <c r="A904" s="1924">
        <v>2014</v>
      </c>
      <c r="B904" s="1918" t="s">
        <v>1170</v>
      </c>
      <c r="C904" s="1918" t="s">
        <v>96</v>
      </c>
      <c r="D904" s="1918" t="s">
        <v>1156</v>
      </c>
      <c r="E904" s="1919">
        <v>0.51575946807861328</v>
      </c>
      <c r="G904" s="1919">
        <v>0.42727720737457275</v>
      </c>
      <c r="H904" s="1919">
        <v>0.45357075333595276</v>
      </c>
    </row>
    <row r="905" spans="1:8" x14ac:dyDescent="0.2">
      <c r="A905" s="1924">
        <v>2015</v>
      </c>
      <c r="B905" s="1918" t="s">
        <v>1170</v>
      </c>
      <c r="C905" s="1918" t="s">
        <v>96</v>
      </c>
      <c r="D905" s="1918" t="s">
        <v>1156</v>
      </c>
      <c r="E905" s="1919">
        <v>0.48921078443527222</v>
      </c>
      <c r="G905" s="1919">
        <v>0.40513402223587036</v>
      </c>
      <c r="H905" s="1919">
        <v>0.43091452121734619</v>
      </c>
    </row>
    <row r="906" spans="1:8" x14ac:dyDescent="0.2">
      <c r="A906" s="1924">
        <v>1970</v>
      </c>
      <c r="B906" s="1918" t="s">
        <v>1169</v>
      </c>
      <c r="C906" s="1918" t="s">
        <v>51</v>
      </c>
      <c r="D906" s="1918" t="s">
        <v>1159</v>
      </c>
      <c r="E906" s="1919">
        <v>0.75903105735778809</v>
      </c>
      <c r="G906" s="1919">
        <v>0.60812801122665405</v>
      </c>
    </row>
    <row r="907" spans="1:8" x14ac:dyDescent="0.2">
      <c r="A907" s="1924">
        <v>1971</v>
      </c>
      <c r="B907" s="1918" t="s">
        <v>1169</v>
      </c>
      <c r="C907" s="1918" t="s">
        <v>51</v>
      </c>
      <c r="D907" s="1918" t="s">
        <v>1159</v>
      </c>
      <c r="E907" s="1919">
        <v>0.77000725269317627</v>
      </c>
      <c r="G907" s="1919">
        <v>0.61822456121444702</v>
      </c>
    </row>
    <row r="908" spans="1:8" x14ac:dyDescent="0.2">
      <c r="A908" s="1924">
        <v>1972</v>
      </c>
      <c r="B908" s="1918" t="s">
        <v>1169</v>
      </c>
      <c r="C908" s="1918" t="s">
        <v>51</v>
      </c>
      <c r="D908" s="1918" t="s">
        <v>1159</v>
      </c>
      <c r="E908" s="1919">
        <v>0.76867425441741943</v>
      </c>
      <c r="G908" s="1919">
        <v>0.61473989486694336</v>
      </c>
    </row>
    <row r="909" spans="1:8" x14ac:dyDescent="0.2">
      <c r="A909" s="1924">
        <v>1973</v>
      </c>
      <c r="B909" s="1918" t="s">
        <v>1169</v>
      </c>
      <c r="C909" s="1918" t="s">
        <v>51</v>
      </c>
      <c r="D909" s="1918" t="s">
        <v>1159</v>
      </c>
      <c r="E909" s="1919">
        <v>0.77349990606307983</v>
      </c>
      <c r="G909" s="1919">
        <v>0.62035071849822998</v>
      </c>
    </row>
    <row r="910" spans="1:8" x14ac:dyDescent="0.2">
      <c r="A910" s="1924">
        <v>1974</v>
      </c>
      <c r="B910" s="1918" t="s">
        <v>1169</v>
      </c>
      <c r="C910" s="1918" t="s">
        <v>51</v>
      </c>
      <c r="D910" s="1918" t="s">
        <v>1159</v>
      </c>
      <c r="E910" s="1919">
        <v>0.78152483701705933</v>
      </c>
      <c r="G910" s="1919">
        <v>0.62598097324371338</v>
      </c>
    </row>
    <row r="911" spans="1:8" x14ac:dyDescent="0.2">
      <c r="A911" s="1924">
        <v>1975</v>
      </c>
      <c r="B911" s="1918" t="s">
        <v>1169</v>
      </c>
      <c r="C911" s="1918" t="s">
        <v>51</v>
      </c>
      <c r="D911" s="1918" t="s">
        <v>1159</v>
      </c>
      <c r="E911" s="1919">
        <v>0.80399453639984131</v>
      </c>
      <c r="G911" s="1919">
        <v>0.6441541314125061</v>
      </c>
    </row>
    <row r="912" spans="1:8" x14ac:dyDescent="0.2">
      <c r="A912" s="1924">
        <v>1976</v>
      </c>
      <c r="B912" s="1918" t="s">
        <v>1169</v>
      </c>
      <c r="C912" s="1918" t="s">
        <v>51</v>
      </c>
      <c r="D912" s="1918" t="s">
        <v>1159</v>
      </c>
      <c r="E912" s="1919">
        <v>0.78140807151794434</v>
      </c>
      <c r="G912" s="1919">
        <v>0.62752038240432739</v>
      </c>
    </row>
    <row r="913" spans="1:8" x14ac:dyDescent="0.2">
      <c r="A913" s="1924">
        <v>1977</v>
      </c>
      <c r="B913" s="1918" t="s">
        <v>1169</v>
      </c>
      <c r="C913" s="1918" t="s">
        <v>51</v>
      </c>
      <c r="D913" s="1918" t="s">
        <v>1159</v>
      </c>
      <c r="E913" s="1919">
        <v>0.7797587513923645</v>
      </c>
      <c r="G913" s="1919">
        <v>0.63046067953109741</v>
      </c>
    </row>
    <row r="914" spans="1:8" x14ac:dyDescent="0.2">
      <c r="A914" s="1924">
        <v>1978</v>
      </c>
      <c r="B914" s="1918" t="s">
        <v>1169</v>
      </c>
      <c r="C914" s="1918" t="s">
        <v>51</v>
      </c>
      <c r="D914" s="1918" t="s">
        <v>1159</v>
      </c>
      <c r="E914" s="1919">
        <v>0.78035926818847656</v>
      </c>
      <c r="G914" s="1919">
        <v>0.63015615940093994</v>
      </c>
    </row>
    <row r="915" spans="1:8" x14ac:dyDescent="0.2">
      <c r="A915" s="1924">
        <v>1979</v>
      </c>
      <c r="B915" s="1918" t="s">
        <v>1169</v>
      </c>
      <c r="C915" s="1918" t="s">
        <v>51</v>
      </c>
      <c r="D915" s="1918" t="s">
        <v>1159</v>
      </c>
      <c r="E915" s="1919">
        <v>0.78657567501068115</v>
      </c>
      <c r="G915" s="1919">
        <v>0.63558202981948853</v>
      </c>
    </row>
    <row r="916" spans="1:8" x14ac:dyDescent="0.2">
      <c r="A916" s="1924">
        <v>1980</v>
      </c>
      <c r="B916" s="1918" t="s">
        <v>1169</v>
      </c>
      <c r="C916" s="1918" t="s">
        <v>51</v>
      </c>
      <c r="D916" s="1918" t="s">
        <v>1159</v>
      </c>
      <c r="E916" s="1919">
        <v>0.7664564847946167</v>
      </c>
      <c r="G916" s="1919">
        <v>0.6237562894821167</v>
      </c>
      <c r="H916" s="1919">
        <v>0.66139614582061768</v>
      </c>
    </row>
    <row r="917" spans="1:8" x14ac:dyDescent="0.2">
      <c r="A917" s="1924">
        <v>1981</v>
      </c>
      <c r="B917" s="1918" t="s">
        <v>1169</v>
      </c>
      <c r="C917" s="1918" t="s">
        <v>51</v>
      </c>
      <c r="D917" s="1918" t="s">
        <v>1159</v>
      </c>
      <c r="E917" s="1919">
        <v>0.74145209789276123</v>
      </c>
      <c r="G917" s="1919">
        <v>0.60309690237045288</v>
      </c>
      <c r="H917" s="1919">
        <v>0.64474451541900635</v>
      </c>
    </row>
    <row r="918" spans="1:8" x14ac:dyDescent="0.2">
      <c r="A918" s="1924">
        <v>1982</v>
      </c>
      <c r="B918" s="1918" t="s">
        <v>1169</v>
      </c>
      <c r="C918" s="1918" t="s">
        <v>51</v>
      </c>
      <c r="D918" s="1918" t="s">
        <v>1159</v>
      </c>
      <c r="E918" s="1919">
        <v>0.74127769470214844</v>
      </c>
      <c r="G918" s="1919">
        <v>0.59775876998901367</v>
      </c>
      <c r="H918" s="1919">
        <v>0.63687258958816528</v>
      </c>
    </row>
    <row r="919" spans="1:8" x14ac:dyDescent="0.2">
      <c r="A919" s="1924">
        <v>1983</v>
      </c>
      <c r="B919" s="1918" t="s">
        <v>1169</v>
      </c>
      <c r="C919" s="1918" t="s">
        <v>51</v>
      </c>
      <c r="D919" s="1918" t="s">
        <v>1159</v>
      </c>
      <c r="E919" s="1919">
        <v>0.72111928462982178</v>
      </c>
      <c r="G919" s="1919">
        <v>0.57888269424438477</v>
      </c>
      <c r="H919" s="1919">
        <v>0.62005221843719482</v>
      </c>
    </row>
    <row r="920" spans="1:8" x14ac:dyDescent="0.2">
      <c r="A920" s="1924">
        <v>1984</v>
      </c>
      <c r="B920" s="1918" t="s">
        <v>1169</v>
      </c>
      <c r="C920" s="1918" t="s">
        <v>51</v>
      </c>
      <c r="D920" s="1918" t="s">
        <v>1159</v>
      </c>
      <c r="E920" s="1919">
        <v>0.69306433200836182</v>
      </c>
      <c r="G920" s="1919">
        <v>0.55561137199401855</v>
      </c>
      <c r="H920" s="1919">
        <v>0.59837919473648071</v>
      </c>
    </row>
    <row r="921" spans="1:8" x14ac:dyDescent="0.2">
      <c r="A921" s="1924">
        <v>1985</v>
      </c>
      <c r="B921" s="1918" t="s">
        <v>1169</v>
      </c>
      <c r="C921" s="1918" t="s">
        <v>51</v>
      </c>
      <c r="D921" s="1918" t="s">
        <v>1159</v>
      </c>
      <c r="E921" s="1919">
        <v>0.68357229232788086</v>
      </c>
      <c r="G921" s="1919">
        <v>0.54759055376052856</v>
      </c>
      <c r="H921" s="1919">
        <v>0.60060650110244751</v>
      </c>
    </row>
    <row r="922" spans="1:8" x14ac:dyDescent="0.2">
      <c r="A922" s="1924">
        <v>1986</v>
      </c>
      <c r="B922" s="1918" t="s">
        <v>1169</v>
      </c>
      <c r="C922" s="1918" t="s">
        <v>51</v>
      </c>
      <c r="D922" s="1918" t="s">
        <v>1159</v>
      </c>
      <c r="E922" s="1919">
        <v>0.70152682065963745</v>
      </c>
      <c r="G922" s="1919">
        <v>0.56580722332000732</v>
      </c>
      <c r="H922" s="1919">
        <v>0.61139243841171265</v>
      </c>
    </row>
    <row r="923" spans="1:8" x14ac:dyDescent="0.2">
      <c r="A923" s="1924">
        <v>1987</v>
      </c>
      <c r="B923" s="1918" t="s">
        <v>1169</v>
      </c>
      <c r="C923" s="1918" t="s">
        <v>51</v>
      </c>
      <c r="D923" s="1918" t="s">
        <v>1159</v>
      </c>
      <c r="E923" s="1919">
        <v>0.73020511865615845</v>
      </c>
      <c r="G923" s="1919">
        <v>0.59099125862121582</v>
      </c>
      <c r="H923" s="1919">
        <v>0.62622255086898804</v>
      </c>
    </row>
    <row r="924" spans="1:8" x14ac:dyDescent="0.2">
      <c r="A924" s="1924">
        <v>1988</v>
      </c>
      <c r="B924" s="1918" t="s">
        <v>1169</v>
      </c>
      <c r="C924" s="1918" t="s">
        <v>51</v>
      </c>
      <c r="D924" s="1918" t="s">
        <v>1159</v>
      </c>
      <c r="E924" s="1919">
        <v>0.71784740686416626</v>
      </c>
      <c r="G924" s="1919">
        <v>0.58262526988983154</v>
      </c>
      <c r="H924" s="1919">
        <v>0.61890679597854614</v>
      </c>
    </row>
    <row r="925" spans="1:8" x14ac:dyDescent="0.2">
      <c r="A925" s="1924">
        <v>1989</v>
      </c>
      <c r="B925" s="1918" t="s">
        <v>1169</v>
      </c>
      <c r="C925" s="1918" t="s">
        <v>51</v>
      </c>
      <c r="D925" s="1918" t="s">
        <v>1159</v>
      </c>
      <c r="E925" s="1919">
        <v>0.69857025146484375</v>
      </c>
      <c r="G925" s="1919">
        <v>0.56936585903167725</v>
      </c>
      <c r="H925" s="1919">
        <v>0.60557407140731812</v>
      </c>
    </row>
    <row r="926" spans="1:8" x14ac:dyDescent="0.2">
      <c r="A926" s="1924">
        <v>1990</v>
      </c>
      <c r="B926" s="1918" t="s">
        <v>1169</v>
      </c>
      <c r="C926" s="1918" t="s">
        <v>51</v>
      </c>
      <c r="D926" s="1918" t="s">
        <v>1159</v>
      </c>
      <c r="E926" s="1919">
        <v>0.70616894960403442</v>
      </c>
      <c r="G926" s="1919">
        <v>0.57636928558349609</v>
      </c>
      <c r="H926" s="1919">
        <v>0.61392372846603394</v>
      </c>
    </row>
    <row r="927" spans="1:8" x14ac:dyDescent="0.2">
      <c r="A927" s="1924">
        <v>1991</v>
      </c>
      <c r="B927" s="1918" t="s">
        <v>1169</v>
      </c>
      <c r="C927" s="1918" t="s">
        <v>51</v>
      </c>
      <c r="D927" s="1918" t="s">
        <v>1159</v>
      </c>
      <c r="E927" s="1919">
        <v>0.71344888210296631</v>
      </c>
      <c r="G927" s="1919">
        <v>0.57981956005096436</v>
      </c>
      <c r="H927" s="1919">
        <v>0.61676323413848877</v>
      </c>
    </row>
    <row r="928" spans="1:8" x14ac:dyDescent="0.2">
      <c r="A928" s="1924">
        <v>1992</v>
      </c>
      <c r="B928" s="1918" t="s">
        <v>1169</v>
      </c>
      <c r="C928" s="1918" t="s">
        <v>51</v>
      </c>
      <c r="D928" s="1918" t="s">
        <v>1159</v>
      </c>
      <c r="E928" s="1919">
        <v>0.73325693607330322</v>
      </c>
      <c r="G928" s="1919">
        <v>0.59481287002563477</v>
      </c>
      <c r="H928" s="1919">
        <v>0.63134527206420898</v>
      </c>
    </row>
    <row r="929" spans="1:8" x14ac:dyDescent="0.2">
      <c r="A929" s="1924">
        <v>1993</v>
      </c>
      <c r="B929" s="1918" t="s">
        <v>1169</v>
      </c>
      <c r="C929" s="1918" t="s">
        <v>51</v>
      </c>
      <c r="D929" s="1918" t="s">
        <v>1159</v>
      </c>
      <c r="E929" s="1919">
        <v>0.73863393068313599</v>
      </c>
      <c r="G929" s="1919">
        <v>0.59266930818557739</v>
      </c>
      <c r="H929" s="1919">
        <v>0.62926220893859863</v>
      </c>
    </row>
    <row r="930" spans="1:8" x14ac:dyDescent="0.2">
      <c r="A930" s="1924">
        <v>1994</v>
      </c>
      <c r="B930" s="1918" t="s">
        <v>1169</v>
      </c>
      <c r="C930" s="1918" t="s">
        <v>51</v>
      </c>
      <c r="D930" s="1918" t="s">
        <v>1159</v>
      </c>
      <c r="E930" s="1919">
        <v>0.72847467660903931</v>
      </c>
      <c r="G930" s="1919">
        <v>0.57822656631469727</v>
      </c>
      <c r="H930" s="1919">
        <v>0.6131281852722168</v>
      </c>
    </row>
    <row r="931" spans="1:8" x14ac:dyDescent="0.2">
      <c r="A931" s="1924">
        <v>1995</v>
      </c>
      <c r="B931" s="1918" t="s">
        <v>1169</v>
      </c>
      <c r="C931" s="1918" t="s">
        <v>51</v>
      </c>
      <c r="D931" s="1918" t="s">
        <v>1159</v>
      </c>
      <c r="E931" s="1919">
        <v>0.71892118453979492</v>
      </c>
      <c r="F931" s="1919">
        <v>0.61310988664627075</v>
      </c>
      <c r="G931" s="1919">
        <v>0.56945377588272095</v>
      </c>
      <c r="H931" s="1919">
        <v>0.60318517684936523</v>
      </c>
    </row>
    <row r="932" spans="1:8" x14ac:dyDescent="0.2">
      <c r="A932" s="1924">
        <v>1996</v>
      </c>
      <c r="B932" s="1918" t="s">
        <v>1169</v>
      </c>
      <c r="C932" s="1918" t="s">
        <v>51</v>
      </c>
      <c r="D932" s="1918" t="s">
        <v>1159</v>
      </c>
      <c r="E932" s="1919">
        <v>0.71258378028869629</v>
      </c>
      <c r="F932" s="1919">
        <v>0.61260926723480225</v>
      </c>
      <c r="G932" s="1919">
        <v>0.5653800368309021</v>
      </c>
      <c r="H932" s="1919">
        <v>0.60284936428070068</v>
      </c>
    </row>
    <row r="933" spans="1:8" x14ac:dyDescent="0.2">
      <c r="A933" s="1924">
        <v>1997</v>
      </c>
      <c r="B933" s="1918" t="s">
        <v>1169</v>
      </c>
      <c r="C933" s="1918" t="s">
        <v>51</v>
      </c>
      <c r="D933" s="1918" t="s">
        <v>1159</v>
      </c>
      <c r="E933" s="1919">
        <v>0.70478039979934692</v>
      </c>
      <c r="F933" s="1919">
        <v>0.60537588596343994</v>
      </c>
      <c r="G933" s="1919">
        <v>0.56167036294937134</v>
      </c>
      <c r="H933" s="1919">
        <v>0.5958716869354248</v>
      </c>
    </row>
    <row r="934" spans="1:8" x14ac:dyDescent="0.2">
      <c r="A934" s="1924">
        <v>1998</v>
      </c>
      <c r="B934" s="1918" t="s">
        <v>1169</v>
      </c>
      <c r="C934" s="1918" t="s">
        <v>51</v>
      </c>
      <c r="D934" s="1918" t="s">
        <v>1159</v>
      </c>
      <c r="E934" s="1919">
        <v>0.69928574562072754</v>
      </c>
      <c r="F934" s="1919">
        <v>0.60742878913879395</v>
      </c>
      <c r="G934" s="1919">
        <v>0.56243515014648438</v>
      </c>
      <c r="H934" s="1919">
        <v>0.59785681962966919</v>
      </c>
    </row>
    <row r="935" spans="1:8" x14ac:dyDescent="0.2">
      <c r="A935" s="1924">
        <v>1999</v>
      </c>
      <c r="B935" s="1918" t="s">
        <v>1169</v>
      </c>
      <c r="C935" s="1918" t="s">
        <v>51</v>
      </c>
      <c r="D935" s="1918" t="s">
        <v>1159</v>
      </c>
      <c r="E935" s="1919">
        <v>0.70287138223648071</v>
      </c>
      <c r="F935" s="1919">
        <v>0.62072420120239258</v>
      </c>
      <c r="G935" s="1919">
        <v>0.56971967220306396</v>
      </c>
      <c r="H935" s="1919">
        <v>0.61130213737487793</v>
      </c>
    </row>
    <row r="936" spans="1:8" x14ac:dyDescent="0.2">
      <c r="A936" s="1924">
        <v>2000</v>
      </c>
      <c r="B936" s="1918" t="s">
        <v>1169</v>
      </c>
      <c r="C936" s="1918" t="s">
        <v>51</v>
      </c>
      <c r="D936" s="1918" t="s">
        <v>1159</v>
      </c>
      <c r="E936" s="1919">
        <v>0.6997562050819397</v>
      </c>
      <c r="F936" s="1919">
        <v>0.62344217300415039</v>
      </c>
      <c r="G936" s="1919">
        <v>0.57162678241729736</v>
      </c>
      <c r="H936" s="1919">
        <v>0.61386632919311523</v>
      </c>
    </row>
    <row r="937" spans="1:8" x14ac:dyDescent="0.2">
      <c r="A937" s="1924">
        <v>2001</v>
      </c>
      <c r="B937" s="1918" t="s">
        <v>1169</v>
      </c>
      <c r="C937" s="1918" t="s">
        <v>51</v>
      </c>
      <c r="D937" s="1918" t="s">
        <v>1159</v>
      </c>
      <c r="E937" s="1919">
        <v>0.67715394496917725</v>
      </c>
      <c r="F937" s="1919">
        <v>0.6027228832244873</v>
      </c>
      <c r="G937" s="1919">
        <v>0.5569075345993042</v>
      </c>
      <c r="H937" s="1919">
        <v>0.59781032800674438</v>
      </c>
    </row>
    <row r="938" spans="1:8" x14ac:dyDescent="0.2">
      <c r="A938" s="1924">
        <v>2002</v>
      </c>
      <c r="B938" s="1918" t="s">
        <v>1169</v>
      </c>
      <c r="C938" s="1918" t="s">
        <v>51</v>
      </c>
      <c r="D938" s="1918" t="s">
        <v>1159</v>
      </c>
      <c r="E938" s="1919">
        <v>0.68171167373657227</v>
      </c>
      <c r="F938" s="1919">
        <v>0.60791850090026855</v>
      </c>
      <c r="G938" s="1919">
        <v>0.56169813871383667</v>
      </c>
      <c r="H938" s="1919">
        <v>0.60258525609970093</v>
      </c>
    </row>
    <row r="939" spans="1:8" x14ac:dyDescent="0.2">
      <c r="A939" s="1924">
        <v>2003</v>
      </c>
      <c r="B939" s="1918" t="s">
        <v>1169</v>
      </c>
      <c r="C939" s="1918" t="s">
        <v>51</v>
      </c>
      <c r="D939" s="1918" t="s">
        <v>1159</v>
      </c>
      <c r="E939" s="1919">
        <v>0.6830945611000061</v>
      </c>
      <c r="F939" s="1919">
        <v>0.61265450716018677</v>
      </c>
      <c r="G939" s="1919">
        <v>0.5617339015007019</v>
      </c>
      <c r="H939" s="1919">
        <v>0.60649687051773071</v>
      </c>
    </row>
    <row r="940" spans="1:8" x14ac:dyDescent="0.2">
      <c r="A940" s="1924">
        <v>2004</v>
      </c>
      <c r="B940" s="1918" t="s">
        <v>1169</v>
      </c>
      <c r="C940" s="1918" t="s">
        <v>51</v>
      </c>
      <c r="D940" s="1918" t="s">
        <v>1159</v>
      </c>
      <c r="E940" s="1919">
        <v>0.67350822687149048</v>
      </c>
      <c r="F940" s="1919">
        <v>0.60148447751998901</v>
      </c>
      <c r="G940" s="1919">
        <v>0.54953598976135254</v>
      </c>
      <c r="H940" s="1919">
        <v>0.59502381086349487</v>
      </c>
    </row>
    <row r="941" spans="1:8" x14ac:dyDescent="0.2">
      <c r="A941" s="1924">
        <v>2005</v>
      </c>
      <c r="B941" s="1918" t="s">
        <v>1169</v>
      </c>
      <c r="C941" s="1918" t="s">
        <v>51</v>
      </c>
      <c r="D941" s="1918" t="s">
        <v>1159</v>
      </c>
      <c r="E941" s="1919">
        <v>0.65528857707977295</v>
      </c>
      <c r="F941" s="1919">
        <v>0.58526545763015747</v>
      </c>
      <c r="G941" s="1919">
        <v>0.53316003084182739</v>
      </c>
      <c r="H941" s="1919">
        <v>0.57921814918518066</v>
      </c>
    </row>
    <row r="942" spans="1:8" x14ac:dyDescent="0.2">
      <c r="A942" s="1924">
        <v>2006</v>
      </c>
      <c r="B942" s="1918" t="s">
        <v>1169</v>
      </c>
      <c r="C942" s="1918" t="s">
        <v>51</v>
      </c>
      <c r="D942" s="1918" t="s">
        <v>1159</v>
      </c>
      <c r="E942" s="1919">
        <v>0.64734083414077759</v>
      </c>
      <c r="F942" s="1919">
        <v>0.57569664716720581</v>
      </c>
      <c r="G942" s="1919">
        <v>0.52357316017150879</v>
      </c>
      <c r="H942" s="1919">
        <v>0.56835192441940308</v>
      </c>
    </row>
    <row r="943" spans="1:8" x14ac:dyDescent="0.2">
      <c r="A943" s="1924">
        <v>2007</v>
      </c>
      <c r="B943" s="1918" t="s">
        <v>1169</v>
      </c>
      <c r="C943" s="1918" t="s">
        <v>51</v>
      </c>
      <c r="D943" s="1918" t="s">
        <v>1159</v>
      </c>
      <c r="E943" s="1919">
        <v>0.65249776840209961</v>
      </c>
      <c r="F943" s="1919">
        <v>0.57926309108734131</v>
      </c>
      <c r="G943" s="1919">
        <v>0.52661377191543579</v>
      </c>
      <c r="H943" s="1919">
        <v>0.57071530818939209</v>
      </c>
    </row>
    <row r="944" spans="1:8" x14ac:dyDescent="0.2">
      <c r="A944" s="1924">
        <v>2008</v>
      </c>
      <c r="B944" s="1918" t="s">
        <v>1169</v>
      </c>
      <c r="C944" s="1918" t="s">
        <v>51</v>
      </c>
      <c r="D944" s="1918" t="s">
        <v>1159</v>
      </c>
      <c r="E944" s="1919">
        <v>0.6581343412399292</v>
      </c>
      <c r="F944" s="1919">
        <v>0.5855332612991333</v>
      </c>
      <c r="G944" s="1919">
        <v>0.53393101692199707</v>
      </c>
      <c r="H944" s="1919">
        <v>0.57706350088119507</v>
      </c>
    </row>
    <row r="945" spans="1:8" x14ac:dyDescent="0.2">
      <c r="A945" s="1924">
        <v>2009</v>
      </c>
      <c r="B945" s="1918" t="s">
        <v>1169</v>
      </c>
      <c r="C945" s="1918" t="s">
        <v>51</v>
      </c>
      <c r="D945" s="1918" t="s">
        <v>1159</v>
      </c>
      <c r="E945" s="1919">
        <v>0.67973101139068604</v>
      </c>
      <c r="F945" s="1919">
        <v>0.59839516878128052</v>
      </c>
      <c r="G945" s="1919">
        <v>0.54927855730056763</v>
      </c>
      <c r="H945" s="1919">
        <v>0.59400111436843872</v>
      </c>
    </row>
    <row r="946" spans="1:8" x14ac:dyDescent="0.2">
      <c r="A946" s="1924">
        <v>2010</v>
      </c>
      <c r="B946" s="1918" t="s">
        <v>1169</v>
      </c>
      <c r="C946" s="1918" t="s">
        <v>51</v>
      </c>
      <c r="D946" s="1918" t="s">
        <v>1159</v>
      </c>
      <c r="E946" s="1919">
        <v>0.6559072732925415</v>
      </c>
      <c r="F946" s="1919">
        <v>0.5769118070602417</v>
      </c>
      <c r="G946" s="1919">
        <v>0.52536773681640625</v>
      </c>
      <c r="H946" s="1919">
        <v>0.57361042499542236</v>
      </c>
    </row>
    <row r="947" spans="1:8" x14ac:dyDescent="0.2">
      <c r="A947" s="1924">
        <v>2011</v>
      </c>
      <c r="B947" s="1918" t="s">
        <v>1169</v>
      </c>
      <c r="C947" s="1918" t="s">
        <v>51</v>
      </c>
      <c r="D947" s="1918" t="s">
        <v>1159</v>
      </c>
      <c r="E947" s="1919">
        <v>0.66045945882797241</v>
      </c>
      <c r="F947" s="1919">
        <v>0.58400076627731323</v>
      </c>
      <c r="G947" s="1919">
        <v>0.52807706594467163</v>
      </c>
      <c r="H947" s="1919">
        <v>0.5802348256111145</v>
      </c>
    </row>
    <row r="948" spans="1:8" x14ac:dyDescent="0.2">
      <c r="A948" s="1924">
        <v>2012</v>
      </c>
      <c r="B948" s="1918" t="s">
        <v>1169</v>
      </c>
      <c r="C948" s="1918" t="s">
        <v>51</v>
      </c>
      <c r="D948" s="1918" t="s">
        <v>1159</v>
      </c>
      <c r="E948" s="1919">
        <v>0.66376900672912598</v>
      </c>
      <c r="F948" s="1919">
        <v>0.5815507173538208</v>
      </c>
      <c r="G948" s="1919">
        <v>0.52841120958328247</v>
      </c>
      <c r="H948" s="1919">
        <v>0.57939958572387695</v>
      </c>
    </row>
    <row r="949" spans="1:8" x14ac:dyDescent="0.2">
      <c r="A949" s="1924">
        <v>2013</v>
      </c>
      <c r="B949" s="1918" t="s">
        <v>1169</v>
      </c>
      <c r="C949" s="1918" t="s">
        <v>51</v>
      </c>
      <c r="D949" s="1918" t="s">
        <v>1159</v>
      </c>
      <c r="E949" s="1919">
        <v>0.66699683666229248</v>
      </c>
      <c r="F949" s="1919">
        <v>0.58161783218383789</v>
      </c>
      <c r="G949" s="1919">
        <v>0.53011268377304077</v>
      </c>
      <c r="H949" s="1919">
        <v>0.57880222797393799</v>
      </c>
    </row>
    <row r="950" spans="1:8" x14ac:dyDescent="0.2">
      <c r="A950" s="1924">
        <v>2014</v>
      </c>
      <c r="B950" s="1918" t="s">
        <v>1169</v>
      </c>
      <c r="C950" s="1918" t="s">
        <v>51</v>
      </c>
      <c r="D950" s="1918" t="s">
        <v>1159</v>
      </c>
      <c r="E950" s="1919">
        <v>0.67159116268157959</v>
      </c>
      <c r="F950" s="1919">
        <v>0.58521044254302979</v>
      </c>
      <c r="G950" s="1919">
        <v>0.53125917911529541</v>
      </c>
      <c r="H950" s="1919">
        <v>0.58155202865600586</v>
      </c>
    </row>
    <row r="951" spans="1:8" x14ac:dyDescent="0.2">
      <c r="A951" s="1924">
        <v>2015</v>
      </c>
      <c r="B951" s="1918" t="s">
        <v>1169</v>
      </c>
      <c r="C951" s="1918" t="s">
        <v>51</v>
      </c>
      <c r="D951" s="1918" t="s">
        <v>1159</v>
      </c>
      <c r="E951" s="1919">
        <v>0.66685390472412109</v>
      </c>
      <c r="F951" s="1919">
        <v>0.57242017984390259</v>
      </c>
      <c r="G951" s="1919">
        <v>0.52821296453475952</v>
      </c>
      <c r="H951" s="1919">
        <v>0.56882506608963013</v>
      </c>
    </row>
    <row r="952" spans="1:8" x14ac:dyDescent="0.2">
      <c r="A952" s="1924">
        <v>1975</v>
      </c>
      <c r="B952" s="1918" t="s">
        <v>1168</v>
      </c>
      <c r="C952" s="1918" t="s">
        <v>53</v>
      </c>
      <c r="D952" s="1918" t="s">
        <v>1167</v>
      </c>
      <c r="E952" s="1919">
        <v>0.68608438968658447</v>
      </c>
      <c r="G952" s="1919">
        <v>0.61155712604522705</v>
      </c>
    </row>
    <row r="953" spans="1:8" x14ac:dyDescent="0.2">
      <c r="A953" s="1924">
        <v>1976</v>
      </c>
      <c r="B953" s="1918" t="s">
        <v>1168</v>
      </c>
      <c r="C953" s="1918" t="s">
        <v>53</v>
      </c>
      <c r="D953" s="1918" t="s">
        <v>1167</v>
      </c>
      <c r="E953" s="1919">
        <v>0.7006988525390625</v>
      </c>
      <c r="G953" s="1919">
        <v>0.62830543518066406</v>
      </c>
    </row>
    <row r="954" spans="1:8" x14ac:dyDescent="0.2">
      <c r="A954" s="1924">
        <v>1977</v>
      </c>
      <c r="B954" s="1918" t="s">
        <v>1168</v>
      </c>
      <c r="C954" s="1918" t="s">
        <v>53</v>
      </c>
      <c r="D954" s="1918" t="s">
        <v>1167</v>
      </c>
      <c r="E954" s="1919">
        <v>0.70885384082794189</v>
      </c>
      <c r="G954" s="1919">
        <v>0.63730788230895996</v>
      </c>
    </row>
    <row r="955" spans="1:8" x14ac:dyDescent="0.2">
      <c r="A955" s="1924">
        <v>1978</v>
      </c>
      <c r="B955" s="1918" t="s">
        <v>1168</v>
      </c>
      <c r="C955" s="1918" t="s">
        <v>53</v>
      </c>
      <c r="D955" s="1918" t="s">
        <v>1167</v>
      </c>
      <c r="E955" s="1919">
        <v>0.69473546743392944</v>
      </c>
      <c r="G955" s="1919">
        <v>0.62470901012420654</v>
      </c>
      <c r="H955" s="1919">
        <v>0.6517103910446167</v>
      </c>
    </row>
    <row r="956" spans="1:8" x14ac:dyDescent="0.2">
      <c r="A956" s="1924">
        <v>1979</v>
      </c>
      <c r="B956" s="1918" t="s">
        <v>1168</v>
      </c>
      <c r="C956" s="1918" t="s">
        <v>53</v>
      </c>
      <c r="D956" s="1918" t="s">
        <v>1167</v>
      </c>
      <c r="E956" s="1919">
        <v>0.65038245916366577</v>
      </c>
      <c r="G956" s="1919">
        <v>0.58451950550079346</v>
      </c>
      <c r="H956" s="1919">
        <v>0.5898205041885376</v>
      </c>
    </row>
    <row r="957" spans="1:8" x14ac:dyDescent="0.2">
      <c r="A957" s="1924">
        <v>1980</v>
      </c>
      <c r="B957" s="1918" t="s">
        <v>1168</v>
      </c>
      <c r="C957" s="1918" t="s">
        <v>53</v>
      </c>
      <c r="D957" s="1918" t="s">
        <v>1167</v>
      </c>
      <c r="E957" s="1919">
        <v>0.58343106508255005</v>
      </c>
      <c r="G957" s="1919">
        <v>0.52478092908859253</v>
      </c>
      <c r="H957" s="1919">
        <v>0.54039788246154785</v>
      </c>
    </row>
    <row r="958" spans="1:8" x14ac:dyDescent="0.2">
      <c r="A958" s="1924">
        <v>1981</v>
      </c>
      <c r="B958" s="1918" t="s">
        <v>1168</v>
      </c>
      <c r="C958" s="1918" t="s">
        <v>53</v>
      </c>
      <c r="D958" s="1918" t="s">
        <v>1167</v>
      </c>
      <c r="E958" s="1919">
        <v>0.57117074728012085</v>
      </c>
      <c r="G958" s="1919">
        <v>0.51362192630767822</v>
      </c>
      <c r="H958" s="1919">
        <v>0.53233885765075684</v>
      </c>
    </row>
    <row r="959" spans="1:8" x14ac:dyDescent="0.2">
      <c r="A959" s="1924">
        <v>1982</v>
      </c>
      <c r="B959" s="1918" t="s">
        <v>1168</v>
      </c>
      <c r="C959" s="1918" t="s">
        <v>53</v>
      </c>
      <c r="D959" s="1918" t="s">
        <v>1167</v>
      </c>
      <c r="E959" s="1919">
        <v>0.57479894161224365</v>
      </c>
      <c r="G959" s="1919">
        <v>0.51692330837249756</v>
      </c>
      <c r="H959" s="1919">
        <v>0.53391337394714355</v>
      </c>
    </row>
    <row r="960" spans="1:8" x14ac:dyDescent="0.2">
      <c r="A960" s="1924">
        <v>1983</v>
      </c>
      <c r="B960" s="1918" t="s">
        <v>1168</v>
      </c>
      <c r="C960" s="1918" t="s">
        <v>53</v>
      </c>
      <c r="D960" s="1918" t="s">
        <v>1167</v>
      </c>
      <c r="E960" s="1919">
        <v>0.55410420894622803</v>
      </c>
      <c r="G960" s="1919">
        <v>0.49637889862060547</v>
      </c>
      <c r="H960" s="1919">
        <v>0.51218181848526001</v>
      </c>
    </row>
    <row r="961" spans="1:8" x14ac:dyDescent="0.2">
      <c r="A961" s="1924">
        <v>1984</v>
      </c>
      <c r="B961" s="1918" t="s">
        <v>1168</v>
      </c>
      <c r="C961" s="1918" t="s">
        <v>53</v>
      </c>
      <c r="D961" s="1918" t="s">
        <v>1167</v>
      </c>
      <c r="E961" s="1919">
        <v>0.53332978487014771</v>
      </c>
      <c r="G961" s="1919">
        <v>0.4785754382610321</v>
      </c>
      <c r="H961" s="1919">
        <v>0.4912869930267334</v>
      </c>
    </row>
    <row r="962" spans="1:8" x14ac:dyDescent="0.2">
      <c r="A962" s="1924">
        <v>1985</v>
      </c>
      <c r="B962" s="1918" t="s">
        <v>1168</v>
      </c>
      <c r="C962" s="1918" t="s">
        <v>53</v>
      </c>
      <c r="D962" s="1918" t="s">
        <v>1167</v>
      </c>
      <c r="E962" s="1919">
        <v>0.53694295883178711</v>
      </c>
      <c r="G962" s="1919">
        <v>0.48255100846290588</v>
      </c>
      <c r="H962" s="1919">
        <v>0.49636521935462952</v>
      </c>
    </row>
    <row r="963" spans="1:8" x14ac:dyDescent="0.2">
      <c r="A963" s="1924">
        <v>1986</v>
      </c>
      <c r="B963" s="1918" t="s">
        <v>1168</v>
      </c>
      <c r="C963" s="1918" t="s">
        <v>53</v>
      </c>
      <c r="D963" s="1918" t="s">
        <v>1167</v>
      </c>
      <c r="E963" s="1919">
        <v>0.62015098333358765</v>
      </c>
      <c r="G963" s="1919">
        <v>0.55734032392501831</v>
      </c>
      <c r="H963" s="1919">
        <v>0.57868391275405884</v>
      </c>
    </row>
    <row r="964" spans="1:8" x14ac:dyDescent="0.2">
      <c r="A964" s="1924">
        <v>1987</v>
      </c>
      <c r="B964" s="1918" t="s">
        <v>1168</v>
      </c>
      <c r="C964" s="1918" t="s">
        <v>53</v>
      </c>
      <c r="D964" s="1918" t="s">
        <v>1167</v>
      </c>
      <c r="E964" s="1919">
        <v>0.63743239641189575</v>
      </c>
      <c r="G964" s="1919">
        <v>0.57397574186325073</v>
      </c>
      <c r="H964" s="1919">
        <v>0.59395629167556763</v>
      </c>
    </row>
    <row r="965" spans="1:8" x14ac:dyDescent="0.2">
      <c r="A965" s="1924">
        <v>1988</v>
      </c>
      <c r="B965" s="1918" t="s">
        <v>1168</v>
      </c>
      <c r="C965" s="1918" t="s">
        <v>53</v>
      </c>
      <c r="D965" s="1918" t="s">
        <v>1167</v>
      </c>
      <c r="E965" s="1919">
        <v>0.65074920654296875</v>
      </c>
      <c r="G965" s="1919">
        <v>0.58444535732269287</v>
      </c>
      <c r="H965" s="1919">
        <v>0.60381734371185303</v>
      </c>
    </row>
    <row r="966" spans="1:8" x14ac:dyDescent="0.2">
      <c r="A966" s="1924">
        <v>1989</v>
      </c>
      <c r="B966" s="1918" t="s">
        <v>1168</v>
      </c>
      <c r="C966" s="1918" t="s">
        <v>53</v>
      </c>
      <c r="D966" s="1918" t="s">
        <v>1167</v>
      </c>
      <c r="E966" s="1919">
        <v>0.59846240282058716</v>
      </c>
      <c r="G966" s="1919">
        <v>0.53717416524887085</v>
      </c>
      <c r="H966" s="1919">
        <v>0.55505847930908203</v>
      </c>
    </row>
    <row r="967" spans="1:8" x14ac:dyDescent="0.2">
      <c r="A967" s="1924">
        <v>1990</v>
      </c>
      <c r="B967" s="1918" t="s">
        <v>1168</v>
      </c>
      <c r="C967" s="1918" t="s">
        <v>53</v>
      </c>
      <c r="D967" s="1918" t="s">
        <v>1167</v>
      </c>
      <c r="E967" s="1919">
        <v>0.58248555660247803</v>
      </c>
      <c r="G967" s="1919">
        <v>0.52346384525299072</v>
      </c>
      <c r="H967" s="1919">
        <v>0.53821331262588501</v>
      </c>
    </row>
    <row r="968" spans="1:8" x14ac:dyDescent="0.2">
      <c r="A968" s="1924">
        <v>1991</v>
      </c>
      <c r="B968" s="1918" t="s">
        <v>1168</v>
      </c>
      <c r="C968" s="1918" t="s">
        <v>53</v>
      </c>
      <c r="D968" s="1918" t="s">
        <v>1167</v>
      </c>
      <c r="E968" s="1919">
        <v>0.57470601797103882</v>
      </c>
      <c r="G968" s="1919">
        <v>0.51701515913009644</v>
      </c>
      <c r="H968" s="1919">
        <v>0.53058779239654541</v>
      </c>
    </row>
    <row r="969" spans="1:8" x14ac:dyDescent="0.2">
      <c r="A969" s="1924">
        <v>1992</v>
      </c>
      <c r="B969" s="1918" t="s">
        <v>1168</v>
      </c>
      <c r="C969" s="1918" t="s">
        <v>53</v>
      </c>
      <c r="D969" s="1918" t="s">
        <v>1167</v>
      </c>
      <c r="E969" s="1919">
        <v>0.58255821466445923</v>
      </c>
      <c r="G969" s="1919">
        <v>0.52344632148742676</v>
      </c>
      <c r="H969" s="1919">
        <v>0.53873831033706665</v>
      </c>
    </row>
    <row r="970" spans="1:8" x14ac:dyDescent="0.2">
      <c r="A970" s="1924">
        <v>1993</v>
      </c>
      <c r="B970" s="1918" t="s">
        <v>1168</v>
      </c>
      <c r="C970" s="1918" t="s">
        <v>53</v>
      </c>
      <c r="D970" s="1918" t="s">
        <v>1167</v>
      </c>
      <c r="E970" s="1919">
        <v>0.56748276948928833</v>
      </c>
      <c r="G970" s="1919">
        <v>0.51111412048339844</v>
      </c>
      <c r="H970" s="1919">
        <v>0.52368581295013428</v>
      </c>
    </row>
    <row r="971" spans="1:8" x14ac:dyDescent="0.2">
      <c r="A971" s="1924">
        <v>1994</v>
      </c>
      <c r="B971" s="1918" t="s">
        <v>1168</v>
      </c>
      <c r="C971" s="1918" t="s">
        <v>53</v>
      </c>
      <c r="D971" s="1918" t="s">
        <v>1167</v>
      </c>
      <c r="E971" s="1919">
        <v>0.57153809070587158</v>
      </c>
      <c r="G971" s="1919">
        <v>0.51667231321334839</v>
      </c>
      <c r="H971" s="1919">
        <v>0.52837395668029785</v>
      </c>
    </row>
    <row r="972" spans="1:8" x14ac:dyDescent="0.2">
      <c r="A972" s="1924">
        <v>1995</v>
      </c>
      <c r="B972" s="1918" t="s">
        <v>1168</v>
      </c>
      <c r="C972" s="1918" t="s">
        <v>53</v>
      </c>
      <c r="D972" s="1918" t="s">
        <v>1167</v>
      </c>
      <c r="E972" s="1919">
        <v>0.56427830457687378</v>
      </c>
      <c r="F972" s="1919">
        <v>0.52552539110183716</v>
      </c>
      <c r="G972" s="1919">
        <v>0.51285898685455322</v>
      </c>
      <c r="H972" s="1919">
        <v>0.52509641647338867</v>
      </c>
    </row>
    <row r="973" spans="1:8" x14ac:dyDescent="0.2">
      <c r="A973" s="1924">
        <v>1996</v>
      </c>
      <c r="B973" s="1918" t="s">
        <v>1168</v>
      </c>
      <c r="C973" s="1918" t="s">
        <v>53</v>
      </c>
      <c r="D973" s="1918" t="s">
        <v>1167</v>
      </c>
      <c r="E973" s="1919">
        <v>0.5393216609954834</v>
      </c>
      <c r="F973" s="1919">
        <v>0.5029832124710083</v>
      </c>
      <c r="G973" s="1919">
        <v>0.49307751655578613</v>
      </c>
      <c r="H973" s="1919">
        <v>0.50262939929962158</v>
      </c>
    </row>
    <row r="974" spans="1:8" x14ac:dyDescent="0.2">
      <c r="A974" s="1924">
        <v>1997</v>
      </c>
      <c r="B974" s="1918" t="s">
        <v>1168</v>
      </c>
      <c r="C974" s="1918" t="s">
        <v>53</v>
      </c>
      <c r="D974" s="1918" t="s">
        <v>1167</v>
      </c>
      <c r="E974" s="1919">
        <v>0.53956645727157593</v>
      </c>
      <c r="F974" s="1919">
        <v>0.50295835733413696</v>
      </c>
      <c r="G974" s="1919">
        <v>0.4951741099357605</v>
      </c>
      <c r="H974" s="1919">
        <v>0.50264668464660645</v>
      </c>
    </row>
    <row r="975" spans="1:8" x14ac:dyDescent="0.2">
      <c r="A975" s="1924">
        <v>1998</v>
      </c>
      <c r="B975" s="1918" t="s">
        <v>1168</v>
      </c>
      <c r="C975" s="1918" t="s">
        <v>53</v>
      </c>
      <c r="D975" s="1918" t="s">
        <v>1167</v>
      </c>
      <c r="E975" s="1919">
        <v>0.60336029529571533</v>
      </c>
      <c r="F975" s="1919">
        <v>0.56248676776885986</v>
      </c>
      <c r="G975" s="1919">
        <v>0.5538945198059082</v>
      </c>
      <c r="H975" s="1919">
        <v>0.56212878227233887</v>
      </c>
    </row>
    <row r="976" spans="1:8" x14ac:dyDescent="0.2">
      <c r="A976" s="1924">
        <v>1999</v>
      </c>
      <c r="B976" s="1918" t="s">
        <v>1168</v>
      </c>
      <c r="C976" s="1918" t="s">
        <v>53</v>
      </c>
      <c r="D976" s="1918" t="s">
        <v>1167</v>
      </c>
      <c r="E976" s="1919">
        <v>0.5845227837562561</v>
      </c>
      <c r="F976" s="1919">
        <v>0.53866982460021973</v>
      </c>
      <c r="G976" s="1919">
        <v>0.53784364461898804</v>
      </c>
      <c r="H976" s="1919">
        <v>0.53837060928344727</v>
      </c>
    </row>
    <row r="977" spans="1:8" x14ac:dyDescent="0.2">
      <c r="A977" s="1924">
        <v>2000</v>
      </c>
      <c r="B977" s="1918" t="s">
        <v>1168</v>
      </c>
      <c r="C977" s="1918" t="s">
        <v>53</v>
      </c>
      <c r="D977" s="1918" t="s">
        <v>1167</v>
      </c>
      <c r="E977" s="1919">
        <v>0.48207908868789673</v>
      </c>
      <c r="F977" s="1919">
        <v>0.44445905089378357</v>
      </c>
      <c r="G977" s="1919">
        <v>0.44466567039489746</v>
      </c>
      <c r="H977" s="1919">
        <v>0.44426849484443665</v>
      </c>
    </row>
    <row r="978" spans="1:8" x14ac:dyDescent="0.2">
      <c r="A978" s="1924">
        <v>2001</v>
      </c>
      <c r="B978" s="1918" t="s">
        <v>1168</v>
      </c>
      <c r="C978" s="1918" t="s">
        <v>53</v>
      </c>
      <c r="D978" s="1918" t="s">
        <v>1167</v>
      </c>
      <c r="E978" s="1919">
        <v>0.49106860160827637</v>
      </c>
      <c r="F978" s="1919">
        <v>0.45350012183189392</v>
      </c>
      <c r="G978" s="1919">
        <v>0.45343005657196045</v>
      </c>
      <c r="H978" s="1919">
        <v>0.45332729816436768</v>
      </c>
    </row>
    <row r="979" spans="1:8" x14ac:dyDescent="0.2">
      <c r="A979" s="1924">
        <v>2002</v>
      </c>
      <c r="B979" s="1918" t="s">
        <v>1168</v>
      </c>
      <c r="C979" s="1918" t="s">
        <v>53</v>
      </c>
      <c r="D979" s="1918" t="s">
        <v>1167</v>
      </c>
      <c r="E979" s="1919">
        <v>0.52532172203063965</v>
      </c>
      <c r="F979" s="1919">
        <v>0.48550286889076233</v>
      </c>
      <c r="G979" s="1919">
        <v>0.48479819297790527</v>
      </c>
      <c r="H979" s="1919">
        <v>0.48531541228294373</v>
      </c>
    </row>
    <row r="980" spans="1:8" x14ac:dyDescent="0.2">
      <c r="A980" s="1924">
        <v>2003</v>
      </c>
      <c r="B980" s="1918" t="s">
        <v>1168</v>
      </c>
      <c r="C980" s="1918" t="s">
        <v>53</v>
      </c>
      <c r="D980" s="1918" t="s">
        <v>1167</v>
      </c>
      <c r="E980" s="1919">
        <v>0.51145386695861816</v>
      </c>
      <c r="F980" s="1919">
        <v>0.47451525926589966</v>
      </c>
      <c r="G980" s="1919">
        <v>0.47174191474914551</v>
      </c>
      <c r="H980" s="1919">
        <v>0.47433820366859436</v>
      </c>
    </row>
    <row r="981" spans="1:8" x14ac:dyDescent="0.2">
      <c r="A981" s="1924">
        <v>2004</v>
      </c>
      <c r="B981" s="1918" t="s">
        <v>1168</v>
      </c>
      <c r="C981" s="1918" t="s">
        <v>53</v>
      </c>
      <c r="D981" s="1918" t="s">
        <v>1167</v>
      </c>
      <c r="E981" s="1919">
        <v>0.47523197531700134</v>
      </c>
      <c r="F981" s="1919">
        <v>0.43805360794067383</v>
      </c>
      <c r="G981" s="1919">
        <v>0.43933844566345215</v>
      </c>
      <c r="H981" s="1919">
        <v>0.43792247772216797</v>
      </c>
    </row>
    <row r="982" spans="1:8" x14ac:dyDescent="0.2">
      <c r="A982" s="1924">
        <v>2005</v>
      </c>
      <c r="B982" s="1918" t="s">
        <v>1168</v>
      </c>
      <c r="C982" s="1918" t="s">
        <v>53</v>
      </c>
      <c r="D982" s="1918" t="s">
        <v>1167</v>
      </c>
      <c r="E982" s="1919">
        <v>0.44130432605743408</v>
      </c>
      <c r="F982" s="1919">
        <v>0.40829402208328247</v>
      </c>
      <c r="G982" s="1919">
        <v>0.40918964147567749</v>
      </c>
      <c r="H982" s="1919">
        <v>0.40818816423416138</v>
      </c>
    </row>
    <row r="983" spans="1:8" x14ac:dyDescent="0.2">
      <c r="A983" s="1924">
        <v>2006</v>
      </c>
      <c r="B983" s="1918" t="s">
        <v>1168</v>
      </c>
      <c r="C983" s="1918" t="s">
        <v>53</v>
      </c>
      <c r="D983" s="1918" t="s">
        <v>1167</v>
      </c>
      <c r="E983" s="1919">
        <v>0.43075025081634521</v>
      </c>
      <c r="F983" s="1919">
        <v>0.40028110146522522</v>
      </c>
      <c r="G983" s="1919">
        <v>0.39997571706771851</v>
      </c>
      <c r="H983" s="1919">
        <v>0.40019038319587708</v>
      </c>
    </row>
    <row r="984" spans="1:8" x14ac:dyDescent="0.2">
      <c r="A984" s="1924">
        <v>2007</v>
      </c>
      <c r="B984" s="1918" t="s">
        <v>1168</v>
      </c>
      <c r="C984" s="1918" t="s">
        <v>53</v>
      </c>
      <c r="D984" s="1918" t="s">
        <v>1167</v>
      </c>
      <c r="E984" s="1919">
        <v>0.45899611711502075</v>
      </c>
      <c r="F984" s="1919">
        <v>0.43007740378379822</v>
      </c>
      <c r="G984" s="1919">
        <v>0.42794820666313171</v>
      </c>
      <c r="H984" s="1919">
        <v>0.42988467216491699</v>
      </c>
    </row>
    <row r="985" spans="1:8" x14ac:dyDescent="0.2">
      <c r="A985" s="1924">
        <v>2008</v>
      </c>
      <c r="B985" s="1918" t="s">
        <v>1168</v>
      </c>
      <c r="C985" s="1918" t="s">
        <v>53</v>
      </c>
      <c r="D985" s="1918" t="s">
        <v>1167</v>
      </c>
      <c r="E985" s="1919">
        <v>0.44103986024856567</v>
      </c>
      <c r="F985" s="1919">
        <v>0.41525375843048096</v>
      </c>
      <c r="G985" s="1919">
        <v>0.41200292110443115</v>
      </c>
      <c r="H985" s="1919">
        <v>0.41501566767692566</v>
      </c>
    </row>
    <row r="986" spans="1:8" x14ac:dyDescent="0.2">
      <c r="A986" s="1924">
        <v>2009</v>
      </c>
      <c r="B986" s="1918" t="s">
        <v>1168</v>
      </c>
      <c r="C986" s="1918" t="s">
        <v>53</v>
      </c>
      <c r="D986" s="1918" t="s">
        <v>1167</v>
      </c>
      <c r="E986" s="1919">
        <v>0.50781446695327759</v>
      </c>
      <c r="F986" s="1919">
        <v>0.47128987312316895</v>
      </c>
      <c r="G986" s="1919">
        <v>0.47417134046554565</v>
      </c>
      <c r="H986" s="1919">
        <v>0.47093597054481506</v>
      </c>
    </row>
    <row r="987" spans="1:8" x14ac:dyDescent="0.2">
      <c r="A987" s="1924">
        <v>2010</v>
      </c>
      <c r="B987" s="1918" t="s">
        <v>1168</v>
      </c>
      <c r="C987" s="1918" t="s">
        <v>53</v>
      </c>
      <c r="D987" s="1918" t="s">
        <v>1167</v>
      </c>
      <c r="E987" s="1919">
        <v>0.48642024397850037</v>
      </c>
      <c r="F987" s="1919">
        <v>0.45040836930274963</v>
      </c>
      <c r="G987" s="1919">
        <v>0.45400494337081909</v>
      </c>
      <c r="H987" s="1919">
        <v>0.44998207688331604</v>
      </c>
    </row>
    <row r="988" spans="1:8" x14ac:dyDescent="0.2">
      <c r="A988" s="1924">
        <v>2011</v>
      </c>
      <c r="B988" s="1918" t="s">
        <v>1168</v>
      </c>
      <c r="C988" s="1918" t="s">
        <v>53</v>
      </c>
      <c r="D988" s="1918" t="s">
        <v>1167</v>
      </c>
      <c r="E988" s="1919">
        <v>0.47118997573852539</v>
      </c>
      <c r="F988" s="1919">
        <v>0.43982163071632385</v>
      </c>
      <c r="G988" s="1919">
        <v>0.44056406617164612</v>
      </c>
      <c r="H988" s="1919">
        <v>0.43939056992530823</v>
      </c>
    </row>
    <row r="989" spans="1:8" x14ac:dyDescent="0.2">
      <c r="A989" s="1924">
        <v>2012</v>
      </c>
      <c r="B989" s="1918" t="s">
        <v>1168</v>
      </c>
      <c r="C989" s="1918" t="s">
        <v>53</v>
      </c>
      <c r="D989" s="1918" t="s">
        <v>1167</v>
      </c>
      <c r="E989" s="1919">
        <v>0.47124040126800537</v>
      </c>
      <c r="F989" s="1919">
        <v>0.44097831845283508</v>
      </c>
      <c r="G989" s="1919">
        <v>0.44136151671409607</v>
      </c>
      <c r="H989" s="1919">
        <v>0.44053059816360474</v>
      </c>
    </row>
    <row r="990" spans="1:8" x14ac:dyDescent="0.2">
      <c r="A990" s="1924">
        <v>2013</v>
      </c>
      <c r="B990" s="1918" t="s">
        <v>1168</v>
      </c>
      <c r="C990" s="1918" t="s">
        <v>53</v>
      </c>
      <c r="D990" s="1918" t="s">
        <v>1167</v>
      </c>
      <c r="E990" s="1919">
        <v>0.485382080078125</v>
      </c>
      <c r="F990" s="1919">
        <v>0.45327919721603394</v>
      </c>
      <c r="G990" s="1919">
        <v>0.45567372441291809</v>
      </c>
      <c r="H990" s="1919">
        <v>0.45280763506889343</v>
      </c>
    </row>
    <row r="991" spans="1:8" x14ac:dyDescent="0.2">
      <c r="A991" s="1924">
        <v>2014</v>
      </c>
      <c r="B991" s="1918" t="s">
        <v>1168</v>
      </c>
      <c r="C991" s="1918" t="s">
        <v>53</v>
      </c>
      <c r="D991" s="1918" t="s">
        <v>1167</v>
      </c>
      <c r="E991" s="1919">
        <v>0.49971434473991394</v>
      </c>
      <c r="F991" s="1919">
        <v>0.46870073676109314</v>
      </c>
      <c r="G991" s="1919">
        <v>0.46987628936767578</v>
      </c>
      <c r="H991" s="1919">
        <v>0.46815264225006104</v>
      </c>
    </row>
    <row r="992" spans="1:8" x14ac:dyDescent="0.2">
      <c r="A992" s="1924">
        <v>2015</v>
      </c>
      <c r="B992" s="1918" t="s">
        <v>1168</v>
      </c>
      <c r="C992" s="1918" t="s">
        <v>53</v>
      </c>
      <c r="D992" s="1918" t="s">
        <v>1167</v>
      </c>
      <c r="E992" s="1919">
        <v>0.5360112190246582</v>
      </c>
      <c r="F992" s="1919">
        <v>0.50217878818511963</v>
      </c>
      <c r="G992" s="1919">
        <v>0.50341510772705078</v>
      </c>
      <c r="H992" s="1919">
        <v>0.50147449970245361</v>
      </c>
    </row>
    <row r="993" spans="1:8" x14ac:dyDescent="0.2">
      <c r="A993" s="1924">
        <v>1995</v>
      </c>
      <c r="B993" s="1918" t="s">
        <v>1166</v>
      </c>
      <c r="C993" s="1918" t="s">
        <v>54</v>
      </c>
      <c r="D993" s="1918" t="s">
        <v>1163</v>
      </c>
      <c r="E993" s="1919">
        <v>0.52070099115371704</v>
      </c>
      <c r="G993" s="1919">
        <v>0.437843918800354</v>
      </c>
      <c r="H993" s="1919">
        <v>0.59837740659713745</v>
      </c>
    </row>
    <row r="994" spans="1:8" x14ac:dyDescent="0.2">
      <c r="A994" s="1924">
        <v>1996</v>
      </c>
      <c r="B994" s="1918" t="s">
        <v>1166</v>
      </c>
      <c r="C994" s="1918" t="s">
        <v>54</v>
      </c>
      <c r="D994" s="1918" t="s">
        <v>1163</v>
      </c>
      <c r="E994" s="1919">
        <v>0.54250699281692505</v>
      </c>
      <c r="G994" s="1919">
        <v>0.46273699402809143</v>
      </c>
      <c r="H994" s="1919">
        <v>0.62626063823699951</v>
      </c>
    </row>
    <row r="995" spans="1:8" x14ac:dyDescent="0.2">
      <c r="A995" s="1924">
        <v>1997</v>
      </c>
      <c r="B995" s="1918" t="s">
        <v>1166</v>
      </c>
      <c r="C995" s="1918" t="s">
        <v>54</v>
      </c>
      <c r="D995" s="1918" t="s">
        <v>1163</v>
      </c>
      <c r="E995" s="1919">
        <v>0.54244852066040039</v>
      </c>
      <c r="G995" s="1919">
        <v>0.4637589156627655</v>
      </c>
      <c r="H995" s="1919">
        <v>0.61829036474227905</v>
      </c>
    </row>
    <row r="996" spans="1:8" x14ac:dyDescent="0.2">
      <c r="A996" s="1924">
        <v>1998</v>
      </c>
      <c r="B996" s="1918" t="s">
        <v>1166</v>
      </c>
      <c r="C996" s="1918" t="s">
        <v>54</v>
      </c>
      <c r="D996" s="1918" t="s">
        <v>1163</v>
      </c>
      <c r="E996" s="1919">
        <v>0.55368238687515259</v>
      </c>
      <c r="G996" s="1919">
        <v>0.46298283338546753</v>
      </c>
      <c r="H996" s="1919">
        <v>0.63340848684310913</v>
      </c>
    </row>
    <row r="997" spans="1:8" x14ac:dyDescent="0.2">
      <c r="A997" s="1924">
        <v>1999</v>
      </c>
      <c r="B997" s="1918" t="s">
        <v>1166</v>
      </c>
      <c r="C997" s="1918" t="s">
        <v>54</v>
      </c>
      <c r="D997" s="1918" t="s">
        <v>1163</v>
      </c>
      <c r="E997" s="1919">
        <v>0.54778909683227539</v>
      </c>
      <c r="G997" s="1919">
        <v>0.45653104782104492</v>
      </c>
      <c r="H997" s="1919">
        <v>0.6218801736831665</v>
      </c>
    </row>
    <row r="998" spans="1:8" x14ac:dyDescent="0.2">
      <c r="A998" s="1924">
        <v>2000</v>
      </c>
      <c r="B998" s="1918" t="s">
        <v>1166</v>
      </c>
      <c r="C998" s="1918" t="s">
        <v>54</v>
      </c>
      <c r="D998" s="1918" t="s">
        <v>1163</v>
      </c>
      <c r="E998" s="1919">
        <v>0.51743990182876587</v>
      </c>
      <c r="G998" s="1919">
        <v>0.43334284424781799</v>
      </c>
      <c r="H998" s="1919">
        <v>0.59416073560714722</v>
      </c>
    </row>
    <row r="999" spans="1:8" x14ac:dyDescent="0.2">
      <c r="A999" s="1924">
        <v>2001</v>
      </c>
      <c r="B999" s="1918" t="s">
        <v>1166</v>
      </c>
      <c r="C999" s="1918" t="s">
        <v>54</v>
      </c>
      <c r="D999" s="1918" t="s">
        <v>1163</v>
      </c>
      <c r="E999" s="1919">
        <v>0.52535587549209595</v>
      </c>
      <c r="G999" s="1919">
        <v>0.44114378094673157</v>
      </c>
      <c r="H999" s="1919">
        <v>0.62474840879440308</v>
      </c>
    </row>
    <row r="1000" spans="1:8" x14ac:dyDescent="0.2">
      <c r="A1000" s="1924">
        <v>2002</v>
      </c>
      <c r="B1000" s="1918" t="s">
        <v>1166</v>
      </c>
      <c r="C1000" s="1918" t="s">
        <v>54</v>
      </c>
      <c r="D1000" s="1918" t="s">
        <v>1163</v>
      </c>
      <c r="E1000" s="1919">
        <v>0.49811536073684692</v>
      </c>
      <c r="G1000" s="1919">
        <v>0.41849306225776672</v>
      </c>
      <c r="H1000" s="1919">
        <v>0.58515876531600952</v>
      </c>
    </row>
    <row r="1001" spans="1:8" x14ac:dyDescent="0.2">
      <c r="A1001" s="1924">
        <v>2003</v>
      </c>
      <c r="B1001" s="1918" t="s">
        <v>1166</v>
      </c>
      <c r="C1001" s="1918" t="s">
        <v>54</v>
      </c>
      <c r="D1001" s="1918" t="s">
        <v>1163</v>
      </c>
      <c r="E1001" s="1919">
        <v>0.48126423358917236</v>
      </c>
      <c r="G1001" s="1919">
        <v>0.40639182925224304</v>
      </c>
      <c r="H1001" s="1919">
        <v>0.54933750629425049</v>
      </c>
    </row>
    <row r="1002" spans="1:8" x14ac:dyDescent="0.2">
      <c r="A1002" s="1924">
        <v>2004</v>
      </c>
      <c r="B1002" s="1918" t="s">
        <v>1166</v>
      </c>
      <c r="C1002" s="1918" t="s">
        <v>54</v>
      </c>
      <c r="D1002" s="1918" t="s">
        <v>1163</v>
      </c>
      <c r="E1002" s="1919">
        <v>0.44489148259162903</v>
      </c>
      <c r="G1002" s="1919">
        <v>0.37739387154579163</v>
      </c>
      <c r="H1002" s="1919">
        <v>0.49822932481765747</v>
      </c>
    </row>
    <row r="1003" spans="1:8" x14ac:dyDescent="0.2">
      <c r="A1003" s="1924">
        <v>2005</v>
      </c>
      <c r="B1003" s="1918" t="s">
        <v>1166</v>
      </c>
      <c r="C1003" s="1918" t="s">
        <v>54</v>
      </c>
      <c r="D1003" s="1918" t="s">
        <v>1163</v>
      </c>
      <c r="E1003" s="1919">
        <v>0.44204646348953247</v>
      </c>
      <c r="G1003" s="1919">
        <v>0.37783652544021606</v>
      </c>
      <c r="H1003" s="1919">
        <v>0.49712905287742615</v>
      </c>
    </row>
    <row r="1004" spans="1:8" x14ac:dyDescent="0.2">
      <c r="A1004" s="1924">
        <v>2006</v>
      </c>
      <c r="B1004" s="1918" t="s">
        <v>1166</v>
      </c>
      <c r="C1004" s="1918" t="s">
        <v>54</v>
      </c>
      <c r="D1004" s="1918" t="s">
        <v>1163</v>
      </c>
      <c r="E1004" s="1919">
        <v>0.43700495362281799</v>
      </c>
      <c r="G1004" s="1919">
        <v>0.37425005435943604</v>
      </c>
      <c r="H1004" s="1919">
        <v>0.49155518412590027</v>
      </c>
    </row>
    <row r="1005" spans="1:8" x14ac:dyDescent="0.2">
      <c r="A1005" s="1924">
        <v>2007</v>
      </c>
      <c r="B1005" s="1918" t="s">
        <v>1166</v>
      </c>
      <c r="C1005" s="1918" t="s">
        <v>54</v>
      </c>
      <c r="D1005" s="1918" t="s">
        <v>1163</v>
      </c>
      <c r="E1005" s="1919">
        <v>0.4430091381072998</v>
      </c>
      <c r="G1005" s="1919">
        <v>0.38077515363693237</v>
      </c>
      <c r="H1005" s="1919">
        <v>0.49896278977394104</v>
      </c>
    </row>
    <row r="1006" spans="1:8" x14ac:dyDescent="0.2">
      <c r="A1006" s="1924">
        <v>2008</v>
      </c>
      <c r="B1006" s="1918" t="s">
        <v>1166</v>
      </c>
      <c r="C1006" s="1918" t="s">
        <v>54</v>
      </c>
      <c r="D1006" s="1918" t="s">
        <v>1163</v>
      </c>
      <c r="E1006" s="1919">
        <v>0.46909505128860474</v>
      </c>
      <c r="G1006" s="1919">
        <v>0.40273004770278931</v>
      </c>
      <c r="H1006" s="1919">
        <v>0.51696360111236572</v>
      </c>
    </row>
    <row r="1007" spans="1:8" x14ac:dyDescent="0.2">
      <c r="A1007" s="1924">
        <v>2009</v>
      </c>
      <c r="B1007" s="1918" t="s">
        <v>1166</v>
      </c>
      <c r="C1007" s="1918" t="s">
        <v>54</v>
      </c>
      <c r="D1007" s="1918" t="s">
        <v>1163</v>
      </c>
      <c r="E1007" s="1919">
        <v>0.44071686267852783</v>
      </c>
      <c r="G1007" s="1919">
        <v>0.37739741802215576</v>
      </c>
      <c r="H1007" s="1919">
        <v>0.48109081387519836</v>
      </c>
    </row>
    <row r="1008" spans="1:8" x14ac:dyDescent="0.2">
      <c r="A1008" s="1924">
        <v>2010</v>
      </c>
      <c r="B1008" s="1918" t="s">
        <v>1166</v>
      </c>
      <c r="C1008" s="1918" t="s">
        <v>54</v>
      </c>
      <c r="D1008" s="1918" t="s">
        <v>1163</v>
      </c>
      <c r="E1008" s="1919">
        <v>0.45441740751266479</v>
      </c>
      <c r="G1008" s="1919">
        <v>0.38677489757537842</v>
      </c>
      <c r="H1008" s="1919">
        <v>0.48641380667686462</v>
      </c>
    </row>
    <row r="1009" spans="1:8" x14ac:dyDescent="0.2">
      <c r="A1009" s="1924">
        <v>2011</v>
      </c>
      <c r="B1009" s="1918" t="s">
        <v>1166</v>
      </c>
      <c r="C1009" s="1918" t="s">
        <v>54</v>
      </c>
      <c r="D1009" s="1918" t="s">
        <v>1163</v>
      </c>
      <c r="E1009" s="1919">
        <v>0.44734880328178406</v>
      </c>
      <c r="G1009" s="1919">
        <v>0.37884879112243652</v>
      </c>
      <c r="H1009" s="1919">
        <v>0.47831276059150696</v>
      </c>
    </row>
    <row r="1010" spans="1:8" x14ac:dyDescent="0.2">
      <c r="A1010" s="1924">
        <v>2012</v>
      </c>
      <c r="B1010" s="1918" t="s">
        <v>1166</v>
      </c>
      <c r="C1010" s="1918" t="s">
        <v>54</v>
      </c>
      <c r="D1010" s="1918" t="s">
        <v>1163</v>
      </c>
      <c r="E1010" s="1919">
        <v>0.44402357935905457</v>
      </c>
      <c r="G1010" s="1919">
        <v>0.37802579998970032</v>
      </c>
      <c r="H1010" s="1919">
        <v>0.48238906264305115</v>
      </c>
    </row>
    <row r="1011" spans="1:8" x14ac:dyDescent="0.2">
      <c r="A1011" s="1924">
        <v>2013</v>
      </c>
      <c r="B1011" s="1918" t="s">
        <v>1166</v>
      </c>
      <c r="C1011" s="1918" t="s">
        <v>54</v>
      </c>
      <c r="D1011" s="1918" t="s">
        <v>1163</v>
      </c>
      <c r="E1011" s="1919">
        <v>0.45051148533821106</v>
      </c>
      <c r="G1011" s="1919">
        <v>0.38081663846969604</v>
      </c>
      <c r="H1011" s="1919">
        <v>0.47993192076683044</v>
      </c>
    </row>
    <row r="1012" spans="1:8" x14ac:dyDescent="0.2">
      <c r="A1012" s="1924">
        <v>2014</v>
      </c>
      <c r="B1012" s="1918" t="s">
        <v>1166</v>
      </c>
      <c r="C1012" s="1918" t="s">
        <v>54</v>
      </c>
      <c r="D1012" s="1918" t="s">
        <v>1163</v>
      </c>
      <c r="E1012" s="1919">
        <v>0.46018588542938232</v>
      </c>
      <c r="G1012" s="1919">
        <v>0.38637548685073853</v>
      </c>
      <c r="H1012" s="1919">
        <v>0.47733056545257568</v>
      </c>
    </row>
    <row r="1013" spans="1:8" x14ac:dyDescent="0.2">
      <c r="A1013" s="1924">
        <v>2015</v>
      </c>
      <c r="B1013" s="1918" t="s">
        <v>1166</v>
      </c>
      <c r="C1013" s="1918" t="s">
        <v>54</v>
      </c>
      <c r="D1013" s="1918" t="s">
        <v>1163</v>
      </c>
      <c r="E1013" s="1919">
        <v>0.44390815496444702</v>
      </c>
      <c r="G1013" s="1919">
        <v>0.37585696578025818</v>
      </c>
      <c r="H1013" s="1919">
        <v>0.46840929985046387</v>
      </c>
    </row>
    <row r="1014" spans="1:8" x14ac:dyDescent="0.2">
      <c r="A1014" s="1924">
        <v>1970</v>
      </c>
      <c r="B1014" s="1918" t="s">
        <v>1165</v>
      </c>
      <c r="C1014" s="1918" t="s">
        <v>55</v>
      </c>
      <c r="D1014" s="1918" t="s">
        <v>1159</v>
      </c>
      <c r="E1014" s="1919">
        <v>0.68270403146743774</v>
      </c>
      <c r="G1014" s="1919">
        <v>0.62459307909011841</v>
      </c>
    </row>
    <row r="1015" spans="1:8" x14ac:dyDescent="0.2">
      <c r="A1015" s="1924">
        <v>1971</v>
      </c>
      <c r="B1015" s="1918" t="s">
        <v>1165</v>
      </c>
      <c r="C1015" s="1918" t="s">
        <v>55</v>
      </c>
      <c r="D1015" s="1918" t="s">
        <v>1159</v>
      </c>
      <c r="E1015" s="1919">
        <v>0.69231033325195312</v>
      </c>
      <c r="G1015" s="1919">
        <v>0.6268688440322876</v>
      </c>
    </row>
    <row r="1016" spans="1:8" x14ac:dyDescent="0.2">
      <c r="A1016" s="1924">
        <v>1972</v>
      </c>
      <c r="B1016" s="1918" t="s">
        <v>1165</v>
      </c>
      <c r="C1016" s="1918" t="s">
        <v>55</v>
      </c>
      <c r="D1016" s="1918" t="s">
        <v>1159</v>
      </c>
      <c r="E1016" s="1919">
        <v>0.69252091646194458</v>
      </c>
      <c r="G1016" s="1919">
        <v>0.62868541479110718</v>
      </c>
    </row>
    <row r="1017" spans="1:8" x14ac:dyDescent="0.2">
      <c r="A1017" s="1924">
        <v>1973</v>
      </c>
      <c r="B1017" s="1918" t="s">
        <v>1165</v>
      </c>
      <c r="C1017" s="1918" t="s">
        <v>55</v>
      </c>
      <c r="D1017" s="1918" t="s">
        <v>1159</v>
      </c>
      <c r="E1017" s="1919">
        <v>0.68995285034179688</v>
      </c>
      <c r="G1017" s="1919">
        <v>0.62871098518371582</v>
      </c>
    </row>
    <row r="1018" spans="1:8" x14ac:dyDescent="0.2">
      <c r="A1018" s="1924">
        <v>1974</v>
      </c>
      <c r="B1018" s="1918" t="s">
        <v>1165</v>
      </c>
      <c r="C1018" s="1918" t="s">
        <v>55</v>
      </c>
      <c r="D1018" s="1918" t="s">
        <v>1159</v>
      </c>
      <c r="E1018" s="1919">
        <v>0.7318074107170105</v>
      </c>
      <c r="G1018" s="1919">
        <v>0.63201689720153809</v>
      </c>
    </row>
    <row r="1019" spans="1:8" x14ac:dyDescent="0.2">
      <c r="A1019" s="1924">
        <v>1975</v>
      </c>
      <c r="B1019" s="1918" t="s">
        <v>1165</v>
      </c>
      <c r="C1019" s="1918" t="s">
        <v>55</v>
      </c>
      <c r="D1019" s="1918" t="s">
        <v>1159</v>
      </c>
      <c r="E1019" s="1919">
        <v>0.73073244094848633</v>
      </c>
      <c r="G1019" s="1919">
        <v>0.63007515668869019</v>
      </c>
    </row>
    <row r="1020" spans="1:8" x14ac:dyDescent="0.2">
      <c r="A1020" s="1924">
        <v>1976</v>
      </c>
      <c r="B1020" s="1918" t="s">
        <v>1165</v>
      </c>
      <c r="C1020" s="1918" t="s">
        <v>55</v>
      </c>
      <c r="D1020" s="1918" t="s">
        <v>1159</v>
      </c>
      <c r="E1020" s="1919">
        <v>0.71581971645355225</v>
      </c>
      <c r="G1020" s="1919">
        <v>0.62656950950622559</v>
      </c>
    </row>
    <row r="1021" spans="1:8" x14ac:dyDescent="0.2">
      <c r="A1021" s="1924">
        <v>1977</v>
      </c>
      <c r="B1021" s="1918" t="s">
        <v>1165</v>
      </c>
      <c r="C1021" s="1918" t="s">
        <v>55</v>
      </c>
      <c r="D1021" s="1918" t="s">
        <v>1159</v>
      </c>
      <c r="E1021" s="1919">
        <v>0.72517687082290649</v>
      </c>
      <c r="G1021" s="1919">
        <v>0.62749665975570679</v>
      </c>
    </row>
    <row r="1022" spans="1:8" x14ac:dyDescent="0.2">
      <c r="A1022" s="1924">
        <v>1978</v>
      </c>
      <c r="B1022" s="1918" t="s">
        <v>1165</v>
      </c>
      <c r="C1022" s="1918" t="s">
        <v>55</v>
      </c>
      <c r="D1022" s="1918" t="s">
        <v>1159</v>
      </c>
      <c r="E1022" s="1919">
        <v>0.64877492189407349</v>
      </c>
      <c r="G1022" s="1919">
        <v>0.5619274377822876</v>
      </c>
    </row>
    <row r="1023" spans="1:8" x14ac:dyDescent="0.2">
      <c r="A1023" s="1924">
        <v>1979</v>
      </c>
      <c r="B1023" s="1918" t="s">
        <v>1165</v>
      </c>
      <c r="C1023" s="1918" t="s">
        <v>55</v>
      </c>
      <c r="D1023" s="1918" t="s">
        <v>1159</v>
      </c>
      <c r="E1023" s="1919">
        <v>0.62995702028274536</v>
      </c>
      <c r="G1023" s="1919">
        <v>0.54618358612060547</v>
      </c>
    </row>
    <row r="1024" spans="1:8" x14ac:dyDescent="0.2">
      <c r="A1024" s="1924">
        <v>1980</v>
      </c>
      <c r="B1024" s="1918" t="s">
        <v>1165</v>
      </c>
      <c r="C1024" s="1918" t="s">
        <v>55</v>
      </c>
      <c r="D1024" s="1918" t="s">
        <v>1159</v>
      </c>
      <c r="E1024" s="1919">
        <v>0.63073283433914185</v>
      </c>
      <c r="G1024" s="1919">
        <v>0.54661929607391357</v>
      </c>
    </row>
    <row r="1025" spans="1:8" x14ac:dyDescent="0.2">
      <c r="A1025" s="1924">
        <v>1981</v>
      </c>
      <c r="B1025" s="1918" t="s">
        <v>1165</v>
      </c>
      <c r="C1025" s="1918" t="s">
        <v>55</v>
      </c>
      <c r="D1025" s="1918" t="s">
        <v>1159</v>
      </c>
      <c r="E1025" s="1919">
        <v>0.63617819547653198</v>
      </c>
      <c r="G1025" s="1919">
        <v>0.55142837762832642</v>
      </c>
    </row>
    <row r="1026" spans="1:8" x14ac:dyDescent="0.2">
      <c r="A1026" s="1924">
        <v>1982</v>
      </c>
      <c r="B1026" s="1918" t="s">
        <v>1165</v>
      </c>
      <c r="C1026" s="1918" t="s">
        <v>55</v>
      </c>
      <c r="D1026" s="1918" t="s">
        <v>1159</v>
      </c>
      <c r="E1026" s="1919">
        <v>0.6205219030380249</v>
      </c>
      <c r="G1026" s="1919">
        <v>0.53753221035003662</v>
      </c>
    </row>
    <row r="1027" spans="1:8" x14ac:dyDescent="0.2">
      <c r="A1027" s="1924">
        <v>1983</v>
      </c>
      <c r="B1027" s="1918" t="s">
        <v>1165</v>
      </c>
      <c r="C1027" s="1918" t="s">
        <v>55</v>
      </c>
      <c r="D1027" s="1918" t="s">
        <v>1159</v>
      </c>
      <c r="E1027" s="1919">
        <v>0.59772747755050659</v>
      </c>
      <c r="G1027" s="1919">
        <v>0.51721954345703125</v>
      </c>
    </row>
    <row r="1028" spans="1:8" x14ac:dyDescent="0.2">
      <c r="A1028" s="1924">
        <v>1984</v>
      </c>
      <c r="B1028" s="1918" t="s">
        <v>1165</v>
      </c>
      <c r="C1028" s="1918" t="s">
        <v>55</v>
      </c>
      <c r="D1028" s="1918" t="s">
        <v>1159</v>
      </c>
      <c r="E1028" s="1919">
        <v>0.57555961608886719</v>
      </c>
      <c r="G1028" s="1919">
        <v>0.49881505966186523</v>
      </c>
    </row>
    <row r="1029" spans="1:8" x14ac:dyDescent="0.2">
      <c r="A1029" s="1924">
        <v>1985</v>
      </c>
      <c r="B1029" s="1918" t="s">
        <v>1165</v>
      </c>
      <c r="C1029" s="1918" t="s">
        <v>55</v>
      </c>
      <c r="D1029" s="1918" t="s">
        <v>1159</v>
      </c>
      <c r="E1029" s="1919">
        <v>0.54659885168075562</v>
      </c>
      <c r="G1029" s="1919">
        <v>0.47380214929580688</v>
      </c>
    </row>
    <row r="1030" spans="1:8" x14ac:dyDescent="0.2">
      <c r="A1030" s="1924">
        <v>1986</v>
      </c>
      <c r="B1030" s="1918" t="s">
        <v>1165</v>
      </c>
      <c r="C1030" s="1918" t="s">
        <v>55</v>
      </c>
      <c r="D1030" s="1918" t="s">
        <v>1159</v>
      </c>
      <c r="E1030" s="1919">
        <v>0.56257027387619019</v>
      </c>
      <c r="G1030" s="1919">
        <v>0.48775744438171387</v>
      </c>
    </row>
    <row r="1031" spans="1:8" x14ac:dyDescent="0.2">
      <c r="A1031" s="1924">
        <v>1987</v>
      </c>
      <c r="B1031" s="1918" t="s">
        <v>1165</v>
      </c>
      <c r="C1031" s="1918" t="s">
        <v>55</v>
      </c>
      <c r="D1031" s="1918" t="s">
        <v>1159</v>
      </c>
      <c r="E1031" s="1919">
        <v>0.57900738716125488</v>
      </c>
      <c r="G1031" s="1919">
        <v>0.50145775079727173</v>
      </c>
    </row>
    <row r="1032" spans="1:8" x14ac:dyDescent="0.2">
      <c r="A1032" s="1924">
        <v>1988</v>
      </c>
      <c r="B1032" s="1918" t="s">
        <v>1165</v>
      </c>
      <c r="C1032" s="1918" t="s">
        <v>55</v>
      </c>
      <c r="D1032" s="1918" t="s">
        <v>1159</v>
      </c>
      <c r="E1032" s="1919">
        <v>0.5554841160774231</v>
      </c>
      <c r="G1032" s="1919">
        <v>0.47917556762695312</v>
      </c>
    </row>
    <row r="1033" spans="1:8" x14ac:dyDescent="0.2">
      <c r="A1033" s="1924">
        <v>1989</v>
      </c>
      <c r="B1033" s="1918" t="s">
        <v>1165</v>
      </c>
      <c r="C1033" s="1918" t="s">
        <v>55</v>
      </c>
      <c r="D1033" s="1918" t="s">
        <v>1159</v>
      </c>
      <c r="E1033" s="1919">
        <v>0.56350278854370117</v>
      </c>
      <c r="G1033" s="1919">
        <v>0.48617339134216309</v>
      </c>
    </row>
    <row r="1034" spans="1:8" x14ac:dyDescent="0.2">
      <c r="A1034" s="1924">
        <v>1990</v>
      </c>
      <c r="B1034" s="1918" t="s">
        <v>1165</v>
      </c>
      <c r="C1034" s="1918" t="s">
        <v>55</v>
      </c>
      <c r="D1034" s="1918" t="s">
        <v>1159</v>
      </c>
      <c r="E1034" s="1919">
        <v>0.5961264967918396</v>
      </c>
      <c r="G1034" s="1919">
        <v>0.51516622304916382</v>
      </c>
    </row>
    <row r="1035" spans="1:8" x14ac:dyDescent="0.2">
      <c r="A1035" s="1924">
        <v>1991</v>
      </c>
      <c r="B1035" s="1918" t="s">
        <v>1165</v>
      </c>
      <c r="C1035" s="1918" t="s">
        <v>55</v>
      </c>
      <c r="D1035" s="1918" t="s">
        <v>1159</v>
      </c>
      <c r="E1035" s="1919">
        <v>0.63213890790939331</v>
      </c>
      <c r="G1035" s="1919">
        <v>0.5460200309753418</v>
      </c>
    </row>
    <row r="1036" spans="1:8" x14ac:dyDescent="0.2">
      <c r="A1036" s="1924">
        <v>1992</v>
      </c>
      <c r="B1036" s="1918" t="s">
        <v>1165</v>
      </c>
      <c r="C1036" s="1918" t="s">
        <v>55</v>
      </c>
      <c r="D1036" s="1918" t="s">
        <v>1159</v>
      </c>
      <c r="E1036" s="1919">
        <v>0.6742398738861084</v>
      </c>
      <c r="G1036" s="1919">
        <v>0.58209228515625</v>
      </c>
    </row>
    <row r="1037" spans="1:8" x14ac:dyDescent="0.2">
      <c r="A1037" s="1924">
        <v>1993</v>
      </c>
      <c r="B1037" s="1918" t="s">
        <v>1165</v>
      </c>
      <c r="C1037" s="1918" t="s">
        <v>55</v>
      </c>
      <c r="D1037" s="1918" t="s">
        <v>1159</v>
      </c>
      <c r="E1037" s="1919">
        <v>0.65217828750610352</v>
      </c>
      <c r="G1037" s="1919">
        <v>0.56231868267059326</v>
      </c>
    </row>
    <row r="1038" spans="1:8" x14ac:dyDescent="0.2">
      <c r="A1038" s="1924">
        <v>1994</v>
      </c>
      <c r="B1038" s="1918" t="s">
        <v>1165</v>
      </c>
      <c r="C1038" s="1918" t="s">
        <v>55</v>
      </c>
      <c r="D1038" s="1918" t="s">
        <v>1159</v>
      </c>
      <c r="E1038" s="1919">
        <v>0.63099849224090576</v>
      </c>
      <c r="G1038" s="1919">
        <v>0.54460090398788452</v>
      </c>
    </row>
    <row r="1039" spans="1:8" x14ac:dyDescent="0.2">
      <c r="A1039" s="1924">
        <v>1995</v>
      </c>
      <c r="B1039" s="1918" t="s">
        <v>1165</v>
      </c>
      <c r="C1039" s="1918" t="s">
        <v>55</v>
      </c>
      <c r="D1039" s="1918" t="s">
        <v>1159</v>
      </c>
      <c r="E1039" s="1919">
        <v>0.60861080884933472</v>
      </c>
      <c r="F1039" s="1919">
        <v>0.59759420156478882</v>
      </c>
      <c r="G1039" s="1919">
        <v>0.52560156583786011</v>
      </c>
      <c r="H1039" s="1919">
        <v>0.60886836051940918</v>
      </c>
    </row>
    <row r="1040" spans="1:8" x14ac:dyDescent="0.2">
      <c r="A1040" s="1924">
        <v>1996</v>
      </c>
      <c r="B1040" s="1918" t="s">
        <v>1165</v>
      </c>
      <c r="C1040" s="1918" t="s">
        <v>55</v>
      </c>
      <c r="D1040" s="1918" t="s">
        <v>1159</v>
      </c>
      <c r="E1040" s="1919">
        <v>0.61897462606430054</v>
      </c>
      <c r="F1040" s="1919">
        <v>0.60774356126785278</v>
      </c>
      <c r="G1040" s="1919">
        <v>0.53342348337173462</v>
      </c>
      <c r="H1040" s="1919">
        <v>0.62313598394393921</v>
      </c>
    </row>
    <row r="1041" spans="1:8" x14ac:dyDescent="0.2">
      <c r="A1041" s="1924">
        <v>1997</v>
      </c>
      <c r="B1041" s="1918" t="s">
        <v>1165</v>
      </c>
      <c r="C1041" s="1918" t="s">
        <v>55</v>
      </c>
      <c r="D1041" s="1918" t="s">
        <v>1159</v>
      </c>
      <c r="E1041" s="1919">
        <v>0.60979646444320679</v>
      </c>
      <c r="F1041" s="1919">
        <v>0.60205423831939697</v>
      </c>
      <c r="G1041" s="1919">
        <v>0.52604156732559204</v>
      </c>
      <c r="H1041" s="1919">
        <v>0.61463809013366699</v>
      </c>
    </row>
    <row r="1042" spans="1:8" x14ac:dyDescent="0.2">
      <c r="A1042" s="1924">
        <v>1998</v>
      </c>
      <c r="B1042" s="1918" t="s">
        <v>1165</v>
      </c>
      <c r="C1042" s="1918" t="s">
        <v>55</v>
      </c>
      <c r="D1042" s="1918" t="s">
        <v>1159</v>
      </c>
      <c r="E1042" s="1919">
        <v>0.61863291263580322</v>
      </c>
      <c r="F1042" s="1919">
        <v>0.61252862215042114</v>
      </c>
      <c r="G1042" s="1919">
        <v>0.52877110242843628</v>
      </c>
      <c r="H1042" s="1919">
        <v>0.61741602420806885</v>
      </c>
    </row>
    <row r="1043" spans="1:8" x14ac:dyDescent="0.2">
      <c r="A1043" s="1924">
        <v>1999</v>
      </c>
      <c r="B1043" s="1918" t="s">
        <v>1165</v>
      </c>
      <c r="C1043" s="1918" t="s">
        <v>55</v>
      </c>
      <c r="D1043" s="1918" t="s">
        <v>1159</v>
      </c>
      <c r="E1043" s="1919">
        <v>0.62173950672149658</v>
      </c>
      <c r="F1043" s="1919">
        <v>0.61286652088165283</v>
      </c>
      <c r="G1043" s="1919">
        <v>0.53087741136550903</v>
      </c>
      <c r="H1043" s="1919">
        <v>0.61410617828369141</v>
      </c>
    </row>
    <row r="1044" spans="1:8" x14ac:dyDescent="0.2">
      <c r="A1044" s="1924">
        <v>2000</v>
      </c>
      <c r="B1044" s="1918" t="s">
        <v>1165</v>
      </c>
      <c r="C1044" s="1918" t="s">
        <v>55</v>
      </c>
      <c r="D1044" s="1918" t="s">
        <v>1159</v>
      </c>
      <c r="E1044" s="1919">
        <v>0.61966061592102051</v>
      </c>
      <c r="F1044" s="1919">
        <v>0.61730474233627319</v>
      </c>
      <c r="G1044" s="1919">
        <v>0.53033328056335449</v>
      </c>
      <c r="H1044" s="1919">
        <v>0.61511170864105225</v>
      </c>
    </row>
    <row r="1045" spans="1:8" x14ac:dyDescent="0.2">
      <c r="A1045" s="1924">
        <v>2001</v>
      </c>
      <c r="B1045" s="1918" t="s">
        <v>1165</v>
      </c>
      <c r="C1045" s="1918" t="s">
        <v>55</v>
      </c>
      <c r="D1045" s="1918" t="s">
        <v>1159</v>
      </c>
      <c r="E1045" s="1919">
        <v>0.61709195375442505</v>
      </c>
      <c r="F1045" s="1919">
        <v>0.60992676019668579</v>
      </c>
      <c r="G1045" s="1919">
        <v>0.5284496545791626</v>
      </c>
      <c r="H1045" s="1919">
        <v>0.61320573091506958</v>
      </c>
    </row>
    <row r="1046" spans="1:8" x14ac:dyDescent="0.2">
      <c r="A1046" s="1924">
        <v>2002</v>
      </c>
      <c r="B1046" s="1918" t="s">
        <v>1165</v>
      </c>
      <c r="C1046" s="1918" t="s">
        <v>55</v>
      </c>
      <c r="D1046" s="1918" t="s">
        <v>1159</v>
      </c>
      <c r="E1046" s="1919">
        <v>0.6129533052444458</v>
      </c>
      <c r="F1046" s="1919">
        <v>0.60209381580352783</v>
      </c>
      <c r="G1046" s="1919">
        <v>0.52566647529602051</v>
      </c>
      <c r="H1046" s="1919">
        <v>0.60913777351379395</v>
      </c>
    </row>
    <row r="1047" spans="1:8" x14ac:dyDescent="0.2">
      <c r="A1047" s="1924">
        <v>2003</v>
      </c>
      <c r="B1047" s="1918" t="s">
        <v>1165</v>
      </c>
      <c r="C1047" s="1918" t="s">
        <v>55</v>
      </c>
      <c r="D1047" s="1918" t="s">
        <v>1159</v>
      </c>
      <c r="E1047" s="1919">
        <v>0.61450916528701782</v>
      </c>
      <c r="F1047" s="1919">
        <v>0.6035078763961792</v>
      </c>
      <c r="G1047" s="1919">
        <v>0.52742469310760498</v>
      </c>
      <c r="H1047" s="1919">
        <v>0.60456240177154541</v>
      </c>
    </row>
    <row r="1048" spans="1:8" x14ac:dyDescent="0.2">
      <c r="A1048" s="1924">
        <v>2004</v>
      </c>
      <c r="B1048" s="1918" t="s">
        <v>1165</v>
      </c>
      <c r="C1048" s="1918" t="s">
        <v>55</v>
      </c>
      <c r="D1048" s="1918" t="s">
        <v>1159</v>
      </c>
      <c r="E1048" s="1919">
        <v>0.60416901111602783</v>
      </c>
      <c r="F1048" s="1919">
        <v>0.59085214138031006</v>
      </c>
      <c r="G1048" s="1919">
        <v>0.52125483751296997</v>
      </c>
      <c r="H1048" s="1919">
        <v>0.60337638854980469</v>
      </c>
    </row>
    <row r="1049" spans="1:8" x14ac:dyDescent="0.2">
      <c r="A1049" s="1924">
        <v>2005</v>
      </c>
      <c r="B1049" s="1918" t="s">
        <v>1165</v>
      </c>
      <c r="C1049" s="1918" t="s">
        <v>55</v>
      </c>
      <c r="D1049" s="1918" t="s">
        <v>1159</v>
      </c>
      <c r="E1049" s="1919">
        <v>0.61499154567718506</v>
      </c>
      <c r="F1049" s="1919">
        <v>0.5998150110244751</v>
      </c>
      <c r="G1049" s="1919">
        <v>0.53210532665252686</v>
      </c>
      <c r="H1049" s="1919">
        <v>0.6132013201713562</v>
      </c>
    </row>
    <row r="1050" spans="1:8" x14ac:dyDescent="0.2">
      <c r="A1050" s="1924">
        <v>2006</v>
      </c>
      <c r="B1050" s="1918" t="s">
        <v>1165</v>
      </c>
      <c r="C1050" s="1918" t="s">
        <v>55</v>
      </c>
      <c r="D1050" s="1918" t="s">
        <v>1159</v>
      </c>
      <c r="E1050" s="1919">
        <v>0.60409700870513916</v>
      </c>
      <c r="F1050" s="1919">
        <v>0.58640336990356445</v>
      </c>
      <c r="G1050" s="1919">
        <v>0.52581197023391724</v>
      </c>
      <c r="H1050" s="1919">
        <v>0.60218071937561035</v>
      </c>
    </row>
    <row r="1051" spans="1:8" x14ac:dyDescent="0.2">
      <c r="A1051" s="1924">
        <v>2007</v>
      </c>
      <c r="B1051" s="1918" t="s">
        <v>1165</v>
      </c>
      <c r="C1051" s="1918" t="s">
        <v>55</v>
      </c>
      <c r="D1051" s="1918" t="s">
        <v>1159</v>
      </c>
      <c r="E1051" s="1919">
        <v>0.59574323892593384</v>
      </c>
      <c r="F1051" s="1919">
        <v>0.58418351411819458</v>
      </c>
      <c r="G1051" s="1919">
        <v>0.51858437061309814</v>
      </c>
      <c r="H1051" s="1919">
        <v>0.58527922630310059</v>
      </c>
    </row>
    <row r="1052" spans="1:8" x14ac:dyDescent="0.2">
      <c r="A1052" s="1924">
        <v>2008</v>
      </c>
      <c r="B1052" s="1918" t="s">
        <v>1165</v>
      </c>
      <c r="C1052" s="1918" t="s">
        <v>55</v>
      </c>
      <c r="D1052" s="1918" t="s">
        <v>1159</v>
      </c>
      <c r="E1052" s="1919">
        <v>0.60263925790786743</v>
      </c>
      <c r="F1052" s="1919">
        <v>0.59073007106781006</v>
      </c>
      <c r="G1052" s="1919">
        <v>0.52600204944610596</v>
      </c>
      <c r="H1052" s="1919">
        <v>0.59420895576477051</v>
      </c>
    </row>
    <row r="1053" spans="1:8" x14ac:dyDescent="0.2">
      <c r="A1053" s="1924">
        <v>2009</v>
      </c>
      <c r="B1053" s="1918" t="s">
        <v>1165</v>
      </c>
      <c r="C1053" s="1918" t="s">
        <v>55</v>
      </c>
      <c r="D1053" s="1918" t="s">
        <v>1159</v>
      </c>
      <c r="E1053" s="1919">
        <v>0.5961880087852478</v>
      </c>
      <c r="F1053" s="1919">
        <v>0.58795374631881714</v>
      </c>
      <c r="G1053" s="1919">
        <v>0.52450883388519287</v>
      </c>
      <c r="H1053" s="1919">
        <v>0.59022629261016846</v>
      </c>
    </row>
    <row r="1054" spans="1:8" x14ac:dyDescent="0.2">
      <c r="A1054" s="1924">
        <v>2010</v>
      </c>
      <c r="B1054" s="1918" t="s">
        <v>1165</v>
      </c>
      <c r="C1054" s="1918" t="s">
        <v>55</v>
      </c>
      <c r="D1054" s="1918" t="s">
        <v>1159</v>
      </c>
      <c r="E1054" s="1919">
        <v>0.59785294532775879</v>
      </c>
      <c r="F1054" s="1919">
        <v>0.5872986912727356</v>
      </c>
      <c r="G1054" s="1919">
        <v>0.52972561120986938</v>
      </c>
      <c r="H1054" s="1919">
        <v>0.59259951114654541</v>
      </c>
    </row>
    <row r="1055" spans="1:8" x14ac:dyDescent="0.2">
      <c r="A1055" s="1924">
        <v>2011</v>
      </c>
      <c r="B1055" s="1918" t="s">
        <v>1165</v>
      </c>
      <c r="C1055" s="1918" t="s">
        <v>55</v>
      </c>
      <c r="D1055" s="1918" t="s">
        <v>1159</v>
      </c>
      <c r="E1055" s="1919">
        <v>0.59622013568878174</v>
      </c>
      <c r="F1055" s="1919">
        <v>0.5855371356010437</v>
      </c>
      <c r="G1055" s="1919">
        <v>0.52627700567245483</v>
      </c>
      <c r="H1055" s="1919">
        <v>0.58755815029144287</v>
      </c>
    </row>
    <row r="1056" spans="1:8" x14ac:dyDescent="0.2">
      <c r="A1056" s="1924">
        <v>2012</v>
      </c>
      <c r="B1056" s="1918" t="s">
        <v>1165</v>
      </c>
      <c r="C1056" s="1918" t="s">
        <v>55</v>
      </c>
      <c r="D1056" s="1918" t="s">
        <v>1159</v>
      </c>
      <c r="E1056" s="1919">
        <v>0.58787304162979126</v>
      </c>
      <c r="F1056" s="1919">
        <v>0.57860124111175537</v>
      </c>
      <c r="G1056" s="1919">
        <v>0.51754045486450195</v>
      </c>
      <c r="H1056" s="1919">
        <v>0.5802958607673645</v>
      </c>
    </row>
    <row r="1057" spans="1:8" x14ac:dyDescent="0.2">
      <c r="A1057" s="1924">
        <v>2013</v>
      </c>
      <c r="B1057" s="1918" t="s">
        <v>1165</v>
      </c>
      <c r="C1057" s="1918" t="s">
        <v>55</v>
      </c>
      <c r="D1057" s="1918" t="s">
        <v>1159</v>
      </c>
      <c r="E1057" s="1919">
        <v>0.57979363203048706</v>
      </c>
      <c r="F1057" s="1919">
        <v>0.56264036893844604</v>
      </c>
      <c r="G1057" s="1919">
        <v>0.51358681917190552</v>
      </c>
      <c r="H1057" s="1919">
        <v>0.5676339864730835</v>
      </c>
    </row>
    <row r="1058" spans="1:8" x14ac:dyDescent="0.2">
      <c r="A1058" s="1924">
        <v>2014</v>
      </c>
      <c r="B1058" s="1918" t="s">
        <v>1165</v>
      </c>
      <c r="C1058" s="1918" t="s">
        <v>55</v>
      </c>
      <c r="D1058" s="1918" t="s">
        <v>1159</v>
      </c>
      <c r="E1058" s="1919">
        <v>0.57689583301544189</v>
      </c>
      <c r="F1058" s="1919">
        <v>0.5593523383140564</v>
      </c>
      <c r="G1058" s="1919">
        <v>0.51145529747009277</v>
      </c>
      <c r="H1058" s="1919">
        <v>0.5648646354675293</v>
      </c>
    </row>
    <row r="1059" spans="1:8" x14ac:dyDescent="0.2">
      <c r="A1059" s="1924">
        <v>2015</v>
      </c>
      <c r="B1059" s="1918" t="s">
        <v>1165</v>
      </c>
      <c r="C1059" s="1918" t="s">
        <v>55</v>
      </c>
      <c r="D1059" s="1918" t="s">
        <v>1159</v>
      </c>
      <c r="E1059" s="1919">
        <v>0.56913286447525024</v>
      </c>
      <c r="F1059" s="1919">
        <v>0.55415117740631104</v>
      </c>
      <c r="G1059" s="1919">
        <v>0.50625371932983398</v>
      </c>
      <c r="H1059" s="1919">
        <v>0.55950188636779785</v>
      </c>
    </row>
    <row r="1060" spans="1:8" x14ac:dyDescent="0.2">
      <c r="A1060" s="1924">
        <v>1989</v>
      </c>
      <c r="B1060" s="1918" t="s">
        <v>1164</v>
      </c>
      <c r="C1060" s="1918" t="s">
        <v>543</v>
      </c>
      <c r="D1060" s="1918" t="s">
        <v>1163</v>
      </c>
      <c r="H1060" s="1919">
        <v>0.65778350830078125</v>
      </c>
    </row>
    <row r="1061" spans="1:8" x14ac:dyDescent="0.2">
      <c r="A1061" s="1924">
        <v>1990</v>
      </c>
      <c r="B1061" s="1918" t="s">
        <v>1164</v>
      </c>
      <c r="C1061" s="1918" t="s">
        <v>543</v>
      </c>
      <c r="D1061" s="1918" t="s">
        <v>1163</v>
      </c>
      <c r="H1061" s="1919">
        <v>0.7148393988609314</v>
      </c>
    </row>
    <row r="1062" spans="1:8" x14ac:dyDescent="0.2">
      <c r="A1062" s="1924">
        <v>1991</v>
      </c>
      <c r="B1062" s="1918" t="s">
        <v>1164</v>
      </c>
      <c r="C1062" s="1918" t="s">
        <v>543</v>
      </c>
      <c r="D1062" s="1918" t="s">
        <v>1163</v>
      </c>
      <c r="H1062" s="1919">
        <v>0.5801660418510437</v>
      </c>
    </row>
    <row r="1063" spans="1:8" x14ac:dyDescent="0.2">
      <c r="A1063" s="1924">
        <v>1992</v>
      </c>
      <c r="B1063" s="1918" t="s">
        <v>1164</v>
      </c>
      <c r="C1063" s="1918" t="s">
        <v>543</v>
      </c>
      <c r="D1063" s="1918" t="s">
        <v>1163</v>
      </c>
      <c r="H1063" s="1919">
        <v>0.51873302459716797</v>
      </c>
    </row>
    <row r="1064" spans="1:8" x14ac:dyDescent="0.2">
      <c r="A1064" s="1924">
        <v>1993</v>
      </c>
      <c r="B1064" s="1918" t="s">
        <v>1164</v>
      </c>
      <c r="C1064" s="1918" t="s">
        <v>543</v>
      </c>
      <c r="D1064" s="1918" t="s">
        <v>1163</v>
      </c>
      <c r="H1064" s="1919">
        <v>0.5128135085105896</v>
      </c>
    </row>
    <row r="1065" spans="1:8" x14ac:dyDescent="0.2">
      <c r="A1065" s="1924">
        <v>1994</v>
      </c>
      <c r="B1065" s="1918" t="s">
        <v>1164</v>
      </c>
      <c r="C1065" s="1918" t="s">
        <v>543</v>
      </c>
      <c r="D1065" s="1918" t="s">
        <v>1163</v>
      </c>
      <c r="H1065" s="1919">
        <v>0.47533276677131653</v>
      </c>
    </row>
    <row r="1066" spans="1:8" x14ac:dyDescent="0.2">
      <c r="A1066" s="1924">
        <v>1995</v>
      </c>
      <c r="B1066" s="1918" t="s">
        <v>1164</v>
      </c>
      <c r="C1066" s="1918" t="s">
        <v>543</v>
      </c>
      <c r="D1066" s="1918" t="s">
        <v>1163</v>
      </c>
      <c r="E1066" s="1919">
        <v>0.5039026141166687</v>
      </c>
      <c r="G1066" s="1919">
        <v>0.46782428026199341</v>
      </c>
      <c r="H1066" s="1919">
        <v>0.51625150442123413</v>
      </c>
    </row>
    <row r="1067" spans="1:8" x14ac:dyDescent="0.2">
      <c r="A1067" s="1924">
        <v>1996</v>
      </c>
      <c r="B1067" s="1918" t="s">
        <v>1164</v>
      </c>
      <c r="C1067" s="1918" t="s">
        <v>543</v>
      </c>
      <c r="D1067" s="1918" t="s">
        <v>1163</v>
      </c>
      <c r="E1067" s="1919">
        <v>0.50937563180923462</v>
      </c>
      <c r="G1067" s="1919">
        <v>0.4720231294631958</v>
      </c>
      <c r="H1067" s="1919">
        <v>0.50965845584869385</v>
      </c>
    </row>
    <row r="1068" spans="1:8" x14ac:dyDescent="0.2">
      <c r="A1068" s="1924">
        <v>1997</v>
      </c>
      <c r="B1068" s="1918" t="s">
        <v>1164</v>
      </c>
      <c r="C1068" s="1918" t="s">
        <v>543</v>
      </c>
      <c r="D1068" s="1918" t="s">
        <v>1163</v>
      </c>
      <c r="E1068" s="1919">
        <v>0.43975988030433655</v>
      </c>
      <c r="G1068" s="1919">
        <v>0.40682369470596313</v>
      </c>
      <c r="H1068" s="1919">
        <v>0.46143290400505066</v>
      </c>
    </row>
    <row r="1069" spans="1:8" x14ac:dyDescent="0.2">
      <c r="A1069" s="1924">
        <v>1998</v>
      </c>
      <c r="B1069" s="1918" t="s">
        <v>1164</v>
      </c>
      <c r="C1069" s="1918" t="s">
        <v>543</v>
      </c>
      <c r="D1069" s="1918" t="s">
        <v>1163</v>
      </c>
      <c r="E1069" s="1919">
        <v>0.54016178846359253</v>
      </c>
      <c r="G1069" s="1919">
        <v>0.4944852888584137</v>
      </c>
      <c r="H1069" s="1919">
        <v>0.54975217580795288</v>
      </c>
    </row>
    <row r="1070" spans="1:8" x14ac:dyDescent="0.2">
      <c r="A1070" s="1924">
        <v>1999</v>
      </c>
      <c r="B1070" s="1918" t="s">
        <v>1164</v>
      </c>
      <c r="C1070" s="1918" t="s">
        <v>543</v>
      </c>
      <c r="D1070" s="1918" t="s">
        <v>1163</v>
      </c>
      <c r="E1070" s="1919">
        <v>0.44474974274635315</v>
      </c>
      <c r="G1070" s="1919">
        <v>0.40667456388473511</v>
      </c>
      <c r="H1070" s="1919">
        <v>0.47949022054672241</v>
      </c>
    </row>
    <row r="1071" spans="1:8" x14ac:dyDescent="0.2">
      <c r="A1071" s="1924">
        <v>2000</v>
      </c>
      <c r="B1071" s="1918" t="s">
        <v>1164</v>
      </c>
      <c r="C1071" s="1918" t="s">
        <v>543</v>
      </c>
      <c r="D1071" s="1918" t="s">
        <v>1163</v>
      </c>
      <c r="E1071" s="1919">
        <v>0.51857113838195801</v>
      </c>
      <c r="G1071" s="1919">
        <v>0.47253680229187012</v>
      </c>
      <c r="H1071" s="1919">
        <v>0.55315983295440674</v>
      </c>
    </row>
    <row r="1072" spans="1:8" x14ac:dyDescent="0.2">
      <c r="A1072" s="1924">
        <v>2001</v>
      </c>
      <c r="B1072" s="1918" t="s">
        <v>1164</v>
      </c>
      <c r="C1072" s="1918" t="s">
        <v>543</v>
      </c>
      <c r="D1072" s="1918" t="s">
        <v>1163</v>
      </c>
      <c r="E1072" s="1919">
        <v>0.58043479919433594</v>
      </c>
      <c r="G1072" s="1919">
        <v>0.52891170978546143</v>
      </c>
      <c r="H1072" s="1919">
        <v>0.61910831928253174</v>
      </c>
    </row>
    <row r="1073" spans="1:8" x14ac:dyDescent="0.2">
      <c r="A1073" s="1924">
        <v>2002</v>
      </c>
      <c r="B1073" s="1918" t="s">
        <v>1164</v>
      </c>
      <c r="C1073" s="1918" t="s">
        <v>543</v>
      </c>
      <c r="D1073" s="1918" t="s">
        <v>1163</v>
      </c>
      <c r="E1073" s="1919">
        <v>0.53114080429077148</v>
      </c>
      <c r="G1073" s="1919">
        <v>0.49442949891090393</v>
      </c>
      <c r="H1073" s="1919">
        <v>0.54775768518447876</v>
      </c>
    </row>
    <row r="1074" spans="1:8" x14ac:dyDescent="0.2">
      <c r="A1074" s="1924">
        <v>2003</v>
      </c>
      <c r="B1074" s="1918" t="s">
        <v>1164</v>
      </c>
      <c r="C1074" s="1918" t="s">
        <v>543</v>
      </c>
      <c r="D1074" s="1918" t="s">
        <v>1163</v>
      </c>
      <c r="E1074" s="1919">
        <v>0.50098693370819092</v>
      </c>
      <c r="G1074" s="1919">
        <v>0.46355736255645752</v>
      </c>
      <c r="H1074" s="1919">
        <v>0.52221423387527466</v>
      </c>
    </row>
    <row r="1075" spans="1:8" x14ac:dyDescent="0.2">
      <c r="A1075" s="1924">
        <v>2004</v>
      </c>
      <c r="B1075" s="1918" t="s">
        <v>1164</v>
      </c>
      <c r="C1075" s="1918" t="s">
        <v>543</v>
      </c>
      <c r="D1075" s="1918" t="s">
        <v>1163</v>
      </c>
      <c r="E1075" s="1919">
        <v>0.47762769460678101</v>
      </c>
      <c r="G1075" s="1919">
        <v>0.44944164156913757</v>
      </c>
      <c r="H1075" s="1919">
        <v>0.5366971492767334</v>
      </c>
    </row>
    <row r="1076" spans="1:8" x14ac:dyDescent="0.2">
      <c r="A1076" s="1924">
        <v>2005</v>
      </c>
      <c r="B1076" s="1918" t="s">
        <v>1164</v>
      </c>
      <c r="C1076" s="1918" t="s">
        <v>543</v>
      </c>
      <c r="D1076" s="1918" t="s">
        <v>1163</v>
      </c>
      <c r="E1076" s="1919">
        <v>0.49595171213150024</v>
      </c>
      <c r="G1076" s="1919">
        <v>0.46383365988731384</v>
      </c>
      <c r="H1076" s="1919">
        <v>0.55455482006072998</v>
      </c>
    </row>
    <row r="1077" spans="1:8" x14ac:dyDescent="0.2">
      <c r="A1077" s="1924">
        <v>2006</v>
      </c>
      <c r="B1077" s="1918" t="s">
        <v>1164</v>
      </c>
      <c r="C1077" s="1918" t="s">
        <v>543</v>
      </c>
      <c r="D1077" s="1918" t="s">
        <v>1163</v>
      </c>
      <c r="E1077" s="1919">
        <v>0.46105757355690002</v>
      </c>
      <c r="G1077" s="1919">
        <v>0.43156489729881287</v>
      </c>
      <c r="H1077" s="1919">
        <v>0.52819490432739258</v>
      </c>
    </row>
    <row r="1078" spans="1:8" x14ac:dyDescent="0.2">
      <c r="A1078" s="1924">
        <v>2007</v>
      </c>
      <c r="B1078" s="1918" t="s">
        <v>1164</v>
      </c>
      <c r="C1078" s="1918" t="s">
        <v>543</v>
      </c>
      <c r="D1078" s="1918" t="s">
        <v>1163</v>
      </c>
      <c r="E1078" s="1919">
        <v>0.44182670116424561</v>
      </c>
      <c r="G1078" s="1919">
        <v>0.41382518410682678</v>
      </c>
      <c r="H1078" s="1919">
        <v>0.42318692803382874</v>
      </c>
    </row>
    <row r="1079" spans="1:8" x14ac:dyDescent="0.2">
      <c r="A1079" s="1924">
        <v>2008</v>
      </c>
      <c r="B1079" s="1918" t="s">
        <v>1164</v>
      </c>
      <c r="C1079" s="1918" t="s">
        <v>543</v>
      </c>
      <c r="D1079" s="1918" t="s">
        <v>1163</v>
      </c>
      <c r="E1079" s="1919">
        <v>0.46018862724304199</v>
      </c>
      <c r="G1079" s="1919">
        <v>0.43351224064826965</v>
      </c>
      <c r="H1079" s="1919">
        <v>0.44115722179412842</v>
      </c>
    </row>
    <row r="1080" spans="1:8" x14ac:dyDescent="0.2">
      <c r="A1080" s="1924">
        <v>2009</v>
      </c>
      <c r="B1080" s="1918" t="s">
        <v>1164</v>
      </c>
      <c r="C1080" s="1918" t="s">
        <v>543</v>
      </c>
      <c r="D1080" s="1918" t="s">
        <v>1163</v>
      </c>
      <c r="E1080" s="1919">
        <v>0.43452319502830505</v>
      </c>
      <c r="G1080" s="1919">
        <v>0.40597584843635559</v>
      </c>
      <c r="H1080" s="1919">
        <v>0.39086064696311951</v>
      </c>
    </row>
    <row r="1081" spans="1:8" x14ac:dyDescent="0.2">
      <c r="A1081" s="1924">
        <v>2010</v>
      </c>
      <c r="B1081" s="1918" t="s">
        <v>1164</v>
      </c>
      <c r="C1081" s="1918" t="s">
        <v>543</v>
      </c>
      <c r="D1081" s="1918" t="s">
        <v>1163</v>
      </c>
      <c r="E1081" s="1919">
        <v>0.40615808963775635</v>
      </c>
      <c r="G1081" s="1919">
        <v>0.37592056393623352</v>
      </c>
      <c r="H1081" s="1919">
        <v>0.47409176826477051</v>
      </c>
    </row>
    <row r="1082" spans="1:8" x14ac:dyDescent="0.2">
      <c r="A1082" s="1924">
        <v>2011</v>
      </c>
      <c r="B1082" s="1918" t="s">
        <v>1164</v>
      </c>
      <c r="C1082" s="1918" t="s">
        <v>543</v>
      </c>
      <c r="D1082" s="1918" t="s">
        <v>1163</v>
      </c>
      <c r="E1082" s="1919">
        <v>0.42635226249694824</v>
      </c>
      <c r="G1082" s="1919">
        <v>0.39390480518341064</v>
      </c>
      <c r="H1082" s="1919">
        <v>0.4569699764251709</v>
      </c>
    </row>
    <row r="1083" spans="1:8" x14ac:dyDescent="0.2">
      <c r="A1083" s="1924">
        <v>2012</v>
      </c>
      <c r="B1083" s="1918" t="s">
        <v>1164</v>
      </c>
      <c r="C1083" s="1918" t="s">
        <v>543</v>
      </c>
      <c r="D1083" s="1918" t="s">
        <v>1163</v>
      </c>
      <c r="E1083" s="1919">
        <v>0.41443628072738647</v>
      </c>
      <c r="G1083" s="1919">
        <v>0.38430619239807129</v>
      </c>
      <c r="H1083" s="1919">
        <v>0.42927223443984985</v>
      </c>
    </row>
    <row r="1084" spans="1:8" x14ac:dyDescent="0.2">
      <c r="A1084" s="1924">
        <v>2013</v>
      </c>
      <c r="B1084" s="1918" t="s">
        <v>1164</v>
      </c>
      <c r="C1084" s="1918" t="s">
        <v>543</v>
      </c>
      <c r="D1084" s="1918" t="s">
        <v>1163</v>
      </c>
      <c r="E1084" s="1919">
        <v>0.39209109544754028</v>
      </c>
      <c r="G1084" s="1919">
        <v>0.36762282252311707</v>
      </c>
      <c r="H1084" s="1919">
        <v>0.42775347828865051</v>
      </c>
    </row>
    <row r="1085" spans="1:8" x14ac:dyDescent="0.2">
      <c r="A1085" s="1924">
        <v>2014</v>
      </c>
      <c r="B1085" s="1918" t="s">
        <v>1164</v>
      </c>
      <c r="C1085" s="1918" t="s">
        <v>543</v>
      </c>
      <c r="D1085" s="1918" t="s">
        <v>1163</v>
      </c>
      <c r="E1085" s="1919">
        <v>0.40505191683769226</v>
      </c>
      <c r="G1085" s="1919">
        <v>0.37839198112487793</v>
      </c>
      <c r="H1085" s="1919">
        <v>0.43294143676757812</v>
      </c>
    </row>
    <row r="1086" spans="1:8" x14ac:dyDescent="0.2">
      <c r="A1086" s="1924">
        <v>2015</v>
      </c>
      <c r="B1086" s="1918" t="s">
        <v>1164</v>
      </c>
      <c r="C1086" s="1918" t="s">
        <v>543</v>
      </c>
      <c r="D1086" s="1918" t="s">
        <v>1163</v>
      </c>
      <c r="E1086" s="1919">
        <v>0.39620527625083923</v>
      </c>
      <c r="G1086" s="1919">
        <v>0.37238085269927979</v>
      </c>
      <c r="H1086" s="1919">
        <v>0.43130320310592651</v>
      </c>
    </row>
    <row r="1087" spans="1:8" x14ac:dyDescent="0.2">
      <c r="A1087" s="1924">
        <v>1995</v>
      </c>
      <c r="B1087" s="1918" t="s">
        <v>1162</v>
      </c>
      <c r="C1087" s="1918" t="s">
        <v>70</v>
      </c>
      <c r="D1087" s="1918" t="s">
        <v>1161</v>
      </c>
      <c r="E1087" s="1919">
        <v>0.47385451197624207</v>
      </c>
    </row>
    <row r="1088" spans="1:8" x14ac:dyDescent="0.2">
      <c r="A1088" s="1924">
        <v>1996</v>
      </c>
      <c r="B1088" s="1918" t="s">
        <v>1162</v>
      </c>
      <c r="C1088" s="1918" t="s">
        <v>70</v>
      </c>
      <c r="D1088" s="1918" t="s">
        <v>1161</v>
      </c>
      <c r="E1088" s="1919">
        <v>0.49311047792434692</v>
      </c>
    </row>
    <row r="1089" spans="1:8" x14ac:dyDescent="0.2">
      <c r="A1089" s="1924">
        <v>1997</v>
      </c>
      <c r="B1089" s="1918" t="s">
        <v>1162</v>
      </c>
      <c r="C1089" s="1918" t="s">
        <v>70</v>
      </c>
      <c r="D1089" s="1918" t="s">
        <v>1161</v>
      </c>
      <c r="E1089" s="1919">
        <v>0.50793784856796265</v>
      </c>
    </row>
    <row r="1090" spans="1:8" x14ac:dyDescent="0.2">
      <c r="A1090" s="1924">
        <v>1998</v>
      </c>
      <c r="B1090" s="1918" t="s">
        <v>1162</v>
      </c>
      <c r="C1090" s="1918" t="s">
        <v>70</v>
      </c>
      <c r="D1090" s="1918" t="s">
        <v>1161</v>
      </c>
      <c r="E1090" s="1919">
        <v>0.504555344581604</v>
      </c>
    </row>
    <row r="1091" spans="1:8" x14ac:dyDescent="0.2">
      <c r="A1091" s="1924">
        <v>1999</v>
      </c>
      <c r="B1091" s="1918" t="s">
        <v>1162</v>
      </c>
      <c r="C1091" s="1918" t="s">
        <v>70</v>
      </c>
      <c r="D1091" s="1918" t="s">
        <v>1161</v>
      </c>
      <c r="E1091" s="1919">
        <v>0.46886071562767029</v>
      </c>
    </row>
    <row r="1092" spans="1:8" x14ac:dyDescent="0.2">
      <c r="A1092" s="1924">
        <v>2000</v>
      </c>
      <c r="B1092" s="1918" t="s">
        <v>1162</v>
      </c>
      <c r="C1092" s="1918" t="s">
        <v>70</v>
      </c>
      <c r="D1092" s="1918" t="s">
        <v>1161</v>
      </c>
      <c r="E1092" s="1919">
        <v>0.44812238216400146</v>
      </c>
    </row>
    <row r="1093" spans="1:8" x14ac:dyDescent="0.2">
      <c r="A1093" s="1924">
        <v>2001</v>
      </c>
      <c r="B1093" s="1918" t="s">
        <v>1162</v>
      </c>
      <c r="C1093" s="1918" t="s">
        <v>70</v>
      </c>
      <c r="D1093" s="1918" t="s">
        <v>1161</v>
      </c>
      <c r="E1093" s="1919">
        <v>0.47227233648300171</v>
      </c>
    </row>
    <row r="1094" spans="1:8" x14ac:dyDescent="0.2">
      <c r="A1094" s="1924">
        <v>2002</v>
      </c>
      <c r="B1094" s="1918" t="s">
        <v>1162</v>
      </c>
      <c r="C1094" s="1918" t="s">
        <v>70</v>
      </c>
      <c r="D1094" s="1918" t="s">
        <v>1161</v>
      </c>
      <c r="E1094" s="1919">
        <v>0.49818262457847595</v>
      </c>
      <c r="H1094" s="1919">
        <v>0.56408506631851196</v>
      </c>
    </row>
    <row r="1095" spans="1:8" x14ac:dyDescent="0.2">
      <c r="A1095" s="1924">
        <v>2003</v>
      </c>
      <c r="B1095" s="1918" t="s">
        <v>1162</v>
      </c>
      <c r="C1095" s="1918" t="s">
        <v>70</v>
      </c>
      <c r="D1095" s="1918" t="s">
        <v>1161</v>
      </c>
      <c r="E1095" s="1919">
        <v>0.51591932773590088</v>
      </c>
      <c r="H1095" s="1919">
        <v>0.55769407749176025</v>
      </c>
    </row>
    <row r="1096" spans="1:8" x14ac:dyDescent="0.2">
      <c r="A1096" s="1924">
        <v>2004</v>
      </c>
      <c r="B1096" s="1918" t="s">
        <v>1162</v>
      </c>
      <c r="C1096" s="1918" t="s">
        <v>70</v>
      </c>
      <c r="D1096" s="1918" t="s">
        <v>1161</v>
      </c>
      <c r="E1096" s="1919">
        <v>0.5031772255897522</v>
      </c>
      <c r="H1096" s="1919">
        <v>0.54643183946609497</v>
      </c>
    </row>
    <row r="1097" spans="1:8" x14ac:dyDescent="0.2">
      <c r="A1097" s="1924">
        <v>2005</v>
      </c>
      <c r="B1097" s="1918" t="s">
        <v>1162</v>
      </c>
      <c r="C1097" s="1918" t="s">
        <v>70</v>
      </c>
      <c r="D1097" s="1918" t="s">
        <v>1161</v>
      </c>
      <c r="E1097" s="1919">
        <v>0.47718274593353271</v>
      </c>
      <c r="H1097" s="1919">
        <v>0.52723562717437744</v>
      </c>
    </row>
    <row r="1098" spans="1:8" x14ac:dyDescent="0.2">
      <c r="A1098" s="1924">
        <v>2006</v>
      </c>
      <c r="B1098" s="1918" t="s">
        <v>1162</v>
      </c>
      <c r="C1098" s="1918" t="s">
        <v>70</v>
      </c>
      <c r="D1098" s="1918" t="s">
        <v>1161</v>
      </c>
      <c r="E1098" s="1919">
        <v>0.47808319330215454</v>
      </c>
      <c r="H1098" s="1919">
        <v>0.53624767065048218</v>
      </c>
    </row>
    <row r="1099" spans="1:8" x14ac:dyDescent="0.2">
      <c r="A1099" s="1924">
        <v>2007</v>
      </c>
      <c r="B1099" s="1918" t="s">
        <v>1162</v>
      </c>
      <c r="C1099" s="1918" t="s">
        <v>70</v>
      </c>
      <c r="D1099" s="1918" t="s">
        <v>1161</v>
      </c>
      <c r="E1099" s="1919">
        <v>0.50041180849075317</v>
      </c>
      <c r="H1099" s="1919">
        <v>0.56161713600158691</v>
      </c>
    </row>
    <row r="1100" spans="1:8" x14ac:dyDescent="0.2">
      <c r="A1100" s="1924">
        <v>2008</v>
      </c>
      <c r="B1100" s="1918" t="s">
        <v>1162</v>
      </c>
      <c r="C1100" s="1918" t="s">
        <v>70</v>
      </c>
      <c r="D1100" s="1918" t="s">
        <v>1161</v>
      </c>
      <c r="E1100" s="1919">
        <v>0.52132487297058105</v>
      </c>
      <c r="H1100" s="1919">
        <v>0.56611037254333496</v>
      </c>
    </row>
    <row r="1101" spans="1:8" x14ac:dyDescent="0.2">
      <c r="A1101" s="1924">
        <v>2009</v>
      </c>
      <c r="B1101" s="1918" t="s">
        <v>1162</v>
      </c>
      <c r="C1101" s="1918" t="s">
        <v>70</v>
      </c>
      <c r="D1101" s="1918" t="s">
        <v>1161</v>
      </c>
      <c r="E1101" s="1919">
        <v>0.5500023365020752</v>
      </c>
      <c r="H1101" s="1919">
        <v>0.62892740964889526</v>
      </c>
    </row>
    <row r="1102" spans="1:8" x14ac:dyDescent="0.2">
      <c r="A1102" s="1924">
        <v>2010</v>
      </c>
      <c r="B1102" s="1918" t="s">
        <v>1162</v>
      </c>
      <c r="C1102" s="1918" t="s">
        <v>70</v>
      </c>
      <c r="D1102" s="1918" t="s">
        <v>1161</v>
      </c>
      <c r="E1102" s="1919">
        <v>0.54607218503952026</v>
      </c>
      <c r="H1102" s="1919">
        <v>0.57302314043045044</v>
      </c>
    </row>
    <row r="1103" spans="1:8" x14ac:dyDescent="0.2">
      <c r="A1103" s="1924">
        <v>2011</v>
      </c>
      <c r="B1103" s="1918" t="s">
        <v>1162</v>
      </c>
      <c r="C1103" s="1918" t="s">
        <v>70</v>
      </c>
      <c r="D1103" s="1918" t="s">
        <v>1161</v>
      </c>
      <c r="E1103" s="1919">
        <v>0.52311742305755615</v>
      </c>
      <c r="H1103" s="1919">
        <v>0.5379452109336853</v>
      </c>
    </row>
    <row r="1104" spans="1:8" x14ac:dyDescent="0.2">
      <c r="A1104" s="1924">
        <v>2012</v>
      </c>
      <c r="B1104" s="1918" t="s">
        <v>1162</v>
      </c>
      <c r="C1104" s="1918" t="s">
        <v>70</v>
      </c>
      <c r="D1104" s="1918" t="s">
        <v>1161</v>
      </c>
      <c r="E1104" s="1919">
        <v>0.53831076622009277</v>
      </c>
      <c r="H1104" s="1919">
        <v>0.54270446300506592</v>
      </c>
    </row>
    <row r="1105" spans="1:8" x14ac:dyDescent="0.2">
      <c r="A1105" s="1924">
        <v>2013</v>
      </c>
      <c r="B1105" s="1918" t="s">
        <v>1162</v>
      </c>
      <c r="C1105" s="1918" t="s">
        <v>70</v>
      </c>
      <c r="D1105" s="1918" t="s">
        <v>1161</v>
      </c>
      <c r="E1105" s="1919">
        <v>0.54718083143234253</v>
      </c>
      <c r="H1105" s="1919">
        <v>0.56356680393218994</v>
      </c>
    </row>
    <row r="1106" spans="1:8" x14ac:dyDescent="0.2">
      <c r="A1106" s="1924">
        <v>2014</v>
      </c>
      <c r="B1106" s="1918" t="s">
        <v>1162</v>
      </c>
      <c r="C1106" s="1918" t="s">
        <v>70</v>
      </c>
      <c r="D1106" s="1918" t="s">
        <v>1161</v>
      </c>
      <c r="E1106" s="1919">
        <v>0.55542755126953125</v>
      </c>
      <c r="H1106" s="1919">
        <v>0.58050358295440674</v>
      </c>
    </row>
    <row r="1107" spans="1:8" x14ac:dyDescent="0.2">
      <c r="A1107" s="1924">
        <v>2015</v>
      </c>
      <c r="B1107" s="1918" t="s">
        <v>1162</v>
      </c>
      <c r="C1107" s="1918" t="s">
        <v>70</v>
      </c>
      <c r="D1107" s="1918" t="s">
        <v>1161</v>
      </c>
      <c r="H1107" s="1919">
        <v>0.53780466318130493</v>
      </c>
    </row>
    <row r="1108" spans="1:8" x14ac:dyDescent="0.2">
      <c r="A1108" s="1924">
        <v>1970</v>
      </c>
      <c r="B1108" s="1918" t="s">
        <v>1160</v>
      </c>
      <c r="C1108" s="1918" t="s">
        <v>59</v>
      </c>
      <c r="D1108" s="1918" t="s">
        <v>1159</v>
      </c>
      <c r="E1108" s="1919">
        <v>0.69993716478347778</v>
      </c>
      <c r="G1108" s="1919">
        <v>0.6614915132522583</v>
      </c>
      <c r="H1108" s="1919">
        <v>0.70226550102233887</v>
      </c>
    </row>
    <row r="1109" spans="1:8" x14ac:dyDescent="0.2">
      <c r="A1109" s="1924">
        <v>1971</v>
      </c>
      <c r="B1109" s="1918" t="s">
        <v>1160</v>
      </c>
      <c r="C1109" s="1918" t="s">
        <v>59</v>
      </c>
      <c r="D1109" s="1918" t="s">
        <v>1159</v>
      </c>
      <c r="E1109" s="1919">
        <v>0.70916670560836792</v>
      </c>
      <c r="G1109" s="1919">
        <v>0.67050302028656006</v>
      </c>
      <c r="H1109" s="1919">
        <v>0.71823781728744507</v>
      </c>
    </row>
    <row r="1110" spans="1:8" x14ac:dyDescent="0.2">
      <c r="A1110" s="1924">
        <v>1972</v>
      </c>
      <c r="B1110" s="1918" t="s">
        <v>1160</v>
      </c>
      <c r="C1110" s="1918" t="s">
        <v>59</v>
      </c>
      <c r="D1110" s="1918" t="s">
        <v>1159</v>
      </c>
      <c r="E1110" s="1919">
        <v>0.70821952819824219</v>
      </c>
      <c r="G1110" s="1919">
        <v>0.66969656944274902</v>
      </c>
      <c r="H1110" s="1919">
        <v>0.69893431663513184</v>
      </c>
    </row>
    <row r="1111" spans="1:8" x14ac:dyDescent="0.2">
      <c r="A1111" s="1924">
        <v>1973</v>
      </c>
      <c r="B1111" s="1918" t="s">
        <v>1160</v>
      </c>
      <c r="C1111" s="1918" t="s">
        <v>59</v>
      </c>
      <c r="D1111" s="1918" t="s">
        <v>1159</v>
      </c>
      <c r="E1111" s="1919">
        <v>0.68808221817016602</v>
      </c>
      <c r="G1111" s="1919">
        <v>0.65104228258132935</v>
      </c>
      <c r="H1111" s="1919">
        <v>0.65265929698944092</v>
      </c>
    </row>
    <row r="1112" spans="1:8" x14ac:dyDescent="0.2">
      <c r="A1112" s="1924">
        <v>1974</v>
      </c>
      <c r="B1112" s="1918" t="s">
        <v>1160</v>
      </c>
      <c r="C1112" s="1918" t="s">
        <v>59</v>
      </c>
      <c r="D1112" s="1918" t="s">
        <v>1159</v>
      </c>
      <c r="E1112" s="1919">
        <v>0.65800482034683228</v>
      </c>
      <c r="G1112" s="1919">
        <v>0.62357646226882935</v>
      </c>
      <c r="H1112" s="1919">
        <v>0.63339293003082275</v>
      </c>
    </row>
    <row r="1113" spans="1:8" x14ac:dyDescent="0.2">
      <c r="A1113" s="1924">
        <v>1975</v>
      </c>
      <c r="B1113" s="1918" t="s">
        <v>1160</v>
      </c>
      <c r="C1113" s="1918" t="s">
        <v>59</v>
      </c>
      <c r="D1113" s="1918" t="s">
        <v>1159</v>
      </c>
      <c r="E1113" s="1919">
        <v>0.69654208421707153</v>
      </c>
      <c r="G1113" s="1919">
        <v>0.66001862287521362</v>
      </c>
      <c r="H1113" s="1919">
        <v>0.63735753297805786</v>
      </c>
    </row>
    <row r="1114" spans="1:8" x14ac:dyDescent="0.2">
      <c r="A1114" s="1924">
        <v>1976</v>
      </c>
      <c r="B1114" s="1918" t="s">
        <v>1160</v>
      </c>
      <c r="C1114" s="1918" t="s">
        <v>59</v>
      </c>
      <c r="D1114" s="1918" t="s">
        <v>1159</v>
      </c>
      <c r="E1114" s="1919">
        <v>0.71708738803863525</v>
      </c>
      <c r="G1114" s="1919">
        <v>0.67922717332839966</v>
      </c>
      <c r="H1114" s="1919">
        <v>0.65085679292678833</v>
      </c>
    </row>
    <row r="1115" spans="1:8" x14ac:dyDescent="0.2">
      <c r="A1115" s="1924">
        <v>1977</v>
      </c>
      <c r="B1115" s="1918" t="s">
        <v>1160</v>
      </c>
      <c r="C1115" s="1918" t="s">
        <v>59</v>
      </c>
      <c r="D1115" s="1918" t="s">
        <v>1159</v>
      </c>
      <c r="E1115" s="1919">
        <v>0.72290205955505371</v>
      </c>
      <c r="G1115" s="1919">
        <v>0.68418914079666138</v>
      </c>
      <c r="H1115" s="1919">
        <v>0.66802102327346802</v>
      </c>
    </row>
    <row r="1116" spans="1:8" x14ac:dyDescent="0.2">
      <c r="A1116" s="1924">
        <v>1978</v>
      </c>
      <c r="B1116" s="1918" t="s">
        <v>1160</v>
      </c>
      <c r="C1116" s="1918" t="s">
        <v>59</v>
      </c>
      <c r="D1116" s="1918" t="s">
        <v>1159</v>
      </c>
      <c r="E1116" s="1919">
        <v>0.71242880821228027</v>
      </c>
      <c r="G1116" s="1919">
        <v>0.67427325248718262</v>
      </c>
      <c r="H1116" s="1919">
        <v>0.65904772281646729</v>
      </c>
    </row>
    <row r="1117" spans="1:8" x14ac:dyDescent="0.2">
      <c r="A1117" s="1924">
        <v>1979</v>
      </c>
      <c r="B1117" s="1918" t="s">
        <v>1160</v>
      </c>
      <c r="C1117" s="1918" t="s">
        <v>59</v>
      </c>
      <c r="D1117" s="1918" t="s">
        <v>1159</v>
      </c>
      <c r="E1117" s="1919">
        <v>0.67916911840438843</v>
      </c>
      <c r="G1117" s="1919">
        <v>0.64272540807723999</v>
      </c>
      <c r="H1117" s="1919">
        <v>0.63608396053314209</v>
      </c>
    </row>
    <row r="1118" spans="1:8" x14ac:dyDescent="0.2">
      <c r="A1118" s="1924">
        <v>1980</v>
      </c>
      <c r="B1118" s="1918" t="s">
        <v>1160</v>
      </c>
      <c r="C1118" s="1918" t="s">
        <v>59</v>
      </c>
      <c r="D1118" s="1918" t="s">
        <v>1159</v>
      </c>
      <c r="E1118" s="1919">
        <v>0.66827183961868286</v>
      </c>
      <c r="G1118" s="1919">
        <v>0.63259369134902954</v>
      </c>
      <c r="H1118" s="1919">
        <v>0.60598450899124146</v>
      </c>
    </row>
    <row r="1119" spans="1:8" x14ac:dyDescent="0.2">
      <c r="A1119" s="1924">
        <v>1981</v>
      </c>
      <c r="B1119" s="1918" t="s">
        <v>1160</v>
      </c>
      <c r="C1119" s="1918" t="s">
        <v>59</v>
      </c>
      <c r="D1119" s="1918" t="s">
        <v>1159</v>
      </c>
      <c r="E1119" s="1919">
        <v>0.66979247331619263</v>
      </c>
      <c r="G1119" s="1919">
        <v>0.63399171829223633</v>
      </c>
      <c r="H1119" s="1919">
        <v>0.6037871241569519</v>
      </c>
    </row>
    <row r="1120" spans="1:8" x14ac:dyDescent="0.2">
      <c r="A1120" s="1924">
        <v>1982</v>
      </c>
      <c r="B1120" s="1918" t="s">
        <v>1160</v>
      </c>
      <c r="C1120" s="1918" t="s">
        <v>59</v>
      </c>
      <c r="D1120" s="1918" t="s">
        <v>1159</v>
      </c>
      <c r="E1120" s="1919">
        <v>0.63085979223251343</v>
      </c>
      <c r="G1120" s="1919">
        <v>0.59763163328170776</v>
      </c>
      <c r="H1120" s="1919">
        <v>0.58693587779998779</v>
      </c>
    </row>
    <row r="1121" spans="1:8" x14ac:dyDescent="0.2">
      <c r="A1121" s="1924">
        <v>1983</v>
      </c>
      <c r="B1121" s="1918" t="s">
        <v>1160</v>
      </c>
      <c r="C1121" s="1918" t="s">
        <v>59</v>
      </c>
      <c r="D1121" s="1918" t="s">
        <v>1159</v>
      </c>
      <c r="E1121" s="1919">
        <v>0.60355037450790405</v>
      </c>
      <c r="G1121" s="1919">
        <v>0.57209634780883789</v>
      </c>
      <c r="H1121" s="1919">
        <v>0.55816245079040527</v>
      </c>
    </row>
    <row r="1122" spans="1:8" x14ac:dyDescent="0.2">
      <c r="A1122" s="1924">
        <v>1984</v>
      </c>
      <c r="B1122" s="1918" t="s">
        <v>1160</v>
      </c>
      <c r="C1122" s="1918" t="s">
        <v>59</v>
      </c>
      <c r="D1122" s="1918" t="s">
        <v>1159</v>
      </c>
      <c r="E1122" s="1919">
        <v>0.59133845567703247</v>
      </c>
      <c r="G1122" s="1919">
        <v>0.56093138456344604</v>
      </c>
      <c r="H1122" s="1919">
        <v>0.53988105058670044</v>
      </c>
    </row>
    <row r="1123" spans="1:8" x14ac:dyDescent="0.2">
      <c r="A1123" s="1924">
        <v>1985</v>
      </c>
      <c r="B1123" s="1918" t="s">
        <v>1160</v>
      </c>
      <c r="C1123" s="1918" t="s">
        <v>59</v>
      </c>
      <c r="D1123" s="1918" t="s">
        <v>1159</v>
      </c>
      <c r="E1123" s="1919">
        <v>0.60227304697036743</v>
      </c>
      <c r="G1123" s="1919">
        <v>0.57101243734359741</v>
      </c>
      <c r="H1123" s="1919">
        <v>0.55423033237457275</v>
      </c>
    </row>
    <row r="1124" spans="1:8" x14ac:dyDescent="0.2">
      <c r="A1124" s="1924">
        <v>1986</v>
      </c>
      <c r="B1124" s="1918" t="s">
        <v>1160</v>
      </c>
      <c r="C1124" s="1918" t="s">
        <v>59</v>
      </c>
      <c r="D1124" s="1918" t="s">
        <v>1159</v>
      </c>
      <c r="E1124" s="1919">
        <v>0.58200591802597046</v>
      </c>
      <c r="G1124" s="1919">
        <v>0.552001953125</v>
      </c>
      <c r="H1124" s="1919">
        <v>0.54836446046829224</v>
      </c>
    </row>
    <row r="1125" spans="1:8" x14ac:dyDescent="0.2">
      <c r="A1125" s="1924">
        <v>1987</v>
      </c>
      <c r="B1125" s="1918" t="s">
        <v>1160</v>
      </c>
      <c r="C1125" s="1918" t="s">
        <v>59</v>
      </c>
      <c r="D1125" s="1918" t="s">
        <v>1159</v>
      </c>
      <c r="E1125" s="1919">
        <v>0.59127074480056763</v>
      </c>
      <c r="G1125" s="1919">
        <v>0.56006616353988647</v>
      </c>
      <c r="H1125" s="1919">
        <v>0.5561215877532959</v>
      </c>
    </row>
    <row r="1126" spans="1:8" x14ac:dyDescent="0.2">
      <c r="A1126" s="1924">
        <v>1988</v>
      </c>
      <c r="B1126" s="1918" t="s">
        <v>1160</v>
      </c>
      <c r="C1126" s="1918" t="s">
        <v>59</v>
      </c>
      <c r="D1126" s="1918" t="s">
        <v>1159</v>
      </c>
      <c r="E1126" s="1919">
        <v>0.59358334541320801</v>
      </c>
      <c r="G1126" s="1919">
        <v>0.56206512451171875</v>
      </c>
      <c r="H1126" s="1919">
        <v>0.54979217052459717</v>
      </c>
    </row>
    <row r="1127" spans="1:8" x14ac:dyDescent="0.2">
      <c r="A1127" s="1924">
        <v>1989</v>
      </c>
      <c r="B1127" s="1918" t="s">
        <v>1160</v>
      </c>
      <c r="C1127" s="1918" t="s">
        <v>59</v>
      </c>
      <c r="D1127" s="1918" t="s">
        <v>1159</v>
      </c>
      <c r="E1127" s="1919">
        <v>0.60741537809371948</v>
      </c>
      <c r="G1127" s="1919">
        <v>0.57434827089309692</v>
      </c>
      <c r="H1127" s="1919">
        <v>0.56026792526245117</v>
      </c>
    </row>
    <row r="1128" spans="1:8" x14ac:dyDescent="0.2">
      <c r="A1128" s="1924">
        <v>1990</v>
      </c>
      <c r="B1128" s="1918" t="s">
        <v>1160</v>
      </c>
      <c r="C1128" s="1918" t="s">
        <v>59</v>
      </c>
      <c r="D1128" s="1918" t="s">
        <v>1159</v>
      </c>
      <c r="E1128" s="1919">
        <v>0.62532973289489746</v>
      </c>
      <c r="G1128" s="1919">
        <v>0.59061861038208008</v>
      </c>
      <c r="H1128" s="1919">
        <v>0.58196544647216797</v>
      </c>
    </row>
    <row r="1129" spans="1:8" x14ac:dyDescent="0.2">
      <c r="A1129" s="1924">
        <v>1991</v>
      </c>
      <c r="B1129" s="1918" t="s">
        <v>1160</v>
      </c>
      <c r="C1129" s="1918" t="s">
        <v>59</v>
      </c>
      <c r="D1129" s="1918" t="s">
        <v>1159</v>
      </c>
      <c r="E1129" s="1919">
        <v>0.64046132564544678</v>
      </c>
      <c r="G1129" s="1919">
        <v>0.60463839769363403</v>
      </c>
      <c r="H1129" s="1919">
        <v>0.58174943923950195</v>
      </c>
    </row>
    <row r="1130" spans="1:8" x14ac:dyDescent="0.2">
      <c r="A1130" s="1924">
        <v>1992</v>
      </c>
      <c r="B1130" s="1918" t="s">
        <v>1160</v>
      </c>
      <c r="C1130" s="1918" t="s">
        <v>59</v>
      </c>
      <c r="D1130" s="1918" t="s">
        <v>1159</v>
      </c>
      <c r="E1130" s="1919">
        <v>0.63947379589080811</v>
      </c>
      <c r="G1130" s="1919">
        <v>0.60361796617507935</v>
      </c>
      <c r="H1130" s="1919">
        <v>0.57504963874816895</v>
      </c>
    </row>
    <row r="1131" spans="1:8" x14ac:dyDescent="0.2">
      <c r="A1131" s="1924">
        <v>1993</v>
      </c>
      <c r="B1131" s="1918" t="s">
        <v>1160</v>
      </c>
      <c r="C1131" s="1918" t="s">
        <v>59</v>
      </c>
      <c r="D1131" s="1918" t="s">
        <v>1159</v>
      </c>
      <c r="E1131" s="1919">
        <v>0.5901026725769043</v>
      </c>
      <c r="G1131" s="1919">
        <v>0.55766135454177856</v>
      </c>
      <c r="H1131" s="1919">
        <v>0.53438478708267212</v>
      </c>
    </row>
    <row r="1132" spans="1:8" x14ac:dyDescent="0.2">
      <c r="A1132" s="1924">
        <v>1994</v>
      </c>
      <c r="B1132" s="1918" t="s">
        <v>1160</v>
      </c>
      <c r="C1132" s="1918" t="s">
        <v>59</v>
      </c>
      <c r="D1132" s="1918" t="s">
        <v>1159</v>
      </c>
      <c r="E1132" s="1919">
        <v>0.57297801971435547</v>
      </c>
      <c r="G1132" s="1919">
        <v>0.54105854034423828</v>
      </c>
      <c r="H1132" s="1919">
        <v>0.52107453346252441</v>
      </c>
    </row>
    <row r="1133" spans="1:8" x14ac:dyDescent="0.2">
      <c r="A1133" s="1924">
        <v>1995</v>
      </c>
      <c r="B1133" s="1918" t="s">
        <v>1160</v>
      </c>
      <c r="C1133" s="1918" t="s">
        <v>59</v>
      </c>
      <c r="D1133" s="1918" t="s">
        <v>1159</v>
      </c>
      <c r="E1133" s="1919">
        <v>0.5519481897354126</v>
      </c>
      <c r="F1133" s="1919">
        <v>0.51297307014465332</v>
      </c>
      <c r="G1133" s="1919">
        <v>0.51154088973999023</v>
      </c>
      <c r="H1133" s="1919">
        <v>0.49189582467079163</v>
      </c>
    </row>
    <row r="1134" spans="1:8" x14ac:dyDescent="0.2">
      <c r="A1134" s="1924">
        <v>1996</v>
      </c>
      <c r="B1134" s="1918" t="s">
        <v>1160</v>
      </c>
      <c r="C1134" s="1918" t="s">
        <v>59</v>
      </c>
      <c r="D1134" s="1918" t="s">
        <v>1159</v>
      </c>
      <c r="E1134" s="1919">
        <v>0.57107490301132202</v>
      </c>
      <c r="F1134" s="1919">
        <v>0.52952176332473755</v>
      </c>
      <c r="G1134" s="1919">
        <v>0.52965003252029419</v>
      </c>
      <c r="H1134" s="1919">
        <v>0.51021695137023926</v>
      </c>
    </row>
    <row r="1135" spans="1:8" x14ac:dyDescent="0.2">
      <c r="A1135" s="1924">
        <v>1997</v>
      </c>
      <c r="B1135" s="1918" t="s">
        <v>1160</v>
      </c>
      <c r="C1135" s="1918" t="s">
        <v>59</v>
      </c>
      <c r="D1135" s="1918" t="s">
        <v>1159</v>
      </c>
      <c r="E1135" s="1919">
        <v>0.56614482402801514</v>
      </c>
      <c r="F1135" s="1919">
        <v>0.52299511432647705</v>
      </c>
      <c r="G1135" s="1919">
        <v>0.5240597128868103</v>
      </c>
      <c r="H1135" s="1919">
        <v>0.5065491795539856</v>
      </c>
    </row>
    <row r="1136" spans="1:8" x14ac:dyDescent="0.2">
      <c r="A1136" s="1924">
        <v>1998</v>
      </c>
      <c r="B1136" s="1918" t="s">
        <v>1160</v>
      </c>
      <c r="C1136" s="1918" t="s">
        <v>59</v>
      </c>
      <c r="D1136" s="1918" t="s">
        <v>1159</v>
      </c>
      <c r="E1136" s="1919">
        <v>0.54405951499938965</v>
      </c>
      <c r="F1136" s="1919">
        <v>0.4999690055847168</v>
      </c>
      <c r="G1136" s="1919">
        <v>0.50285768508911133</v>
      </c>
      <c r="H1136" s="1919">
        <v>0.4848824143409729</v>
      </c>
    </row>
    <row r="1137" spans="1:8" x14ac:dyDescent="0.2">
      <c r="A1137" s="1924">
        <v>1999</v>
      </c>
      <c r="B1137" s="1918" t="s">
        <v>1160</v>
      </c>
      <c r="C1137" s="1918" t="s">
        <v>59</v>
      </c>
      <c r="D1137" s="1918" t="s">
        <v>1159</v>
      </c>
      <c r="E1137" s="1919">
        <v>0.54343855381011963</v>
      </c>
      <c r="F1137" s="1919">
        <v>0.50099122524261475</v>
      </c>
      <c r="G1137" s="1919">
        <v>0.50260359048843384</v>
      </c>
      <c r="H1137" s="1919">
        <v>0.48602214455604553</v>
      </c>
    </row>
    <row r="1138" spans="1:8" x14ac:dyDescent="0.2">
      <c r="A1138" s="1924">
        <v>2000</v>
      </c>
      <c r="B1138" s="1918" t="s">
        <v>1160</v>
      </c>
      <c r="C1138" s="1918" t="s">
        <v>59</v>
      </c>
      <c r="D1138" s="1918" t="s">
        <v>1159</v>
      </c>
      <c r="E1138" s="1919">
        <v>0.55680406093597412</v>
      </c>
      <c r="F1138" s="1919">
        <v>0.51780647039413452</v>
      </c>
      <c r="G1138" s="1919">
        <v>0.51765364408493042</v>
      </c>
      <c r="H1138" s="1919">
        <v>0.50264561176300049</v>
      </c>
    </row>
    <row r="1139" spans="1:8" x14ac:dyDescent="0.2">
      <c r="A1139" s="1924">
        <v>2001</v>
      </c>
      <c r="B1139" s="1918" t="s">
        <v>1160</v>
      </c>
      <c r="C1139" s="1918" t="s">
        <v>59</v>
      </c>
      <c r="D1139" s="1918" t="s">
        <v>1159</v>
      </c>
      <c r="E1139" s="1919">
        <v>0.56929630041122437</v>
      </c>
      <c r="F1139" s="1919">
        <v>0.53838986158370972</v>
      </c>
      <c r="G1139" s="1919">
        <v>0.53261494636535645</v>
      </c>
      <c r="H1139" s="1919">
        <v>0.52261573076248169</v>
      </c>
    </row>
    <row r="1140" spans="1:8" x14ac:dyDescent="0.2">
      <c r="A1140" s="1924">
        <v>2002</v>
      </c>
      <c r="B1140" s="1918" t="s">
        <v>1160</v>
      </c>
      <c r="C1140" s="1918" t="s">
        <v>59</v>
      </c>
      <c r="D1140" s="1918" t="s">
        <v>1159</v>
      </c>
      <c r="E1140" s="1919">
        <v>0.5672115683555603</v>
      </c>
      <c r="F1140" s="1919">
        <v>0.53709566593170166</v>
      </c>
      <c r="G1140" s="1919">
        <v>0.53085476160049438</v>
      </c>
      <c r="H1140" s="1919">
        <v>0.52164989709854126</v>
      </c>
    </row>
    <row r="1141" spans="1:8" x14ac:dyDescent="0.2">
      <c r="A1141" s="1924">
        <v>2003</v>
      </c>
      <c r="B1141" s="1918" t="s">
        <v>1160</v>
      </c>
      <c r="C1141" s="1918" t="s">
        <v>59</v>
      </c>
      <c r="D1141" s="1918" t="s">
        <v>1159</v>
      </c>
      <c r="E1141" s="1919">
        <v>0.55863672494888306</v>
      </c>
      <c r="F1141" s="1919">
        <v>0.52893304824829102</v>
      </c>
      <c r="G1141" s="1919">
        <v>0.52199375629425049</v>
      </c>
      <c r="H1141" s="1919">
        <v>0.51390326023101807</v>
      </c>
    </row>
    <row r="1142" spans="1:8" x14ac:dyDescent="0.2">
      <c r="A1142" s="1924">
        <v>2004</v>
      </c>
      <c r="B1142" s="1918" t="s">
        <v>1160</v>
      </c>
      <c r="C1142" s="1918" t="s">
        <v>59</v>
      </c>
      <c r="D1142" s="1918" t="s">
        <v>1159</v>
      </c>
      <c r="E1142" s="1919">
        <v>0.54156321287155151</v>
      </c>
      <c r="F1142" s="1919">
        <v>0.51236021518707275</v>
      </c>
      <c r="G1142" s="1919">
        <v>0.50447225570678711</v>
      </c>
      <c r="H1142" s="1919">
        <v>0.50102460384368896</v>
      </c>
    </row>
    <row r="1143" spans="1:8" x14ac:dyDescent="0.2">
      <c r="A1143" s="1924">
        <v>2005</v>
      </c>
      <c r="B1143" s="1918" t="s">
        <v>1160</v>
      </c>
      <c r="C1143" s="1918" t="s">
        <v>59</v>
      </c>
      <c r="D1143" s="1918" t="s">
        <v>1159</v>
      </c>
      <c r="E1143" s="1919">
        <v>0.53765726089477539</v>
      </c>
      <c r="F1143" s="1919">
        <v>0.51437604427337646</v>
      </c>
      <c r="G1143" s="1919">
        <v>0.49839645624160767</v>
      </c>
      <c r="H1143" s="1919">
        <v>0.50265920162200928</v>
      </c>
    </row>
    <row r="1144" spans="1:8" x14ac:dyDescent="0.2">
      <c r="A1144" s="1924">
        <v>2006</v>
      </c>
      <c r="B1144" s="1918" t="s">
        <v>1160</v>
      </c>
      <c r="C1144" s="1918" t="s">
        <v>59</v>
      </c>
      <c r="D1144" s="1918" t="s">
        <v>1159</v>
      </c>
      <c r="E1144" s="1919">
        <v>0.52969211339950562</v>
      </c>
      <c r="F1144" s="1919">
        <v>0.50235813856124878</v>
      </c>
      <c r="G1144" s="1919">
        <v>0.4914451539516449</v>
      </c>
      <c r="H1144" s="1919">
        <v>0.49104157090187073</v>
      </c>
    </row>
    <row r="1145" spans="1:8" x14ac:dyDescent="0.2">
      <c r="A1145" s="1924">
        <v>2007</v>
      </c>
      <c r="B1145" s="1918" t="s">
        <v>1160</v>
      </c>
      <c r="C1145" s="1918" t="s">
        <v>59</v>
      </c>
      <c r="D1145" s="1918" t="s">
        <v>1159</v>
      </c>
      <c r="E1145" s="1919">
        <v>0.53764575719833374</v>
      </c>
      <c r="F1145" s="1919">
        <v>0.51607048511505127</v>
      </c>
      <c r="G1145" s="1919">
        <v>0.4988892674446106</v>
      </c>
      <c r="H1145" s="1919">
        <v>0.50430595874786377</v>
      </c>
    </row>
    <row r="1146" spans="1:8" x14ac:dyDescent="0.2">
      <c r="A1146" s="1924">
        <v>2008</v>
      </c>
      <c r="B1146" s="1918" t="s">
        <v>1160</v>
      </c>
      <c r="C1146" s="1918" t="s">
        <v>59</v>
      </c>
      <c r="D1146" s="1918" t="s">
        <v>1159</v>
      </c>
      <c r="E1146" s="1919">
        <v>0.55191898345947266</v>
      </c>
      <c r="F1146" s="1919">
        <v>0.52797073125839233</v>
      </c>
      <c r="G1146" s="1919">
        <v>0.51563447713851929</v>
      </c>
      <c r="H1146" s="1919">
        <v>0.51552015542984009</v>
      </c>
    </row>
    <row r="1147" spans="1:8" x14ac:dyDescent="0.2">
      <c r="A1147" s="1924">
        <v>2009</v>
      </c>
      <c r="B1147" s="1918" t="s">
        <v>1160</v>
      </c>
      <c r="C1147" s="1918" t="s">
        <v>59</v>
      </c>
      <c r="D1147" s="1918" t="s">
        <v>1159</v>
      </c>
      <c r="E1147" s="1919">
        <v>0.57871812582015991</v>
      </c>
      <c r="F1147" s="1919">
        <v>0.54416602849960327</v>
      </c>
      <c r="G1147" s="1919">
        <v>0.53896248340606689</v>
      </c>
      <c r="H1147" s="1919">
        <v>0.53014951944351196</v>
      </c>
    </row>
    <row r="1148" spans="1:8" x14ac:dyDescent="0.2">
      <c r="A1148" s="1924">
        <v>2010</v>
      </c>
      <c r="B1148" s="1918" t="s">
        <v>1160</v>
      </c>
      <c r="C1148" s="1918" t="s">
        <v>59</v>
      </c>
      <c r="D1148" s="1918" t="s">
        <v>1159</v>
      </c>
      <c r="E1148" s="1919">
        <v>0.54403555393218994</v>
      </c>
      <c r="F1148" s="1919">
        <v>0.51615458726882935</v>
      </c>
      <c r="G1148" s="1919">
        <v>0.50671559572219849</v>
      </c>
      <c r="H1148" s="1919">
        <v>0.50409722328186035</v>
      </c>
    </row>
    <row r="1149" spans="1:8" x14ac:dyDescent="0.2">
      <c r="A1149" s="1924">
        <v>2011</v>
      </c>
      <c r="B1149" s="1918" t="s">
        <v>1160</v>
      </c>
      <c r="C1149" s="1918" t="s">
        <v>59</v>
      </c>
      <c r="D1149" s="1918" t="s">
        <v>1159</v>
      </c>
      <c r="E1149" s="1919">
        <v>0.55392098426818848</v>
      </c>
      <c r="F1149" s="1919">
        <v>0.52489650249481201</v>
      </c>
      <c r="G1149" s="1919">
        <v>0.51975148916244507</v>
      </c>
      <c r="H1149" s="1919">
        <v>0.51286393404006958</v>
      </c>
    </row>
    <row r="1150" spans="1:8" x14ac:dyDescent="0.2">
      <c r="A1150" s="1924">
        <v>2012</v>
      </c>
      <c r="B1150" s="1918" t="s">
        <v>1160</v>
      </c>
      <c r="C1150" s="1918" t="s">
        <v>59</v>
      </c>
      <c r="D1150" s="1918" t="s">
        <v>1159</v>
      </c>
      <c r="E1150" s="1919">
        <v>0.57025480270385742</v>
      </c>
      <c r="F1150" s="1919">
        <v>0.54616737365722656</v>
      </c>
      <c r="G1150" s="1919">
        <v>0.53676372766494751</v>
      </c>
      <c r="H1150" s="1919">
        <v>0.53384524583816528</v>
      </c>
    </row>
    <row r="1151" spans="1:8" x14ac:dyDescent="0.2">
      <c r="A1151" s="1924">
        <v>2013</v>
      </c>
      <c r="B1151" s="1918" t="s">
        <v>1160</v>
      </c>
      <c r="C1151" s="1918" t="s">
        <v>59</v>
      </c>
      <c r="D1151" s="1918" t="s">
        <v>1159</v>
      </c>
      <c r="E1151" s="1919">
        <v>0.57292163372039795</v>
      </c>
      <c r="F1151" s="1919">
        <v>0.55198085308074951</v>
      </c>
      <c r="G1151" s="1919">
        <v>0.54093211889266968</v>
      </c>
      <c r="H1151" s="1919">
        <v>0.53923439979553223</v>
      </c>
    </row>
    <row r="1152" spans="1:8" x14ac:dyDescent="0.2">
      <c r="A1152" s="1924">
        <v>2014</v>
      </c>
      <c r="B1152" s="1918" t="s">
        <v>1160</v>
      </c>
      <c r="C1152" s="1918" t="s">
        <v>59</v>
      </c>
      <c r="D1152" s="1918" t="s">
        <v>1159</v>
      </c>
      <c r="E1152" s="1919">
        <v>0.56662660837173462</v>
      </c>
      <c r="F1152" s="1919">
        <v>0.54387444257736206</v>
      </c>
      <c r="G1152" s="1919">
        <v>0.53548932075500488</v>
      </c>
      <c r="H1152" s="1919">
        <v>0.53143680095672607</v>
      </c>
    </row>
    <row r="1153" spans="1:8" x14ac:dyDescent="0.2">
      <c r="A1153" s="1924">
        <v>2015</v>
      </c>
      <c r="B1153" s="1918" t="s">
        <v>1160</v>
      </c>
      <c r="C1153" s="1918" t="s">
        <v>59</v>
      </c>
      <c r="D1153" s="1918" t="s">
        <v>1159</v>
      </c>
      <c r="E1153" s="1919">
        <v>0.55360859632492065</v>
      </c>
      <c r="F1153" s="1919">
        <v>0.52419894933700562</v>
      </c>
      <c r="G1153" s="1919">
        <v>0.52536880970001221</v>
      </c>
      <c r="H1153" s="1919">
        <v>0.51293694972991943</v>
      </c>
    </row>
    <row r="1154" spans="1:8" x14ac:dyDescent="0.2">
      <c r="A1154" s="1924">
        <v>1995</v>
      </c>
      <c r="B1154" s="1918" t="s">
        <v>1158</v>
      </c>
      <c r="C1154" s="1918" t="s">
        <v>57</v>
      </c>
      <c r="D1154" s="1918" t="s">
        <v>1156</v>
      </c>
      <c r="E1154" s="1919">
        <v>0.76426005363464355</v>
      </c>
      <c r="F1154" s="1919">
        <v>0.97516840696334839</v>
      </c>
      <c r="G1154" s="1919">
        <v>0.68428122997283936</v>
      </c>
      <c r="H1154" s="1919">
        <v>0.76820206642150879</v>
      </c>
    </row>
    <row r="1155" spans="1:8" x14ac:dyDescent="0.2">
      <c r="A1155" s="1924">
        <v>1996</v>
      </c>
      <c r="B1155" s="1918" t="s">
        <v>1158</v>
      </c>
      <c r="C1155" s="1918" t="s">
        <v>57</v>
      </c>
      <c r="D1155" s="1918" t="s">
        <v>1156</v>
      </c>
      <c r="E1155" s="1919">
        <v>0.73392724990844727</v>
      </c>
      <c r="F1155" s="1919">
        <v>0.91038525104522705</v>
      </c>
      <c r="G1155" s="1919">
        <v>0.65760821104049683</v>
      </c>
      <c r="H1155" s="1919">
        <v>0.73969948291778564</v>
      </c>
    </row>
    <row r="1156" spans="1:8" x14ac:dyDescent="0.2">
      <c r="A1156" s="1924">
        <v>1997</v>
      </c>
      <c r="B1156" s="1918" t="s">
        <v>1158</v>
      </c>
      <c r="C1156" s="1918" t="s">
        <v>57</v>
      </c>
      <c r="D1156" s="1918" t="s">
        <v>1156</v>
      </c>
      <c r="E1156" s="1919">
        <v>0.69986838102340698</v>
      </c>
      <c r="F1156" s="1919">
        <v>0.837729811668396</v>
      </c>
      <c r="G1156" s="1919">
        <v>0.61714237928390503</v>
      </c>
      <c r="H1156" s="1919">
        <v>0.69615060091018677</v>
      </c>
    </row>
    <row r="1157" spans="1:8" x14ac:dyDescent="0.2">
      <c r="A1157" s="1924">
        <v>1998</v>
      </c>
      <c r="B1157" s="1918" t="s">
        <v>1158</v>
      </c>
      <c r="C1157" s="1918" t="s">
        <v>57</v>
      </c>
      <c r="D1157" s="1918" t="s">
        <v>1156</v>
      </c>
      <c r="E1157" s="1919">
        <v>0.68817532062530518</v>
      </c>
      <c r="F1157" s="1919">
        <v>0.81526964902877808</v>
      </c>
      <c r="G1157" s="1919">
        <v>0.60514736175537109</v>
      </c>
      <c r="H1157" s="1919">
        <v>0.68202704191207886</v>
      </c>
    </row>
    <row r="1158" spans="1:8" x14ac:dyDescent="0.2">
      <c r="A1158" s="1924">
        <v>1999</v>
      </c>
      <c r="B1158" s="1918" t="s">
        <v>1158</v>
      </c>
      <c r="C1158" s="1918" t="s">
        <v>57</v>
      </c>
      <c r="D1158" s="1918" t="s">
        <v>1156</v>
      </c>
      <c r="E1158" s="1919">
        <v>0.67564487457275391</v>
      </c>
      <c r="F1158" s="1919">
        <v>0.80052769184112549</v>
      </c>
      <c r="G1158" s="1919">
        <v>0.59159648418426514</v>
      </c>
      <c r="H1158" s="1919">
        <v>0.66212409734725952</v>
      </c>
    </row>
    <row r="1159" spans="1:8" x14ac:dyDescent="0.2">
      <c r="A1159" s="1924">
        <v>2000</v>
      </c>
      <c r="B1159" s="1918" t="s">
        <v>1158</v>
      </c>
      <c r="C1159" s="1918" t="s">
        <v>57</v>
      </c>
      <c r="D1159" s="1918" t="s">
        <v>1156</v>
      </c>
      <c r="E1159" s="1919">
        <v>0.67853718996047974</v>
      </c>
      <c r="F1159" s="1919">
        <v>0.7911297082901001</v>
      </c>
      <c r="G1159" s="1919">
        <v>0.60301882028579712</v>
      </c>
      <c r="H1159" s="1919">
        <v>0.67698895931243896</v>
      </c>
    </row>
    <row r="1160" spans="1:8" x14ac:dyDescent="0.2">
      <c r="A1160" s="1924">
        <v>2001</v>
      </c>
      <c r="B1160" s="1918" t="s">
        <v>1158</v>
      </c>
      <c r="C1160" s="1918" t="s">
        <v>57</v>
      </c>
      <c r="D1160" s="1918" t="s">
        <v>1156</v>
      </c>
      <c r="E1160" s="1919">
        <v>0.68010574579238892</v>
      </c>
      <c r="F1160" s="1919">
        <v>0.79369890689849854</v>
      </c>
      <c r="G1160" s="1919">
        <v>0.60195398330688477</v>
      </c>
      <c r="H1160" s="1919">
        <v>0.67086821794509888</v>
      </c>
    </row>
    <row r="1161" spans="1:8" x14ac:dyDescent="0.2">
      <c r="A1161" s="1924">
        <v>2002</v>
      </c>
      <c r="B1161" s="1918" t="s">
        <v>1158</v>
      </c>
      <c r="C1161" s="1918" t="s">
        <v>57</v>
      </c>
      <c r="D1161" s="1918" t="s">
        <v>1156</v>
      </c>
      <c r="E1161" s="1919">
        <v>0.67533385753631592</v>
      </c>
      <c r="F1161" s="1919">
        <v>0.77391016483306885</v>
      </c>
      <c r="G1161" s="1919">
        <v>0.59423208236694336</v>
      </c>
      <c r="H1161" s="1919">
        <v>0.6612774133682251</v>
      </c>
    </row>
    <row r="1162" spans="1:8" x14ac:dyDescent="0.2">
      <c r="A1162" s="1924">
        <v>2003</v>
      </c>
      <c r="B1162" s="1918" t="s">
        <v>1158</v>
      </c>
      <c r="C1162" s="1918" t="s">
        <v>57</v>
      </c>
      <c r="D1162" s="1918" t="s">
        <v>1156</v>
      </c>
      <c r="E1162" s="1919">
        <v>0.65643763542175293</v>
      </c>
      <c r="F1162" s="1919">
        <v>0.7510564923286438</v>
      </c>
      <c r="G1162" s="1919">
        <v>0.57863157987594604</v>
      </c>
      <c r="H1162" s="1919">
        <v>0.64147818088531494</v>
      </c>
    </row>
    <row r="1163" spans="1:8" x14ac:dyDescent="0.2">
      <c r="A1163" s="1924">
        <v>2004</v>
      </c>
      <c r="B1163" s="1918" t="s">
        <v>1158</v>
      </c>
      <c r="C1163" s="1918" t="s">
        <v>57</v>
      </c>
      <c r="D1163" s="1918" t="s">
        <v>1156</v>
      </c>
      <c r="E1163" s="1919">
        <v>0.66124320030212402</v>
      </c>
      <c r="F1163" s="1919">
        <v>0.74362629652023315</v>
      </c>
      <c r="G1163" s="1919">
        <v>0.581551194190979</v>
      </c>
      <c r="H1163" s="1919">
        <v>0.64336967468261719</v>
      </c>
    </row>
    <row r="1164" spans="1:8" x14ac:dyDescent="0.2">
      <c r="A1164" s="1924">
        <v>2005</v>
      </c>
      <c r="B1164" s="1918" t="s">
        <v>1158</v>
      </c>
      <c r="C1164" s="1918" t="s">
        <v>57</v>
      </c>
      <c r="D1164" s="1918" t="s">
        <v>1156</v>
      </c>
      <c r="E1164" s="1919">
        <v>0.66357094049453735</v>
      </c>
      <c r="F1164" s="1919">
        <v>0.73755383491516113</v>
      </c>
      <c r="G1164" s="1919">
        <v>0.58452224731445312</v>
      </c>
      <c r="H1164" s="1919">
        <v>0.64725470542907715</v>
      </c>
    </row>
    <row r="1165" spans="1:8" x14ac:dyDescent="0.2">
      <c r="A1165" s="1924">
        <v>2006</v>
      </c>
      <c r="B1165" s="1918" t="s">
        <v>1158</v>
      </c>
      <c r="C1165" s="1918" t="s">
        <v>57</v>
      </c>
      <c r="D1165" s="1918" t="s">
        <v>1156</v>
      </c>
      <c r="E1165" s="1919">
        <v>0.65594929456710815</v>
      </c>
      <c r="F1165" s="1919">
        <v>0.71901828050613403</v>
      </c>
      <c r="G1165" s="1919">
        <v>0.57490676641464233</v>
      </c>
      <c r="H1165" s="1919">
        <v>0.63454598188400269</v>
      </c>
    </row>
    <row r="1166" spans="1:8" x14ac:dyDescent="0.2">
      <c r="A1166" s="1924">
        <v>2007</v>
      </c>
      <c r="B1166" s="1918" t="s">
        <v>1158</v>
      </c>
      <c r="C1166" s="1918" t="s">
        <v>57</v>
      </c>
      <c r="D1166" s="1918" t="s">
        <v>1156</v>
      </c>
      <c r="E1166" s="1919">
        <v>0.64743584394454956</v>
      </c>
      <c r="F1166" s="1919">
        <v>0.70955651998519897</v>
      </c>
      <c r="G1166" s="1919">
        <v>0.56671369075775146</v>
      </c>
      <c r="H1166" s="1919">
        <v>0.62558621168136597</v>
      </c>
    </row>
    <row r="1167" spans="1:8" x14ac:dyDescent="0.2">
      <c r="A1167" s="1924">
        <v>2008</v>
      </c>
      <c r="B1167" s="1918" t="s">
        <v>1158</v>
      </c>
      <c r="C1167" s="1918" t="s">
        <v>57</v>
      </c>
      <c r="D1167" s="1918" t="s">
        <v>1156</v>
      </c>
      <c r="E1167" s="1919">
        <v>0.66517996788024902</v>
      </c>
      <c r="F1167" s="1919">
        <v>0.7211030125617981</v>
      </c>
      <c r="G1167" s="1919">
        <v>0.5784725546836853</v>
      </c>
      <c r="H1167" s="1919">
        <v>0.63465595245361328</v>
      </c>
    </row>
    <row r="1168" spans="1:8" x14ac:dyDescent="0.2">
      <c r="A1168" s="1924">
        <v>2009</v>
      </c>
      <c r="B1168" s="1918" t="s">
        <v>1158</v>
      </c>
      <c r="C1168" s="1918" t="s">
        <v>57</v>
      </c>
      <c r="D1168" s="1918" t="s">
        <v>1156</v>
      </c>
      <c r="E1168" s="1919">
        <v>0.70873105525970459</v>
      </c>
      <c r="F1168" s="1919">
        <v>0.76854878664016724</v>
      </c>
      <c r="G1168" s="1919">
        <v>0.61068850755691528</v>
      </c>
      <c r="H1168" s="1919">
        <v>0.66851532459259033</v>
      </c>
    </row>
    <row r="1169" spans="1:8" x14ac:dyDescent="0.2">
      <c r="A1169" s="1924">
        <v>2010</v>
      </c>
      <c r="B1169" s="1918" t="s">
        <v>1158</v>
      </c>
      <c r="C1169" s="1918" t="s">
        <v>57</v>
      </c>
      <c r="D1169" s="1918" t="s">
        <v>1156</v>
      </c>
      <c r="E1169" s="1919">
        <v>0.72161918878555298</v>
      </c>
      <c r="F1169" s="1919">
        <v>0.7704397439956665</v>
      </c>
      <c r="G1169" s="1919">
        <v>0.61913037300109863</v>
      </c>
      <c r="H1169" s="1919">
        <v>0.67406463623046875</v>
      </c>
    </row>
    <row r="1170" spans="1:8" x14ac:dyDescent="0.2">
      <c r="A1170" s="1924">
        <v>2011</v>
      </c>
      <c r="B1170" s="1918" t="s">
        <v>1158</v>
      </c>
      <c r="C1170" s="1918" t="s">
        <v>57</v>
      </c>
      <c r="D1170" s="1918" t="s">
        <v>1156</v>
      </c>
      <c r="E1170" s="1919">
        <v>0.70448160171508789</v>
      </c>
      <c r="F1170" s="1919">
        <v>0.75621616840362549</v>
      </c>
      <c r="G1170" s="1919">
        <v>0.60301166772842407</v>
      </c>
      <c r="H1170" s="1919">
        <v>0.65395408868789673</v>
      </c>
    </row>
    <row r="1171" spans="1:8" x14ac:dyDescent="0.2">
      <c r="A1171" s="1924">
        <v>2012</v>
      </c>
      <c r="B1171" s="1918" t="s">
        <v>1158</v>
      </c>
      <c r="C1171" s="1918" t="s">
        <v>57</v>
      </c>
      <c r="D1171" s="1918" t="s">
        <v>1156</v>
      </c>
      <c r="E1171" s="1919">
        <v>0.70624858140945435</v>
      </c>
      <c r="F1171" s="1919">
        <v>0.77181094884872437</v>
      </c>
      <c r="G1171" s="1919">
        <v>0.60525840520858765</v>
      </c>
      <c r="H1171" s="1919">
        <v>0.65750259160995483</v>
      </c>
    </row>
    <row r="1172" spans="1:8" x14ac:dyDescent="0.2">
      <c r="A1172" s="1924">
        <v>2013</v>
      </c>
      <c r="B1172" s="1918" t="s">
        <v>1158</v>
      </c>
      <c r="C1172" s="1918" t="s">
        <v>57</v>
      </c>
      <c r="D1172" s="1918" t="s">
        <v>1156</v>
      </c>
      <c r="E1172" s="1919">
        <v>0.70816373825073242</v>
      </c>
      <c r="F1172" s="1919">
        <v>0.77516931295394897</v>
      </c>
      <c r="G1172" s="1919">
        <v>0.59550386667251587</v>
      </c>
      <c r="H1172" s="1919">
        <v>0.64968937635421753</v>
      </c>
    </row>
    <row r="1173" spans="1:8" x14ac:dyDescent="0.2">
      <c r="A1173" s="1924">
        <v>2014</v>
      </c>
      <c r="B1173" s="1918" t="s">
        <v>1158</v>
      </c>
      <c r="C1173" s="1918" t="s">
        <v>57</v>
      </c>
      <c r="D1173" s="1918" t="s">
        <v>1156</v>
      </c>
      <c r="E1173" s="1919">
        <v>0.69473093748092651</v>
      </c>
      <c r="F1173" s="1919">
        <v>0.75184345245361328</v>
      </c>
      <c r="G1173" s="1919">
        <v>0.58155542612075806</v>
      </c>
      <c r="H1173" s="1919">
        <v>0.63503009080886841</v>
      </c>
    </row>
    <row r="1174" spans="1:8" x14ac:dyDescent="0.2">
      <c r="A1174" s="1924">
        <v>2015</v>
      </c>
      <c r="B1174" s="1918" t="s">
        <v>1158</v>
      </c>
      <c r="C1174" s="1918" t="s">
        <v>57</v>
      </c>
      <c r="D1174" s="1918" t="s">
        <v>1156</v>
      </c>
      <c r="E1174" s="1919">
        <v>0.69136953353881836</v>
      </c>
      <c r="F1174" s="1919">
        <v>0.74399745464324951</v>
      </c>
      <c r="G1174" s="1919">
        <v>0.57885485887527466</v>
      </c>
      <c r="H1174" s="1919">
        <v>0.63115519285202026</v>
      </c>
    </row>
    <row r="1175" spans="1:8" x14ac:dyDescent="0.2">
      <c r="A1175" s="1924">
        <v>1995</v>
      </c>
      <c r="B1175" s="1918" t="s">
        <v>1157</v>
      </c>
      <c r="C1175" s="1918" t="s">
        <v>56</v>
      </c>
      <c r="D1175" s="1918" t="s">
        <v>1156</v>
      </c>
      <c r="E1175" s="1919">
        <v>0.47220659255981445</v>
      </c>
      <c r="F1175" s="1919">
        <v>0.45344483852386475</v>
      </c>
      <c r="G1175" s="1919">
        <v>0.40607544779777527</v>
      </c>
      <c r="H1175" s="1919">
        <v>0.46987393498420715</v>
      </c>
    </row>
    <row r="1176" spans="1:8" x14ac:dyDescent="0.2">
      <c r="A1176" s="1924">
        <v>1996</v>
      </c>
      <c r="B1176" s="1918" t="s">
        <v>1157</v>
      </c>
      <c r="C1176" s="1918" t="s">
        <v>56</v>
      </c>
      <c r="D1176" s="1918" t="s">
        <v>1156</v>
      </c>
      <c r="E1176" s="1919">
        <v>0.48604819178581238</v>
      </c>
      <c r="F1176" s="1919">
        <v>0.47685125470161438</v>
      </c>
      <c r="G1176" s="1919">
        <v>0.42094731330871582</v>
      </c>
      <c r="H1176" s="1919">
        <v>0.50593703985214233</v>
      </c>
    </row>
    <row r="1177" spans="1:8" x14ac:dyDescent="0.2">
      <c r="A1177" s="1924">
        <v>1997</v>
      </c>
      <c r="B1177" s="1918" t="s">
        <v>1157</v>
      </c>
      <c r="C1177" s="1918" t="s">
        <v>56</v>
      </c>
      <c r="D1177" s="1918" t="s">
        <v>1156</v>
      </c>
      <c r="E1177" s="1919">
        <v>0.52591300010681152</v>
      </c>
      <c r="F1177" s="1919">
        <v>0.49949872493743896</v>
      </c>
      <c r="G1177" s="1919">
        <v>0.44754213094711304</v>
      </c>
      <c r="H1177" s="1919">
        <v>0.52202862501144409</v>
      </c>
    </row>
    <row r="1178" spans="1:8" x14ac:dyDescent="0.2">
      <c r="A1178" s="1924">
        <v>1998</v>
      </c>
      <c r="B1178" s="1918" t="s">
        <v>1157</v>
      </c>
      <c r="C1178" s="1918" t="s">
        <v>56</v>
      </c>
      <c r="D1178" s="1918" t="s">
        <v>1156</v>
      </c>
      <c r="E1178" s="1919">
        <v>0.53592491149902344</v>
      </c>
      <c r="F1178" s="1919">
        <v>0.51157814264297485</v>
      </c>
      <c r="G1178" s="1919">
        <v>0.4497913122177124</v>
      </c>
      <c r="H1178" s="1919">
        <v>0.52971690893173218</v>
      </c>
    </row>
    <row r="1179" spans="1:8" x14ac:dyDescent="0.2">
      <c r="A1179" s="1924">
        <v>1999</v>
      </c>
      <c r="B1179" s="1918" t="s">
        <v>1157</v>
      </c>
      <c r="C1179" s="1918" t="s">
        <v>56</v>
      </c>
      <c r="D1179" s="1918" t="s">
        <v>1156</v>
      </c>
      <c r="E1179" s="1919">
        <v>0.50970375537872314</v>
      </c>
      <c r="F1179" s="1919">
        <v>0.49313876032829285</v>
      </c>
      <c r="G1179" s="1919">
        <v>0.42202949523925781</v>
      </c>
      <c r="H1179" s="1919">
        <v>0.50973296165466309</v>
      </c>
    </row>
    <row r="1180" spans="1:8" x14ac:dyDescent="0.2">
      <c r="A1180" s="1924">
        <v>2000</v>
      </c>
      <c r="B1180" s="1918" t="s">
        <v>1157</v>
      </c>
      <c r="C1180" s="1918" t="s">
        <v>56</v>
      </c>
      <c r="D1180" s="1918" t="s">
        <v>1156</v>
      </c>
      <c r="E1180" s="1919">
        <v>0.54375863075256348</v>
      </c>
      <c r="F1180" s="1919">
        <v>0.50504153966903687</v>
      </c>
      <c r="G1180" s="1919">
        <v>0.44666680693626404</v>
      </c>
      <c r="H1180" s="1919">
        <v>0.52979350090026855</v>
      </c>
    </row>
    <row r="1181" spans="1:8" x14ac:dyDescent="0.2">
      <c r="A1181" s="1924">
        <v>2001</v>
      </c>
      <c r="B1181" s="1918" t="s">
        <v>1157</v>
      </c>
      <c r="C1181" s="1918" t="s">
        <v>56</v>
      </c>
      <c r="D1181" s="1918" t="s">
        <v>1156</v>
      </c>
      <c r="E1181" s="1919">
        <v>0.53080457448959351</v>
      </c>
      <c r="F1181" s="1919">
        <v>0.46784880757331848</v>
      </c>
      <c r="G1181" s="1919">
        <v>0.43468257784843445</v>
      </c>
      <c r="H1181" s="1919">
        <v>0.50736016035079956</v>
      </c>
    </row>
    <row r="1182" spans="1:8" x14ac:dyDescent="0.2">
      <c r="A1182" s="1924">
        <v>2002</v>
      </c>
      <c r="B1182" s="1918" t="s">
        <v>1157</v>
      </c>
      <c r="C1182" s="1918" t="s">
        <v>56</v>
      </c>
      <c r="D1182" s="1918" t="s">
        <v>1156</v>
      </c>
      <c r="E1182" s="1919">
        <v>0.5369909405708313</v>
      </c>
      <c r="F1182" s="1919">
        <v>0.46403723955154419</v>
      </c>
      <c r="G1182" s="1919">
        <v>0.43627646565437317</v>
      </c>
      <c r="H1182" s="1919">
        <v>0.50575393438339233</v>
      </c>
    </row>
    <row r="1183" spans="1:8" x14ac:dyDescent="0.2">
      <c r="A1183" s="1924">
        <v>2003</v>
      </c>
      <c r="B1183" s="1918" t="s">
        <v>1157</v>
      </c>
      <c r="C1183" s="1918" t="s">
        <v>56</v>
      </c>
      <c r="D1183" s="1918" t="s">
        <v>1156</v>
      </c>
      <c r="E1183" s="1919">
        <v>0.52433270215988159</v>
      </c>
      <c r="F1183" s="1919">
        <v>0.45542985200881958</v>
      </c>
      <c r="G1183" s="1919">
        <v>0.42374017834663391</v>
      </c>
      <c r="H1183" s="1919">
        <v>0.49331516027450562</v>
      </c>
    </row>
    <row r="1184" spans="1:8" x14ac:dyDescent="0.2">
      <c r="A1184" s="1924">
        <v>2004</v>
      </c>
      <c r="B1184" s="1918" t="s">
        <v>1157</v>
      </c>
      <c r="C1184" s="1918" t="s">
        <v>56</v>
      </c>
      <c r="D1184" s="1918" t="s">
        <v>1156</v>
      </c>
      <c r="E1184" s="1919">
        <v>0.51004987955093384</v>
      </c>
      <c r="F1184" s="1919">
        <v>0.43929386138916016</v>
      </c>
      <c r="G1184" s="1919">
        <v>0.3999895453453064</v>
      </c>
      <c r="H1184" s="1919">
        <v>0.45479536056518555</v>
      </c>
    </row>
    <row r="1185" spans="1:8" x14ac:dyDescent="0.2">
      <c r="A1185" s="1924">
        <v>2005</v>
      </c>
      <c r="B1185" s="1918" t="s">
        <v>1157</v>
      </c>
      <c r="C1185" s="1918" t="s">
        <v>56</v>
      </c>
      <c r="D1185" s="1918" t="s">
        <v>1156</v>
      </c>
      <c r="E1185" s="1919">
        <v>0.5042121410369873</v>
      </c>
      <c r="F1185" s="1919">
        <v>0.44440028071403503</v>
      </c>
      <c r="G1185" s="1919">
        <v>0.39622563123703003</v>
      </c>
      <c r="H1185" s="1919">
        <v>0.46651500463485718</v>
      </c>
    </row>
    <row r="1186" spans="1:8" x14ac:dyDescent="0.2">
      <c r="A1186" s="1924">
        <v>2006</v>
      </c>
      <c r="B1186" s="1918" t="s">
        <v>1157</v>
      </c>
      <c r="C1186" s="1918" t="s">
        <v>56</v>
      </c>
      <c r="D1186" s="1918" t="s">
        <v>1156</v>
      </c>
      <c r="E1186" s="1919">
        <v>0.49259579181671143</v>
      </c>
      <c r="F1186" s="1919">
        <v>0.42848044633865356</v>
      </c>
      <c r="G1186" s="1919">
        <v>0.38413625955581665</v>
      </c>
      <c r="H1186" s="1919">
        <v>0.44564670324325562</v>
      </c>
    </row>
    <row r="1187" spans="1:8" x14ac:dyDescent="0.2">
      <c r="A1187" s="1924">
        <v>2007</v>
      </c>
      <c r="B1187" s="1918" t="s">
        <v>1157</v>
      </c>
      <c r="C1187" s="1918" t="s">
        <v>56</v>
      </c>
      <c r="D1187" s="1918" t="s">
        <v>1156</v>
      </c>
      <c r="E1187" s="1919">
        <v>0.50154489278793335</v>
      </c>
      <c r="F1187" s="1919">
        <v>0.43446642160415649</v>
      </c>
      <c r="G1187" s="1919">
        <v>0.38658222556114197</v>
      </c>
      <c r="H1187" s="1919">
        <v>0.4493878185749054</v>
      </c>
    </row>
    <row r="1188" spans="1:8" x14ac:dyDescent="0.2">
      <c r="A1188" s="1924">
        <v>2008</v>
      </c>
      <c r="B1188" s="1918" t="s">
        <v>1157</v>
      </c>
      <c r="C1188" s="1918" t="s">
        <v>56</v>
      </c>
      <c r="D1188" s="1918" t="s">
        <v>1156</v>
      </c>
      <c r="E1188" s="1919">
        <v>0.49578255414962769</v>
      </c>
      <c r="F1188" s="1919">
        <v>0.4288061261177063</v>
      </c>
      <c r="G1188" s="1919">
        <v>0.38033765554428101</v>
      </c>
      <c r="H1188" s="1919">
        <v>0.45099955797195435</v>
      </c>
    </row>
    <row r="1189" spans="1:8" x14ac:dyDescent="0.2">
      <c r="A1189" s="1924">
        <v>2009</v>
      </c>
      <c r="B1189" s="1918" t="s">
        <v>1157</v>
      </c>
      <c r="C1189" s="1918" t="s">
        <v>56</v>
      </c>
      <c r="D1189" s="1918" t="s">
        <v>1156</v>
      </c>
      <c r="E1189" s="1919">
        <v>0.53477925062179565</v>
      </c>
      <c r="F1189" s="1919">
        <v>0.474161297082901</v>
      </c>
      <c r="G1189" s="1919">
        <v>0.4001966118812561</v>
      </c>
      <c r="H1189" s="1919">
        <v>0.49324548244476318</v>
      </c>
    </row>
    <row r="1190" spans="1:8" x14ac:dyDescent="0.2">
      <c r="A1190" s="1924">
        <v>2010</v>
      </c>
      <c r="B1190" s="1918" t="s">
        <v>1157</v>
      </c>
      <c r="C1190" s="1918" t="s">
        <v>56</v>
      </c>
      <c r="D1190" s="1918" t="s">
        <v>1156</v>
      </c>
      <c r="E1190" s="1919">
        <v>0.51567602157592773</v>
      </c>
      <c r="F1190" s="1919">
        <v>0.46168318390846252</v>
      </c>
      <c r="G1190" s="1919">
        <v>0.38599270582199097</v>
      </c>
      <c r="H1190" s="1919">
        <v>0.46938157081604004</v>
      </c>
    </row>
    <row r="1191" spans="1:8" x14ac:dyDescent="0.2">
      <c r="A1191" s="1924">
        <v>2011</v>
      </c>
      <c r="B1191" s="1918" t="s">
        <v>1157</v>
      </c>
      <c r="C1191" s="1918" t="s">
        <v>56</v>
      </c>
      <c r="D1191" s="1918" t="s">
        <v>1156</v>
      </c>
      <c r="E1191" s="1919">
        <v>0.51900333166122437</v>
      </c>
      <c r="F1191" s="1919">
        <v>0.46123063564300537</v>
      </c>
      <c r="G1191" s="1919">
        <v>0.39207679033279419</v>
      </c>
      <c r="H1191" s="1919">
        <v>0.47064217925071716</v>
      </c>
    </row>
    <row r="1192" spans="1:8" x14ac:dyDescent="0.2">
      <c r="A1192" s="1924">
        <v>2012</v>
      </c>
      <c r="B1192" s="1918" t="s">
        <v>1157</v>
      </c>
      <c r="C1192" s="1918" t="s">
        <v>56</v>
      </c>
      <c r="D1192" s="1918" t="s">
        <v>1156</v>
      </c>
      <c r="E1192" s="1919">
        <v>0.51240497827529907</v>
      </c>
      <c r="F1192" s="1919">
        <v>0.45199817419052124</v>
      </c>
      <c r="G1192" s="1919">
        <v>0.3905918300151825</v>
      </c>
      <c r="H1192" s="1919">
        <v>0.46670502424240112</v>
      </c>
    </row>
    <row r="1193" spans="1:8" x14ac:dyDescent="0.2">
      <c r="A1193" s="1924">
        <v>2013</v>
      </c>
      <c r="B1193" s="1918" t="s">
        <v>1157</v>
      </c>
      <c r="C1193" s="1918" t="s">
        <v>56</v>
      </c>
      <c r="D1193" s="1918" t="s">
        <v>1156</v>
      </c>
      <c r="E1193" s="1919">
        <v>0.52741873264312744</v>
      </c>
      <c r="F1193" s="1919">
        <v>0.44020792841911316</v>
      </c>
      <c r="G1193" s="1919">
        <v>0.40383881330490112</v>
      </c>
      <c r="H1193" s="1919">
        <v>0.46530666947364807</v>
      </c>
    </row>
    <row r="1194" spans="1:8" x14ac:dyDescent="0.2">
      <c r="A1194" s="1924">
        <v>2014</v>
      </c>
      <c r="B1194" s="1918" t="s">
        <v>1157</v>
      </c>
      <c r="C1194" s="1918" t="s">
        <v>56</v>
      </c>
      <c r="D1194" s="1918" t="s">
        <v>1156</v>
      </c>
      <c r="E1194" s="1919">
        <v>0.5138239860534668</v>
      </c>
      <c r="F1194" s="1919">
        <v>0.45301809906959534</v>
      </c>
      <c r="G1194" s="1919">
        <v>0.39900940656661987</v>
      </c>
      <c r="H1194" s="1919">
        <v>0.4775540828704834</v>
      </c>
    </row>
    <row r="1195" spans="1:8" x14ac:dyDescent="0.2">
      <c r="A1195" s="1924">
        <v>2015</v>
      </c>
      <c r="B1195" s="1918" t="s">
        <v>1157</v>
      </c>
      <c r="C1195" s="1918" t="s">
        <v>56</v>
      </c>
      <c r="D1195" s="1918" t="s">
        <v>1156</v>
      </c>
      <c r="E1195" s="1919">
        <v>0.51847678422927856</v>
      </c>
      <c r="F1195" s="1919">
        <v>0.46813908219337463</v>
      </c>
      <c r="G1195" s="1919">
        <v>0.40494537353515625</v>
      </c>
      <c r="H1195" s="1919">
        <v>0.48870915174484253</v>
      </c>
    </row>
    <row r="1196" spans="1:8" x14ac:dyDescent="0.2">
      <c r="A1196" s="1924">
        <v>1970</v>
      </c>
      <c r="B1196" s="1918" t="s">
        <v>780</v>
      </c>
      <c r="C1196" s="1918" t="s">
        <v>62</v>
      </c>
      <c r="D1196" s="1918" t="s">
        <v>1149</v>
      </c>
      <c r="E1196" s="1919">
        <v>0.65171819925308228</v>
      </c>
      <c r="G1196" s="1919">
        <v>0.61581528186798096</v>
      </c>
    </row>
    <row r="1197" spans="1:8" x14ac:dyDescent="0.2">
      <c r="A1197" s="1924">
        <v>1971</v>
      </c>
      <c r="B1197" s="1918" t="s">
        <v>780</v>
      </c>
      <c r="C1197" s="1918" t="s">
        <v>62</v>
      </c>
      <c r="D1197" s="1918" t="s">
        <v>1149</v>
      </c>
      <c r="E1197" s="1919">
        <v>0.64285820722579956</v>
      </c>
      <c r="G1197" s="1919">
        <v>0.6063503623008728</v>
      </c>
    </row>
    <row r="1198" spans="1:8" x14ac:dyDescent="0.2">
      <c r="A1198" s="1924">
        <v>1972</v>
      </c>
      <c r="B1198" s="1918" t="s">
        <v>780</v>
      </c>
      <c r="C1198" s="1918" t="s">
        <v>62</v>
      </c>
      <c r="D1198" s="1918" t="s">
        <v>1149</v>
      </c>
      <c r="E1198" s="1919">
        <v>0.63429999351501465</v>
      </c>
      <c r="G1198" s="1919">
        <v>0.59633046388626099</v>
      </c>
    </row>
    <row r="1199" spans="1:8" x14ac:dyDescent="0.2">
      <c r="A1199" s="1924">
        <v>1973</v>
      </c>
      <c r="B1199" s="1918" t="s">
        <v>780</v>
      </c>
      <c r="C1199" s="1918" t="s">
        <v>62</v>
      </c>
      <c r="D1199" s="1918" t="s">
        <v>1149</v>
      </c>
      <c r="E1199" s="1919">
        <v>0.63326454162597656</v>
      </c>
      <c r="G1199" s="1919">
        <v>0.59347230195999146</v>
      </c>
    </row>
    <row r="1200" spans="1:8" x14ac:dyDescent="0.2">
      <c r="A1200" s="1924">
        <v>1974</v>
      </c>
      <c r="B1200" s="1918" t="s">
        <v>780</v>
      </c>
      <c r="C1200" s="1918" t="s">
        <v>62</v>
      </c>
      <c r="D1200" s="1918" t="s">
        <v>1149</v>
      </c>
      <c r="E1200" s="1919">
        <v>0.66706383228302002</v>
      </c>
      <c r="G1200" s="1919">
        <v>0.6259806752204895</v>
      </c>
    </row>
    <row r="1201" spans="1:13" x14ac:dyDescent="0.2">
      <c r="A1201" s="1924">
        <v>1975</v>
      </c>
      <c r="B1201" s="1918" t="s">
        <v>780</v>
      </c>
      <c r="C1201" s="1918" t="s">
        <v>62</v>
      </c>
      <c r="D1201" s="1918" t="s">
        <v>1149</v>
      </c>
      <c r="E1201" s="1919">
        <v>0.70164966583251953</v>
      </c>
      <c r="G1201" s="1919">
        <v>0.65495461225509644</v>
      </c>
    </row>
    <row r="1202" spans="1:13" x14ac:dyDescent="0.2">
      <c r="A1202" s="1924">
        <v>1976</v>
      </c>
      <c r="B1202" s="1918" t="s">
        <v>780</v>
      </c>
      <c r="C1202" s="1918" t="s">
        <v>62</v>
      </c>
      <c r="D1202" s="1918" t="s">
        <v>1149</v>
      </c>
      <c r="E1202" s="1919">
        <v>0.67958945035934448</v>
      </c>
      <c r="G1202" s="1919">
        <v>0.63216978311538696</v>
      </c>
    </row>
    <row r="1203" spans="1:13" x14ac:dyDescent="0.2">
      <c r="A1203" s="1924">
        <v>1977</v>
      </c>
      <c r="B1203" s="1918" t="s">
        <v>780</v>
      </c>
      <c r="C1203" s="1918" t="s">
        <v>62</v>
      </c>
      <c r="D1203" s="1918" t="s">
        <v>1149</v>
      </c>
      <c r="E1203" s="1919">
        <v>0.64240097999572754</v>
      </c>
      <c r="G1203" s="1919">
        <v>0.59265118837356567</v>
      </c>
    </row>
    <row r="1204" spans="1:13" x14ac:dyDescent="0.2">
      <c r="A1204" s="1924">
        <v>1978</v>
      </c>
      <c r="B1204" s="1918" t="s">
        <v>780</v>
      </c>
      <c r="C1204" s="1918" t="s">
        <v>62</v>
      </c>
      <c r="D1204" s="1918" t="s">
        <v>1149</v>
      </c>
      <c r="E1204" s="1919">
        <v>0.63935595750808716</v>
      </c>
      <c r="G1204" s="1919">
        <v>0.58725261688232422</v>
      </c>
    </row>
    <row r="1205" spans="1:13" x14ac:dyDescent="0.2">
      <c r="A1205" s="1924">
        <v>1979</v>
      </c>
      <c r="B1205" s="1918" t="s">
        <v>780</v>
      </c>
      <c r="C1205" s="1918" t="s">
        <v>62</v>
      </c>
      <c r="D1205" s="1918" t="s">
        <v>1149</v>
      </c>
      <c r="E1205" s="1919">
        <v>0.64869028329849243</v>
      </c>
      <c r="G1205" s="1919">
        <v>0.59461337327957153</v>
      </c>
    </row>
    <row r="1206" spans="1:13" x14ac:dyDescent="0.2">
      <c r="A1206" s="1924">
        <v>1980</v>
      </c>
      <c r="B1206" s="1918" t="s">
        <v>780</v>
      </c>
      <c r="C1206" s="1918" t="s">
        <v>62</v>
      </c>
      <c r="D1206" s="1918" t="s">
        <v>1149</v>
      </c>
      <c r="E1206" s="1919">
        <v>0.66935461759567261</v>
      </c>
      <c r="G1206" s="1919">
        <v>0.60675466060638428</v>
      </c>
    </row>
    <row r="1207" spans="1:13" x14ac:dyDescent="0.2">
      <c r="A1207" s="1924">
        <v>1981</v>
      </c>
      <c r="B1207" s="1918" t="s">
        <v>780</v>
      </c>
      <c r="C1207" s="1918" t="s">
        <v>62</v>
      </c>
      <c r="D1207" s="1918" t="s">
        <v>1149</v>
      </c>
      <c r="E1207" s="1919">
        <v>0.67358624935150146</v>
      </c>
      <c r="G1207" s="1919">
        <v>0.60179311037063599</v>
      </c>
    </row>
    <row r="1208" spans="1:13" x14ac:dyDescent="0.2">
      <c r="A1208" s="1924">
        <v>1982</v>
      </c>
      <c r="B1208" s="1918" t="s">
        <v>780</v>
      </c>
      <c r="C1208" s="1918" t="s">
        <v>62</v>
      </c>
      <c r="D1208" s="1918" t="s">
        <v>1149</v>
      </c>
      <c r="E1208" s="1919">
        <v>0.65152519941329956</v>
      </c>
      <c r="G1208" s="1919">
        <v>0.57824987173080444</v>
      </c>
    </row>
    <row r="1209" spans="1:13" x14ac:dyDescent="0.2">
      <c r="A1209" s="1924">
        <v>1983</v>
      </c>
      <c r="B1209" s="1918" t="s">
        <v>780</v>
      </c>
      <c r="C1209" s="1918" t="s">
        <v>62</v>
      </c>
      <c r="D1209" s="1918" t="s">
        <v>1149</v>
      </c>
      <c r="E1209" s="1919">
        <v>0.62579023838043213</v>
      </c>
      <c r="G1209" s="1919">
        <v>0.55102276802062988</v>
      </c>
    </row>
    <row r="1210" spans="1:13" x14ac:dyDescent="0.2">
      <c r="A1210" s="1924">
        <v>1984</v>
      </c>
      <c r="B1210" s="1918" t="s">
        <v>780</v>
      </c>
      <c r="C1210" s="1918" t="s">
        <v>62</v>
      </c>
      <c r="D1210" s="1918" t="s">
        <v>1149</v>
      </c>
      <c r="E1210" s="1919">
        <v>0.63205456733703613</v>
      </c>
      <c r="G1210" s="1919">
        <v>0.54813975095748901</v>
      </c>
    </row>
    <row r="1211" spans="1:13" x14ac:dyDescent="0.2">
      <c r="A1211" s="1924">
        <v>1985</v>
      </c>
      <c r="B1211" s="1918" t="s">
        <v>780</v>
      </c>
      <c r="C1211" s="1918" t="s">
        <v>62</v>
      </c>
      <c r="D1211" s="1918" t="s">
        <v>1149</v>
      </c>
      <c r="E1211" s="1919">
        <v>0.63811737298965454</v>
      </c>
      <c r="F1211" s="1926">
        <f t="shared" ref="F1211:F1220" si="30">1-(1-F1212)*(1-E1211)/(1-E1212)</f>
        <v>0.62243684169500724</v>
      </c>
      <c r="G1211" s="1919">
        <v>0.54974234104156494</v>
      </c>
      <c r="K1211" s="1922">
        <f>1-Tableau1[[#This Row],[Adjusted corporate sector labor share]]</f>
        <v>0.37756315830499276</v>
      </c>
      <c r="L1211" s="1922">
        <v>0</v>
      </c>
      <c r="M1211" s="1919">
        <f t="shared" ref="M1211:M1241" si="31">K1211*(1+L1211)/(1+K1211*L1211)</f>
        <v>0.37756315830499276</v>
      </c>
    </row>
    <row r="1212" spans="1:13" x14ac:dyDescent="0.2">
      <c r="A1212" s="1924">
        <v>1986</v>
      </c>
      <c r="B1212" s="1918" t="s">
        <v>780</v>
      </c>
      <c r="C1212" s="1918" t="s">
        <v>62</v>
      </c>
      <c r="D1212" s="1918" t="s">
        <v>1149</v>
      </c>
      <c r="E1212" s="1919">
        <v>0.64796280860900879</v>
      </c>
      <c r="F1212" s="1926">
        <f t="shared" si="30"/>
        <v>0.63270888431291827</v>
      </c>
      <c r="G1212" s="1919">
        <v>0.56649279594421387</v>
      </c>
      <c r="K1212" s="1922">
        <f>1-Tableau1[[#This Row],[Adjusted corporate sector labor share]]</f>
        <v>0.36729111568708173</v>
      </c>
      <c r="L1212" s="1919">
        <f t="shared" ref="L1212:L1240" si="32">L1211+(L$1241-L$1211)/30</f>
        <v>6.0000000000000001E-3</v>
      </c>
      <c r="M1212" s="1919">
        <f t="shared" si="31"/>
        <v>0.36868237980552659</v>
      </c>
    </row>
    <row r="1213" spans="1:13" x14ac:dyDescent="0.2">
      <c r="A1213" s="1924">
        <v>1987</v>
      </c>
      <c r="B1213" s="1918" t="s">
        <v>780</v>
      </c>
      <c r="C1213" s="1918" t="s">
        <v>62</v>
      </c>
      <c r="D1213" s="1918" t="s">
        <v>1149</v>
      </c>
      <c r="E1213" s="1919">
        <v>0.66183364391326904</v>
      </c>
      <c r="F1213" s="1926">
        <f t="shared" si="30"/>
        <v>0.64718074893120847</v>
      </c>
      <c r="G1213" s="1919">
        <v>0.57086896896362305</v>
      </c>
      <c r="H1213" s="1919">
        <v>0.57296395301818848</v>
      </c>
      <c r="K1213" s="1922">
        <f>1-Tableau1[[#This Row],[Adjusted corporate sector labor share]]</f>
        <v>0.35281925106879153</v>
      </c>
      <c r="L1213" s="1919">
        <f t="shared" si="32"/>
        <v>1.2E-2</v>
      </c>
      <c r="M1213" s="1919">
        <f t="shared" si="31"/>
        <v>0.3555477529785161</v>
      </c>
    </row>
    <row r="1214" spans="1:13" x14ac:dyDescent="0.2">
      <c r="A1214" s="1924">
        <v>1988</v>
      </c>
      <c r="B1214" s="1918" t="s">
        <v>780</v>
      </c>
      <c r="C1214" s="1918" t="s">
        <v>62</v>
      </c>
      <c r="D1214" s="1918" t="s">
        <v>1149</v>
      </c>
      <c r="E1214" s="1919">
        <v>0.64925402402877808</v>
      </c>
      <c r="F1214" s="1926">
        <f t="shared" si="30"/>
        <v>0.63405604865724663</v>
      </c>
      <c r="G1214" s="1919">
        <v>0.55674123764038086</v>
      </c>
      <c r="H1214" s="1919">
        <v>0.57375717163085938</v>
      </c>
      <c r="K1214" s="1922">
        <f>1-Tableau1[[#This Row],[Adjusted corporate sector labor share]]</f>
        <v>0.36594395134275337</v>
      </c>
      <c r="L1214" s="1919">
        <f t="shared" si="32"/>
        <v>1.8000000000000002E-2</v>
      </c>
      <c r="M1214" s="1919">
        <f t="shared" si="31"/>
        <v>0.37009314222397754</v>
      </c>
    </row>
    <row r="1215" spans="1:13" x14ac:dyDescent="0.2">
      <c r="A1215" s="1924">
        <v>1989</v>
      </c>
      <c r="B1215" s="1918" t="s">
        <v>780</v>
      </c>
      <c r="C1215" s="1918" t="s">
        <v>62</v>
      </c>
      <c r="D1215" s="1918" t="s">
        <v>1149</v>
      </c>
      <c r="E1215" s="1919">
        <v>0.67650246620178223</v>
      </c>
      <c r="F1215" s="1926">
        <f t="shared" si="30"/>
        <v>0.6624851776561258</v>
      </c>
      <c r="G1215" s="1919">
        <v>0.5687936544418335</v>
      </c>
      <c r="H1215" s="1919">
        <v>0.58186650276184082</v>
      </c>
      <c r="K1215" s="1922">
        <f>1-Tableau1[[#This Row],[Adjusted corporate sector labor share]]</f>
        <v>0.3375148223438742</v>
      </c>
      <c r="L1215" s="1919">
        <f t="shared" si="32"/>
        <v>2.4E-2</v>
      </c>
      <c r="M1215" s="1919">
        <f t="shared" si="31"/>
        <v>0.34283806777125048</v>
      </c>
    </row>
    <row r="1216" spans="1:13" x14ac:dyDescent="0.2">
      <c r="A1216" s="1924">
        <v>1990</v>
      </c>
      <c r="B1216" s="1918" t="s">
        <v>780</v>
      </c>
      <c r="C1216" s="1918" t="s">
        <v>62</v>
      </c>
      <c r="D1216" s="1918" t="s">
        <v>1149</v>
      </c>
      <c r="E1216" s="1919">
        <v>0.6980363130569458</v>
      </c>
      <c r="F1216" s="1926">
        <f t="shared" si="30"/>
        <v>0.68495209544176228</v>
      </c>
      <c r="G1216" s="1919">
        <v>0.5827791690826416</v>
      </c>
      <c r="H1216" s="1919">
        <v>0.59754288196563721</v>
      </c>
      <c r="K1216" s="1922">
        <f>1-Tableau1[[#This Row],[Adjusted corporate sector labor share]]</f>
        <v>0.31504790455823772</v>
      </c>
      <c r="L1216" s="1919">
        <f t="shared" si="32"/>
        <v>0.03</v>
      </c>
      <c r="M1216" s="1919">
        <f t="shared" si="31"/>
        <v>0.32146107257562501</v>
      </c>
    </row>
    <row r="1217" spans="1:13" x14ac:dyDescent="0.2">
      <c r="A1217" s="1924">
        <v>1991</v>
      </c>
      <c r="B1217" s="1918" t="s">
        <v>780</v>
      </c>
      <c r="C1217" s="1918" t="s">
        <v>62</v>
      </c>
      <c r="D1217" s="1918" t="s">
        <v>1149</v>
      </c>
      <c r="E1217" s="1919">
        <v>0.70819187164306641</v>
      </c>
      <c r="F1217" s="1926">
        <f t="shared" si="30"/>
        <v>0.69554769878919087</v>
      </c>
      <c r="G1217" s="1919">
        <v>0.59512549638748169</v>
      </c>
      <c r="H1217" s="1919">
        <v>0.60930424928665161</v>
      </c>
      <c r="K1217" s="1922">
        <f>1-Tableau1[[#This Row],[Adjusted corporate sector labor share]]</f>
        <v>0.30445230121080913</v>
      </c>
      <c r="L1217" s="1919">
        <f t="shared" si="32"/>
        <v>3.5999999999999997E-2</v>
      </c>
      <c r="M1217" s="1919">
        <f t="shared" si="31"/>
        <v>0.31199305195968552</v>
      </c>
    </row>
    <row r="1218" spans="1:13" x14ac:dyDescent="0.2">
      <c r="A1218" s="1924">
        <v>1992</v>
      </c>
      <c r="B1218" s="1918" t="s">
        <v>780</v>
      </c>
      <c r="C1218" s="1918" t="s">
        <v>62</v>
      </c>
      <c r="D1218" s="1918" t="s">
        <v>1149</v>
      </c>
      <c r="E1218" s="1919">
        <v>0.69325417280197144</v>
      </c>
      <c r="F1218" s="1926">
        <f t="shared" si="30"/>
        <v>0.67996274297396897</v>
      </c>
      <c r="G1218" s="1919">
        <v>0.58147907257080078</v>
      </c>
      <c r="H1218" s="1919">
        <v>0.61014962196350098</v>
      </c>
      <c r="K1218" s="1922">
        <f>1-Tableau1[[#This Row],[Adjusted corporate sector labor share]]</f>
        <v>0.32003725702603103</v>
      </c>
      <c r="L1218" s="1919">
        <f t="shared" si="32"/>
        <v>4.1999999999999996E-2</v>
      </c>
      <c r="M1218" s="1919">
        <f t="shared" si="31"/>
        <v>0.32905579700448745</v>
      </c>
    </row>
    <row r="1219" spans="1:13" x14ac:dyDescent="0.2">
      <c r="A1219" s="1924">
        <v>1993</v>
      </c>
      <c r="B1219" s="1918" t="s">
        <v>780</v>
      </c>
      <c r="C1219" s="1918" t="s">
        <v>62</v>
      </c>
      <c r="D1219" s="1918" t="s">
        <v>1149</v>
      </c>
      <c r="E1219" s="1919">
        <v>0.67130833864212036</v>
      </c>
      <c r="F1219" s="1926">
        <f t="shared" si="30"/>
        <v>0.65706598629491986</v>
      </c>
      <c r="G1219" s="1919">
        <v>0.56300002336502075</v>
      </c>
      <c r="H1219" s="1919">
        <v>0.5858924388885498</v>
      </c>
      <c r="K1219" s="1922">
        <f>1-Tableau1[[#This Row],[Adjusted corporate sector labor share]]</f>
        <v>0.34293401370508014</v>
      </c>
      <c r="L1219" s="1919">
        <f t="shared" si="32"/>
        <v>4.7999999999999994E-2</v>
      </c>
      <c r="M1219" s="1919">
        <f t="shared" si="31"/>
        <v>0.35357471219346209</v>
      </c>
    </row>
    <row r="1220" spans="1:13" x14ac:dyDescent="0.2">
      <c r="A1220" s="1924">
        <v>1994</v>
      </c>
      <c r="B1220" s="1918" t="s">
        <v>780</v>
      </c>
      <c r="C1220" s="1918" t="s">
        <v>62</v>
      </c>
      <c r="D1220" s="1918" t="s">
        <v>1149</v>
      </c>
      <c r="E1220" s="1919">
        <v>0.65442943572998047</v>
      </c>
      <c r="F1220" s="1926">
        <f t="shared" si="30"/>
        <v>0.63945571319372263</v>
      </c>
      <c r="G1220" s="1919">
        <v>0.54788774251937866</v>
      </c>
      <c r="H1220" s="1919">
        <v>0.57082569599151611</v>
      </c>
      <c r="K1220" s="1922">
        <f>1-Tableau1[[#This Row],[Adjusted corporate sector labor share]]</f>
        <v>0.36054428680627737</v>
      </c>
      <c r="L1220" s="1919">
        <f t="shared" si="32"/>
        <v>5.3999999999999992E-2</v>
      </c>
      <c r="M1220" s="1919">
        <f t="shared" si="31"/>
        <v>0.37275633919653711</v>
      </c>
    </row>
    <row r="1221" spans="1:13" x14ac:dyDescent="0.2">
      <c r="A1221" s="1924">
        <v>1995</v>
      </c>
      <c r="B1221" s="1918" t="s">
        <v>780</v>
      </c>
      <c r="C1221" s="1918" t="s">
        <v>62</v>
      </c>
      <c r="D1221" s="1918" t="s">
        <v>1149</v>
      </c>
      <c r="E1221" s="1919">
        <v>0.66113179922103882</v>
      </c>
      <c r="F1221" s="1919">
        <v>0.64644849300384521</v>
      </c>
      <c r="G1221" s="1919">
        <v>0.54691153764724731</v>
      </c>
      <c r="H1221" s="1919">
        <v>0.56676369905471802</v>
      </c>
      <c r="K1221" s="1922">
        <f>1-Tableau1[[#This Row],[Adjusted corporate sector labor share]]</f>
        <v>0.35355150699615479</v>
      </c>
      <c r="L1221" s="1919">
        <f t="shared" si="32"/>
        <v>5.9999999999999991E-2</v>
      </c>
      <c r="M1221" s="1919">
        <f t="shared" si="31"/>
        <v>0.3669798212847793</v>
      </c>
    </row>
    <row r="1222" spans="1:13" x14ac:dyDescent="0.2">
      <c r="A1222" s="1924">
        <v>1996</v>
      </c>
      <c r="B1222" s="1918" t="s">
        <v>780</v>
      </c>
      <c r="C1222" s="1918" t="s">
        <v>62</v>
      </c>
      <c r="D1222" s="1918" t="s">
        <v>1149</v>
      </c>
      <c r="E1222" s="1919">
        <v>0.64000445604324341</v>
      </c>
      <c r="F1222" s="1919">
        <v>0.62299489974975586</v>
      </c>
      <c r="G1222" s="1919">
        <v>0.53170108795166016</v>
      </c>
      <c r="H1222" s="1919">
        <v>0.55093604326248169</v>
      </c>
      <c r="K1222" s="1922">
        <f>1-Tableau1[[#This Row],[Adjusted corporate sector labor share]]</f>
        <v>0.37700510025024414</v>
      </c>
      <c r="L1222" s="1919">
        <f t="shared" si="32"/>
        <v>6.5999999999999989E-2</v>
      </c>
      <c r="M1222" s="1919">
        <f t="shared" si="31"/>
        <v>0.39213031828953837</v>
      </c>
    </row>
    <row r="1223" spans="1:13" x14ac:dyDescent="0.2">
      <c r="A1223" s="1924">
        <v>1997</v>
      </c>
      <c r="B1223" s="1918" t="s">
        <v>780</v>
      </c>
      <c r="C1223" s="1918" t="s">
        <v>62</v>
      </c>
      <c r="D1223" s="1918" t="s">
        <v>1149</v>
      </c>
      <c r="E1223" s="1919">
        <v>0.64194363355636597</v>
      </c>
      <c r="F1223" s="1919">
        <v>0.6471247673034668</v>
      </c>
      <c r="G1223" s="1919">
        <v>0.53905367851257324</v>
      </c>
      <c r="H1223" s="1919">
        <v>0.57120037078857422</v>
      </c>
      <c r="K1223" s="1922">
        <f>1-Tableau1[[#This Row],[Adjusted corporate sector labor share]]</f>
        <v>0.3528752326965332</v>
      </c>
      <c r="L1223" s="1919">
        <f t="shared" si="32"/>
        <v>7.1999999999999995E-2</v>
      </c>
      <c r="M1223" s="1919">
        <f t="shared" si="31"/>
        <v>0.36890936308209388</v>
      </c>
    </row>
    <row r="1224" spans="1:13" x14ac:dyDescent="0.2">
      <c r="A1224" s="1924">
        <v>1998</v>
      </c>
      <c r="B1224" s="1918" t="s">
        <v>780</v>
      </c>
      <c r="C1224" s="1918" t="s">
        <v>62</v>
      </c>
      <c r="D1224" s="1918" t="s">
        <v>1149</v>
      </c>
      <c r="E1224" s="1919">
        <v>0.6644827127456665</v>
      </c>
      <c r="F1224" s="1919">
        <v>0.66389328241348267</v>
      </c>
      <c r="G1224" s="1919">
        <v>0.56610512733459473</v>
      </c>
      <c r="H1224" s="1919">
        <v>0.59475564956665039</v>
      </c>
      <c r="K1224" s="1922">
        <f>1-Tableau1[[#This Row],[Adjusted corporate sector labor share]]</f>
        <v>0.33610671758651733</v>
      </c>
      <c r="L1224" s="1919">
        <f t="shared" si="32"/>
        <v>7.8E-2</v>
      </c>
      <c r="M1224" s="1919">
        <f t="shared" si="31"/>
        <v>0.3530669246772189</v>
      </c>
    </row>
    <row r="1225" spans="1:13" x14ac:dyDescent="0.2">
      <c r="A1225" s="1924">
        <v>1999</v>
      </c>
      <c r="B1225" s="1918" t="s">
        <v>780</v>
      </c>
      <c r="C1225" s="1918" t="s">
        <v>62</v>
      </c>
      <c r="D1225" s="1918" t="s">
        <v>1149</v>
      </c>
      <c r="E1225" s="1919">
        <v>0.68831276893615723</v>
      </c>
      <c r="F1225" s="1919">
        <v>0.68760454654693604</v>
      </c>
      <c r="G1225" s="1919">
        <v>0.58906078338623047</v>
      </c>
      <c r="H1225" s="1919">
        <v>0.62025970220565796</v>
      </c>
      <c r="K1225" s="1922">
        <f>1-Tableau1[[#This Row],[Adjusted corporate sector labor share]]</f>
        <v>0.31239545345306396</v>
      </c>
      <c r="L1225" s="1919">
        <f t="shared" si="32"/>
        <v>8.4000000000000005E-2</v>
      </c>
      <c r="M1225" s="1919">
        <f t="shared" si="31"/>
        <v>0.32997765590955291</v>
      </c>
    </row>
    <row r="1226" spans="1:13" x14ac:dyDescent="0.2">
      <c r="A1226" s="1924">
        <v>2000</v>
      </c>
      <c r="B1226" s="1918" t="s">
        <v>780</v>
      </c>
      <c r="C1226" s="1918" t="s">
        <v>62</v>
      </c>
      <c r="D1226" s="1918" t="s">
        <v>1149</v>
      </c>
      <c r="E1226" s="1919">
        <v>0.6959986686706543</v>
      </c>
      <c r="F1226" s="1919">
        <v>0.69727706909179688</v>
      </c>
      <c r="G1226" s="1919">
        <v>0.59782469272613525</v>
      </c>
      <c r="H1226" s="1919">
        <v>0.63104009628295898</v>
      </c>
      <c r="K1226" s="1922">
        <f>1-Tableau1[[#This Row],[Adjusted corporate sector labor share]]</f>
        <v>0.30272293090820312</v>
      </c>
      <c r="L1226" s="1919">
        <f t="shared" si="32"/>
        <v>9.0000000000000011E-2</v>
      </c>
      <c r="M1226" s="1919">
        <f t="shared" si="31"/>
        <v>0.32121643249877002</v>
      </c>
    </row>
    <row r="1227" spans="1:13" x14ac:dyDescent="0.2">
      <c r="A1227" s="1924">
        <v>2001</v>
      </c>
      <c r="B1227" s="1918" t="s">
        <v>780</v>
      </c>
      <c r="C1227" s="1918" t="s">
        <v>62</v>
      </c>
      <c r="D1227" s="1918" t="s">
        <v>1149</v>
      </c>
      <c r="E1227" s="1919">
        <v>0.7186005711555481</v>
      </c>
      <c r="F1227" s="1919">
        <v>0.72068572044372559</v>
      </c>
      <c r="G1227" s="1919">
        <v>0.61482250690460205</v>
      </c>
      <c r="H1227" s="1919">
        <v>0.65168929100036621</v>
      </c>
      <c r="K1227" s="1922">
        <f>1-Tableau1[[#This Row],[Adjusted corporate sector labor share]]</f>
        <v>0.27931427955627441</v>
      </c>
      <c r="L1227" s="1919">
        <f t="shared" si="32"/>
        <v>9.6000000000000016E-2</v>
      </c>
      <c r="M1227" s="1919">
        <f t="shared" si="31"/>
        <v>0.29813422826451497</v>
      </c>
    </row>
    <row r="1228" spans="1:13" x14ac:dyDescent="0.2">
      <c r="A1228" s="1924">
        <v>2002</v>
      </c>
      <c r="B1228" s="1918" t="s">
        <v>780</v>
      </c>
      <c r="C1228" s="1918" t="s">
        <v>62</v>
      </c>
      <c r="D1228" s="1918" t="s">
        <v>1149</v>
      </c>
      <c r="E1228" s="1919">
        <v>0.70343226194381714</v>
      </c>
      <c r="F1228" s="1919">
        <v>0.70127063989639282</v>
      </c>
      <c r="G1228" s="1919">
        <v>0.60030639171600342</v>
      </c>
      <c r="H1228" s="1919">
        <v>0.63393592834472656</v>
      </c>
      <c r="K1228" s="1922">
        <f>1-Tableau1[[#This Row],[Adjusted corporate sector labor share]]</f>
        <v>0.29872936010360718</v>
      </c>
      <c r="L1228" s="1919">
        <f t="shared" si="32"/>
        <v>0.10200000000000002</v>
      </c>
      <c r="M1228" s="1919">
        <f t="shared" si="31"/>
        <v>0.3194655145044214</v>
      </c>
    </row>
    <row r="1229" spans="1:13" x14ac:dyDescent="0.2">
      <c r="A1229" s="1924">
        <v>2003</v>
      </c>
      <c r="B1229" s="1918" t="s">
        <v>780</v>
      </c>
      <c r="C1229" s="1918" t="s">
        <v>62</v>
      </c>
      <c r="D1229" s="1918" t="s">
        <v>1149</v>
      </c>
      <c r="E1229" s="1919">
        <v>0.69923591613769531</v>
      </c>
      <c r="F1229" s="1919">
        <v>0.69502580165863037</v>
      </c>
      <c r="G1229" s="1919">
        <v>0.59031438827514648</v>
      </c>
      <c r="H1229" s="1919">
        <v>0.61841017007827759</v>
      </c>
      <c r="K1229" s="1922">
        <f>1-Tableau1[[#This Row],[Adjusted corporate sector labor share]]</f>
        <v>0.30497419834136963</v>
      </c>
      <c r="L1229" s="1919">
        <f t="shared" si="32"/>
        <v>0.10800000000000003</v>
      </c>
      <c r="M1229" s="1919">
        <f t="shared" si="31"/>
        <v>0.32713644873258757</v>
      </c>
    </row>
    <row r="1230" spans="1:13" x14ac:dyDescent="0.2">
      <c r="A1230" s="1924">
        <v>2004</v>
      </c>
      <c r="B1230" s="1918" t="s">
        <v>780</v>
      </c>
      <c r="C1230" s="1918" t="s">
        <v>62</v>
      </c>
      <c r="D1230" s="1918" t="s">
        <v>1149</v>
      </c>
      <c r="E1230" s="1919">
        <v>0.70471560955047607</v>
      </c>
      <c r="F1230" s="1919">
        <v>0.70353269577026367</v>
      </c>
      <c r="G1230" s="1919">
        <v>0.59410548210144043</v>
      </c>
      <c r="H1230" s="1919">
        <v>0.62413883209228516</v>
      </c>
      <c r="K1230" s="1922">
        <f>1-Tableau1[[#This Row],[Adjusted corporate sector labor share]]</f>
        <v>0.29646730422973633</v>
      </c>
      <c r="L1230" s="1919">
        <f t="shared" si="32"/>
        <v>0.11400000000000003</v>
      </c>
      <c r="M1230" s="1919">
        <f t="shared" si="31"/>
        <v>0.3194674484437881</v>
      </c>
    </row>
    <row r="1231" spans="1:13" x14ac:dyDescent="0.2">
      <c r="A1231" s="1924">
        <v>2005</v>
      </c>
      <c r="B1231" s="1918" t="s">
        <v>780</v>
      </c>
      <c r="C1231" s="1918" t="s">
        <v>62</v>
      </c>
      <c r="D1231" s="1918" t="s">
        <v>1149</v>
      </c>
      <c r="E1231" s="1919">
        <v>0.68733370304107666</v>
      </c>
      <c r="F1231" s="1919">
        <v>0.6837126612663269</v>
      </c>
      <c r="G1231" s="1919">
        <v>0.58092725276947021</v>
      </c>
      <c r="H1231" s="1919">
        <v>0.60830199718475342</v>
      </c>
      <c r="K1231" s="1922">
        <f>1-Tableau1[[#This Row],[Adjusted corporate sector labor share]]</f>
        <v>0.3162873387336731</v>
      </c>
      <c r="L1231" s="1919">
        <f t="shared" si="32"/>
        <v>0.12000000000000004</v>
      </c>
      <c r="M1231" s="1919">
        <f t="shared" si="31"/>
        <v>0.34128839557640822</v>
      </c>
    </row>
    <row r="1232" spans="1:13" x14ac:dyDescent="0.2">
      <c r="A1232" s="1924">
        <v>2006</v>
      </c>
      <c r="B1232" s="1918" t="s">
        <v>780</v>
      </c>
      <c r="C1232" s="1918" t="s">
        <v>62</v>
      </c>
      <c r="D1232" s="1918" t="s">
        <v>1149</v>
      </c>
      <c r="E1232" s="1919">
        <v>0.69743770360946655</v>
      </c>
      <c r="F1232" s="1919">
        <v>0.69271844625473022</v>
      </c>
      <c r="G1232" s="1919">
        <v>0.58913606405258179</v>
      </c>
      <c r="H1232" s="1919">
        <v>0.6147998571395874</v>
      </c>
      <c r="K1232" s="1922">
        <f>1-Tableau1[[#This Row],[Adjusted corporate sector labor share]]</f>
        <v>0.30728155374526978</v>
      </c>
      <c r="L1232" s="1919">
        <f t="shared" si="32"/>
        <v>0.12600000000000003</v>
      </c>
      <c r="M1232" s="1919">
        <f t="shared" si="31"/>
        <v>0.33310215490506784</v>
      </c>
    </row>
    <row r="1233" spans="1:13" x14ac:dyDescent="0.2">
      <c r="A1233" s="1924">
        <v>2007</v>
      </c>
      <c r="B1233" s="1918" t="s">
        <v>780</v>
      </c>
      <c r="C1233" s="1918" t="s">
        <v>62</v>
      </c>
      <c r="D1233" s="1918" t="s">
        <v>1149</v>
      </c>
      <c r="E1233" s="1919">
        <v>0.70799243450164795</v>
      </c>
      <c r="F1233" s="1919">
        <v>0.70183247327804565</v>
      </c>
      <c r="G1233" s="1919">
        <v>0.59632289409637451</v>
      </c>
      <c r="H1233" s="1919">
        <v>0.61663109064102173</v>
      </c>
      <c r="K1233" s="1922">
        <f>1-Tableau1[[#This Row],[Adjusted corporate sector labor share]]</f>
        <v>0.29816752672195435</v>
      </c>
      <c r="L1233" s="1919">
        <f t="shared" si="32"/>
        <v>0.13200000000000003</v>
      </c>
      <c r="M1233" s="1919">
        <f t="shared" si="31"/>
        <v>0.32474431657033243</v>
      </c>
    </row>
    <row r="1234" spans="1:13" x14ac:dyDescent="0.2">
      <c r="A1234" s="1924">
        <v>2008</v>
      </c>
      <c r="B1234" s="1918" t="s">
        <v>780</v>
      </c>
      <c r="C1234" s="1918" t="s">
        <v>62</v>
      </c>
      <c r="D1234" s="1918" t="s">
        <v>1149</v>
      </c>
      <c r="E1234" s="1919">
        <v>0.70014393329620361</v>
      </c>
      <c r="F1234" s="1919">
        <v>0.69167506694793701</v>
      </c>
      <c r="G1234" s="1919">
        <v>0.59020978212356567</v>
      </c>
      <c r="H1234" s="1919">
        <v>0.61236166954040527</v>
      </c>
      <c r="K1234" s="1922">
        <f>1-Tableau1[[#This Row],[Adjusted corporate sector labor share]]</f>
        <v>0.30832493305206299</v>
      </c>
      <c r="L1234" s="1919">
        <f t="shared" si="32"/>
        <v>0.13800000000000004</v>
      </c>
      <c r="M1234" s="1919">
        <f t="shared" si="31"/>
        <v>0.33655379977888428</v>
      </c>
    </row>
    <row r="1235" spans="1:13" x14ac:dyDescent="0.2">
      <c r="A1235" s="1924">
        <v>2009</v>
      </c>
      <c r="B1235" s="1918" t="s">
        <v>780</v>
      </c>
      <c r="C1235" s="1918" t="s">
        <v>62</v>
      </c>
      <c r="D1235" s="1918" t="s">
        <v>1149</v>
      </c>
      <c r="E1235" s="1919">
        <v>0.70396971702575684</v>
      </c>
      <c r="F1235" s="1919">
        <v>0.69201081991195679</v>
      </c>
      <c r="G1235" s="1919">
        <v>0.59652411937713623</v>
      </c>
      <c r="H1235" s="1919">
        <v>0.61401081085205078</v>
      </c>
      <c r="K1235" s="1922">
        <f>1-Tableau1[[#This Row],[Adjusted corporate sector labor share]]</f>
        <v>0.30798918008804321</v>
      </c>
      <c r="L1235" s="1919">
        <f t="shared" si="32"/>
        <v>0.14400000000000004</v>
      </c>
      <c r="M1235" s="1919">
        <f t="shared" si="31"/>
        <v>0.33737681133995656</v>
      </c>
    </row>
    <row r="1236" spans="1:13" x14ac:dyDescent="0.2">
      <c r="A1236" s="1924">
        <v>2010</v>
      </c>
      <c r="B1236" s="1918" t="s">
        <v>780</v>
      </c>
      <c r="C1236" s="1918" t="s">
        <v>62</v>
      </c>
      <c r="D1236" s="1918" t="s">
        <v>1149</v>
      </c>
      <c r="E1236" s="1919">
        <v>0.716064453125</v>
      </c>
      <c r="F1236" s="1919">
        <v>0.70103579759597778</v>
      </c>
      <c r="G1236" s="1919">
        <v>0.60140621662139893</v>
      </c>
      <c r="H1236" s="1919">
        <v>0.61312127113342285</v>
      </c>
      <c r="K1236" s="1922">
        <f>1-Tableau1[[#This Row],[Adjusted corporate sector labor share]]</f>
        <v>0.29896420240402222</v>
      </c>
      <c r="L1236" s="1919">
        <f t="shared" si="32"/>
        <v>0.15000000000000005</v>
      </c>
      <c r="M1236" s="1919">
        <f t="shared" si="31"/>
        <v>0.32905259095409056</v>
      </c>
    </row>
    <row r="1237" spans="1:13" x14ac:dyDescent="0.2">
      <c r="A1237" s="1924">
        <v>2011</v>
      </c>
      <c r="B1237" s="1918" t="s">
        <v>780</v>
      </c>
      <c r="C1237" s="1918" t="s">
        <v>62</v>
      </c>
      <c r="D1237" s="1918" t="s">
        <v>1149</v>
      </c>
      <c r="E1237" s="1919">
        <v>0.71366673707962036</v>
      </c>
      <c r="F1237" s="1919">
        <v>0.69587653875350952</v>
      </c>
      <c r="G1237" s="1919">
        <v>0.59796261787414551</v>
      </c>
      <c r="H1237" s="1919">
        <v>0.60811418294906616</v>
      </c>
      <c r="K1237" s="1922">
        <f>1-Tableau1[[#This Row],[Adjusted corporate sector labor share]]</f>
        <v>0.30412346124649048</v>
      </c>
      <c r="L1237" s="1919">
        <f t="shared" si="32"/>
        <v>0.15600000000000006</v>
      </c>
      <c r="M1237" s="1919">
        <f t="shared" si="31"/>
        <v>0.33564273564205349</v>
      </c>
    </row>
    <row r="1238" spans="1:13" x14ac:dyDescent="0.2">
      <c r="A1238" s="1924">
        <v>2012</v>
      </c>
      <c r="B1238" s="1918" t="s">
        <v>780</v>
      </c>
      <c r="C1238" s="1918" t="s">
        <v>62</v>
      </c>
      <c r="D1238" s="1918" t="s">
        <v>1149</v>
      </c>
      <c r="E1238" s="1919">
        <v>0.71846771240234375</v>
      </c>
      <c r="F1238" s="1919">
        <v>0.70259380340576172</v>
      </c>
      <c r="G1238" s="1919">
        <v>0.5967479944229126</v>
      </c>
      <c r="H1238" s="1919">
        <v>0.61143875122070312</v>
      </c>
      <c r="K1238" s="1922">
        <f>1-Tableau1[[#This Row],[Adjusted corporate sector labor share]]</f>
        <v>0.29740619659423828</v>
      </c>
      <c r="L1238" s="1919">
        <f t="shared" si="32"/>
        <v>0.16200000000000006</v>
      </c>
      <c r="M1238" s="1919">
        <f t="shared" si="31"/>
        <v>0.32970106767343477</v>
      </c>
    </row>
    <row r="1239" spans="1:13" x14ac:dyDescent="0.2">
      <c r="A1239" s="1924">
        <v>2013</v>
      </c>
      <c r="B1239" s="1918" t="s">
        <v>780</v>
      </c>
      <c r="C1239" s="1918" t="s">
        <v>62</v>
      </c>
      <c r="D1239" s="1918" t="s">
        <v>1149</v>
      </c>
      <c r="E1239" s="1919">
        <v>0.71259123086929321</v>
      </c>
      <c r="F1239" s="1919">
        <v>0.70474958419799805</v>
      </c>
      <c r="G1239" s="1919">
        <v>0.59218025207519531</v>
      </c>
      <c r="H1239" s="1919">
        <v>0.61488908529281616</v>
      </c>
      <c r="K1239" s="1922">
        <f>1-Tableau1[[#This Row],[Adjusted corporate sector labor share]]</f>
        <v>0.29525041580200195</v>
      </c>
      <c r="L1239" s="1919">
        <f t="shared" si="32"/>
        <v>0.16800000000000007</v>
      </c>
      <c r="M1239" s="1919">
        <f t="shared" si="31"/>
        <v>0.32855545502541311</v>
      </c>
    </row>
    <row r="1240" spans="1:13" x14ac:dyDescent="0.2">
      <c r="A1240" s="1924">
        <v>2014</v>
      </c>
      <c r="B1240" s="1918" t="s">
        <v>780</v>
      </c>
      <c r="C1240" s="1918" t="s">
        <v>62</v>
      </c>
      <c r="D1240" s="1918" t="s">
        <v>1149</v>
      </c>
      <c r="E1240" s="1919">
        <v>0.70106041431427002</v>
      </c>
      <c r="F1240" s="1919">
        <v>0.69322013854980469</v>
      </c>
      <c r="G1240" s="1919">
        <v>0.57951778173446655</v>
      </c>
      <c r="H1240" s="1919">
        <v>0.59953975677490234</v>
      </c>
      <c r="K1240" s="1922">
        <f>1-Tableau1[[#This Row],[Adjusted corporate sector labor share]]</f>
        <v>0.30677986145019531</v>
      </c>
      <c r="L1240" s="1919">
        <f t="shared" si="32"/>
        <v>0.17400000000000007</v>
      </c>
      <c r="M1240" s="1919">
        <f t="shared" si="31"/>
        <v>0.34190858125230211</v>
      </c>
    </row>
    <row r="1241" spans="1:13" x14ac:dyDescent="0.2">
      <c r="A1241" s="1924">
        <v>2015</v>
      </c>
      <c r="B1241" s="1918" t="s">
        <v>780</v>
      </c>
      <c r="C1241" s="1918" t="s">
        <v>62</v>
      </c>
      <c r="D1241" s="1918" t="s">
        <v>1149</v>
      </c>
      <c r="E1241" s="1919">
        <v>0.70390093326568604</v>
      </c>
      <c r="F1241" s="1919">
        <v>0.69472318887710571</v>
      </c>
      <c r="G1241" s="1919">
        <v>0.58585435152053833</v>
      </c>
      <c r="H1241" s="1919">
        <v>0.60759037733078003</v>
      </c>
      <c r="K1241" s="1922">
        <f>1-Tableau1[[#This Row],[Adjusted corporate sector labor share]]</f>
        <v>0.30527681112289429</v>
      </c>
      <c r="L1241" s="1921">
        <v>0.18</v>
      </c>
      <c r="M1241" s="1919">
        <f t="shared" si="31"/>
        <v>0.34146328881833571</v>
      </c>
    </row>
    <row r="1242" spans="1:13" x14ac:dyDescent="0.2">
      <c r="A1242" s="1924">
        <v>1970</v>
      </c>
      <c r="B1242" s="1918" t="s">
        <v>652</v>
      </c>
      <c r="C1242" s="1918" t="s">
        <v>63</v>
      </c>
      <c r="D1242" s="1918" t="s">
        <v>1149</v>
      </c>
      <c r="E1242" s="1919">
        <v>0.67329049110412598</v>
      </c>
      <c r="G1242" s="1919">
        <v>0.62881213426589966</v>
      </c>
      <c r="H1242" s="1919">
        <v>0.65611076354980469</v>
      </c>
    </row>
    <row r="1243" spans="1:13" x14ac:dyDescent="0.2">
      <c r="A1243" s="1924">
        <v>1971</v>
      </c>
      <c r="B1243" s="1918" t="s">
        <v>652</v>
      </c>
      <c r="C1243" s="1918" t="s">
        <v>63</v>
      </c>
      <c r="D1243" s="1918" t="s">
        <v>1149</v>
      </c>
      <c r="E1243" s="1919">
        <v>0.66344106197357178</v>
      </c>
      <c r="G1243" s="1919">
        <v>0.61385530233383179</v>
      </c>
      <c r="H1243" s="1919">
        <v>0.64437472820281982</v>
      </c>
    </row>
    <row r="1244" spans="1:13" x14ac:dyDescent="0.2">
      <c r="A1244" s="1924">
        <v>1972</v>
      </c>
      <c r="B1244" s="1918" t="s">
        <v>652</v>
      </c>
      <c r="C1244" s="1918" t="s">
        <v>63</v>
      </c>
      <c r="D1244" s="1918" t="s">
        <v>1149</v>
      </c>
      <c r="E1244" s="1919">
        <v>0.65943431854248047</v>
      </c>
      <c r="G1244" s="1919">
        <v>0.6115531325340271</v>
      </c>
      <c r="H1244" s="1919">
        <v>0.64446854591369629</v>
      </c>
    </row>
    <row r="1245" spans="1:13" x14ac:dyDescent="0.2">
      <c r="A1245" s="1924">
        <v>1973</v>
      </c>
      <c r="B1245" s="1918" t="s">
        <v>652</v>
      </c>
      <c r="C1245" s="1918" t="s">
        <v>63</v>
      </c>
      <c r="D1245" s="1918" t="s">
        <v>1149</v>
      </c>
      <c r="E1245" s="1919">
        <v>0.66820996999740601</v>
      </c>
      <c r="G1245" s="1919">
        <v>0.61775195598602295</v>
      </c>
      <c r="H1245" s="1919">
        <v>0.6474379301071167</v>
      </c>
    </row>
    <row r="1246" spans="1:13" x14ac:dyDescent="0.2">
      <c r="A1246" s="1924">
        <v>1974</v>
      </c>
      <c r="B1246" s="1918" t="s">
        <v>652</v>
      </c>
      <c r="C1246" s="1918" t="s">
        <v>63</v>
      </c>
      <c r="D1246" s="1918" t="s">
        <v>1149</v>
      </c>
      <c r="E1246" s="1919">
        <v>0.65764355659484863</v>
      </c>
      <c r="G1246" s="1919">
        <v>0.61573314666748047</v>
      </c>
      <c r="H1246" s="1919">
        <v>0.65484714508056641</v>
      </c>
    </row>
    <row r="1247" spans="1:13" x14ac:dyDescent="0.2">
      <c r="A1247" s="1924">
        <v>1975</v>
      </c>
      <c r="B1247" s="1918" t="s">
        <v>652</v>
      </c>
      <c r="C1247" s="1918" t="s">
        <v>63</v>
      </c>
      <c r="D1247" s="1918" t="s">
        <v>1149</v>
      </c>
      <c r="E1247" s="1919">
        <v>0.63439297676086426</v>
      </c>
      <c r="G1247" s="1919">
        <v>0.59984421730041504</v>
      </c>
      <c r="H1247" s="1919">
        <v>0.6363033652305603</v>
      </c>
    </row>
    <row r="1248" spans="1:13" x14ac:dyDescent="0.2">
      <c r="A1248" s="1924">
        <v>1976</v>
      </c>
      <c r="B1248" s="1918" t="s">
        <v>652</v>
      </c>
      <c r="C1248" s="1918" t="s">
        <v>63</v>
      </c>
      <c r="D1248" s="1918" t="s">
        <v>1149</v>
      </c>
      <c r="E1248" s="1919">
        <v>0.64194750785827637</v>
      </c>
      <c r="G1248" s="1919">
        <v>0.60945892333984375</v>
      </c>
      <c r="H1248" s="1919">
        <v>0.63336652517318726</v>
      </c>
    </row>
    <row r="1249" spans="1:17" x14ac:dyDescent="0.2">
      <c r="A1249" s="1924">
        <v>1977</v>
      </c>
      <c r="B1249" s="1918" t="s">
        <v>652</v>
      </c>
      <c r="C1249" s="1918" t="s">
        <v>63</v>
      </c>
      <c r="D1249" s="1918" t="s">
        <v>1149</v>
      </c>
      <c r="E1249" s="1919">
        <v>0.6317678689956665</v>
      </c>
      <c r="G1249" s="1919">
        <v>0.58996623754501343</v>
      </c>
      <c r="H1249" s="1919">
        <v>0.63132250308990479</v>
      </c>
    </row>
    <row r="1250" spans="1:17" x14ac:dyDescent="0.2">
      <c r="A1250" s="1924">
        <v>1978</v>
      </c>
      <c r="B1250" s="1918" t="s">
        <v>652</v>
      </c>
      <c r="C1250" s="1918" t="s">
        <v>63</v>
      </c>
      <c r="D1250" s="1918" t="s">
        <v>1149</v>
      </c>
      <c r="E1250" s="1919">
        <v>0.6352074146270752</v>
      </c>
      <c r="G1250" s="1919">
        <v>0.58979541063308716</v>
      </c>
      <c r="H1250" s="1919">
        <v>0.6332709789276123</v>
      </c>
    </row>
    <row r="1251" spans="1:17" x14ac:dyDescent="0.2">
      <c r="A1251" s="1924">
        <v>1979</v>
      </c>
      <c r="B1251" s="1918" t="s">
        <v>652</v>
      </c>
      <c r="C1251" s="1918" t="s">
        <v>63</v>
      </c>
      <c r="D1251" s="1918" t="s">
        <v>1149</v>
      </c>
      <c r="E1251" s="1919">
        <v>0.64046388864517212</v>
      </c>
      <c r="G1251" s="1919">
        <v>0.59617781639099121</v>
      </c>
      <c r="H1251" s="1919">
        <v>0.64606964588165283</v>
      </c>
    </row>
    <row r="1252" spans="1:17" x14ac:dyDescent="0.2">
      <c r="A1252" s="1924">
        <v>1980</v>
      </c>
      <c r="B1252" s="1918" t="s">
        <v>652</v>
      </c>
      <c r="C1252" s="1918" t="s">
        <v>63</v>
      </c>
      <c r="D1252" s="1918" t="s">
        <v>1149</v>
      </c>
      <c r="E1252" s="1919">
        <v>0.65367043018341064</v>
      </c>
      <c r="G1252" s="1919">
        <v>0.60619914531707764</v>
      </c>
      <c r="H1252" s="1919">
        <v>0.65175521373748779</v>
      </c>
    </row>
    <row r="1253" spans="1:17" x14ac:dyDescent="0.2">
      <c r="A1253" s="1924">
        <v>1981</v>
      </c>
      <c r="B1253" s="1918" t="s">
        <v>652</v>
      </c>
      <c r="C1253" s="1918" t="s">
        <v>63</v>
      </c>
      <c r="D1253" s="1918" t="s">
        <v>1149</v>
      </c>
      <c r="E1253" s="1919">
        <v>0.6492239236831665</v>
      </c>
      <c r="G1253" s="1919">
        <v>0.60009610652923584</v>
      </c>
      <c r="H1253" s="1919">
        <v>0.63502484560012817</v>
      </c>
    </row>
    <row r="1254" spans="1:17" x14ac:dyDescent="0.2">
      <c r="A1254" s="1924">
        <v>1982</v>
      </c>
      <c r="B1254" s="1918" t="s">
        <v>652</v>
      </c>
      <c r="C1254" s="1918" t="s">
        <v>63</v>
      </c>
      <c r="D1254" s="1918" t="s">
        <v>1149</v>
      </c>
      <c r="E1254" s="1919">
        <v>0.66016471385955811</v>
      </c>
      <c r="G1254" s="1919">
        <v>0.60635644197463989</v>
      </c>
      <c r="H1254" s="1919">
        <v>0.63551986217498779</v>
      </c>
    </row>
    <row r="1255" spans="1:17" x14ac:dyDescent="0.2">
      <c r="A1255" s="1924">
        <v>1983</v>
      </c>
      <c r="B1255" s="1918" t="s">
        <v>652</v>
      </c>
      <c r="C1255" s="1918" t="s">
        <v>63</v>
      </c>
      <c r="D1255" s="1918" t="s">
        <v>1149</v>
      </c>
      <c r="E1255" s="1919">
        <v>0.64064139127731323</v>
      </c>
      <c r="G1255" s="1919">
        <v>0.58533680438995361</v>
      </c>
      <c r="H1255" s="1919">
        <v>0.62642866373062134</v>
      </c>
    </row>
    <row r="1256" spans="1:17" x14ac:dyDescent="0.2">
      <c r="A1256" s="1924">
        <v>1984</v>
      </c>
      <c r="B1256" s="1918" t="s">
        <v>652</v>
      </c>
      <c r="C1256" s="1918" t="s">
        <v>63</v>
      </c>
      <c r="D1256" s="1918" t="s">
        <v>1149</v>
      </c>
      <c r="E1256" s="1919">
        <v>0.63539004325866699</v>
      </c>
      <c r="G1256" s="1919">
        <v>0.58014470338821411</v>
      </c>
      <c r="H1256" s="1919">
        <v>0.62004530429840088</v>
      </c>
      <c r="J1256" s="1925" t="s">
        <v>1155</v>
      </c>
      <c r="K1256" s="1921" t="s">
        <v>1154</v>
      </c>
      <c r="L1256" s="1925" t="s">
        <v>1153</v>
      </c>
      <c r="M1256" s="1925" t="s">
        <v>1150</v>
      </c>
      <c r="N1256" s="1925" t="s">
        <v>1152</v>
      </c>
      <c r="O1256" s="1925" t="s">
        <v>1151</v>
      </c>
      <c r="P1256" s="1925" t="s">
        <v>1150</v>
      </c>
      <c r="Q1256" s="1925" t="s">
        <v>1150</v>
      </c>
    </row>
    <row r="1257" spans="1:17" x14ac:dyDescent="0.2">
      <c r="A1257" s="1924">
        <v>1985</v>
      </c>
      <c r="B1257" s="1918" t="s">
        <v>652</v>
      </c>
      <c r="C1257" s="1918" t="s">
        <v>63</v>
      </c>
      <c r="D1257" s="1918" t="s">
        <v>1149</v>
      </c>
      <c r="E1257" s="1919">
        <v>0.63381457328796387</v>
      </c>
      <c r="G1257" s="1919">
        <v>0.58106696605682373</v>
      </c>
      <c r="H1257" s="1919">
        <v>0.62426221370697021</v>
      </c>
      <c r="J1257" s="1923">
        <v>0</v>
      </c>
      <c r="K1257" s="1922">
        <f>1-Tableau1[[#This Row],[Adjusted business sector labor share]]-J1257-0.1</f>
        <v>0.26618542671203616</v>
      </c>
      <c r="L1257" s="1922">
        <v>0</v>
      </c>
      <c r="M1257" s="1922">
        <v>0</v>
      </c>
      <c r="N1257" s="1922">
        <v>0</v>
      </c>
      <c r="O1257" s="1919">
        <f t="shared" ref="O1257:O1287" si="33">K1257*(1+L1257)/(1+K1257*L1257)</f>
        <v>0.26618542671203616</v>
      </c>
      <c r="P1257" s="1919">
        <f t="shared" ref="P1257:P1287" si="34">$K1257*(1+M1257)/(1+$K1257*M1257)</f>
        <v>0.26618542671203616</v>
      </c>
      <c r="Q1257" s="1919">
        <f t="shared" ref="Q1257:Q1287" si="35">$K1257*(1+N1257)/(1+$K1257*N1257)</f>
        <v>0.26618542671203616</v>
      </c>
    </row>
    <row r="1258" spans="1:17" x14ac:dyDescent="0.2">
      <c r="A1258" s="1924">
        <v>1986</v>
      </c>
      <c r="B1258" s="1918" t="s">
        <v>652</v>
      </c>
      <c r="C1258" s="1918" t="s">
        <v>63</v>
      </c>
      <c r="D1258" s="1918" t="s">
        <v>1149</v>
      </c>
      <c r="E1258" s="1919">
        <v>0.63751590251922607</v>
      </c>
      <c r="G1258" s="1919">
        <v>0.58372819423675537</v>
      </c>
      <c r="H1258" s="1919">
        <v>0.6390722393989563</v>
      </c>
      <c r="J1258" s="1923">
        <v>0</v>
      </c>
      <c r="K1258" s="1922">
        <f>1-Tableau1[[#This Row],[Adjusted business sector labor share]]-J1258-0.1</f>
        <v>0.26248409748077395</v>
      </c>
      <c r="L1258" s="1919">
        <f t="shared" ref="L1258:L1286" si="36">L1257+(L$1287-L$1257)/30</f>
        <v>4.6666666666666671E-3</v>
      </c>
      <c r="M1258" s="1919">
        <f t="shared" ref="M1258:M1286" si="37">M1257+(M$1287-M$1257)/30</f>
        <v>2.8106060606060607E-3</v>
      </c>
      <c r="N1258" s="1919">
        <f t="shared" ref="N1258:N1286" si="38">N1257+(N$1287-N$1257)/30</f>
        <v>5.5833333333333334E-3</v>
      </c>
      <c r="O1258" s="1919">
        <f t="shared" si="33"/>
        <v>0.26338639448214385</v>
      </c>
      <c r="P1258" s="1919">
        <f t="shared" si="34"/>
        <v>0.26302779091257955</v>
      </c>
      <c r="Q1258" s="1919">
        <f t="shared" si="35"/>
        <v>0.26356337202612801</v>
      </c>
    </row>
    <row r="1259" spans="1:17" x14ac:dyDescent="0.2">
      <c r="A1259" s="1924">
        <v>1987</v>
      </c>
      <c r="B1259" s="1918" t="s">
        <v>652</v>
      </c>
      <c r="C1259" s="1918" t="s">
        <v>63</v>
      </c>
      <c r="D1259" s="1918" t="s">
        <v>1149</v>
      </c>
      <c r="E1259" s="1919">
        <v>0.64453357458114624</v>
      </c>
      <c r="G1259" s="1919">
        <v>0.58708792924880981</v>
      </c>
      <c r="H1259" s="1919">
        <v>0.64028334617614746</v>
      </c>
      <c r="J1259" s="1923">
        <v>0</v>
      </c>
      <c r="K1259" s="1922">
        <f>1-Tableau1[[#This Row],[Adjusted business sector labor share]]-J1259-0.1</f>
        <v>0.25546642541885378</v>
      </c>
      <c r="L1259" s="1919">
        <f t="shared" si="36"/>
        <v>9.3333333333333341E-3</v>
      </c>
      <c r="M1259" s="1919">
        <f t="shared" si="37"/>
        <v>5.6212121212121215E-3</v>
      </c>
      <c r="N1259" s="1919">
        <f t="shared" si="38"/>
        <v>1.1166666666666667E-2</v>
      </c>
      <c r="O1259" s="1919">
        <f t="shared" si="33"/>
        <v>0.25723743379759867</v>
      </c>
      <c r="P1259" s="1919">
        <f t="shared" si="34"/>
        <v>0.25653406552376579</v>
      </c>
      <c r="Q1259" s="1919">
        <f t="shared" si="35"/>
        <v>0.25758432087573591</v>
      </c>
    </row>
    <row r="1260" spans="1:17" x14ac:dyDescent="0.2">
      <c r="A1260" s="1924">
        <v>1988</v>
      </c>
      <c r="B1260" s="1918" t="s">
        <v>652</v>
      </c>
      <c r="C1260" s="1918" t="s">
        <v>63</v>
      </c>
      <c r="D1260" s="1918" t="s">
        <v>1149</v>
      </c>
      <c r="E1260" s="1919">
        <v>0.64534127712249756</v>
      </c>
      <c r="G1260" s="1919">
        <v>0.58715885877609253</v>
      </c>
      <c r="H1260" s="1919">
        <v>0.63895303010940552</v>
      </c>
      <c r="J1260" s="1923">
        <v>0</v>
      </c>
      <c r="K1260" s="1922">
        <f>1-Tableau1[[#This Row],[Adjusted business sector labor share]]-J1260-0.1</f>
        <v>0.25465872287750246</v>
      </c>
      <c r="L1260" s="1919">
        <f t="shared" si="36"/>
        <v>1.4000000000000002E-2</v>
      </c>
      <c r="M1260" s="1919">
        <f t="shared" si="37"/>
        <v>8.4318181818181827E-3</v>
      </c>
      <c r="N1260" s="1919">
        <f t="shared" si="38"/>
        <v>1.6750000000000001E-2</v>
      </c>
      <c r="O1260" s="1919">
        <f t="shared" si="33"/>
        <v>0.25730658985195221</v>
      </c>
      <c r="P1260" s="1919">
        <f t="shared" si="34"/>
        <v>0.25625571741284459</v>
      </c>
      <c r="Q1260" s="1919">
        <f t="shared" si="35"/>
        <v>0.25782449742690938</v>
      </c>
    </row>
    <row r="1261" spans="1:17" x14ac:dyDescent="0.2">
      <c r="A1261" s="1924">
        <v>1989</v>
      </c>
      <c r="B1261" s="1918" t="s">
        <v>652</v>
      </c>
      <c r="C1261" s="1918" t="s">
        <v>63</v>
      </c>
      <c r="D1261" s="1918" t="s">
        <v>1149</v>
      </c>
      <c r="E1261" s="1919">
        <v>0.63432550430297852</v>
      </c>
      <c r="G1261" s="1919">
        <v>0.57660716772079468</v>
      </c>
      <c r="H1261" s="1919">
        <v>0.64000654220581055</v>
      </c>
      <c r="J1261" s="1923">
        <v>0</v>
      </c>
      <c r="K1261" s="1922">
        <f>1-Tableau1[[#This Row],[Adjusted business sector labor share]]-J1261-0.1</f>
        <v>0.26567449569702151</v>
      </c>
      <c r="L1261" s="1919">
        <f t="shared" si="36"/>
        <v>1.8666666666666668E-2</v>
      </c>
      <c r="M1261" s="1919">
        <f t="shared" si="37"/>
        <v>1.1242424242424243E-2</v>
      </c>
      <c r="N1261" s="1919">
        <f t="shared" si="38"/>
        <v>2.2333333333333334E-2</v>
      </c>
      <c r="O1261" s="1919">
        <f t="shared" si="33"/>
        <v>0.26929823373117817</v>
      </c>
      <c r="P1261" s="1919">
        <f t="shared" si="34"/>
        <v>0.26786126625671369</v>
      </c>
      <c r="Q1261" s="1919">
        <f t="shared" si="35"/>
        <v>0.27000584090214358</v>
      </c>
    </row>
    <row r="1262" spans="1:17" x14ac:dyDescent="0.2">
      <c r="A1262" s="1924">
        <v>1990</v>
      </c>
      <c r="B1262" s="1918" t="s">
        <v>652</v>
      </c>
      <c r="C1262" s="1918" t="s">
        <v>63</v>
      </c>
      <c r="D1262" s="1918" t="s">
        <v>1149</v>
      </c>
      <c r="E1262" s="1919">
        <v>0.63723528385162354</v>
      </c>
      <c r="G1262" s="1919">
        <v>0.57865256071090698</v>
      </c>
      <c r="H1262" s="1919">
        <v>0.64707398414611816</v>
      </c>
      <c r="J1262" s="1923">
        <v>0</v>
      </c>
      <c r="K1262" s="1922">
        <f>1-Tableau1[[#This Row],[Adjusted business sector labor share]]-J1262-0.1</f>
        <v>0.26276471614837649</v>
      </c>
      <c r="L1262" s="1919">
        <f t="shared" si="36"/>
        <v>2.3333333333333334E-2</v>
      </c>
      <c r="M1262" s="1919">
        <f t="shared" si="37"/>
        <v>1.4053030303030303E-2</v>
      </c>
      <c r="N1262" s="1919">
        <f t="shared" si="38"/>
        <v>2.7916666666666666E-2</v>
      </c>
      <c r="O1262" s="1919">
        <f t="shared" si="33"/>
        <v>0.26725729117921515</v>
      </c>
      <c r="P1262" s="1919">
        <f t="shared" si="34"/>
        <v>0.26547704537247613</v>
      </c>
      <c r="Q1262" s="1919">
        <f t="shared" si="35"/>
        <v>0.26813333504167136</v>
      </c>
    </row>
    <row r="1263" spans="1:17" x14ac:dyDescent="0.2">
      <c r="A1263" s="1924">
        <v>1991</v>
      </c>
      <c r="B1263" s="1918" t="s">
        <v>652</v>
      </c>
      <c r="C1263" s="1918" t="s">
        <v>63</v>
      </c>
      <c r="D1263" s="1918" t="s">
        <v>1149</v>
      </c>
      <c r="E1263" s="1919">
        <v>0.63962221145629883</v>
      </c>
      <c r="G1263" s="1919">
        <v>0.57770276069641113</v>
      </c>
      <c r="H1263" s="1919">
        <v>0.64257806539535522</v>
      </c>
      <c r="J1263" s="1923">
        <v>0</v>
      </c>
      <c r="K1263" s="1922">
        <f>1-Tableau1[[#This Row],[Adjusted business sector labor share]]-J1263-0.1</f>
        <v>0.26037778854370119</v>
      </c>
      <c r="L1263" s="1919">
        <f t="shared" si="36"/>
        <v>2.8000000000000001E-2</v>
      </c>
      <c r="M1263" s="1919">
        <f t="shared" si="37"/>
        <v>1.6863636363636365E-2</v>
      </c>
      <c r="N1263" s="1919">
        <f t="shared" si="38"/>
        <v>3.3500000000000002E-2</v>
      </c>
      <c r="O1263" s="1919">
        <f t="shared" si="33"/>
        <v>0.26573103377312901</v>
      </c>
      <c r="P1263" s="1919">
        <f t="shared" si="34"/>
        <v>0.26361121011612854</v>
      </c>
      <c r="Q1263" s="1919">
        <f t="shared" si="35"/>
        <v>0.26677347126251827</v>
      </c>
    </row>
    <row r="1264" spans="1:17" x14ac:dyDescent="0.2">
      <c r="A1264" s="1924">
        <v>1992</v>
      </c>
      <c r="B1264" s="1918" t="s">
        <v>652</v>
      </c>
      <c r="C1264" s="1918" t="s">
        <v>63</v>
      </c>
      <c r="D1264" s="1918" t="s">
        <v>1149</v>
      </c>
      <c r="E1264" s="1919">
        <v>0.63732308149337769</v>
      </c>
      <c r="G1264" s="1919">
        <v>0.57651561498641968</v>
      </c>
      <c r="H1264" s="1919">
        <v>0.64825832843780518</v>
      </c>
      <c r="J1264" s="1923">
        <v>0</v>
      </c>
      <c r="K1264" s="1922">
        <f>1-Tableau1[[#This Row],[Adjusted business sector labor share]]-J1264-0.1</f>
        <v>0.26267691850662234</v>
      </c>
      <c r="L1264" s="1919">
        <f t="shared" si="36"/>
        <v>3.266666666666667E-2</v>
      </c>
      <c r="M1264" s="1919">
        <f t="shared" si="37"/>
        <v>1.9674242424242427E-2</v>
      </c>
      <c r="N1264" s="1919">
        <f t="shared" si="38"/>
        <v>3.9083333333333338E-2</v>
      </c>
      <c r="O1264" s="1919">
        <f t="shared" si="33"/>
        <v>0.26894989811582731</v>
      </c>
      <c r="P1264" s="1919">
        <f t="shared" si="34"/>
        <v>0.2664677905001252</v>
      </c>
      <c r="Q1264" s="1919">
        <f t="shared" si="35"/>
        <v>0.27016956904413997</v>
      </c>
    </row>
    <row r="1265" spans="1:17" x14ac:dyDescent="0.2">
      <c r="A1265" s="1924">
        <v>1993</v>
      </c>
      <c r="B1265" s="1918" t="s">
        <v>652</v>
      </c>
      <c r="C1265" s="1918" t="s">
        <v>63</v>
      </c>
      <c r="D1265" s="1918" t="s">
        <v>1149</v>
      </c>
      <c r="E1265" s="1919">
        <v>0.63400602340698242</v>
      </c>
      <c r="G1265" s="1919">
        <v>0.57024234533309937</v>
      </c>
      <c r="H1265" s="1919">
        <v>0.64336031675338745</v>
      </c>
      <c r="J1265" s="1923">
        <v>0</v>
      </c>
      <c r="K1265" s="1922">
        <f>1-Tableau1[[#This Row],[Adjusted business sector labor share]]-J1265-0.1</f>
        <v>0.2659939765930176</v>
      </c>
      <c r="L1265" s="1919">
        <f t="shared" si="36"/>
        <v>3.7333333333333336E-2</v>
      </c>
      <c r="M1265" s="1919">
        <f t="shared" si="37"/>
        <v>2.2484848484848489E-2</v>
      </c>
      <c r="N1265" s="1919">
        <f t="shared" si="38"/>
        <v>4.4666666666666674E-2</v>
      </c>
      <c r="O1265" s="1919">
        <f t="shared" si="33"/>
        <v>0.27321130938088051</v>
      </c>
      <c r="P1265" s="1919">
        <f t="shared" si="34"/>
        <v>0.27035784538999946</v>
      </c>
      <c r="Q1265" s="1919">
        <f t="shared" si="35"/>
        <v>0.27461235385051114</v>
      </c>
    </row>
    <row r="1266" spans="1:17" x14ac:dyDescent="0.2">
      <c r="A1266" s="1924">
        <v>1994</v>
      </c>
      <c r="B1266" s="1918" t="s">
        <v>652</v>
      </c>
      <c r="C1266" s="1918" t="s">
        <v>63</v>
      </c>
      <c r="D1266" s="1918" t="s">
        <v>1149</v>
      </c>
      <c r="E1266" s="1919">
        <v>0.62399834394454956</v>
      </c>
      <c r="G1266" s="1919">
        <v>0.56442630290985107</v>
      </c>
      <c r="H1266" s="1919">
        <v>0.63075852394104004</v>
      </c>
      <c r="J1266" s="1923">
        <v>0</v>
      </c>
      <c r="K1266" s="1922">
        <f>1-Tableau1[[#This Row],[Adjusted business sector labor share]]-J1266-0.1</f>
        <v>0.27600165605545046</v>
      </c>
      <c r="L1266" s="1919">
        <f t="shared" si="36"/>
        <v>4.2000000000000003E-2</v>
      </c>
      <c r="M1266" s="1919">
        <f t="shared" si="37"/>
        <v>2.5295454545454552E-2</v>
      </c>
      <c r="N1266" s="1919">
        <f t="shared" si="38"/>
        <v>5.025000000000001E-2</v>
      </c>
      <c r="O1266" s="1919">
        <f t="shared" si="33"/>
        <v>0.28429812200532856</v>
      </c>
      <c r="P1266" s="1919">
        <f t="shared" si="34"/>
        <v>0.28102126886621698</v>
      </c>
      <c r="Q1266" s="1919">
        <f t="shared" si="35"/>
        <v>0.28590549220865863</v>
      </c>
    </row>
    <row r="1267" spans="1:17" x14ac:dyDescent="0.2">
      <c r="A1267" s="1924">
        <v>1995</v>
      </c>
      <c r="B1267" s="1918" t="s">
        <v>652</v>
      </c>
      <c r="C1267" s="1918" t="s">
        <v>63</v>
      </c>
      <c r="D1267" s="1918" t="s">
        <v>1149</v>
      </c>
      <c r="E1267" s="1919">
        <v>0.62362790107727051</v>
      </c>
      <c r="G1267" s="1919">
        <v>0.56385654211044312</v>
      </c>
      <c r="H1267" s="1919">
        <v>0.62447440624237061</v>
      </c>
      <c r="J1267" s="1923">
        <v>0</v>
      </c>
      <c r="K1267" s="1922">
        <f>1-Tableau1[[#This Row],[Adjusted business sector labor share]]-J1267-0.1</f>
        <v>0.27637209892272951</v>
      </c>
      <c r="L1267" s="1919">
        <f t="shared" si="36"/>
        <v>4.6666666666666669E-2</v>
      </c>
      <c r="M1267" s="1919">
        <f t="shared" si="37"/>
        <v>2.8106060606060614E-2</v>
      </c>
      <c r="N1267" s="1919">
        <f t="shared" si="38"/>
        <v>5.5833333333333346E-2</v>
      </c>
      <c r="O1267" s="1919">
        <f t="shared" si="33"/>
        <v>0.28558615477163973</v>
      </c>
      <c r="P1267" s="1919">
        <f t="shared" si="34"/>
        <v>0.28194972031263493</v>
      </c>
      <c r="Q1267" s="1919">
        <f t="shared" si="35"/>
        <v>0.2873685547846116</v>
      </c>
    </row>
    <row r="1268" spans="1:17" x14ac:dyDescent="0.2">
      <c r="A1268" s="1924">
        <v>1996</v>
      </c>
      <c r="B1268" s="1918" t="s">
        <v>652</v>
      </c>
      <c r="C1268" s="1918" t="s">
        <v>63</v>
      </c>
      <c r="D1268" s="1918" t="s">
        <v>1149</v>
      </c>
      <c r="E1268" s="1919">
        <v>0.62247973680496216</v>
      </c>
      <c r="G1268" s="1919">
        <v>0.56195634603500366</v>
      </c>
      <c r="H1268" s="1919">
        <v>0.62064695358276367</v>
      </c>
      <c r="J1268" s="1923">
        <v>0</v>
      </c>
      <c r="K1268" s="1922">
        <f>1-Tableau1[[#This Row],[Adjusted business sector labor share]]-J1268-0.1</f>
        <v>0.27752026319503786</v>
      </c>
      <c r="L1268" s="1919">
        <f t="shared" si="36"/>
        <v>5.1333333333333335E-2</v>
      </c>
      <c r="M1268" s="1919">
        <f t="shared" si="37"/>
        <v>3.0916666666666676E-2</v>
      </c>
      <c r="N1268" s="1919">
        <f t="shared" si="38"/>
        <v>6.1416666666666682E-2</v>
      </c>
      <c r="O1268" s="1919">
        <f t="shared" si="33"/>
        <v>0.28766817104986336</v>
      </c>
      <c r="P1268" s="1919">
        <f t="shared" si="34"/>
        <v>0.28366640648076319</v>
      </c>
      <c r="Q1268" s="1919">
        <f t="shared" si="35"/>
        <v>0.28962810426683422</v>
      </c>
    </row>
    <row r="1269" spans="1:17" x14ac:dyDescent="0.2">
      <c r="A1269" s="1924">
        <v>1997</v>
      </c>
      <c r="B1269" s="1918" t="s">
        <v>652</v>
      </c>
      <c r="C1269" s="1918" t="s">
        <v>63</v>
      </c>
      <c r="D1269" s="1918" t="s">
        <v>1149</v>
      </c>
      <c r="E1269" s="1919">
        <v>0.62700760364532471</v>
      </c>
      <c r="G1269" s="1919">
        <v>0.56504112482070923</v>
      </c>
      <c r="H1269" s="1919">
        <v>0.6188538670539856</v>
      </c>
      <c r="J1269" s="1923">
        <v>0</v>
      </c>
      <c r="K1269" s="1922">
        <f>1-Tableau1[[#This Row],[Adjusted business sector labor share]]-J1269-0.1</f>
        <v>0.27299239635467532</v>
      </c>
      <c r="L1269" s="1919">
        <f t="shared" si="36"/>
        <v>5.6000000000000001E-2</v>
      </c>
      <c r="M1269" s="1919">
        <f t="shared" si="37"/>
        <v>3.3727272727272738E-2</v>
      </c>
      <c r="N1269" s="1919">
        <f t="shared" si="38"/>
        <v>6.7000000000000018E-2</v>
      </c>
      <c r="O1269" s="1919">
        <f t="shared" si="33"/>
        <v>0.28393922852731013</v>
      </c>
      <c r="P1269" s="1919">
        <f t="shared" si="34"/>
        <v>0.27962509628464605</v>
      </c>
      <c r="Q1269" s="1919">
        <f t="shared" si="35"/>
        <v>0.28605087606333429</v>
      </c>
    </row>
    <row r="1270" spans="1:17" x14ac:dyDescent="0.2">
      <c r="A1270" s="1924">
        <v>1998</v>
      </c>
      <c r="B1270" s="1918" t="s">
        <v>652</v>
      </c>
      <c r="C1270" s="1918" t="s">
        <v>63</v>
      </c>
      <c r="D1270" s="1918" t="s">
        <v>1149</v>
      </c>
      <c r="E1270" s="1919">
        <v>0.6407550573348999</v>
      </c>
      <c r="G1270" s="1919">
        <v>0.57700240612030029</v>
      </c>
      <c r="H1270" s="1919">
        <v>0.63053005933761597</v>
      </c>
      <c r="J1270" s="1923">
        <v>0</v>
      </c>
      <c r="K1270" s="1922">
        <f>1-Tableau1[[#This Row],[Adjusted business sector labor share]]-J1270-0.1</f>
        <v>0.25924494266510012</v>
      </c>
      <c r="L1270" s="1919">
        <f t="shared" si="36"/>
        <v>6.0666666666666667E-2</v>
      </c>
      <c r="M1270" s="1919">
        <f t="shared" si="37"/>
        <v>3.65378787878788E-2</v>
      </c>
      <c r="N1270" s="1919">
        <f t="shared" si="38"/>
        <v>7.2583333333333347E-2</v>
      </c>
      <c r="O1270" s="1919">
        <f t="shared" si="33"/>
        <v>0.27071479506754614</v>
      </c>
      <c r="P1270" s="1919">
        <f t="shared" si="34"/>
        <v>0.26619572773498562</v>
      </c>
      <c r="Q1270" s="1919">
        <f t="shared" si="35"/>
        <v>0.27292619027089077</v>
      </c>
    </row>
    <row r="1271" spans="1:17" x14ac:dyDescent="0.2">
      <c r="A1271" s="1924">
        <v>1999</v>
      </c>
      <c r="B1271" s="1918" t="s">
        <v>652</v>
      </c>
      <c r="C1271" s="1918" t="s">
        <v>63</v>
      </c>
      <c r="D1271" s="1918" t="s">
        <v>1149</v>
      </c>
      <c r="E1271" s="1919">
        <v>0.6405908465385437</v>
      </c>
      <c r="G1271" s="1919">
        <v>0.57934397459030151</v>
      </c>
      <c r="H1271" s="1919">
        <v>0.63550490140914917</v>
      </c>
      <c r="J1271" s="1923">
        <v>0</v>
      </c>
      <c r="K1271" s="1922">
        <f>1-Tableau1[[#This Row],[Adjusted business sector labor share]]-J1271-0.1</f>
        <v>0.25940915346145632</v>
      </c>
      <c r="L1271" s="1919">
        <f t="shared" si="36"/>
        <v>6.533333333333334E-2</v>
      </c>
      <c r="M1271" s="1919">
        <f t="shared" si="37"/>
        <v>3.9348484848484862E-2</v>
      </c>
      <c r="N1271" s="1919">
        <f t="shared" si="38"/>
        <v>7.8166666666666676E-2</v>
      </c>
      <c r="O1271" s="1919">
        <f t="shared" si="33"/>
        <v>0.27175155521609595</v>
      </c>
      <c r="P1271" s="1919">
        <f t="shared" si="34"/>
        <v>0.26689224613062984</v>
      </c>
      <c r="Q1271" s="1919">
        <f t="shared" si="35"/>
        <v>0.27412777264627575</v>
      </c>
    </row>
    <row r="1272" spans="1:17" x14ac:dyDescent="0.2">
      <c r="A1272" s="1924">
        <v>2000</v>
      </c>
      <c r="B1272" s="1918" t="s">
        <v>652</v>
      </c>
      <c r="C1272" s="1918" t="s">
        <v>63</v>
      </c>
      <c r="D1272" s="1918" t="s">
        <v>1149</v>
      </c>
      <c r="E1272" s="1919">
        <v>0.6535688042640686</v>
      </c>
      <c r="G1272" s="1919">
        <v>0.59167200326919556</v>
      </c>
      <c r="H1272" s="1919">
        <v>0.64578711986541748</v>
      </c>
      <c r="J1272" s="1923">
        <v>0</v>
      </c>
      <c r="K1272" s="1922">
        <f>1-Tableau1[[#This Row],[Adjusted business sector labor share]]-J1272-0.1</f>
        <v>0.24643119573593139</v>
      </c>
      <c r="L1272" s="1919">
        <f t="shared" si="36"/>
        <v>7.0000000000000007E-2</v>
      </c>
      <c r="M1272" s="1919">
        <f t="shared" si="37"/>
        <v>4.2159090909090924E-2</v>
      </c>
      <c r="N1272" s="1919">
        <f t="shared" si="38"/>
        <v>8.3750000000000005E-2</v>
      </c>
      <c r="O1272" s="1919">
        <f t="shared" si="33"/>
        <v>0.25920996001001156</v>
      </c>
      <c r="P1272" s="1919">
        <f t="shared" si="34"/>
        <v>0.25417975730776921</v>
      </c>
      <c r="Q1272" s="1919">
        <f t="shared" si="35"/>
        <v>0.26166931671069538</v>
      </c>
    </row>
    <row r="1273" spans="1:17" x14ac:dyDescent="0.2">
      <c r="A1273" s="1924">
        <v>2001</v>
      </c>
      <c r="B1273" s="1918" t="s">
        <v>652</v>
      </c>
      <c r="C1273" s="1918" t="s">
        <v>63</v>
      </c>
      <c r="D1273" s="1918" t="s">
        <v>1149</v>
      </c>
      <c r="E1273" s="1919">
        <v>0.65466439723968506</v>
      </c>
      <c r="G1273" s="1919">
        <v>0.59234660863876343</v>
      </c>
      <c r="H1273" s="1919">
        <v>0.64819002151489258</v>
      </c>
      <c r="J1273" s="1923">
        <v>0</v>
      </c>
      <c r="K1273" s="1922">
        <f>1-Tableau1[[#This Row],[Adjusted business sector labor share]]-J1273-0.1</f>
        <v>0.24533560276031494</v>
      </c>
      <c r="L1273" s="1919">
        <f t="shared" si="36"/>
        <v>7.4666666666666673E-2</v>
      </c>
      <c r="M1273" s="1919">
        <f t="shared" si="37"/>
        <v>4.4969696969696986E-2</v>
      </c>
      <c r="N1273" s="1919">
        <f t="shared" si="38"/>
        <v>8.9333333333333334E-2</v>
      </c>
      <c r="O1273" s="1919">
        <f t="shared" si="33"/>
        <v>0.25891115842461238</v>
      </c>
      <c r="P1273" s="1919">
        <f t="shared" si="34"/>
        <v>0.25357070909735452</v>
      </c>
      <c r="Q1273" s="1919">
        <f t="shared" si="35"/>
        <v>0.26152059532227506</v>
      </c>
    </row>
    <row r="1274" spans="1:17" x14ac:dyDescent="0.2">
      <c r="A1274" s="1924">
        <v>2002</v>
      </c>
      <c r="B1274" s="1918" t="s">
        <v>652</v>
      </c>
      <c r="C1274" s="1918" t="s">
        <v>63</v>
      </c>
      <c r="D1274" s="1918" t="s">
        <v>1149</v>
      </c>
      <c r="E1274" s="1919">
        <v>0.63689500093460083</v>
      </c>
      <c r="G1274" s="1919">
        <v>0.57575666904449463</v>
      </c>
      <c r="H1274" s="1919">
        <v>0.63223779201507568</v>
      </c>
      <c r="J1274" s="1923">
        <v>0</v>
      </c>
      <c r="K1274" s="1922">
        <f>1-Tableau1[[#This Row],[Adjusted business sector labor share]]-J1274-0.1</f>
        <v>0.26310499906539919</v>
      </c>
      <c r="L1274" s="1919">
        <f t="shared" si="36"/>
        <v>7.9333333333333339E-2</v>
      </c>
      <c r="M1274" s="1919">
        <f t="shared" si="37"/>
        <v>4.7780303030303048E-2</v>
      </c>
      <c r="N1274" s="1919">
        <f t="shared" si="38"/>
        <v>9.4916666666666663E-2</v>
      </c>
      <c r="O1274" s="1919">
        <f t="shared" si="33"/>
        <v>0.27817171832910165</v>
      </c>
      <c r="P1274" s="1919">
        <f t="shared" si="34"/>
        <v>0.27225367034867987</v>
      </c>
      <c r="Q1274" s="1919">
        <f t="shared" si="35"/>
        <v>0.28105914463025528</v>
      </c>
    </row>
    <row r="1275" spans="1:17" x14ac:dyDescent="0.2">
      <c r="A1275" s="1924">
        <v>2003</v>
      </c>
      <c r="B1275" s="1918" t="s">
        <v>652</v>
      </c>
      <c r="C1275" s="1918" t="s">
        <v>63</v>
      </c>
      <c r="D1275" s="1918" t="s">
        <v>1149</v>
      </c>
      <c r="E1275" s="1919">
        <v>0.62856632471084595</v>
      </c>
      <c r="G1275" s="1919">
        <v>0.56498944759368896</v>
      </c>
      <c r="H1275" s="1919">
        <v>0.62153804302215576</v>
      </c>
      <c r="J1275" s="1923">
        <v>0</v>
      </c>
      <c r="K1275" s="1922">
        <f>1-Tableau1[[#This Row],[Adjusted business sector labor share]]-J1275-0.1</f>
        <v>0.27143367528915407</v>
      </c>
      <c r="L1275" s="1919">
        <f t="shared" si="36"/>
        <v>8.4000000000000005E-2</v>
      </c>
      <c r="M1275" s="1919">
        <f t="shared" si="37"/>
        <v>5.059090909090911E-2</v>
      </c>
      <c r="N1275" s="1919">
        <f t="shared" si="38"/>
        <v>0.10049999999999999</v>
      </c>
      <c r="O1275" s="1919">
        <f t="shared" si="33"/>
        <v>0.28767499088794202</v>
      </c>
      <c r="P1275" s="1919">
        <f t="shared" si="34"/>
        <v>0.28130287905578294</v>
      </c>
      <c r="Q1275" s="1919">
        <f t="shared" si="35"/>
        <v>0.29078053296481365</v>
      </c>
    </row>
    <row r="1276" spans="1:17" x14ac:dyDescent="0.2">
      <c r="A1276" s="1924">
        <v>2004</v>
      </c>
      <c r="B1276" s="1918" t="s">
        <v>652</v>
      </c>
      <c r="C1276" s="1918" t="s">
        <v>63</v>
      </c>
      <c r="D1276" s="1918" t="s">
        <v>1149</v>
      </c>
      <c r="E1276" s="1919">
        <v>0.62210553884506226</v>
      </c>
      <c r="G1276" s="1919">
        <v>0.55924314260482788</v>
      </c>
      <c r="H1276" s="1919">
        <v>0.61210650205612183</v>
      </c>
      <c r="J1276" s="1923">
        <v>0</v>
      </c>
      <c r="K1276" s="1922">
        <f>1-Tableau1[[#This Row],[Adjusted business sector labor share]]-J1276-0.1</f>
        <v>0.27789446115493777</v>
      </c>
      <c r="L1276" s="1919">
        <f t="shared" si="36"/>
        <v>8.8666666666666671E-2</v>
      </c>
      <c r="M1276" s="1919">
        <f t="shared" si="37"/>
        <v>5.3401515151515172E-2</v>
      </c>
      <c r="N1276" s="1919">
        <f t="shared" si="38"/>
        <v>0.10608333333333332</v>
      </c>
      <c r="O1276" s="1919">
        <f t="shared" si="33"/>
        <v>0.29525925586359136</v>
      </c>
      <c r="P1276" s="1919">
        <f t="shared" si="34"/>
        <v>0.28845379634176282</v>
      </c>
      <c r="Q1276" s="1919">
        <f t="shared" si="35"/>
        <v>0.29857252267272838</v>
      </c>
    </row>
    <row r="1277" spans="1:17" x14ac:dyDescent="0.2">
      <c r="A1277" s="1924">
        <v>2005</v>
      </c>
      <c r="B1277" s="1918" t="s">
        <v>652</v>
      </c>
      <c r="C1277" s="1918" t="s">
        <v>63</v>
      </c>
      <c r="D1277" s="1918" t="s">
        <v>1149</v>
      </c>
      <c r="E1277" s="1919">
        <v>0.61027121543884277</v>
      </c>
      <c r="G1277" s="1919">
        <v>0.54918497800827026</v>
      </c>
      <c r="H1277" s="1919">
        <v>0.59669476747512817</v>
      </c>
      <c r="J1277" s="1923">
        <v>0</v>
      </c>
      <c r="K1277" s="1922">
        <f>1-Tableau1[[#This Row],[Adjusted business sector labor share]]-J1277-0.1</f>
        <v>0.28972878456115725</v>
      </c>
      <c r="L1277" s="1919">
        <f t="shared" si="36"/>
        <v>9.3333333333333338E-2</v>
      </c>
      <c r="M1277" s="1919">
        <f t="shared" si="37"/>
        <v>5.6212121212121234E-2</v>
      </c>
      <c r="N1277" s="1919">
        <f t="shared" si="38"/>
        <v>0.11166666666666665</v>
      </c>
      <c r="O1277" s="1919">
        <f t="shared" si="33"/>
        <v>0.30842977918265979</v>
      </c>
      <c r="P1277" s="1919">
        <f t="shared" si="34"/>
        <v>0.30111107793587011</v>
      </c>
      <c r="Q1277" s="1919">
        <f t="shared" si="35"/>
        <v>0.31198806737321816</v>
      </c>
    </row>
    <row r="1278" spans="1:17" x14ac:dyDescent="0.2">
      <c r="A1278" s="1924">
        <v>2006</v>
      </c>
      <c r="B1278" s="1918" t="s">
        <v>652</v>
      </c>
      <c r="C1278" s="1918" t="s">
        <v>63</v>
      </c>
      <c r="D1278" s="1918" t="s">
        <v>1149</v>
      </c>
      <c r="E1278" s="1919">
        <v>0.60767507553100586</v>
      </c>
      <c r="G1278" s="1919">
        <v>0.5470048189163208</v>
      </c>
      <c r="H1278" s="1919">
        <v>0.58670103549957275</v>
      </c>
      <c r="J1278" s="1923">
        <v>0</v>
      </c>
      <c r="K1278" s="1922">
        <f>1-Tableau1[[#This Row],[Adjusted business sector labor share]]-J1278-0.1</f>
        <v>0.29232492446899416</v>
      </c>
      <c r="L1278" s="1919">
        <f t="shared" si="36"/>
        <v>9.8000000000000004E-2</v>
      </c>
      <c r="M1278" s="1919">
        <f t="shared" si="37"/>
        <v>5.9022727272727296E-2</v>
      </c>
      <c r="N1278" s="1919">
        <f t="shared" si="38"/>
        <v>0.11724999999999998</v>
      </c>
      <c r="O1278" s="1919">
        <f t="shared" si="33"/>
        <v>0.31203367544747301</v>
      </c>
      <c r="P1278" s="1919">
        <f t="shared" si="34"/>
        <v>0.30432792132259179</v>
      </c>
      <c r="Q1278" s="1919">
        <f t="shared" si="35"/>
        <v>0.31577674323388549</v>
      </c>
    </row>
    <row r="1279" spans="1:17" x14ac:dyDescent="0.2">
      <c r="A1279" s="1924">
        <v>2007</v>
      </c>
      <c r="B1279" s="1918" t="s">
        <v>652</v>
      </c>
      <c r="C1279" s="1918" t="s">
        <v>63</v>
      </c>
      <c r="D1279" s="1918" t="s">
        <v>1149</v>
      </c>
      <c r="E1279" s="1919">
        <v>0.61639964580535889</v>
      </c>
      <c r="G1279" s="1919">
        <v>0.55524510145187378</v>
      </c>
      <c r="H1279" s="1919">
        <v>0.6002386212348938</v>
      </c>
      <c r="J1279" s="1923">
        <v>0</v>
      </c>
      <c r="K1279" s="1922">
        <f>1-Tableau1[[#This Row],[Adjusted business sector labor share]]-J1279-0.1</f>
        <v>0.28360035419464114</v>
      </c>
      <c r="L1279" s="1919">
        <f t="shared" si="36"/>
        <v>0.10266666666666667</v>
      </c>
      <c r="M1279" s="1919">
        <f t="shared" si="37"/>
        <v>6.1833333333333358E-2</v>
      </c>
      <c r="N1279" s="1919">
        <f t="shared" si="38"/>
        <v>0.12283333333333331</v>
      </c>
      <c r="O1279" s="1919">
        <f t="shared" si="33"/>
        <v>0.30386911207641942</v>
      </c>
      <c r="P1279" s="1919">
        <f t="shared" si="34"/>
        <v>0.29594660304622772</v>
      </c>
      <c r="Q1279" s="1919">
        <f t="shared" si="35"/>
        <v>0.30771645096237654</v>
      </c>
    </row>
    <row r="1280" spans="1:17" x14ac:dyDescent="0.2">
      <c r="A1280" s="1924">
        <v>2008</v>
      </c>
      <c r="B1280" s="1918" t="s">
        <v>652</v>
      </c>
      <c r="C1280" s="1918" t="s">
        <v>63</v>
      </c>
      <c r="D1280" s="1918" t="s">
        <v>1149</v>
      </c>
      <c r="E1280" s="1919">
        <v>0.62267565727233887</v>
      </c>
      <c r="G1280" s="1919">
        <v>0.56119585037231445</v>
      </c>
      <c r="H1280" s="1919">
        <v>0.6120792031288147</v>
      </c>
      <c r="J1280" s="1923">
        <v>0</v>
      </c>
      <c r="K1280" s="1922">
        <f>1-Tableau1[[#This Row],[Adjusted business sector labor share]]-J1280-0.1</f>
        <v>0.27732434272766116</v>
      </c>
      <c r="L1280" s="1919">
        <f t="shared" si="36"/>
        <v>0.10733333333333334</v>
      </c>
      <c r="M1280" s="1919">
        <f t="shared" si="37"/>
        <v>6.464393939393942E-2</v>
      </c>
      <c r="N1280" s="1919">
        <f t="shared" si="38"/>
        <v>0.12841666666666665</v>
      </c>
      <c r="O1280" s="1919">
        <f t="shared" si="33"/>
        <v>0.29821381291697602</v>
      </c>
      <c r="P1280" s="1919">
        <f t="shared" si="34"/>
        <v>0.29005182365023008</v>
      </c>
      <c r="Q1280" s="1919">
        <f t="shared" si="35"/>
        <v>0.30217599620265501</v>
      </c>
    </row>
    <row r="1281" spans="1:17" x14ac:dyDescent="0.2">
      <c r="A1281" s="1924">
        <v>2009</v>
      </c>
      <c r="B1281" s="1918" t="s">
        <v>652</v>
      </c>
      <c r="C1281" s="1918" t="s">
        <v>63</v>
      </c>
      <c r="D1281" s="1918" t="s">
        <v>1149</v>
      </c>
      <c r="E1281" s="1919">
        <v>0.60688304901123047</v>
      </c>
      <c r="G1281" s="1919">
        <v>0.54434412717819214</v>
      </c>
      <c r="H1281" s="1919">
        <v>0.59225815534591675</v>
      </c>
      <c r="J1281" s="1923">
        <v>0</v>
      </c>
      <c r="K1281" s="1922">
        <f>1-Tableau1[[#This Row],[Adjusted business sector labor share]]-J1281-0.1</f>
        <v>0.29311695098876955</v>
      </c>
      <c r="L1281" s="1919">
        <f t="shared" si="36"/>
        <v>0.112</v>
      </c>
      <c r="M1281" s="1919">
        <f t="shared" si="37"/>
        <v>6.7454545454545475E-2</v>
      </c>
      <c r="N1281" s="1919">
        <f t="shared" si="38"/>
        <v>0.13399999999999998</v>
      </c>
      <c r="O1281" s="1919">
        <f t="shared" si="33"/>
        <v>0.31558565688118217</v>
      </c>
      <c r="P1281" s="1919">
        <f t="shared" si="34"/>
        <v>0.30682250541516964</v>
      </c>
      <c r="Q1281" s="1919">
        <f t="shared" si="35"/>
        <v>0.31983235237134111</v>
      </c>
    </row>
    <row r="1282" spans="1:17" x14ac:dyDescent="0.2">
      <c r="A1282" s="1924">
        <v>2010</v>
      </c>
      <c r="B1282" s="1918" t="s">
        <v>652</v>
      </c>
      <c r="C1282" s="1918" t="s">
        <v>63</v>
      </c>
      <c r="D1282" s="1918" t="s">
        <v>1149</v>
      </c>
      <c r="E1282" s="1919">
        <v>0.5919119119644165</v>
      </c>
      <c r="G1282" s="1919">
        <v>0.53165543079376221</v>
      </c>
      <c r="H1282" s="1919">
        <v>0.57315093278884888</v>
      </c>
      <c r="J1282" s="1923">
        <v>0</v>
      </c>
      <c r="K1282" s="1922">
        <f>1-Tableau1[[#This Row],[Adjusted business sector labor share]]-J1282-0.1</f>
        <v>0.30808808803558352</v>
      </c>
      <c r="L1282" s="1919">
        <f t="shared" si="36"/>
        <v>0.11666666666666667</v>
      </c>
      <c r="M1282" s="1919">
        <f t="shared" si="37"/>
        <v>7.026515151515153E-2</v>
      </c>
      <c r="N1282" s="1919">
        <f t="shared" si="38"/>
        <v>0.13958333333333331</v>
      </c>
      <c r="O1282" s="1919">
        <f t="shared" si="33"/>
        <v>0.33209500487817506</v>
      </c>
      <c r="P1282" s="1919">
        <f t="shared" si="34"/>
        <v>0.32274911773655163</v>
      </c>
      <c r="Q1282" s="1919">
        <f t="shared" si="35"/>
        <v>0.33661621913075457</v>
      </c>
    </row>
    <row r="1283" spans="1:17" x14ac:dyDescent="0.2">
      <c r="A1283" s="1924">
        <v>2011</v>
      </c>
      <c r="B1283" s="1918" t="s">
        <v>652</v>
      </c>
      <c r="C1283" s="1918" t="s">
        <v>63</v>
      </c>
      <c r="D1283" s="1918" t="s">
        <v>1149</v>
      </c>
      <c r="E1283" s="1919">
        <v>0.59538692235946655</v>
      </c>
      <c r="G1283" s="1919">
        <v>0.53706467151641846</v>
      </c>
      <c r="H1283" s="1919">
        <v>0.5732886791229248</v>
      </c>
      <c r="J1283" s="1923">
        <v>0</v>
      </c>
      <c r="K1283" s="1922">
        <f>1-Tableau1[[#This Row],[Adjusted business sector labor share]]-J1283-0.1</f>
        <v>0.30461307764053347</v>
      </c>
      <c r="L1283" s="1919">
        <f t="shared" si="36"/>
        <v>0.12133333333333333</v>
      </c>
      <c r="M1283" s="1919">
        <f t="shared" si="37"/>
        <v>7.3075757575757586E-2</v>
      </c>
      <c r="N1283" s="1919">
        <f t="shared" si="38"/>
        <v>0.14516666666666664</v>
      </c>
      <c r="O1283" s="1919">
        <f t="shared" si="33"/>
        <v>0.32939832773727251</v>
      </c>
      <c r="P1283" s="1919">
        <f t="shared" si="34"/>
        <v>0.31975521194431006</v>
      </c>
      <c r="Q1283" s="1919">
        <f t="shared" si="35"/>
        <v>0.3340606908699536</v>
      </c>
    </row>
    <row r="1284" spans="1:17" x14ac:dyDescent="0.2">
      <c r="A1284" s="1924">
        <v>2012</v>
      </c>
      <c r="B1284" s="1918" t="s">
        <v>652</v>
      </c>
      <c r="C1284" s="1918" t="s">
        <v>63</v>
      </c>
      <c r="D1284" s="1918" t="s">
        <v>1149</v>
      </c>
      <c r="E1284" s="1919">
        <v>0.59457576274871826</v>
      </c>
      <c r="G1284" s="1919">
        <v>0.53680747747421265</v>
      </c>
      <c r="H1284" s="1919">
        <v>0.56629812717437744</v>
      </c>
      <c r="J1284" s="1923">
        <v>0</v>
      </c>
      <c r="K1284" s="1922">
        <f>1-Tableau1[[#This Row],[Adjusted business sector labor share]]-J1284-0.1</f>
        <v>0.30542423725128176</v>
      </c>
      <c r="L1284" s="1919">
        <f t="shared" si="36"/>
        <v>0.126</v>
      </c>
      <c r="M1284" s="1919">
        <f t="shared" si="37"/>
        <v>7.5886363636363641E-2</v>
      </c>
      <c r="N1284" s="1919">
        <f t="shared" si="38"/>
        <v>0.15074999999999997</v>
      </c>
      <c r="O1284" s="1919">
        <f t="shared" si="33"/>
        <v>0.33116338046167715</v>
      </c>
      <c r="P1284" s="1919">
        <f t="shared" si="34"/>
        <v>0.32115811853604803</v>
      </c>
      <c r="Q1284" s="1919">
        <f t="shared" si="35"/>
        <v>0.33599674253419365</v>
      </c>
    </row>
    <row r="1285" spans="1:17" x14ac:dyDescent="0.2">
      <c r="A1285" s="1924">
        <v>2013</v>
      </c>
      <c r="B1285" s="1918" t="s">
        <v>652</v>
      </c>
      <c r="C1285" s="1918" t="s">
        <v>63</v>
      </c>
      <c r="D1285" s="1918" t="s">
        <v>1149</v>
      </c>
      <c r="E1285" s="1919">
        <v>0.58960080146789551</v>
      </c>
      <c r="G1285" s="1919">
        <v>0.53437584638595581</v>
      </c>
      <c r="H1285" s="1919">
        <v>0.56655430793762207</v>
      </c>
      <c r="J1285" s="1923">
        <v>0</v>
      </c>
      <c r="K1285" s="1922">
        <f>1-Tableau1[[#This Row],[Adjusted business sector labor share]]-J1285-0.1</f>
        <v>0.31039919853210451</v>
      </c>
      <c r="L1285" s="1919">
        <f t="shared" si="36"/>
        <v>0.13066666666666668</v>
      </c>
      <c r="M1285" s="1919">
        <f t="shared" si="37"/>
        <v>7.8696969696969696E-2</v>
      </c>
      <c r="N1285" s="1919">
        <f t="shared" si="38"/>
        <v>0.1563333333333333</v>
      </c>
      <c r="O1285" s="1919">
        <f t="shared" si="33"/>
        <v>0.33727840991914437</v>
      </c>
      <c r="P1285" s="1919">
        <f t="shared" si="34"/>
        <v>0.32684273176218814</v>
      </c>
      <c r="Q1285" s="1919">
        <f t="shared" si="35"/>
        <v>0.34231390393284555</v>
      </c>
    </row>
    <row r="1286" spans="1:17" x14ac:dyDescent="0.2">
      <c r="A1286" s="1924">
        <v>2014</v>
      </c>
      <c r="B1286" s="1918" t="s">
        <v>652</v>
      </c>
      <c r="C1286" s="1918" t="s">
        <v>63</v>
      </c>
      <c r="D1286" s="1918" t="s">
        <v>1149</v>
      </c>
      <c r="E1286" s="1919">
        <v>0.59087997674942017</v>
      </c>
      <c r="G1286" s="1919">
        <v>0.53723150491714478</v>
      </c>
      <c r="H1286" s="1919">
        <v>0.56293094158172607</v>
      </c>
      <c r="J1286" s="1923">
        <v>0</v>
      </c>
      <c r="K1286" s="1922">
        <f>1-Tableau1[[#This Row],[Adjusted business sector labor share]]-J1286-0.1</f>
        <v>0.30912002325057986</v>
      </c>
      <c r="L1286" s="1919">
        <f t="shared" si="36"/>
        <v>0.13533333333333336</v>
      </c>
      <c r="M1286" s="1919">
        <f t="shared" si="37"/>
        <v>8.1507575757575751E-2</v>
      </c>
      <c r="N1286" s="1919">
        <f t="shared" si="38"/>
        <v>0.16191666666666663</v>
      </c>
      <c r="O1286" s="1919">
        <f t="shared" si="33"/>
        <v>0.33686190361452878</v>
      </c>
      <c r="P1286" s="1919">
        <f t="shared" si="34"/>
        <v>0.3260993699455737</v>
      </c>
      <c r="Q1286" s="1919">
        <f t="shared" si="35"/>
        <v>0.34205145572218892</v>
      </c>
    </row>
    <row r="1287" spans="1:17" x14ac:dyDescent="0.2">
      <c r="A1287" s="1924">
        <v>2015</v>
      </c>
      <c r="B1287" s="1918" t="s">
        <v>652</v>
      </c>
      <c r="C1287" s="1918" t="s">
        <v>63</v>
      </c>
      <c r="D1287" s="1918" t="s">
        <v>1149</v>
      </c>
      <c r="E1287" s="1919">
        <v>0.59895080327987671</v>
      </c>
      <c r="G1287" s="1919">
        <v>0.54476457834243774</v>
      </c>
      <c r="H1287" s="1919">
        <v>0.568215012550354</v>
      </c>
      <c r="J1287" s="1923">
        <v>0</v>
      </c>
      <c r="K1287" s="1922">
        <f>1-Tableau1[[#This Row],[Adjusted business sector labor share]]-J1287-0.1</f>
        <v>0.30104919672012331</v>
      </c>
      <c r="L1287" s="1921">
        <v>0.14000000000000001</v>
      </c>
      <c r="M1287" s="1919">
        <f>L1287*371/616</f>
        <v>8.431818181818182E-2</v>
      </c>
      <c r="N1287" s="1919">
        <f>L1287*737/616</f>
        <v>0.16750000000000001</v>
      </c>
      <c r="O1287" s="1919">
        <f t="shared" si="33"/>
        <v>0.32931642205523431</v>
      </c>
      <c r="P1287" s="1919">
        <f t="shared" si="34"/>
        <v>0.31835209326980207</v>
      </c>
      <c r="Q1287" s="1919">
        <f t="shared" si="35"/>
        <v>0.33460236515145297</v>
      </c>
    </row>
    <row r="1290" spans="1:17" x14ac:dyDescent="0.2">
      <c r="K1290" s="1920"/>
    </row>
    <row r="1291" spans="1:17" x14ac:dyDescent="0.2">
      <c r="E1291" s="1920"/>
      <c r="H1291" s="1920"/>
      <c r="K1291" s="1920"/>
      <c r="N1291" s="1920"/>
      <c r="O1291" s="1920"/>
    </row>
  </sheetData>
  <pageMargins left="0.78740157499999996" right="0.78740157499999996" top="0.984251969" bottom="0.984251969" header="0.5" footer="0.5"/>
  <pageSetup orientation="portrait" horizontalDpi="0" verticalDpi="0"/>
  <headerFooter alignWithMargins="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305-30D3-B44B-BCA6-5D9E52A6A4DD}">
  <dimension ref="A1:E20"/>
  <sheetViews>
    <sheetView workbookViewId="0">
      <selection activeCell="D18" sqref="D18"/>
    </sheetView>
  </sheetViews>
  <sheetFormatPr baseColWidth="10" defaultColWidth="8.83203125" defaultRowHeight="15" x14ac:dyDescent="0.2"/>
  <cols>
    <col min="1" max="1" width="14.6640625" style="1929" customWidth="1"/>
    <col min="2" max="2" width="13.5" style="1929" bestFit="1" customWidth="1"/>
    <col min="3" max="3" width="18.83203125" style="1929" customWidth="1"/>
    <col min="4" max="4" width="12.83203125" style="1929" customWidth="1"/>
    <col min="5" max="16384" width="8.83203125" style="1929"/>
  </cols>
  <sheetData>
    <row r="1" spans="1:4" x14ac:dyDescent="0.2">
      <c r="A1" s="1935" t="s">
        <v>1214</v>
      </c>
      <c r="B1" s="1929" t="s">
        <v>1213</v>
      </c>
      <c r="C1" s="1929" t="s">
        <v>1212</v>
      </c>
      <c r="D1" s="1929" t="s">
        <v>1211</v>
      </c>
    </row>
    <row r="2" spans="1:4" x14ac:dyDescent="0.2">
      <c r="A2" s="1933" t="s">
        <v>78</v>
      </c>
      <c r="B2" s="1929">
        <v>0.8</v>
      </c>
      <c r="C2" s="1931">
        <v>0.45500000000000002</v>
      </c>
      <c r="D2" s="1931">
        <f t="shared" ref="D2:D14" si="0">0.36*C2</f>
        <v>0.1638</v>
      </c>
    </row>
    <row r="3" spans="1:4" x14ac:dyDescent="0.2">
      <c r="A3" s="1933" t="s">
        <v>31</v>
      </c>
      <c r="B3" s="1929">
        <v>18.899999999999999</v>
      </c>
      <c r="C3" s="1931">
        <v>18.561</v>
      </c>
      <c r="D3" s="1931">
        <f t="shared" si="0"/>
        <v>6.6819600000000001</v>
      </c>
    </row>
    <row r="4" spans="1:4" x14ac:dyDescent="0.2">
      <c r="A4" s="1933" t="s">
        <v>81</v>
      </c>
      <c r="B4" s="1929">
        <v>7.7000000000000011</v>
      </c>
      <c r="C4" s="1931">
        <v>5.1660000000000004</v>
      </c>
      <c r="D4" s="1931">
        <f t="shared" si="0"/>
        <v>1.8597600000000001</v>
      </c>
    </row>
    <row r="5" spans="1:4" x14ac:dyDescent="0.2">
      <c r="A5" s="1933" t="s">
        <v>84</v>
      </c>
      <c r="B5" s="1929">
        <v>0.5</v>
      </c>
      <c r="C5" s="1931">
        <v>0.65600000000000003</v>
      </c>
      <c r="D5" s="1931">
        <f t="shared" si="0"/>
        <v>0.23616000000000001</v>
      </c>
    </row>
    <row r="6" spans="1:4" x14ac:dyDescent="0.2">
      <c r="A6" s="1933" t="s">
        <v>91</v>
      </c>
      <c r="B6" s="1929">
        <v>92.899999999999991</v>
      </c>
      <c r="C6" s="1931">
        <v>91.094999999999999</v>
      </c>
      <c r="D6" s="1931">
        <f t="shared" si="0"/>
        <v>32.794199999999996</v>
      </c>
    </row>
    <row r="7" spans="1:4" x14ac:dyDescent="0.2">
      <c r="A7" s="1933" t="s">
        <v>43</v>
      </c>
      <c r="B7" s="1929">
        <v>9</v>
      </c>
      <c r="C7" s="1931">
        <v>7.2270000000000003</v>
      </c>
      <c r="D7" s="1931">
        <f t="shared" si="0"/>
        <v>2.6017199999999998</v>
      </c>
    </row>
    <row r="8" spans="1:4" x14ac:dyDescent="0.2">
      <c r="A8" s="1933" t="s">
        <v>93</v>
      </c>
      <c r="B8" s="1929">
        <v>0.6</v>
      </c>
      <c r="C8" s="1931">
        <v>3.4000000000000002E-2</v>
      </c>
      <c r="D8" s="1931">
        <f t="shared" si="0"/>
        <v>1.2240000000000001E-2</v>
      </c>
    </row>
    <row r="9" spans="1:4" x14ac:dyDescent="0.2">
      <c r="A9" s="1933" t="s">
        <v>49</v>
      </c>
      <c r="B9" s="1929">
        <v>1.6999999999999993</v>
      </c>
      <c r="C9" s="1931">
        <f>MAX(-4.1,0)</f>
        <v>0</v>
      </c>
      <c r="D9" s="1931">
        <f t="shared" si="0"/>
        <v>0</v>
      </c>
    </row>
    <row r="10" spans="1:4" x14ac:dyDescent="0.2">
      <c r="A10" s="1933" t="s">
        <v>100</v>
      </c>
      <c r="B10" s="1929">
        <v>-0.3</v>
      </c>
      <c r="C10" s="1931">
        <v>0.36599999999999999</v>
      </c>
      <c r="D10" s="1931">
        <f t="shared" si="0"/>
        <v>0.13175999999999999</v>
      </c>
    </row>
    <row r="11" spans="1:4" x14ac:dyDescent="0.2">
      <c r="A11" s="1933" t="s">
        <v>51</v>
      </c>
      <c r="B11" s="1929">
        <v>44.999999999999993</v>
      </c>
      <c r="C11" s="1931">
        <v>25.327999999999999</v>
      </c>
      <c r="D11" s="1931">
        <f t="shared" si="0"/>
        <v>9.1180799999999991</v>
      </c>
    </row>
    <row r="12" spans="1:4" x14ac:dyDescent="0.2">
      <c r="A12" s="1933" t="s">
        <v>108</v>
      </c>
      <c r="B12" s="1929">
        <v>0.6</v>
      </c>
      <c r="C12" s="1931">
        <v>0</v>
      </c>
      <c r="D12" s="1931">
        <f t="shared" si="0"/>
        <v>0</v>
      </c>
    </row>
    <row r="13" spans="1:4" x14ac:dyDescent="0.2">
      <c r="A13" s="1933" t="s">
        <v>102</v>
      </c>
      <c r="B13" s="1929">
        <v>18.2</v>
      </c>
      <c r="C13" s="1931">
        <v>13.44</v>
      </c>
      <c r="D13" s="1931">
        <f t="shared" si="0"/>
        <v>4.8384</v>
      </c>
    </row>
    <row r="14" spans="1:4" x14ac:dyDescent="0.2">
      <c r="A14" s="1933" t="s">
        <v>60</v>
      </c>
      <c r="B14" s="1929">
        <v>68.8</v>
      </c>
      <c r="C14" s="1931">
        <f>46.687</f>
        <v>46.686999999999998</v>
      </c>
      <c r="D14" s="1931">
        <f t="shared" si="0"/>
        <v>16.807319999999997</v>
      </c>
    </row>
    <row r="15" spans="1:4" x14ac:dyDescent="0.2">
      <c r="A15" s="1933" t="s">
        <v>1210</v>
      </c>
      <c r="B15" s="1929">
        <v>264.39999999999992</v>
      </c>
      <c r="C15" s="1934">
        <f>SUM(C2:C14)</f>
        <v>209.01499999999999</v>
      </c>
      <c r="D15" s="1934">
        <f>SUM(D2:D14)</f>
        <v>75.245399999999989</v>
      </c>
    </row>
    <row r="16" spans="1:4" x14ac:dyDescent="0.2">
      <c r="A16" s="1933" t="s">
        <v>87</v>
      </c>
      <c r="C16" s="1931">
        <v>1.05</v>
      </c>
      <c r="D16" s="1931">
        <f>0.36*C16</f>
        <v>0.378</v>
      </c>
    </row>
    <row r="17" spans="1:5" x14ac:dyDescent="0.2">
      <c r="A17" s="1933" t="s">
        <v>95</v>
      </c>
      <c r="C17" s="1931">
        <v>2.1280000000000001</v>
      </c>
      <c r="D17" s="1931">
        <f>0.36*C17</f>
        <v>0.76607999999999998</v>
      </c>
    </row>
    <row r="18" spans="1:5" x14ac:dyDescent="0.2">
      <c r="C18" s="1932">
        <f>C15+C16+C17</f>
        <v>212.19299999999998</v>
      </c>
      <c r="D18" s="1931">
        <f>0.36*C18</f>
        <v>76.389479999999992</v>
      </c>
      <c r="E18" s="1930"/>
    </row>
    <row r="20" spans="1:5" x14ac:dyDescent="0.2">
      <c r="C20" s="1929">
        <f>2524/(2524+27433)</f>
        <v>8.425409753980706E-2</v>
      </c>
    </row>
  </sheetData>
  <pageMargins left="0.7" right="0.7" top="0.75" bottom="0.75" header="0.3" footer="0.3"/>
  <pageSetup orientation="portrait" horizontalDpi="0" verticalDpi="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71D3-1950-5242-9997-CFCDD2775294}">
  <sheetPr filterMode="1"/>
  <dimension ref="A1:L2001"/>
  <sheetViews>
    <sheetView workbookViewId="0">
      <pane xSplit="5" ySplit="60" topLeftCell="F472" activePane="bottomRight" state="frozen"/>
      <selection activeCell="D18" sqref="D18"/>
      <selection pane="topRight" activeCell="D18" sqref="D18"/>
      <selection pane="bottomLeft" activeCell="D18" sqref="D18"/>
      <selection pane="bottomRight" activeCell="D18" sqref="A1:L2001"/>
    </sheetView>
  </sheetViews>
  <sheetFormatPr baseColWidth="10" defaultColWidth="8.83203125" defaultRowHeight="15" x14ac:dyDescent="0.2"/>
  <cols>
    <col min="1" max="1" width="40.6640625" style="1929" bestFit="1" customWidth="1"/>
    <col min="2" max="16384" width="8.83203125" style="1929"/>
  </cols>
  <sheetData>
    <row r="1" spans="1:11" x14ac:dyDescent="0.2">
      <c r="A1" s="1929" t="s">
        <v>5313</v>
      </c>
      <c r="B1" s="1929" t="s">
        <v>5312</v>
      </c>
      <c r="C1" s="1929" t="s">
        <v>5311</v>
      </c>
      <c r="D1" s="1929" t="s">
        <v>5310</v>
      </c>
      <c r="E1" s="1929" t="s">
        <v>778</v>
      </c>
      <c r="F1" s="1929" t="s">
        <v>5309</v>
      </c>
      <c r="G1" s="1929" t="s">
        <v>315</v>
      </c>
      <c r="H1" s="1929" t="s">
        <v>5308</v>
      </c>
      <c r="I1" s="1929" t="s">
        <v>5307</v>
      </c>
      <c r="J1" s="1929" t="s">
        <v>5306</v>
      </c>
      <c r="K1" s="1929" t="s">
        <v>5305</v>
      </c>
    </row>
    <row r="2" spans="1:11" hidden="1" x14ac:dyDescent="0.2">
      <c r="A2" s="1929" t="s">
        <v>5304</v>
      </c>
      <c r="B2" s="1929" t="s">
        <v>1234</v>
      </c>
      <c r="C2" s="1929" t="s">
        <v>1337</v>
      </c>
      <c r="D2" s="1929" t="s">
        <v>29</v>
      </c>
      <c r="E2" s="1929" t="s">
        <v>29</v>
      </c>
      <c r="F2" s="1929">
        <v>182.3</v>
      </c>
      <c r="G2" s="1929">
        <v>67.7</v>
      </c>
      <c r="H2" s="1929">
        <v>14.8</v>
      </c>
      <c r="I2" s="1929">
        <v>151</v>
      </c>
      <c r="J2" s="1929">
        <v>44</v>
      </c>
      <c r="K2" s="1929" t="s">
        <v>5303</v>
      </c>
    </row>
    <row r="3" spans="1:11" hidden="1" x14ac:dyDescent="0.2">
      <c r="A3" s="1929" t="s">
        <v>5302</v>
      </c>
      <c r="B3" s="1929" t="s">
        <v>1217</v>
      </c>
      <c r="C3" s="1929" t="s">
        <v>2291</v>
      </c>
      <c r="D3" s="1929" t="s">
        <v>29</v>
      </c>
      <c r="E3" s="1929" t="s">
        <v>29</v>
      </c>
      <c r="F3" s="1929">
        <v>114.5</v>
      </c>
      <c r="G3" s="1929">
        <v>41.5</v>
      </c>
      <c r="H3" s="1929">
        <v>7.9</v>
      </c>
      <c r="I3" s="1929">
        <v>699.9</v>
      </c>
      <c r="J3" s="1929">
        <v>49</v>
      </c>
      <c r="K3" s="1929" t="s">
        <v>5301</v>
      </c>
    </row>
    <row r="4" spans="1:11" hidden="1" x14ac:dyDescent="0.2">
      <c r="A4" s="1929" t="s">
        <v>5300</v>
      </c>
      <c r="B4" s="1929" t="s">
        <v>1217</v>
      </c>
      <c r="C4" s="1929" t="s">
        <v>2291</v>
      </c>
      <c r="D4" s="1929" t="s">
        <v>29</v>
      </c>
      <c r="E4" s="1929" t="s">
        <v>29</v>
      </c>
      <c r="F4" s="1929">
        <v>99</v>
      </c>
      <c r="G4" s="1929">
        <v>38.4</v>
      </c>
      <c r="H4" s="1929">
        <v>6.8</v>
      </c>
      <c r="I4" s="1929">
        <v>651.4</v>
      </c>
      <c r="J4" s="1929">
        <v>60</v>
      </c>
      <c r="K4" s="1929" t="s">
        <v>5299</v>
      </c>
    </row>
    <row r="5" spans="1:11" hidden="1" x14ac:dyDescent="0.2">
      <c r="A5" s="1929" t="s">
        <v>5298</v>
      </c>
      <c r="B5" s="1929" t="s">
        <v>1217</v>
      </c>
      <c r="C5" s="1929" t="s">
        <v>2291</v>
      </c>
      <c r="D5" s="1929" t="s">
        <v>29</v>
      </c>
      <c r="E5" s="1929" t="s">
        <v>29</v>
      </c>
      <c r="F5" s="1929">
        <v>75.3</v>
      </c>
      <c r="G5" s="1929">
        <v>36.9</v>
      </c>
      <c r="H5" s="1929">
        <v>5.4</v>
      </c>
      <c r="I5" s="1929">
        <v>755.9</v>
      </c>
      <c r="J5" s="1929">
        <v>74</v>
      </c>
      <c r="K5" s="1929" t="s">
        <v>5297</v>
      </c>
    </row>
    <row r="6" spans="1:11" hidden="1" x14ac:dyDescent="0.2">
      <c r="A6" s="1929" t="s">
        <v>5296</v>
      </c>
      <c r="B6" s="1929" t="s">
        <v>1217</v>
      </c>
      <c r="C6" s="1929" t="s">
        <v>2291</v>
      </c>
      <c r="D6" s="1929" t="s">
        <v>29</v>
      </c>
      <c r="E6" s="1929" t="s">
        <v>29</v>
      </c>
      <c r="F6" s="1929">
        <v>83.9</v>
      </c>
      <c r="G6" s="1929">
        <v>34</v>
      </c>
      <c r="H6" s="1929">
        <v>6.2</v>
      </c>
      <c r="I6" s="1929">
        <v>659.7</v>
      </c>
      <c r="J6" s="1929">
        <v>75</v>
      </c>
      <c r="K6" s="1929" t="s">
        <v>5295</v>
      </c>
    </row>
    <row r="7" spans="1:11" hidden="1" x14ac:dyDescent="0.2">
      <c r="A7" s="1929" t="s">
        <v>5294</v>
      </c>
      <c r="B7" s="1929" t="s">
        <v>1306</v>
      </c>
      <c r="C7" s="1929" t="s">
        <v>1392</v>
      </c>
      <c r="D7" s="1929" t="s">
        <v>29</v>
      </c>
      <c r="E7" s="1929" t="s">
        <v>29</v>
      </c>
      <c r="F7" s="1929">
        <v>43.5</v>
      </c>
      <c r="G7" s="1929">
        <v>58.5</v>
      </c>
      <c r="H7" s="1929">
        <v>2.2999999999999998</v>
      </c>
      <c r="I7" s="1929">
        <v>39.299999999999997</v>
      </c>
      <c r="J7" s="1929">
        <v>205</v>
      </c>
      <c r="K7" s="1929" t="s">
        <v>5293</v>
      </c>
    </row>
    <row r="8" spans="1:11" hidden="1" x14ac:dyDescent="0.2">
      <c r="A8" s="1929" t="s">
        <v>5292</v>
      </c>
      <c r="B8" s="1929" t="s">
        <v>1249</v>
      </c>
      <c r="C8" s="1929" t="s">
        <v>1248</v>
      </c>
      <c r="D8" s="1929" t="s">
        <v>29</v>
      </c>
      <c r="E8" s="1929" t="s">
        <v>29</v>
      </c>
      <c r="F8" s="1929">
        <v>58.1</v>
      </c>
      <c r="G8" s="1929">
        <v>24.7</v>
      </c>
      <c r="H8" s="1929">
        <v>3.8</v>
      </c>
      <c r="I8" s="1929">
        <v>35.6</v>
      </c>
      <c r="J8" s="1929">
        <v>225</v>
      </c>
      <c r="K8" s="1929" t="s">
        <v>5291</v>
      </c>
    </row>
    <row r="9" spans="1:11" hidden="1" x14ac:dyDescent="0.2">
      <c r="A9" s="1929" t="s">
        <v>5290</v>
      </c>
      <c r="B9" s="1929" t="s">
        <v>1306</v>
      </c>
      <c r="C9" s="1929" t="s">
        <v>1392</v>
      </c>
      <c r="D9" s="1929" t="s">
        <v>29</v>
      </c>
      <c r="E9" s="1929" t="s">
        <v>29</v>
      </c>
      <c r="F9" s="1929">
        <v>41.3</v>
      </c>
      <c r="G9" s="1929">
        <v>58.3</v>
      </c>
      <c r="H9" s="1929">
        <v>2.2999999999999998</v>
      </c>
      <c r="I9" s="1929">
        <v>21.7</v>
      </c>
      <c r="J9" s="1929">
        <v>284</v>
      </c>
      <c r="K9" s="1929" t="s">
        <v>5289</v>
      </c>
    </row>
    <row r="10" spans="1:11" hidden="1" x14ac:dyDescent="0.2">
      <c r="A10" s="1929" t="s">
        <v>5288</v>
      </c>
      <c r="B10" s="1929" t="s">
        <v>1217</v>
      </c>
      <c r="C10" s="1929" t="s">
        <v>1368</v>
      </c>
      <c r="D10" s="1929" t="s">
        <v>29</v>
      </c>
      <c r="E10" s="1929" t="s">
        <v>29</v>
      </c>
      <c r="F10" s="1929">
        <v>13.5</v>
      </c>
      <c r="G10" s="1929">
        <v>19.399999999999999</v>
      </c>
      <c r="H10" s="1929">
        <v>0.6</v>
      </c>
      <c r="I10" s="1929">
        <v>119.2</v>
      </c>
      <c r="J10" s="1929">
        <v>431</v>
      </c>
      <c r="K10" s="1929" t="s">
        <v>5287</v>
      </c>
    </row>
    <row r="11" spans="1:11" hidden="1" x14ac:dyDescent="0.2">
      <c r="A11" s="1929" t="s">
        <v>5286</v>
      </c>
      <c r="B11" s="1929" t="s">
        <v>1217</v>
      </c>
      <c r="C11" s="1929" t="s">
        <v>1368</v>
      </c>
      <c r="D11" s="1929" t="s">
        <v>29</v>
      </c>
      <c r="E11" s="1929" t="s">
        <v>29</v>
      </c>
      <c r="F11" s="1929">
        <v>17.2</v>
      </c>
      <c r="G11" s="1929">
        <v>10.3</v>
      </c>
      <c r="H11" s="1929">
        <v>0.9</v>
      </c>
      <c r="I11" s="1929">
        <v>144.6</v>
      </c>
      <c r="J11" s="1929">
        <v>432</v>
      </c>
      <c r="K11" s="1929" t="s">
        <v>5285</v>
      </c>
    </row>
    <row r="12" spans="1:11" hidden="1" x14ac:dyDescent="0.2">
      <c r="A12" s="1929" t="s">
        <v>5284</v>
      </c>
      <c r="B12" s="1929" t="s">
        <v>1234</v>
      </c>
      <c r="C12" s="1929" t="s">
        <v>1445</v>
      </c>
      <c r="D12" s="1929" t="s">
        <v>29</v>
      </c>
      <c r="E12" s="1929" t="s">
        <v>29</v>
      </c>
      <c r="F12" s="1929">
        <v>15.3</v>
      </c>
      <c r="G12" s="1929">
        <v>10.6</v>
      </c>
      <c r="H12" s="1929">
        <v>3</v>
      </c>
      <c r="I12" s="1929">
        <v>22.9</v>
      </c>
      <c r="J12" s="1929">
        <v>507</v>
      </c>
      <c r="K12" s="1929" t="s">
        <v>5283</v>
      </c>
    </row>
    <row r="13" spans="1:11" hidden="1" x14ac:dyDescent="0.2">
      <c r="A13" s="1929" t="s">
        <v>5282</v>
      </c>
      <c r="B13" s="1929" t="s">
        <v>1217</v>
      </c>
      <c r="C13" s="1929" t="s">
        <v>1252</v>
      </c>
      <c r="D13" s="1929" t="s">
        <v>29</v>
      </c>
      <c r="E13" s="1929" t="s">
        <v>29</v>
      </c>
      <c r="F13" s="1929">
        <v>15.2</v>
      </c>
      <c r="G13" s="1929">
        <v>15.6</v>
      </c>
      <c r="H13" s="1929">
        <v>0.4</v>
      </c>
      <c r="I13" s="1929">
        <v>84.2</v>
      </c>
      <c r="J13" s="1929">
        <v>539</v>
      </c>
      <c r="K13" s="1929" t="s">
        <v>5281</v>
      </c>
    </row>
    <row r="14" spans="1:11" hidden="1" x14ac:dyDescent="0.2">
      <c r="A14" s="1929" t="s">
        <v>5280</v>
      </c>
      <c r="B14" s="1929" t="s">
        <v>1258</v>
      </c>
      <c r="C14" s="1929" t="s">
        <v>1263</v>
      </c>
      <c r="D14" s="1929" t="s">
        <v>29</v>
      </c>
      <c r="E14" s="1929" t="s">
        <v>29</v>
      </c>
      <c r="F14" s="1929">
        <v>29.4</v>
      </c>
      <c r="G14" s="1929">
        <v>6.2</v>
      </c>
      <c r="H14" s="1929">
        <v>1.7</v>
      </c>
      <c r="I14" s="1929">
        <v>23.8</v>
      </c>
      <c r="J14" s="1929">
        <v>579</v>
      </c>
      <c r="K14" s="1929" t="s">
        <v>5279</v>
      </c>
    </row>
    <row r="15" spans="1:11" hidden="1" x14ac:dyDescent="0.2">
      <c r="A15" s="1929" t="s">
        <v>5278</v>
      </c>
      <c r="B15" s="1929" t="s">
        <v>1217</v>
      </c>
      <c r="C15" s="1929" t="s">
        <v>1563</v>
      </c>
      <c r="D15" s="1929" t="s">
        <v>29</v>
      </c>
      <c r="E15" s="1929" t="s">
        <v>29</v>
      </c>
      <c r="F15" s="1929">
        <v>11.9</v>
      </c>
      <c r="G15" s="1929">
        <v>9</v>
      </c>
      <c r="H15" s="1929">
        <v>0.9</v>
      </c>
      <c r="I15" s="1929">
        <v>23.7</v>
      </c>
      <c r="J15" s="1929">
        <v>667</v>
      </c>
      <c r="K15" s="1929" t="s">
        <v>5277</v>
      </c>
    </row>
    <row r="16" spans="1:11" hidden="1" x14ac:dyDescent="0.2">
      <c r="A16" s="1929" t="s">
        <v>5276</v>
      </c>
      <c r="B16" s="1929" t="s">
        <v>1217</v>
      </c>
      <c r="C16" s="1929" t="s">
        <v>1456</v>
      </c>
      <c r="D16" s="1929" t="s">
        <v>29</v>
      </c>
      <c r="E16" s="1929" t="s">
        <v>29</v>
      </c>
      <c r="F16" s="1929">
        <v>19.7</v>
      </c>
      <c r="G16" s="1929">
        <v>2.2999999999999998</v>
      </c>
      <c r="H16" s="1929">
        <v>1.5</v>
      </c>
      <c r="I16" s="1929">
        <v>31.2</v>
      </c>
      <c r="J16" s="1929">
        <v>712</v>
      </c>
      <c r="K16" s="1929" t="s">
        <v>5275</v>
      </c>
    </row>
    <row r="17" spans="1:11" hidden="1" x14ac:dyDescent="0.2">
      <c r="A17" s="1929" t="s">
        <v>5274</v>
      </c>
      <c r="B17" s="1929" t="s">
        <v>1217</v>
      </c>
      <c r="C17" s="1929" t="s">
        <v>1563</v>
      </c>
      <c r="D17" s="1929" t="s">
        <v>29</v>
      </c>
      <c r="E17" s="1929" t="s">
        <v>29</v>
      </c>
      <c r="F17" s="1929">
        <v>14.7</v>
      </c>
      <c r="G17" s="1929">
        <v>16.100000000000001</v>
      </c>
      <c r="H17" s="1929">
        <v>-0.3</v>
      </c>
      <c r="I17" s="1929">
        <v>47.3</v>
      </c>
      <c r="J17" s="1929">
        <v>734</v>
      </c>
      <c r="K17" s="1929" t="s">
        <v>5273</v>
      </c>
    </row>
    <row r="18" spans="1:11" hidden="1" x14ac:dyDescent="0.2">
      <c r="A18" s="1929" t="s">
        <v>5272</v>
      </c>
      <c r="B18" s="1929" t="s">
        <v>1310</v>
      </c>
      <c r="C18" s="1929" t="s">
        <v>1309</v>
      </c>
      <c r="D18" s="1929" t="s">
        <v>29</v>
      </c>
      <c r="E18" s="1929" t="s">
        <v>29</v>
      </c>
      <c r="F18" s="1929">
        <v>14.5</v>
      </c>
      <c r="G18" s="1929">
        <v>14</v>
      </c>
      <c r="H18" s="1929">
        <v>0.2</v>
      </c>
      <c r="I18" s="1929">
        <v>27.2</v>
      </c>
      <c r="J18" s="1929">
        <v>852</v>
      </c>
      <c r="K18" s="1929" t="s">
        <v>5271</v>
      </c>
    </row>
    <row r="19" spans="1:11" hidden="1" x14ac:dyDescent="0.2">
      <c r="A19" s="1929" t="s">
        <v>5270</v>
      </c>
      <c r="B19" s="1929" t="s">
        <v>1269</v>
      </c>
      <c r="C19" s="1929" t="s">
        <v>1340</v>
      </c>
      <c r="D19" s="1929" t="s">
        <v>29</v>
      </c>
      <c r="E19" s="1929" t="s">
        <v>29</v>
      </c>
      <c r="F19" s="1929">
        <v>31.1</v>
      </c>
      <c r="G19" s="1929">
        <v>5</v>
      </c>
      <c r="H19" s="1929">
        <v>1.2</v>
      </c>
      <c r="I19" s="1929">
        <v>6.2</v>
      </c>
      <c r="J19" s="1929">
        <v>928</v>
      </c>
      <c r="K19" s="1929" t="s">
        <v>5269</v>
      </c>
    </row>
    <row r="20" spans="1:11" hidden="1" x14ac:dyDescent="0.2">
      <c r="A20" s="1929" t="s">
        <v>5268</v>
      </c>
      <c r="B20" s="1929" t="s">
        <v>1234</v>
      </c>
      <c r="C20" s="1929" t="s">
        <v>1352</v>
      </c>
      <c r="D20" s="1929" t="s">
        <v>29</v>
      </c>
      <c r="E20" s="1929" t="s">
        <v>29</v>
      </c>
      <c r="F20" s="1929">
        <v>11.5</v>
      </c>
      <c r="G20" s="1929">
        <v>11.2</v>
      </c>
      <c r="H20" s="1929">
        <v>0.5</v>
      </c>
      <c r="I20" s="1929">
        <v>9</v>
      </c>
      <c r="J20" s="1929">
        <v>1004</v>
      </c>
      <c r="K20" s="1929" t="s">
        <v>5267</v>
      </c>
    </row>
    <row r="21" spans="1:11" hidden="1" x14ac:dyDescent="0.2">
      <c r="A21" s="1929" t="s">
        <v>5266</v>
      </c>
      <c r="B21" s="1929" t="s">
        <v>1228</v>
      </c>
      <c r="C21" s="1929" t="s">
        <v>1227</v>
      </c>
      <c r="D21" s="1929" t="s">
        <v>29</v>
      </c>
      <c r="E21" s="1929" t="s">
        <v>29</v>
      </c>
      <c r="F21" s="1929">
        <v>13.4</v>
      </c>
      <c r="G21" s="1929">
        <v>5.6</v>
      </c>
      <c r="H21" s="1929">
        <v>1.3</v>
      </c>
      <c r="I21" s="1929">
        <v>7.5</v>
      </c>
      <c r="J21" s="1929">
        <v>1007</v>
      </c>
      <c r="K21" s="1929" t="s">
        <v>5265</v>
      </c>
    </row>
    <row r="22" spans="1:11" hidden="1" x14ac:dyDescent="0.2">
      <c r="A22" s="1929" t="s">
        <v>5264</v>
      </c>
      <c r="B22" s="1929" t="s">
        <v>1217</v>
      </c>
      <c r="C22" s="1929" t="s">
        <v>1456</v>
      </c>
      <c r="D22" s="1929" t="s">
        <v>29</v>
      </c>
      <c r="E22" s="1929" t="s">
        <v>29</v>
      </c>
      <c r="F22" s="1929">
        <v>6</v>
      </c>
      <c r="G22" s="1929">
        <v>12.1</v>
      </c>
      <c r="H22" s="1929">
        <v>0.5</v>
      </c>
      <c r="I22" s="1929">
        <v>13.8</v>
      </c>
      <c r="J22" s="1929">
        <v>1076</v>
      </c>
      <c r="K22" s="1929" t="s">
        <v>5263</v>
      </c>
    </row>
    <row r="23" spans="1:11" hidden="1" x14ac:dyDescent="0.2">
      <c r="A23" s="1929" t="s">
        <v>5262</v>
      </c>
      <c r="B23" s="1929" t="s">
        <v>1258</v>
      </c>
      <c r="C23" s="1929" t="s">
        <v>1263</v>
      </c>
      <c r="D23" s="1929" t="s">
        <v>29</v>
      </c>
      <c r="E23" s="1929" t="s">
        <v>29</v>
      </c>
      <c r="F23" s="1929">
        <v>12.1</v>
      </c>
      <c r="G23" s="1929">
        <v>3.5</v>
      </c>
      <c r="H23" s="1929">
        <v>0.5</v>
      </c>
      <c r="I23" s="1929">
        <v>18.399999999999999</v>
      </c>
      <c r="J23" s="1929">
        <v>1111</v>
      </c>
      <c r="K23" s="1929" t="s">
        <v>5261</v>
      </c>
    </row>
    <row r="24" spans="1:11" hidden="1" x14ac:dyDescent="0.2">
      <c r="A24" s="1929" t="s">
        <v>5260</v>
      </c>
      <c r="B24" s="1929" t="s">
        <v>1258</v>
      </c>
      <c r="C24" s="1929" t="s">
        <v>1263</v>
      </c>
      <c r="D24" s="1929" t="s">
        <v>29</v>
      </c>
      <c r="E24" s="1929" t="s">
        <v>29</v>
      </c>
      <c r="F24" s="1929">
        <v>5.4</v>
      </c>
      <c r="G24" s="1929">
        <v>23.5</v>
      </c>
      <c r="H24" s="1929">
        <v>0.5</v>
      </c>
      <c r="I24" s="1929">
        <v>5.4</v>
      </c>
      <c r="J24" s="1929">
        <v>1185</v>
      </c>
      <c r="K24" s="1929" t="s">
        <v>5259</v>
      </c>
    </row>
    <row r="25" spans="1:11" hidden="1" x14ac:dyDescent="0.2">
      <c r="A25" s="1929" t="s">
        <v>5258</v>
      </c>
      <c r="B25" s="1929" t="s">
        <v>1217</v>
      </c>
      <c r="C25" s="1929" t="s">
        <v>1456</v>
      </c>
      <c r="D25" s="1929" t="s">
        <v>29</v>
      </c>
      <c r="E25" s="1929" t="s">
        <v>29</v>
      </c>
      <c r="F25" s="1929">
        <v>8.3000000000000007</v>
      </c>
      <c r="G25" s="1929">
        <v>0.5</v>
      </c>
      <c r="H25" s="1929">
        <v>0.7</v>
      </c>
      <c r="I25" s="1929">
        <v>12.3</v>
      </c>
      <c r="J25" s="1929">
        <v>1286</v>
      </c>
      <c r="K25" s="1929" t="s">
        <v>5257</v>
      </c>
    </row>
    <row r="26" spans="1:11" hidden="1" x14ac:dyDescent="0.2">
      <c r="A26" s="1929" t="s">
        <v>5256</v>
      </c>
      <c r="B26" s="1929" t="s">
        <v>1234</v>
      </c>
      <c r="C26" s="1929" t="s">
        <v>1337</v>
      </c>
      <c r="D26" s="1929" t="s">
        <v>29</v>
      </c>
      <c r="E26" s="1929" t="s">
        <v>29</v>
      </c>
      <c r="F26" s="1929">
        <v>7.4</v>
      </c>
      <c r="G26" s="1929">
        <v>6.8</v>
      </c>
      <c r="H26" s="1929">
        <v>0.6</v>
      </c>
      <c r="I26" s="1929">
        <v>8</v>
      </c>
      <c r="J26" s="1929">
        <v>1319</v>
      </c>
      <c r="K26" s="1929" t="s">
        <v>5255</v>
      </c>
    </row>
    <row r="27" spans="1:11" hidden="1" x14ac:dyDescent="0.2">
      <c r="A27" s="1929" t="s">
        <v>5254</v>
      </c>
      <c r="B27" s="1929" t="s">
        <v>1310</v>
      </c>
      <c r="C27" s="1929" t="s">
        <v>1309</v>
      </c>
      <c r="D27" s="1929" t="s">
        <v>29</v>
      </c>
      <c r="E27" s="1929" t="s">
        <v>29</v>
      </c>
      <c r="F27" s="1929">
        <v>7.8</v>
      </c>
      <c r="G27" s="1929">
        <v>9.1999999999999993</v>
      </c>
      <c r="H27" s="1929">
        <v>0.3</v>
      </c>
      <c r="I27" s="1929">
        <v>12.5</v>
      </c>
      <c r="J27" s="1929">
        <v>1345</v>
      </c>
      <c r="K27" s="1929" t="s">
        <v>5253</v>
      </c>
    </row>
    <row r="28" spans="1:11" hidden="1" x14ac:dyDescent="0.2">
      <c r="A28" s="1929" t="s">
        <v>5252</v>
      </c>
      <c r="B28" s="1929" t="s">
        <v>1238</v>
      </c>
      <c r="C28" s="1929" t="s">
        <v>1485</v>
      </c>
      <c r="D28" s="1929" t="s">
        <v>29</v>
      </c>
      <c r="E28" s="1929" t="s">
        <v>29</v>
      </c>
      <c r="F28" s="1929">
        <v>2.2000000000000002</v>
      </c>
      <c r="G28" s="1929">
        <v>14.9</v>
      </c>
      <c r="H28" s="1929">
        <v>-0.3</v>
      </c>
      <c r="I28" s="1929">
        <v>17.899999999999999</v>
      </c>
      <c r="J28" s="1929">
        <v>1356</v>
      </c>
      <c r="K28" s="1929" t="s">
        <v>5251</v>
      </c>
    </row>
    <row r="29" spans="1:11" hidden="1" x14ac:dyDescent="0.2">
      <c r="A29" s="1929" t="s">
        <v>5250</v>
      </c>
      <c r="B29" s="1929" t="s">
        <v>1217</v>
      </c>
      <c r="C29" s="1929" t="s">
        <v>1456</v>
      </c>
      <c r="D29" s="1929" t="s">
        <v>29</v>
      </c>
      <c r="E29" s="1929" t="s">
        <v>29</v>
      </c>
      <c r="F29" s="1929">
        <v>8</v>
      </c>
      <c r="G29" s="1929">
        <v>1.8</v>
      </c>
      <c r="H29" s="1929">
        <v>0.5</v>
      </c>
      <c r="I29" s="1929">
        <v>13.1</v>
      </c>
      <c r="J29" s="1929">
        <v>1386</v>
      </c>
      <c r="K29" s="1929" t="s">
        <v>5249</v>
      </c>
    </row>
    <row r="30" spans="1:11" hidden="1" x14ac:dyDescent="0.2">
      <c r="A30" s="1929" t="s">
        <v>5248</v>
      </c>
      <c r="B30" s="1929" t="s">
        <v>1228</v>
      </c>
      <c r="C30" s="1929" t="s">
        <v>1589</v>
      </c>
      <c r="D30" s="1929" t="s">
        <v>29</v>
      </c>
      <c r="E30" s="1929" t="s">
        <v>29</v>
      </c>
      <c r="F30" s="1929">
        <v>11.2</v>
      </c>
      <c r="G30" s="1929">
        <v>2.8</v>
      </c>
      <c r="H30" s="1929">
        <v>0.6</v>
      </c>
      <c r="I30" s="1929">
        <v>5.8</v>
      </c>
      <c r="J30" s="1929">
        <v>1449</v>
      </c>
      <c r="K30" s="1929" t="s">
        <v>5247</v>
      </c>
    </row>
    <row r="31" spans="1:11" hidden="1" x14ac:dyDescent="0.2">
      <c r="A31" s="1929" t="s">
        <v>5246</v>
      </c>
      <c r="B31" s="1929" t="s">
        <v>1217</v>
      </c>
      <c r="C31" s="1929" t="s">
        <v>1216</v>
      </c>
      <c r="D31" s="1929" t="s">
        <v>29</v>
      </c>
      <c r="E31" s="1929" t="s">
        <v>29</v>
      </c>
      <c r="F31" s="1929">
        <v>4.3</v>
      </c>
      <c r="G31" s="1929">
        <v>3.1</v>
      </c>
      <c r="H31" s="1929">
        <v>0.3</v>
      </c>
      <c r="I31" s="1929">
        <v>54</v>
      </c>
      <c r="J31" s="1929">
        <v>1482</v>
      </c>
      <c r="K31" s="1929" t="s">
        <v>5245</v>
      </c>
    </row>
    <row r="32" spans="1:11" hidden="1" x14ac:dyDescent="0.2">
      <c r="A32" s="1929" t="s">
        <v>5244</v>
      </c>
      <c r="B32" s="1929" t="s">
        <v>1238</v>
      </c>
      <c r="C32" s="1929" t="s">
        <v>1434</v>
      </c>
      <c r="D32" s="1929" t="s">
        <v>29</v>
      </c>
      <c r="E32" s="1929" t="s">
        <v>29</v>
      </c>
      <c r="F32" s="1929">
        <v>10.1</v>
      </c>
      <c r="G32" s="1929">
        <v>3.7</v>
      </c>
      <c r="H32" s="1929">
        <v>0.4</v>
      </c>
      <c r="I32" s="1929">
        <v>9.3000000000000007</v>
      </c>
      <c r="J32" s="1929">
        <v>1657</v>
      </c>
      <c r="K32" s="1929" t="s">
        <v>5243</v>
      </c>
    </row>
    <row r="33" spans="1:11" hidden="1" x14ac:dyDescent="0.2">
      <c r="A33" s="1929" t="s">
        <v>5242</v>
      </c>
      <c r="D33" s="1929" t="s">
        <v>29</v>
      </c>
      <c r="E33" s="1929" t="s">
        <v>29</v>
      </c>
      <c r="F33" s="1929">
        <v>2.1</v>
      </c>
      <c r="G33" s="1929">
        <v>1.3</v>
      </c>
      <c r="H33" s="1929">
        <v>1.2</v>
      </c>
      <c r="I33" s="1929">
        <v>3.1</v>
      </c>
      <c r="J33" s="1929">
        <v>1748</v>
      </c>
      <c r="K33" s="1929" t="s">
        <v>5241</v>
      </c>
    </row>
    <row r="34" spans="1:11" hidden="1" x14ac:dyDescent="0.2">
      <c r="A34" s="1929" t="s">
        <v>5240</v>
      </c>
      <c r="B34" s="1929" t="s">
        <v>1217</v>
      </c>
      <c r="C34" s="1929" t="s">
        <v>1216</v>
      </c>
      <c r="D34" s="1929" t="s">
        <v>29</v>
      </c>
      <c r="E34" s="1929" t="s">
        <v>29</v>
      </c>
      <c r="F34" s="1929">
        <v>3.8</v>
      </c>
      <c r="G34" s="1929">
        <v>2.5</v>
      </c>
      <c r="H34" s="1929">
        <v>0.2</v>
      </c>
      <c r="I34" s="1929">
        <v>37.9</v>
      </c>
      <c r="J34" s="1929">
        <v>1805</v>
      </c>
      <c r="K34" s="1929" t="s">
        <v>5239</v>
      </c>
    </row>
    <row r="35" spans="1:11" hidden="1" x14ac:dyDescent="0.2">
      <c r="A35" s="1929" t="s">
        <v>5238</v>
      </c>
      <c r="B35" s="1929" t="s">
        <v>1306</v>
      </c>
      <c r="C35" s="1929" t="s">
        <v>1392</v>
      </c>
      <c r="D35" s="1929" t="s">
        <v>29</v>
      </c>
      <c r="E35" s="1929" t="s">
        <v>29</v>
      </c>
      <c r="F35" s="1929">
        <v>2.1</v>
      </c>
      <c r="G35" s="1929">
        <v>13.1</v>
      </c>
      <c r="H35" s="1929">
        <v>0.2</v>
      </c>
      <c r="I35" s="1929">
        <v>4.2</v>
      </c>
      <c r="J35" s="1929">
        <v>1890</v>
      </c>
      <c r="K35" s="1929" t="s">
        <v>5237</v>
      </c>
    </row>
    <row r="36" spans="1:11" hidden="1" x14ac:dyDescent="0.2">
      <c r="A36" s="1929" t="s">
        <v>5236</v>
      </c>
      <c r="B36" s="1929" t="s">
        <v>1234</v>
      </c>
      <c r="C36" s="1929" t="s">
        <v>1337</v>
      </c>
      <c r="D36" s="1929" t="s">
        <v>29</v>
      </c>
      <c r="E36" s="1929" t="s">
        <v>29</v>
      </c>
      <c r="F36" s="1929">
        <v>6.9</v>
      </c>
      <c r="G36" s="1929">
        <v>3.8</v>
      </c>
      <c r="H36" s="1929">
        <v>-5.8</v>
      </c>
      <c r="I36" s="1929">
        <v>15.7</v>
      </c>
      <c r="J36" s="1929">
        <v>1922</v>
      </c>
      <c r="K36" s="1929" t="s">
        <v>5235</v>
      </c>
    </row>
    <row r="37" spans="1:11" hidden="1" x14ac:dyDescent="0.2">
      <c r="A37" s="1929" t="s">
        <v>5234</v>
      </c>
      <c r="B37" s="1929" t="s">
        <v>1217</v>
      </c>
      <c r="C37" s="1929" t="s">
        <v>1456</v>
      </c>
      <c r="D37" s="1929" t="s">
        <v>29</v>
      </c>
      <c r="E37" s="1929" t="s">
        <v>29</v>
      </c>
      <c r="F37" s="1929">
        <v>5.7</v>
      </c>
      <c r="G37" s="1929">
        <v>0.6</v>
      </c>
      <c r="H37" s="1929">
        <v>0.6</v>
      </c>
      <c r="I37" s="1929">
        <v>8.4</v>
      </c>
      <c r="J37" s="1929">
        <v>1947</v>
      </c>
      <c r="K37" s="1929" t="s">
        <v>5233</v>
      </c>
    </row>
    <row r="38" spans="1:11" hidden="1" x14ac:dyDescent="0.2">
      <c r="A38" s="1929" t="s">
        <v>5232</v>
      </c>
      <c r="B38" s="1929" t="s">
        <v>1258</v>
      </c>
      <c r="C38" s="1929" t="s">
        <v>1263</v>
      </c>
      <c r="D38" s="1929" t="s">
        <v>303</v>
      </c>
      <c r="E38" s="1929" t="s">
        <v>30</v>
      </c>
      <c r="F38" s="1929">
        <v>14.8</v>
      </c>
      <c r="G38" s="1929">
        <v>56.3</v>
      </c>
      <c r="H38" s="1929">
        <v>1.5</v>
      </c>
      <c r="I38" s="1929">
        <v>43.8</v>
      </c>
      <c r="J38" s="1929">
        <v>326</v>
      </c>
      <c r="K38" s="1929" t="s">
        <v>5231</v>
      </c>
    </row>
    <row r="39" spans="1:11" hidden="1" x14ac:dyDescent="0.2">
      <c r="A39" s="1929" t="s">
        <v>5230</v>
      </c>
      <c r="B39" s="1929" t="s">
        <v>1217</v>
      </c>
      <c r="C39" s="1929" t="s">
        <v>2291</v>
      </c>
      <c r="D39" s="1929" t="s">
        <v>303</v>
      </c>
      <c r="E39" s="1929" t="s">
        <v>30</v>
      </c>
      <c r="F39" s="1929">
        <v>10.1</v>
      </c>
      <c r="G39" s="1929">
        <v>11.1</v>
      </c>
      <c r="H39" s="1929">
        <v>0.7</v>
      </c>
      <c r="I39" s="1929">
        <v>177.4</v>
      </c>
      <c r="J39" s="1929">
        <v>536</v>
      </c>
      <c r="K39" s="1929" t="s">
        <v>5229</v>
      </c>
    </row>
    <row r="40" spans="1:11" hidden="1" x14ac:dyDescent="0.2">
      <c r="A40" s="1929" t="s">
        <v>5228</v>
      </c>
      <c r="B40" s="1929" t="s">
        <v>1217</v>
      </c>
      <c r="C40" s="1929" t="s">
        <v>2291</v>
      </c>
      <c r="D40" s="1929" t="s">
        <v>303</v>
      </c>
      <c r="E40" s="1929" t="s">
        <v>30</v>
      </c>
      <c r="F40" s="1929">
        <v>14.4</v>
      </c>
      <c r="G40" s="1929">
        <v>12.6</v>
      </c>
      <c r="H40" s="1929">
        <v>0.1</v>
      </c>
      <c r="I40" s="1929">
        <v>275.39999999999998</v>
      </c>
      <c r="J40" s="1929">
        <v>694</v>
      </c>
      <c r="K40" s="1929" t="s">
        <v>5227</v>
      </c>
    </row>
    <row r="41" spans="1:11" hidden="1" x14ac:dyDescent="0.2">
      <c r="A41" s="1929" t="s">
        <v>5226</v>
      </c>
      <c r="B41" s="1929" t="s">
        <v>1217</v>
      </c>
      <c r="C41" s="1929" t="s">
        <v>1252</v>
      </c>
      <c r="D41" s="1929" t="s">
        <v>303</v>
      </c>
      <c r="E41" s="1929" t="s">
        <v>30</v>
      </c>
      <c r="F41" s="1929">
        <v>6.4</v>
      </c>
      <c r="G41" s="1929">
        <v>13.3</v>
      </c>
      <c r="H41" s="1929">
        <v>0.4</v>
      </c>
      <c r="I41" s="1929">
        <v>55</v>
      </c>
      <c r="J41" s="1929">
        <v>809</v>
      </c>
      <c r="K41" s="1929" t="s">
        <v>5225</v>
      </c>
    </row>
    <row r="42" spans="1:11" hidden="1" x14ac:dyDescent="0.2">
      <c r="A42" s="1929" t="s">
        <v>5224</v>
      </c>
      <c r="B42" s="1929" t="s">
        <v>1234</v>
      </c>
      <c r="C42" s="1929" t="s">
        <v>1445</v>
      </c>
      <c r="D42" s="1929" t="s">
        <v>303</v>
      </c>
      <c r="E42" s="1929" t="s">
        <v>30</v>
      </c>
      <c r="F42" s="1929">
        <v>7.7</v>
      </c>
      <c r="G42" s="1929">
        <v>14.9</v>
      </c>
      <c r="H42" s="1929">
        <v>0.6</v>
      </c>
      <c r="I42" s="1929">
        <v>17</v>
      </c>
      <c r="J42" s="1929">
        <v>841</v>
      </c>
      <c r="K42" s="1929" t="s">
        <v>5223</v>
      </c>
    </row>
    <row r="43" spans="1:11" hidden="1" x14ac:dyDescent="0.2">
      <c r="A43" s="1929" t="s">
        <v>5222</v>
      </c>
      <c r="B43" s="1929" t="s">
        <v>1217</v>
      </c>
      <c r="C43" s="1929" t="s">
        <v>1252</v>
      </c>
      <c r="D43" s="1929" t="s">
        <v>303</v>
      </c>
      <c r="E43" s="1929" t="s">
        <v>30</v>
      </c>
      <c r="F43" s="1929">
        <v>4.0999999999999996</v>
      </c>
      <c r="G43" s="1929">
        <v>8.5</v>
      </c>
      <c r="H43" s="1929">
        <v>0.4</v>
      </c>
      <c r="I43" s="1929">
        <v>40</v>
      </c>
      <c r="J43" s="1929">
        <v>1108</v>
      </c>
      <c r="K43" s="1929" t="s">
        <v>5221</v>
      </c>
    </row>
    <row r="44" spans="1:11" hidden="1" x14ac:dyDescent="0.2">
      <c r="A44" s="1929" t="s">
        <v>5220</v>
      </c>
      <c r="B44" s="1929" t="s">
        <v>1310</v>
      </c>
      <c r="C44" s="1929" t="s">
        <v>1309</v>
      </c>
      <c r="D44" s="1929" t="s">
        <v>303</v>
      </c>
      <c r="E44" s="1929" t="s">
        <v>30</v>
      </c>
      <c r="F44" s="1929">
        <v>7.2</v>
      </c>
      <c r="G44" s="1929">
        <v>4.3</v>
      </c>
      <c r="H44" s="1929">
        <v>0.8</v>
      </c>
      <c r="I44" s="1929">
        <v>17.600000000000001</v>
      </c>
      <c r="J44" s="1929">
        <v>1151</v>
      </c>
      <c r="K44" s="1929" t="s">
        <v>5219</v>
      </c>
    </row>
    <row r="45" spans="1:11" hidden="1" x14ac:dyDescent="0.2">
      <c r="A45" s="1929" t="s">
        <v>5218</v>
      </c>
      <c r="B45" s="1929" t="s">
        <v>1238</v>
      </c>
      <c r="C45" s="1929" t="s">
        <v>1241</v>
      </c>
      <c r="D45" s="1929" t="s">
        <v>303</v>
      </c>
      <c r="E45" s="1929" t="s">
        <v>30</v>
      </c>
      <c r="F45" s="1929">
        <v>2.7</v>
      </c>
      <c r="G45" s="1929">
        <v>16.5</v>
      </c>
      <c r="H45" s="1929">
        <v>0.2</v>
      </c>
      <c r="I45" s="1929">
        <v>13.9</v>
      </c>
      <c r="J45" s="1929">
        <v>1425</v>
      </c>
      <c r="K45" s="1929" t="s">
        <v>5217</v>
      </c>
    </row>
    <row r="46" spans="1:11" hidden="1" x14ac:dyDescent="0.2">
      <c r="A46" s="1929" t="s">
        <v>5216</v>
      </c>
      <c r="B46" s="1929" t="s">
        <v>1217</v>
      </c>
      <c r="C46" s="1929" t="s">
        <v>1216</v>
      </c>
      <c r="D46" s="1929" t="s">
        <v>303</v>
      </c>
      <c r="E46" s="1929" t="s">
        <v>30</v>
      </c>
      <c r="F46" s="1929">
        <v>0.3</v>
      </c>
      <c r="G46" s="1929">
        <v>1.3</v>
      </c>
      <c r="H46" s="1929">
        <v>-0.5</v>
      </c>
      <c r="I46" s="1929">
        <v>31.6</v>
      </c>
      <c r="J46" s="1929">
        <v>1886</v>
      </c>
      <c r="K46" s="1929" t="s">
        <v>5215</v>
      </c>
    </row>
    <row r="47" spans="1:11" hidden="1" x14ac:dyDescent="0.2">
      <c r="A47" s="1929" t="s">
        <v>5214</v>
      </c>
      <c r="B47" s="1929" t="s">
        <v>1238</v>
      </c>
      <c r="C47" s="1929" t="s">
        <v>1609</v>
      </c>
      <c r="D47" s="1929" t="s">
        <v>303</v>
      </c>
      <c r="E47" s="1929" t="s">
        <v>30</v>
      </c>
      <c r="F47" s="1929">
        <v>6.5</v>
      </c>
      <c r="G47" s="1929">
        <v>7.6</v>
      </c>
      <c r="H47" s="1929">
        <v>0.1</v>
      </c>
      <c r="I47" s="1929">
        <v>7.7</v>
      </c>
      <c r="J47" s="1929">
        <v>1924</v>
      </c>
      <c r="K47" s="1929" t="s">
        <v>5213</v>
      </c>
    </row>
    <row r="48" spans="1:11" hidden="1" x14ac:dyDescent="0.2">
      <c r="A48" s="1929" t="s">
        <v>5212</v>
      </c>
      <c r="B48" s="1929" t="s">
        <v>1217</v>
      </c>
      <c r="C48" s="1929" t="s">
        <v>1216</v>
      </c>
      <c r="D48" s="1929" t="s">
        <v>1013</v>
      </c>
      <c r="E48" s="1929" t="s">
        <v>78</v>
      </c>
      <c r="F48" s="1929">
        <v>4.7</v>
      </c>
      <c r="G48" s="1929">
        <v>1.3</v>
      </c>
      <c r="H48" s="1929">
        <v>0.6</v>
      </c>
      <c r="I48" s="1929">
        <v>32.700000000000003</v>
      </c>
      <c r="J48" s="1929">
        <v>1322</v>
      </c>
      <c r="K48" s="1929" t="s">
        <v>5211</v>
      </c>
    </row>
    <row r="49" spans="1:11" hidden="1" x14ac:dyDescent="0.2">
      <c r="A49" s="1929" t="s">
        <v>5210</v>
      </c>
      <c r="B49" s="1929" t="s">
        <v>1217</v>
      </c>
      <c r="C49" s="1929" t="s">
        <v>1216</v>
      </c>
      <c r="D49" s="1929" t="s">
        <v>1013</v>
      </c>
      <c r="E49" s="1929" t="s">
        <v>78</v>
      </c>
      <c r="F49" s="1929">
        <v>1.6</v>
      </c>
      <c r="G49" s="1929">
        <v>1.4</v>
      </c>
      <c r="H49" s="1929">
        <v>0.2</v>
      </c>
      <c r="I49" s="1929">
        <v>26.5</v>
      </c>
      <c r="J49" s="1929">
        <v>1991</v>
      </c>
      <c r="K49" s="1929" t="s">
        <v>5209</v>
      </c>
    </row>
    <row r="50" spans="1:11" hidden="1" x14ac:dyDescent="0.2">
      <c r="A50" s="1929" t="s">
        <v>5208</v>
      </c>
      <c r="B50" s="1929" t="s">
        <v>1306</v>
      </c>
      <c r="C50" s="1929" t="s">
        <v>1413</v>
      </c>
      <c r="D50" s="1929" t="s">
        <v>303</v>
      </c>
      <c r="E50" s="1929" t="s">
        <v>31</v>
      </c>
      <c r="F50" s="1929">
        <v>171.2</v>
      </c>
      <c r="G50" s="1929">
        <v>43.2</v>
      </c>
      <c r="H50" s="1929">
        <v>14.5</v>
      </c>
      <c r="I50" s="1929">
        <v>141.69999999999999</v>
      </c>
      <c r="J50" s="1929">
        <v>64</v>
      </c>
      <c r="K50" s="1929" t="s">
        <v>5207</v>
      </c>
    </row>
    <row r="51" spans="1:11" hidden="1" x14ac:dyDescent="0.2">
      <c r="A51" s="1929" t="s">
        <v>5206</v>
      </c>
      <c r="B51" s="1929" t="s">
        <v>1217</v>
      </c>
      <c r="C51" s="1929" t="s">
        <v>2291</v>
      </c>
      <c r="D51" s="1929" t="s">
        <v>303</v>
      </c>
      <c r="E51" s="1929" t="s">
        <v>31</v>
      </c>
      <c r="F51" s="1929">
        <v>26.3</v>
      </c>
      <c r="G51" s="1929">
        <v>17.2</v>
      </c>
      <c r="H51" s="1929">
        <v>1.3</v>
      </c>
      <c r="I51" s="1929">
        <v>338.8</v>
      </c>
      <c r="J51" s="1929">
        <v>260</v>
      </c>
      <c r="K51" s="1929" t="s">
        <v>5205</v>
      </c>
    </row>
    <row r="52" spans="1:11" hidden="1" x14ac:dyDescent="0.2">
      <c r="A52" s="1929" t="s">
        <v>5204</v>
      </c>
      <c r="B52" s="1929" t="s">
        <v>1234</v>
      </c>
      <c r="C52" s="1929" t="s">
        <v>1461</v>
      </c>
      <c r="D52" s="1929" t="s">
        <v>303</v>
      </c>
      <c r="E52" s="1929" t="s">
        <v>31</v>
      </c>
      <c r="F52" s="1929">
        <v>13.4</v>
      </c>
      <c r="G52" s="1929">
        <v>15.1</v>
      </c>
      <c r="H52" s="1929">
        <v>0.4</v>
      </c>
      <c r="I52" s="1929">
        <v>25.4</v>
      </c>
      <c r="J52" s="1929">
        <v>737</v>
      </c>
      <c r="K52" s="1929" t="s">
        <v>5203</v>
      </c>
    </row>
    <row r="53" spans="1:11" hidden="1" x14ac:dyDescent="0.2">
      <c r="A53" s="1929" t="s">
        <v>5202</v>
      </c>
      <c r="B53" s="1929" t="s">
        <v>1249</v>
      </c>
      <c r="C53" s="1929" t="s">
        <v>1248</v>
      </c>
      <c r="D53" s="1929" t="s">
        <v>303</v>
      </c>
      <c r="E53" s="1929" t="s">
        <v>31</v>
      </c>
      <c r="F53" s="1929">
        <v>10.7</v>
      </c>
      <c r="G53" s="1929">
        <v>8.3000000000000007</v>
      </c>
      <c r="H53" s="1929">
        <v>0.8</v>
      </c>
      <c r="I53" s="1929">
        <v>11.6</v>
      </c>
      <c r="J53" s="1929">
        <v>905</v>
      </c>
      <c r="K53" s="1929" t="s">
        <v>5201</v>
      </c>
    </row>
    <row r="54" spans="1:11" hidden="1" x14ac:dyDescent="0.2">
      <c r="A54" s="1929" t="s">
        <v>5200</v>
      </c>
      <c r="B54" s="1929" t="s">
        <v>1217</v>
      </c>
      <c r="C54" s="1929" t="s">
        <v>2291</v>
      </c>
      <c r="D54" s="1929" t="s">
        <v>303</v>
      </c>
      <c r="E54" s="1929" t="s">
        <v>31</v>
      </c>
      <c r="F54" s="1929">
        <v>0.1</v>
      </c>
      <c r="G54" s="1929">
        <v>20.2</v>
      </c>
      <c r="H54" s="1929">
        <v>-1.4</v>
      </c>
      <c r="I54" s="1929">
        <v>307.8</v>
      </c>
      <c r="J54" s="1929">
        <v>932</v>
      </c>
      <c r="K54" s="1929" t="s">
        <v>5199</v>
      </c>
    </row>
    <row r="55" spans="1:11" hidden="1" x14ac:dyDescent="0.2">
      <c r="A55" s="1929" t="s">
        <v>5198</v>
      </c>
      <c r="B55" s="1929" t="s">
        <v>1217</v>
      </c>
      <c r="C55" s="1929" t="s">
        <v>2291</v>
      </c>
      <c r="D55" s="1929" t="s">
        <v>303</v>
      </c>
      <c r="E55" s="1929" t="s">
        <v>31</v>
      </c>
      <c r="F55" s="1929">
        <v>1.9</v>
      </c>
      <c r="G55" s="1929">
        <v>2.9</v>
      </c>
      <c r="H55" s="1929">
        <v>1.7</v>
      </c>
      <c r="I55" s="1929">
        <v>144.69999999999999</v>
      </c>
      <c r="J55" s="1929">
        <v>934</v>
      </c>
      <c r="K55" s="1929" t="s">
        <v>5197</v>
      </c>
    </row>
    <row r="56" spans="1:11" hidden="1" x14ac:dyDescent="0.2">
      <c r="A56" s="1929" t="s">
        <v>5196</v>
      </c>
      <c r="B56" s="1929" t="s">
        <v>1306</v>
      </c>
      <c r="C56" s="1929" t="s">
        <v>1392</v>
      </c>
      <c r="D56" s="1929" t="s">
        <v>303</v>
      </c>
      <c r="E56" s="1929" t="s">
        <v>31</v>
      </c>
      <c r="F56" s="1929">
        <v>7.3</v>
      </c>
      <c r="G56" s="1929">
        <v>28.5</v>
      </c>
      <c r="H56" s="1929">
        <v>0.2</v>
      </c>
      <c r="I56" s="1929">
        <v>16</v>
      </c>
      <c r="J56" s="1929">
        <v>1059</v>
      </c>
      <c r="K56" s="1929" t="s">
        <v>5195</v>
      </c>
    </row>
    <row r="57" spans="1:11" hidden="1" x14ac:dyDescent="0.2">
      <c r="A57" s="1929" t="s">
        <v>5194</v>
      </c>
      <c r="B57" s="1929" t="s">
        <v>1306</v>
      </c>
      <c r="C57" s="1929" t="s">
        <v>1392</v>
      </c>
      <c r="D57" s="1929" t="s">
        <v>303</v>
      </c>
      <c r="E57" s="1929" t="s">
        <v>31</v>
      </c>
      <c r="F57" s="1929">
        <v>8.9</v>
      </c>
      <c r="G57" s="1929">
        <v>11.1</v>
      </c>
      <c r="H57" s="1929">
        <v>0.5</v>
      </c>
      <c r="I57" s="1929">
        <v>4.9000000000000004</v>
      </c>
      <c r="J57" s="1929">
        <v>1139</v>
      </c>
      <c r="K57" s="1929" t="s">
        <v>5193</v>
      </c>
    </row>
    <row r="58" spans="1:11" hidden="1" x14ac:dyDescent="0.2">
      <c r="A58" s="1929" t="s">
        <v>5192</v>
      </c>
      <c r="B58" s="1929" t="s">
        <v>1269</v>
      </c>
      <c r="C58" s="1929" t="s">
        <v>1504</v>
      </c>
      <c r="D58" s="1929" t="s">
        <v>303</v>
      </c>
      <c r="E58" s="1929" t="s">
        <v>31</v>
      </c>
      <c r="F58" s="1929">
        <v>15.3</v>
      </c>
      <c r="G58" s="1929">
        <v>4.5</v>
      </c>
      <c r="H58" s="1929">
        <v>0.3</v>
      </c>
      <c r="I58" s="1929">
        <v>13.7</v>
      </c>
      <c r="J58" s="1929">
        <v>1383</v>
      </c>
      <c r="K58" s="1929" t="s">
        <v>5191</v>
      </c>
    </row>
    <row r="59" spans="1:11" hidden="1" x14ac:dyDescent="0.2">
      <c r="A59" s="1929" t="s">
        <v>5190</v>
      </c>
      <c r="B59" s="1929" t="s">
        <v>1234</v>
      </c>
      <c r="C59" s="1929" t="s">
        <v>1337</v>
      </c>
      <c r="D59" s="1929" t="s">
        <v>303</v>
      </c>
      <c r="E59" s="1929" t="s">
        <v>31</v>
      </c>
      <c r="F59" s="1929">
        <v>5.6</v>
      </c>
      <c r="G59" s="1929">
        <v>13</v>
      </c>
      <c r="H59" s="1929">
        <v>0.2</v>
      </c>
      <c r="I59" s="1929">
        <v>4.8</v>
      </c>
      <c r="J59" s="1929">
        <v>1736</v>
      </c>
      <c r="K59" s="1929" t="s">
        <v>5189</v>
      </c>
    </row>
    <row r="60" spans="1:11" hidden="1" x14ac:dyDescent="0.2">
      <c r="A60" s="1929" t="s">
        <v>5188</v>
      </c>
      <c r="B60" s="1929" t="s">
        <v>1217</v>
      </c>
      <c r="C60" s="1929" t="s">
        <v>1368</v>
      </c>
      <c r="D60" s="1929" t="s">
        <v>303</v>
      </c>
      <c r="E60" s="1929" t="s">
        <v>31</v>
      </c>
      <c r="F60" s="1929">
        <v>4.2</v>
      </c>
      <c r="G60" s="1929">
        <v>0.9</v>
      </c>
      <c r="H60" s="1929">
        <v>0.4</v>
      </c>
      <c r="I60" s="1929">
        <v>15</v>
      </c>
      <c r="J60" s="1929">
        <v>1897</v>
      </c>
      <c r="K60" s="1929" t="s">
        <v>5187</v>
      </c>
    </row>
    <row r="61" spans="1:11" x14ac:dyDescent="0.2">
      <c r="A61" s="1929" t="s">
        <v>5186</v>
      </c>
      <c r="B61" s="1929" t="s">
        <v>1258</v>
      </c>
      <c r="C61" s="1929" t="s">
        <v>1257</v>
      </c>
      <c r="D61" s="1929" t="s">
        <v>1226</v>
      </c>
      <c r="E61" s="1929" t="s">
        <v>81</v>
      </c>
      <c r="F61" s="1929">
        <v>16.399999999999999</v>
      </c>
      <c r="G61" s="1929">
        <v>5.3</v>
      </c>
      <c r="H61" s="1929">
        <v>2.7</v>
      </c>
      <c r="I61" s="1929">
        <v>26.3</v>
      </c>
      <c r="J61" s="1929">
        <v>628</v>
      </c>
      <c r="K61" s="1929" t="s">
        <v>5185</v>
      </c>
    </row>
    <row r="62" spans="1:11" x14ac:dyDescent="0.2">
      <c r="A62" s="1929" t="s">
        <v>5184</v>
      </c>
      <c r="B62" s="1929" t="s">
        <v>1217</v>
      </c>
      <c r="C62" s="1929" t="s">
        <v>1252</v>
      </c>
      <c r="D62" s="1929" t="s">
        <v>1226</v>
      </c>
      <c r="E62" s="1929" t="s">
        <v>81</v>
      </c>
      <c r="F62" s="1929">
        <v>8.6</v>
      </c>
      <c r="G62" s="1929">
        <v>5.3</v>
      </c>
      <c r="H62" s="1929">
        <v>1.2</v>
      </c>
      <c r="I62" s="1929">
        <v>19.8</v>
      </c>
      <c r="J62" s="1929">
        <v>886</v>
      </c>
      <c r="K62" s="1929" t="s">
        <v>5183</v>
      </c>
    </row>
    <row r="63" spans="1:11" x14ac:dyDescent="0.2">
      <c r="A63" s="1929" t="s">
        <v>5182</v>
      </c>
      <c r="B63" s="1929" t="s">
        <v>1217</v>
      </c>
      <c r="C63" s="1929" t="s">
        <v>1252</v>
      </c>
      <c r="D63" s="1929" t="s">
        <v>1226</v>
      </c>
      <c r="E63" s="1929" t="s">
        <v>81</v>
      </c>
      <c r="F63" s="1929">
        <v>5.2</v>
      </c>
      <c r="G63" s="1929">
        <v>5.8</v>
      </c>
      <c r="H63" s="1929">
        <v>0.7</v>
      </c>
      <c r="I63" s="1929">
        <v>23</v>
      </c>
      <c r="J63" s="1929">
        <v>1134</v>
      </c>
      <c r="K63" s="1929" t="s">
        <v>5181</v>
      </c>
    </row>
    <row r="64" spans="1:11" x14ac:dyDescent="0.2">
      <c r="A64" s="1929" t="s">
        <v>5180</v>
      </c>
      <c r="B64" s="1929" t="s">
        <v>1217</v>
      </c>
      <c r="C64" s="1929" t="s">
        <v>1563</v>
      </c>
      <c r="D64" s="1929" t="s">
        <v>1226</v>
      </c>
      <c r="E64" s="1929" t="s">
        <v>81</v>
      </c>
      <c r="F64" s="1929">
        <v>7.7</v>
      </c>
      <c r="G64" s="1929">
        <v>3.5</v>
      </c>
      <c r="H64" s="1929">
        <v>0.7</v>
      </c>
      <c r="I64" s="1929">
        <v>19.600000000000001</v>
      </c>
      <c r="J64" s="1929">
        <v>1149</v>
      </c>
      <c r="K64" s="1929" t="s">
        <v>5179</v>
      </c>
    </row>
    <row r="65" spans="1:11" x14ac:dyDescent="0.2">
      <c r="A65" s="1929" t="s">
        <v>5178</v>
      </c>
      <c r="B65" s="1929" t="s">
        <v>1217</v>
      </c>
      <c r="C65" s="1929" t="s">
        <v>1252</v>
      </c>
      <c r="D65" s="1929" t="s">
        <v>1226</v>
      </c>
      <c r="E65" s="1929" t="s">
        <v>81</v>
      </c>
      <c r="F65" s="1929">
        <v>5.0999999999999996</v>
      </c>
      <c r="G65" s="1929">
        <v>4.2</v>
      </c>
      <c r="H65" s="1929">
        <v>0.7</v>
      </c>
      <c r="I65" s="1929">
        <v>17.8</v>
      </c>
      <c r="J65" s="1929">
        <v>1391</v>
      </c>
      <c r="K65" s="1929" t="s">
        <v>5177</v>
      </c>
    </row>
    <row r="66" spans="1:11" x14ac:dyDescent="0.2">
      <c r="A66" s="1929" t="s">
        <v>5176</v>
      </c>
      <c r="B66" s="1929" t="s">
        <v>1217</v>
      </c>
      <c r="C66" s="1929" t="s">
        <v>1252</v>
      </c>
      <c r="D66" s="1929" t="s">
        <v>1226</v>
      </c>
      <c r="E66" s="1929" t="s">
        <v>81</v>
      </c>
      <c r="F66" s="1929">
        <v>4.7</v>
      </c>
      <c r="G66" s="1929">
        <v>1.2</v>
      </c>
      <c r="H66" s="1929">
        <v>0.8</v>
      </c>
      <c r="I66" s="1929">
        <v>16.100000000000001</v>
      </c>
      <c r="J66" s="1929">
        <v>1453</v>
      </c>
      <c r="K66" s="1929" t="s">
        <v>5175</v>
      </c>
    </row>
    <row r="67" spans="1:11" x14ac:dyDescent="0.2">
      <c r="A67" s="1929" t="s">
        <v>5174</v>
      </c>
      <c r="B67" s="1929" t="s">
        <v>1258</v>
      </c>
      <c r="C67" s="1929" t="s">
        <v>1257</v>
      </c>
      <c r="D67" s="1929" t="s">
        <v>1226</v>
      </c>
      <c r="E67" s="1929" t="s">
        <v>81</v>
      </c>
      <c r="F67" s="1929">
        <v>7.3</v>
      </c>
      <c r="G67" s="1929">
        <v>6.2</v>
      </c>
      <c r="H67" s="1929">
        <v>0.1</v>
      </c>
      <c r="I67" s="1929">
        <v>12.2</v>
      </c>
      <c r="J67" s="1929">
        <v>1631</v>
      </c>
      <c r="K67" s="1929" t="s">
        <v>5173</v>
      </c>
    </row>
    <row r="68" spans="1:11" x14ac:dyDescent="0.2">
      <c r="A68" s="1929" t="s">
        <v>5172</v>
      </c>
      <c r="B68" s="1929" t="s">
        <v>1217</v>
      </c>
      <c r="C68" s="1929" t="s">
        <v>1563</v>
      </c>
      <c r="D68" s="1929" t="s">
        <v>1226</v>
      </c>
      <c r="E68" s="1929" t="s">
        <v>81</v>
      </c>
      <c r="F68" s="1929">
        <v>3.2</v>
      </c>
      <c r="G68" s="1929">
        <v>4.0999999999999996</v>
      </c>
      <c r="H68" s="1929">
        <v>0.4</v>
      </c>
      <c r="I68" s="1929">
        <v>14.2</v>
      </c>
      <c r="J68" s="1929">
        <v>1854</v>
      </c>
      <c r="K68" s="1929" t="s">
        <v>5171</v>
      </c>
    </row>
    <row r="69" spans="1:11" x14ac:dyDescent="0.2">
      <c r="A69" s="1929" t="s">
        <v>5170</v>
      </c>
      <c r="B69" s="1929" t="s">
        <v>1228</v>
      </c>
      <c r="C69" s="1929" t="s">
        <v>1297</v>
      </c>
      <c r="D69" s="1929" t="s">
        <v>1226</v>
      </c>
      <c r="E69" s="1929" t="s">
        <v>81</v>
      </c>
      <c r="F69" s="1929">
        <v>8.6</v>
      </c>
      <c r="G69" s="1929">
        <v>4.2</v>
      </c>
      <c r="H69" s="1929">
        <v>0.4</v>
      </c>
      <c r="I69" s="1929">
        <v>4</v>
      </c>
      <c r="J69" s="1929">
        <v>1858</v>
      </c>
      <c r="K69" s="1929" t="s">
        <v>5169</v>
      </c>
    </row>
    <row r="70" spans="1:11" hidden="1" x14ac:dyDescent="0.2">
      <c r="A70" s="1929" t="s">
        <v>5168</v>
      </c>
      <c r="B70" s="1929" t="s">
        <v>1258</v>
      </c>
      <c r="C70" s="1929" t="s">
        <v>1263</v>
      </c>
      <c r="D70" s="1929" t="s">
        <v>274</v>
      </c>
      <c r="E70" s="1929" t="s">
        <v>65</v>
      </c>
      <c r="F70" s="1929">
        <v>86.8</v>
      </c>
      <c r="G70" s="1929">
        <v>141.19999999999999</v>
      </c>
      <c r="H70" s="1929">
        <v>10.9</v>
      </c>
      <c r="I70" s="1929">
        <v>319.2</v>
      </c>
      <c r="J70" s="1929">
        <v>30</v>
      </c>
      <c r="K70" s="1929" t="s">
        <v>5167</v>
      </c>
    </row>
    <row r="71" spans="1:11" hidden="1" x14ac:dyDescent="0.2">
      <c r="A71" s="1929" t="s">
        <v>5166</v>
      </c>
      <c r="B71" s="1929" t="s">
        <v>1217</v>
      </c>
      <c r="C71" s="1929" t="s">
        <v>2291</v>
      </c>
      <c r="D71" s="1929" t="s">
        <v>274</v>
      </c>
      <c r="E71" s="1929" t="s">
        <v>65</v>
      </c>
      <c r="F71" s="1929">
        <v>74.900000000000006</v>
      </c>
      <c r="G71" s="1929">
        <v>67.2</v>
      </c>
      <c r="H71" s="1929">
        <v>7.6</v>
      </c>
      <c r="I71" s="1929">
        <v>435.4</v>
      </c>
      <c r="J71" s="1929">
        <v>46</v>
      </c>
      <c r="K71" s="1929" t="s">
        <v>5165</v>
      </c>
    </row>
    <row r="72" spans="1:11" hidden="1" x14ac:dyDescent="0.2">
      <c r="A72" s="1929" t="s">
        <v>5164</v>
      </c>
      <c r="B72" s="1929" t="s">
        <v>1217</v>
      </c>
      <c r="C72" s="1929" t="s">
        <v>1216</v>
      </c>
      <c r="D72" s="1929" t="s">
        <v>274</v>
      </c>
      <c r="E72" s="1929" t="s">
        <v>65</v>
      </c>
      <c r="F72" s="1929">
        <v>58.5</v>
      </c>
      <c r="G72" s="1929">
        <v>74.099999999999994</v>
      </c>
      <c r="H72" s="1929">
        <v>5.6</v>
      </c>
      <c r="I72" s="1929">
        <v>384.9</v>
      </c>
      <c r="J72" s="1929">
        <v>63</v>
      </c>
      <c r="K72" s="1929" t="s">
        <v>5163</v>
      </c>
    </row>
    <row r="73" spans="1:11" hidden="1" x14ac:dyDescent="0.2">
      <c r="A73" s="1929" t="s">
        <v>5162</v>
      </c>
      <c r="B73" s="1929" t="s">
        <v>1217</v>
      </c>
      <c r="C73" s="1929" t="s">
        <v>2291</v>
      </c>
      <c r="D73" s="1929" t="s">
        <v>274</v>
      </c>
      <c r="E73" s="1929" t="s">
        <v>65</v>
      </c>
      <c r="F73" s="1929">
        <v>28.3</v>
      </c>
      <c r="G73" s="1929">
        <v>68.599999999999994</v>
      </c>
      <c r="H73" s="1929">
        <v>7.3</v>
      </c>
      <c r="I73" s="1929">
        <v>552.70000000000005</v>
      </c>
      <c r="J73" s="1929">
        <v>104</v>
      </c>
      <c r="K73" s="1929" t="s">
        <v>5161</v>
      </c>
    </row>
    <row r="74" spans="1:11" hidden="1" x14ac:dyDescent="0.2">
      <c r="A74" s="1929" t="s">
        <v>5160</v>
      </c>
      <c r="B74" s="1929" t="s">
        <v>1234</v>
      </c>
      <c r="C74" s="1929" t="s">
        <v>1445</v>
      </c>
      <c r="D74" s="1929" t="s">
        <v>274</v>
      </c>
      <c r="E74" s="1929" t="s">
        <v>65</v>
      </c>
      <c r="F74" s="1929">
        <v>71.400000000000006</v>
      </c>
      <c r="G74" s="1929">
        <v>47.6</v>
      </c>
      <c r="H74" s="1929">
        <v>0.1</v>
      </c>
      <c r="I74" s="1929">
        <v>123.7</v>
      </c>
      <c r="J74" s="1929">
        <v>442</v>
      </c>
      <c r="K74" s="1929" t="s">
        <v>5159</v>
      </c>
    </row>
    <row r="75" spans="1:11" hidden="1" x14ac:dyDescent="0.2">
      <c r="A75" s="1929" t="s">
        <v>5158</v>
      </c>
      <c r="B75" s="1929" t="s">
        <v>1306</v>
      </c>
      <c r="C75" s="1929" t="s">
        <v>1305</v>
      </c>
      <c r="D75" s="1929" t="s">
        <v>274</v>
      </c>
      <c r="E75" s="1929" t="s">
        <v>65</v>
      </c>
      <c r="F75" s="1929">
        <v>9.6</v>
      </c>
      <c r="G75" s="1929">
        <v>43</v>
      </c>
      <c r="H75" s="1929">
        <v>0.4</v>
      </c>
      <c r="I75" s="1929">
        <v>29.1</v>
      </c>
      <c r="J75" s="1929">
        <v>637</v>
      </c>
      <c r="K75" s="1929" t="s">
        <v>5157</v>
      </c>
    </row>
    <row r="76" spans="1:11" hidden="1" x14ac:dyDescent="0.2">
      <c r="A76" s="1929" t="s">
        <v>5156</v>
      </c>
      <c r="B76" s="1929" t="s">
        <v>1306</v>
      </c>
      <c r="C76" s="1929" t="s">
        <v>1392</v>
      </c>
      <c r="D76" s="1929" t="s">
        <v>274</v>
      </c>
      <c r="E76" s="1929" t="s">
        <v>65</v>
      </c>
      <c r="F76" s="1929">
        <v>11.7</v>
      </c>
      <c r="G76" s="1929">
        <v>26.7</v>
      </c>
      <c r="H76" s="1929">
        <v>0.5</v>
      </c>
      <c r="I76" s="1929">
        <v>16.100000000000001</v>
      </c>
      <c r="J76" s="1929">
        <v>710</v>
      </c>
      <c r="K76" s="1929" t="s">
        <v>5155</v>
      </c>
    </row>
    <row r="77" spans="1:11" hidden="1" x14ac:dyDescent="0.2">
      <c r="A77" s="1929" t="s">
        <v>5154</v>
      </c>
      <c r="B77" s="1929" t="s">
        <v>1306</v>
      </c>
      <c r="C77" s="1929" t="s">
        <v>1305</v>
      </c>
      <c r="D77" s="1929" t="s">
        <v>274</v>
      </c>
      <c r="E77" s="1929" t="s">
        <v>65</v>
      </c>
      <c r="F77" s="1929">
        <v>17.5</v>
      </c>
      <c r="G77" s="1929">
        <v>14.1</v>
      </c>
      <c r="H77" s="1929">
        <v>0.5</v>
      </c>
      <c r="I77" s="1929">
        <v>13.7</v>
      </c>
      <c r="J77" s="1929">
        <v>751</v>
      </c>
      <c r="K77" s="1929" t="s">
        <v>5153</v>
      </c>
    </row>
    <row r="78" spans="1:11" hidden="1" x14ac:dyDescent="0.2">
      <c r="A78" s="1929" t="s">
        <v>5152</v>
      </c>
      <c r="B78" s="1929" t="s">
        <v>1238</v>
      </c>
      <c r="C78" s="1929" t="s">
        <v>1878</v>
      </c>
      <c r="D78" s="1929" t="s">
        <v>274</v>
      </c>
      <c r="E78" s="1929" t="s">
        <v>65</v>
      </c>
      <c r="F78" s="1929">
        <v>22.8</v>
      </c>
      <c r="G78" s="1929">
        <v>2.6</v>
      </c>
      <c r="H78" s="1929">
        <v>2.6</v>
      </c>
      <c r="I78" s="1929">
        <v>17.8</v>
      </c>
      <c r="J78" s="1929">
        <v>755</v>
      </c>
      <c r="K78" s="1929" t="s">
        <v>5151</v>
      </c>
    </row>
    <row r="79" spans="1:11" hidden="1" x14ac:dyDescent="0.2">
      <c r="A79" s="1929" t="s">
        <v>5150</v>
      </c>
      <c r="B79" s="1929" t="s">
        <v>1249</v>
      </c>
      <c r="C79" s="1929" t="s">
        <v>1248</v>
      </c>
      <c r="D79" s="1929" t="s">
        <v>274</v>
      </c>
      <c r="E79" s="1929" t="s">
        <v>65</v>
      </c>
      <c r="F79" s="1929">
        <v>2.2999999999999998</v>
      </c>
      <c r="G79" s="1929">
        <v>13.2</v>
      </c>
      <c r="H79" s="1929">
        <v>0.7</v>
      </c>
      <c r="I79" s="1929">
        <v>29.7</v>
      </c>
      <c r="J79" s="1929">
        <v>872</v>
      </c>
      <c r="K79" s="1929" t="s">
        <v>5149</v>
      </c>
    </row>
    <row r="80" spans="1:11" hidden="1" x14ac:dyDescent="0.2">
      <c r="A80" s="1929" t="s">
        <v>5148</v>
      </c>
      <c r="B80" s="1929" t="s">
        <v>1310</v>
      </c>
      <c r="C80" s="1929" t="s">
        <v>1309</v>
      </c>
      <c r="D80" s="1929" t="s">
        <v>274</v>
      </c>
      <c r="E80" s="1929" t="s">
        <v>65</v>
      </c>
      <c r="F80" s="1929">
        <v>8.6999999999999993</v>
      </c>
      <c r="G80" s="1929">
        <v>6.8</v>
      </c>
      <c r="H80" s="1929">
        <v>1.4</v>
      </c>
      <c r="I80" s="1929">
        <v>12.6</v>
      </c>
      <c r="J80" s="1929">
        <v>914</v>
      </c>
      <c r="K80" s="1929" t="s">
        <v>5147</v>
      </c>
    </row>
    <row r="81" spans="1:11" hidden="1" x14ac:dyDescent="0.2">
      <c r="A81" s="1929" t="s">
        <v>5146</v>
      </c>
      <c r="B81" s="1929" t="s">
        <v>1228</v>
      </c>
      <c r="C81" s="1929" t="s">
        <v>1227</v>
      </c>
      <c r="D81" s="1929" t="s">
        <v>274</v>
      </c>
      <c r="E81" s="1929" t="s">
        <v>65</v>
      </c>
      <c r="F81" s="1929">
        <v>25.3</v>
      </c>
      <c r="G81" s="1929">
        <v>3.1</v>
      </c>
      <c r="H81" s="1929">
        <v>1.2</v>
      </c>
      <c r="I81" s="1929">
        <v>5.6</v>
      </c>
      <c r="J81" s="1929">
        <v>1044</v>
      </c>
      <c r="K81" s="1929" t="s">
        <v>5145</v>
      </c>
    </row>
    <row r="82" spans="1:11" hidden="1" x14ac:dyDescent="0.2">
      <c r="A82" s="1929" t="s">
        <v>5144</v>
      </c>
      <c r="B82" s="1929" t="s">
        <v>1310</v>
      </c>
      <c r="C82" s="1929" t="s">
        <v>1309</v>
      </c>
      <c r="D82" s="1929" t="s">
        <v>274</v>
      </c>
      <c r="E82" s="1929" t="s">
        <v>65</v>
      </c>
      <c r="F82" s="1929">
        <v>4.5</v>
      </c>
      <c r="G82" s="1929">
        <v>15.3</v>
      </c>
      <c r="H82" s="1929">
        <v>-2.9</v>
      </c>
      <c r="I82" s="1929">
        <v>58.7</v>
      </c>
      <c r="J82" s="1929">
        <v>1060</v>
      </c>
      <c r="K82" s="1929" t="s">
        <v>5143</v>
      </c>
    </row>
    <row r="83" spans="1:11" hidden="1" x14ac:dyDescent="0.2">
      <c r="A83" s="1929" t="s">
        <v>5142</v>
      </c>
      <c r="B83" s="1929" t="s">
        <v>1310</v>
      </c>
      <c r="C83" s="1929" t="s">
        <v>1552</v>
      </c>
      <c r="D83" s="1929" t="s">
        <v>274</v>
      </c>
      <c r="E83" s="1929" t="s">
        <v>65</v>
      </c>
      <c r="F83" s="1929">
        <v>6.5</v>
      </c>
      <c r="G83" s="1929">
        <v>5.3</v>
      </c>
      <c r="H83" s="1929">
        <v>1</v>
      </c>
      <c r="I83" s="1929">
        <v>12.8</v>
      </c>
      <c r="J83" s="1929">
        <v>1157</v>
      </c>
      <c r="K83" s="1929" t="s">
        <v>5141</v>
      </c>
    </row>
    <row r="84" spans="1:11" hidden="1" x14ac:dyDescent="0.2">
      <c r="A84" s="1929" t="s">
        <v>5140</v>
      </c>
      <c r="B84" s="1929" t="s">
        <v>1310</v>
      </c>
      <c r="C84" s="1929" t="s">
        <v>1309</v>
      </c>
      <c r="D84" s="1929" t="s">
        <v>274</v>
      </c>
      <c r="E84" s="1929" t="s">
        <v>65</v>
      </c>
      <c r="F84" s="1929">
        <v>7.8</v>
      </c>
      <c r="G84" s="1929">
        <v>7.2</v>
      </c>
      <c r="H84" s="1929">
        <v>0.4</v>
      </c>
      <c r="I84" s="1929">
        <v>13.2</v>
      </c>
      <c r="J84" s="1929">
        <v>1166</v>
      </c>
      <c r="K84" s="1929" t="s">
        <v>5139</v>
      </c>
    </row>
    <row r="85" spans="1:11" hidden="1" x14ac:dyDescent="0.2">
      <c r="A85" s="1929" t="s">
        <v>5138</v>
      </c>
      <c r="B85" s="1929" t="s">
        <v>1234</v>
      </c>
      <c r="C85" s="1929" t="s">
        <v>1233</v>
      </c>
      <c r="D85" s="1929" t="s">
        <v>274</v>
      </c>
      <c r="E85" s="1929" t="s">
        <v>65</v>
      </c>
      <c r="F85" s="1929">
        <v>5.3</v>
      </c>
      <c r="G85" s="1929">
        <v>19</v>
      </c>
      <c r="H85" s="1929">
        <v>0.2</v>
      </c>
      <c r="I85" s="1929">
        <v>20.5</v>
      </c>
      <c r="J85" s="1929">
        <v>1179</v>
      </c>
      <c r="K85" s="1929" t="s">
        <v>5137</v>
      </c>
    </row>
    <row r="86" spans="1:11" hidden="1" x14ac:dyDescent="0.2">
      <c r="A86" s="1929" t="s">
        <v>5136</v>
      </c>
      <c r="B86" s="1929" t="s">
        <v>1234</v>
      </c>
      <c r="C86" s="1929" t="s">
        <v>1445</v>
      </c>
      <c r="D86" s="1929" t="s">
        <v>274</v>
      </c>
      <c r="E86" s="1929" t="s">
        <v>65</v>
      </c>
      <c r="F86" s="1929">
        <v>2.9</v>
      </c>
      <c r="G86" s="1929">
        <v>18.5</v>
      </c>
      <c r="H86" s="1929">
        <v>0.2</v>
      </c>
      <c r="I86" s="1929">
        <v>24.8</v>
      </c>
      <c r="J86" s="1929">
        <v>1181</v>
      </c>
      <c r="K86" s="1929" t="s">
        <v>5135</v>
      </c>
    </row>
    <row r="87" spans="1:11" hidden="1" x14ac:dyDescent="0.2">
      <c r="A87" s="1929" t="s">
        <v>5134</v>
      </c>
      <c r="B87" s="1929" t="s">
        <v>1234</v>
      </c>
      <c r="C87" s="1929" t="s">
        <v>1445</v>
      </c>
      <c r="D87" s="1929" t="s">
        <v>274</v>
      </c>
      <c r="E87" s="1929" t="s">
        <v>65</v>
      </c>
      <c r="F87" s="1929">
        <v>6.2</v>
      </c>
      <c r="G87" s="1929">
        <v>8</v>
      </c>
      <c r="H87" s="1929">
        <v>0.2</v>
      </c>
      <c r="I87" s="1929">
        <v>21.4</v>
      </c>
      <c r="J87" s="1929">
        <v>1362</v>
      </c>
      <c r="K87" s="1929" t="s">
        <v>5133</v>
      </c>
    </row>
    <row r="88" spans="1:11" hidden="1" x14ac:dyDescent="0.2">
      <c r="A88" s="1929" t="s">
        <v>5132</v>
      </c>
      <c r="B88" s="1929" t="s">
        <v>1238</v>
      </c>
      <c r="C88" s="1929" t="s">
        <v>1700</v>
      </c>
      <c r="D88" s="1929" t="s">
        <v>274</v>
      </c>
      <c r="E88" s="1929" t="s">
        <v>65</v>
      </c>
      <c r="F88" s="1929">
        <v>13.2</v>
      </c>
      <c r="G88" s="1929">
        <v>2.8</v>
      </c>
      <c r="H88" s="1929">
        <v>0.6</v>
      </c>
      <c r="I88" s="1929">
        <v>5.9</v>
      </c>
      <c r="J88" s="1929">
        <v>1366</v>
      </c>
      <c r="K88" s="1929" t="s">
        <v>5131</v>
      </c>
    </row>
    <row r="89" spans="1:11" hidden="1" x14ac:dyDescent="0.2">
      <c r="A89" s="1929" t="s">
        <v>5130</v>
      </c>
      <c r="B89" s="1929" t="s">
        <v>1217</v>
      </c>
      <c r="C89" s="1929" t="s">
        <v>1368</v>
      </c>
      <c r="D89" s="1929" t="s">
        <v>274</v>
      </c>
      <c r="E89" s="1929" t="s">
        <v>65</v>
      </c>
      <c r="F89" s="1929">
        <v>8.6999999999999993</v>
      </c>
      <c r="G89" s="1929">
        <v>1</v>
      </c>
      <c r="H89" s="1929">
        <v>0.5</v>
      </c>
      <c r="I89" s="1929">
        <v>11</v>
      </c>
      <c r="J89" s="1929">
        <v>1467</v>
      </c>
      <c r="K89" s="1929" t="s">
        <v>5129</v>
      </c>
    </row>
    <row r="90" spans="1:11" hidden="1" x14ac:dyDescent="0.2">
      <c r="A90" s="1929" t="s">
        <v>5128</v>
      </c>
      <c r="B90" s="1929" t="s">
        <v>1306</v>
      </c>
      <c r="C90" s="1929" t="s">
        <v>1305</v>
      </c>
      <c r="D90" s="1929" t="s">
        <v>274</v>
      </c>
      <c r="E90" s="1929" t="s">
        <v>65</v>
      </c>
      <c r="F90" s="1929">
        <v>3.1</v>
      </c>
      <c r="G90" s="1929">
        <v>14.2</v>
      </c>
      <c r="H90" s="1929">
        <v>0.1</v>
      </c>
      <c r="I90" s="1929">
        <v>12.6</v>
      </c>
      <c r="J90" s="1929">
        <v>1529</v>
      </c>
      <c r="K90" s="1929" t="s">
        <v>5127</v>
      </c>
    </row>
    <row r="91" spans="1:11" hidden="1" x14ac:dyDescent="0.2">
      <c r="A91" s="1929" t="s">
        <v>5126</v>
      </c>
      <c r="B91" s="1929" t="s">
        <v>1238</v>
      </c>
      <c r="C91" s="1929" t="s">
        <v>1349</v>
      </c>
      <c r="D91" s="1929" t="s">
        <v>274</v>
      </c>
      <c r="E91" s="1929" t="s">
        <v>65</v>
      </c>
      <c r="F91" s="1929">
        <v>6.6</v>
      </c>
      <c r="G91" s="1929">
        <v>6.3</v>
      </c>
      <c r="H91" s="1929">
        <v>0.4</v>
      </c>
      <c r="I91" s="1929">
        <v>10.1</v>
      </c>
      <c r="J91" s="1929">
        <v>1544</v>
      </c>
      <c r="K91" s="1929" t="s">
        <v>5125</v>
      </c>
    </row>
    <row r="92" spans="1:11" hidden="1" x14ac:dyDescent="0.2">
      <c r="A92" s="1929" t="s">
        <v>5124</v>
      </c>
      <c r="B92" s="1929" t="s">
        <v>1217</v>
      </c>
      <c r="C92" s="1929" t="s">
        <v>1252</v>
      </c>
      <c r="D92" s="1929" t="s">
        <v>274</v>
      </c>
      <c r="E92" s="1929" t="s">
        <v>65</v>
      </c>
      <c r="F92" s="1929">
        <v>4.5999999999999996</v>
      </c>
      <c r="G92" s="1929">
        <v>6.2</v>
      </c>
      <c r="H92" s="1929">
        <v>0.7</v>
      </c>
      <c r="I92" s="1929">
        <v>8.6</v>
      </c>
      <c r="J92" s="1929">
        <v>1585</v>
      </c>
      <c r="K92" s="1929" t="s">
        <v>5123</v>
      </c>
    </row>
    <row r="93" spans="1:11" hidden="1" x14ac:dyDescent="0.2">
      <c r="A93" s="1929" t="s">
        <v>5122</v>
      </c>
      <c r="B93" s="1929" t="s">
        <v>1217</v>
      </c>
      <c r="C93" s="1929" t="s">
        <v>1216</v>
      </c>
      <c r="D93" s="1929" t="s">
        <v>274</v>
      </c>
      <c r="E93" s="1929" t="s">
        <v>65</v>
      </c>
      <c r="F93" s="1929">
        <v>2.2999999999999998</v>
      </c>
      <c r="G93" s="1929">
        <v>3.6</v>
      </c>
      <c r="H93" s="1929">
        <v>0.4</v>
      </c>
      <c r="I93" s="1929">
        <v>22.6</v>
      </c>
      <c r="J93" s="1929">
        <v>1670</v>
      </c>
      <c r="K93" s="1929" t="s">
        <v>5121</v>
      </c>
    </row>
    <row r="94" spans="1:11" hidden="1" x14ac:dyDescent="0.2">
      <c r="A94" s="1929" t="s">
        <v>5120</v>
      </c>
      <c r="B94" s="1929" t="s">
        <v>1238</v>
      </c>
      <c r="C94" s="1929" t="s">
        <v>1584</v>
      </c>
      <c r="D94" s="1929" t="s">
        <v>274</v>
      </c>
      <c r="E94" s="1929" t="s">
        <v>65</v>
      </c>
      <c r="F94" s="1929">
        <v>8.6999999999999993</v>
      </c>
      <c r="G94" s="1929">
        <v>3.2</v>
      </c>
      <c r="H94" s="1929">
        <v>0.4</v>
      </c>
      <c r="I94" s="1929">
        <v>4.3</v>
      </c>
      <c r="J94" s="1929">
        <v>1832</v>
      </c>
      <c r="K94" s="1929" t="s">
        <v>5119</v>
      </c>
    </row>
    <row r="95" spans="1:11" hidden="1" x14ac:dyDescent="0.2">
      <c r="A95" s="1929" t="s">
        <v>5118</v>
      </c>
      <c r="B95" s="1929" t="s">
        <v>1217</v>
      </c>
      <c r="C95" s="1929" t="s">
        <v>2291</v>
      </c>
      <c r="D95" s="1929" t="s">
        <v>1226</v>
      </c>
      <c r="E95" s="1929" t="s">
        <v>32</v>
      </c>
      <c r="F95" s="1929">
        <v>95.7</v>
      </c>
      <c r="G95" s="1929">
        <v>37.799999999999997</v>
      </c>
      <c r="H95" s="1929">
        <v>8</v>
      </c>
      <c r="I95" s="1929">
        <v>811.4</v>
      </c>
      <c r="J95" s="1929">
        <v>55</v>
      </c>
      <c r="K95" s="1929" t="s">
        <v>5117</v>
      </c>
    </row>
    <row r="96" spans="1:11" hidden="1" x14ac:dyDescent="0.2">
      <c r="A96" s="1929" t="s">
        <v>5116</v>
      </c>
      <c r="B96" s="1929" t="s">
        <v>1217</v>
      </c>
      <c r="C96" s="1929" t="s">
        <v>2291</v>
      </c>
      <c r="D96" s="1929" t="s">
        <v>1226</v>
      </c>
      <c r="E96" s="1929" t="s">
        <v>32</v>
      </c>
      <c r="F96" s="1929">
        <v>86.2</v>
      </c>
      <c r="G96" s="1929">
        <v>31.3</v>
      </c>
      <c r="H96" s="1929">
        <v>6.6</v>
      </c>
      <c r="I96" s="1929">
        <v>815.2</v>
      </c>
      <c r="J96" s="1929">
        <v>76</v>
      </c>
      <c r="K96" s="1929" t="s">
        <v>5115</v>
      </c>
    </row>
    <row r="97" spans="1:11" hidden="1" x14ac:dyDescent="0.2">
      <c r="A97" s="1929" t="s">
        <v>5114</v>
      </c>
      <c r="B97" s="1929" t="s">
        <v>1217</v>
      </c>
      <c r="C97" s="1929" t="s">
        <v>2291</v>
      </c>
      <c r="D97" s="1929" t="s">
        <v>1226</v>
      </c>
      <c r="E97" s="1929" t="s">
        <v>32</v>
      </c>
      <c r="F97" s="1929">
        <v>71.2</v>
      </c>
      <c r="G97" s="1929">
        <v>27.7</v>
      </c>
      <c r="H97" s="1929">
        <v>6.3</v>
      </c>
      <c r="I97" s="1929">
        <v>702.1</v>
      </c>
      <c r="J97" s="1929">
        <v>95</v>
      </c>
      <c r="K97" s="1929" t="s">
        <v>5113</v>
      </c>
    </row>
    <row r="98" spans="1:11" hidden="1" x14ac:dyDescent="0.2">
      <c r="A98" s="1929" t="s">
        <v>5112</v>
      </c>
      <c r="B98" s="1929" t="s">
        <v>1217</v>
      </c>
      <c r="C98" s="1929" t="s">
        <v>2291</v>
      </c>
      <c r="D98" s="1929" t="s">
        <v>1226</v>
      </c>
      <c r="E98" s="1929" t="s">
        <v>32</v>
      </c>
      <c r="F98" s="1929">
        <v>43.3</v>
      </c>
      <c r="G98" s="1929">
        <v>20.100000000000001</v>
      </c>
      <c r="H98" s="1929">
        <v>4</v>
      </c>
      <c r="I98" s="1929">
        <v>531.6</v>
      </c>
      <c r="J98" s="1929">
        <v>146</v>
      </c>
      <c r="K98" s="1929" t="s">
        <v>5111</v>
      </c>
    </row>
    <row r="99" spans="1:11" hidden="1" x14ac:dyDescent="0.2">
      <c r="A99" s="1929" t="s">
        <v>5110</v>
      </c>
      <c r="B99" s="1929" t="s">
        <v>1258</v>
      </c>
      <c r="C99" s="1929" t="s">
        <v>1263</v>
      </c>
      <c r="D99" s="1929" t="s">
        <v>1226</v>
      </c>
      <c r="E99" s="1929" t="s">
        <v>32</v>
      </c>
      <c r="F99" s="1929">
        <v>51.5</v>
      </c>
      <c r="G99" s="1929">
        <v>38.4</v>
      </c>
      <c r="H99" s="1929">
        <v>3.8</v>
      </c>
      <c r="I99" s="1929">
        <v>73.7</v>
      </c>
      <c r="J99" s="1929">
        <v>149</v>
      </c>
      <c r="K99" s="1929" t="s">
        <v>5109</v>
      </c>
    </row>
    <row r="100" spans="1:11" hidden="1" x14ac:dyDescent="0.2">
      <c r="A100" s="1929" t="s">
        <v>5108</v>
      </c>
      <c r="B100" s="1929" t="s">
        <v>1217</v>
      </c>
      <c r="C100" s="1929" t="s">
        <v>1302</v>
      </c>
      <c r="D100" s="1929" t="s">
        <v>1226</v>
      </c>
      <c r="E100" s="1929" t="s">
        <v>32</v>
      </c>
      <c r="F100" s="1929">
        <v>36</v>
      </c>
      <c r="G100" s="1929">
        <v>17.600000000000001</v>
      </c>
      <c r="H100" s="1929">
        <v>3</v>
      </c>
      <c r="I100" s="1929">
        <v>467</v>
      </c>
      <c r="J100" s="1929">
        <v>173</v>
      </c>
      <c r="K100" s="1929" t="s">
        <v>5107</v>
      </c>
    </row>
    <row r="101" spans="1:11" hidden="1" x14ac:dyDescent="0.2">
      <c r="A101" s="1929" t="s">
        <v>5106</v>
      </c>
      <c r="B101" s="1929" t="s">
        <v>1217</v>
      </c>
      <c r="C101" s="1929" t="s">
        <v>2291</v>
      </c>
      <c r="D101" s="1929" t="s">
        <v>1226</v>
      </c>
      <c r="E101" s="1929" t="s">
        <v>32</v>
      </c>
      <c r="F101" s="1929">
        <v>34.4</v>
      </c>
      <c r="G101" s="1929">
        <v>16.7</v>
      </c>
      <c r="H101" s="1929">
        <v>3.6</v>
      </c>
      <c r="I101" s="1929">
        <v>359.6</v>
      </c>
      <c r="J101" s="1929">
        <v>182</v>
      </c>
      <c r="K101" s="1929" t="s">
        <v>5105</v>
      </c>
    </row>
    <row r="102" spans="1:11" hidden="1" x14ac:dyDescent="0.2">
      <c r="A102" s="1929" t="s">
        <v>5104</v>
      </c>
      <c r="B102" s="1929" t="s">
        <v>1217</v>
      </c>
      <c r="C102" s="1929" t="s">
        <v>1456</v>
      </c>
      <c r="D102" s="1929" t="s">
        <v>1226</v>
      </c>
      <c r="E102" s="1929" t="s">
        <v>32</v>
      </c>
      <c r="F102" s="1929">
        <v>25.2</v>
      </c>
      <c r="G102" s="1929">
        <v>20.8</v>
      </c>
      <c r="H102" s="1929">
        <v>2.1</v>
      </c>
      <c r="I102" s="1929">
        <v>112.7</v>
      </c>
      <c r="J102" s="1929">
        <v>238</v>
      </c>
      <c r="K102" s="1929" t="s">
        <v>5103</v>
      </c>
    </row>
    <row r="103" spans="1:11" hidden="1" x14ac:dyDescent="0.2">
      <c r="A103" s="1929" t="s">
        <v>5102</v>
      </c>
      <c r="B103" s="1929" t="s">
        <v>1217</v>
      </c>
      <c r="C103" s="1929" t="s">
        <v>1302</v>
      </c>
      <c r="D103" s="1929" t="s">
        <v>1226</v>
      </c>
      <c r="E103" s="1929" t="s">
        <v>32</v>
      </c>
      <c r="F103" s="1929">
        <v>21.1</v>
      </c>
      <c r="G103" s="1929">
        <v>17.899999999999999</v>
      </c>
      <c r="H103" s="1929">
        <v>1.7</v>
      </c>
      <c r="I103" s="1929">
        <v>184.4</v>
      </c>
      <c r="J103" s="1929">
        <v>271</v>
      </c>
      <c r="K103" s="1929" t="s">
        <v>5101</v>
      </c>
    </row>
    <row r="104" spans="1:11" hidden="1" x14ac:dyDescent="0.2">
      <c r="A104" s="1929" t="s">
        <v>5100</v>
      </c>
      <c r="B104" s="1929" t="s">
        <v>1258</v>
      </c>
      <c r="C104" s="1929" t="s">
        <v>1263</v>
      </c>
      <c r="D104" s="1929" t="s">
        <v>1226</v>
      </c>
      <c r="E104" s="1929" t="s">
        <v>32</v>
      </c>
      <c r="F104" s="1929">
        <v>42</v>
      </c>
      <c r="G104" s="1929">
        <v>15.7</v>
      </c>
      <c r="H104" s="1929">
        <v>2.2000000000000002</v>
      </c>
      <c r="I104" s="1929">
        <v>50.4</v>
      </c>
      <c r="J104" s="1929">
        <v>278</v>
      </c>
      <c r="K104" s="1929" t="s">
        <v>5099</v>
      </c>
    </row>
    <row r="105" spans="1:11" hidden="1" x14ac:dyDescent="0.2">
      <c r="A105" s="1929" t="s">
        <v>5098</v>
      </c>
      <c r="B105" s="1929" t="s">
        <v>1249</v>
      </c>
      <c r="C105" s="1929" t="s">
        <v>1248</v>
      </c>
      <c r="D105" s="1929" t="s">
        <v>1226</v>
      </c>
      <c r="E105" s="1929" t="s">
        <v>32</v>
      </c>
      <c r="F105" s="1929">
        <v>33.700000000000003</v>
      </c>
      <c r="G105" s="1929">
        <v>19.8</v>
      </c>
      <c r="H105" s="1929">
        <v>2</v>
      </c>
      <c r="I105" s="1929">
        <v>42.7</v>
      </c>
      <c r="J105" s="1929">
        <v>290</v>
      </c>
      <c r="K105" s="1929" t="s">
        <v>5097</v>
      </c>
    </row>
    <row r="106" spans="1:11" hidden="1" x14ac:dyDescent="0.2">
      <c r="A106" s="1929" t="s">
        <v>5096</v>
      </c>
      <c r="B106" s="1929" t="s">
        <v>1258</v>
      </c>
      <c r="C106" s="1929" t="s">
        <v>1263</v>
      </c>
      <c r="D106" s="1929" t="s">
        <v>1226</v>
      </c>
      <c r="E106" s="1929" t="s">
        <v>32</v>
      </c>
      <c r="F106" s="1929">
        <v>30</v>
      </c>
      <c r="G106" s="1929">
        <v>22.3</v>
      </c>
      <c r="H106" s="1929">
        <v>1.8</v>
      </c>
      <c r="I106" s="1929">
        <v>35.6</v>
      </c>
      <c r="J106" s="1929">
        <v>315</v>
      </c>
      <c r="K106" s="1929" t="s">
        <v>5095</v>
      </c>
    </row>
    <row r="107" spans="1:11" hidden="1" x14ac:dyDescent="0.2">
      <c r="A107" s="1929" t="s">
        <v>5094</v>
      </c>
      <c r="B107" s="1929" t="s">
        <v>1217</v>
      </c>
      <c r="C107" s="1929" t="s">
        <v>1302</v>
      </c>
      <c r="D107" s="1929" t="s">
        <v>1226</v>
      </c>
      <c r="E107" s="1929" t="s">
        <v>32</v>
      </c>
      <c r="F107" s="1929">
        <v>12.7</v>
      </c>
      <c r="G107" s="1929">
        <v>31.7</v>
      </c>
      <c r="H107" s="1929">
        <v>1</v>
      </c>
      <c r="I107" s="1929">
        <v>319.89999999999998</v>
      </c>
      <c r="J107" s="1929">
        <v>333</v>
      </c>
      <c r="K107" s="1929" t="s">
        <v>5093</v>
      </c>
    </row>
    <row r="108" spans="1:11" hidden="1" x14ac:dyDescent="0.2">
      <c r="A108" s="1929" t="s">
        <v>5092</v>
      </c>
      <c r="B108" s="1929" t="s">
        <v>1258</v>
      </c>
      <c r="C108" s="1929" t="s">
        <v>1257</v>
      </c>
      <c r="D108" s="1929" t="s">
        <v>1226</v>
      </c>
      <c r="E108" s="1929" t="s">
        <v>32</v>
      </c>
      <c r="F108" s="1929">
        <v>38.5</v>
      </c>
      <c r="G108" s="1929">
        <v>32.200000000000003</v>
      </c>
      <c r="H108" s="1929">
        <v>0.6</v>
      </c>
      <c r="I108" s="1929">
        <v>54.2</v>
      </c>
      <c r="J108" s="1929">
        <v>344</v>
      </c>
      <c r="K108" s="1929" t="s">
        <v>5091</v>
      </c>
    </row>
    <row r="109" spans="1:11" hidden="1" x14ac:dyDescent="0.2">
      <c r="A109" s="1929" t="s">
        <v>5090</v>
      </c>
      <c r="B109" s="1929" t="s">
        <v>1238</v>
      </c>
      <c r="C109" s="1929" t="s">
        <v>1434</v>
      </c>
      <c r="D109" s="1929" t="s">
        <v>1226</v>
      </c>
      <c r="E109" s="1929" t="s">
        <v>32</v>
      </c>
      <c r="F109" s="1929">
        <v>46.7</v>
      </c>
      <c r="G109" s="1929">
        <v>10.3</v>
      </c>
      <c r="H109" s="1929">
        <v>2.5</v>
      </c>
      <c r="I109" s="1929">
        <v>28.7</v>
      </c>
      <c r="J109" s="1929">
        <v>387</v>
      </c>
      <c r="K109" s="1929" t="s">
        <v>5089</v>
      </c>
    </row>
    <row r="110" spans="1:11" hidden="1" x14ac:dyDescent="0.2">
      <c r="A110" s="1929" t="s">
        <v>5088</v>
      </c>
      <c r="B110" s="1929" t="s">
        <v>1258</v>
      </c>
      <c r="C110" s="1929" t="s">
        <v>1257</v>
      </c>
      <c r="D110" s="1929" t="s">
        <v>1226</v>
      </c>
      <c r="E110" s="1929" t="s">
        <v>32</v>
      </c>
      <c r="F110" s="1929">
        <v>35.4</v>
      </c>
      <c r="G110" s="1929">
        <v>8.5</v>
      </c>
      <c r="H110" s="1929">
        <v>1.7</v>
      </c>
      <c r="I110" s="1929">
        <v>53.3</v>
      </c>
      <c r="J110" s="1929">
        <v>390</v>
      </c>
      <c r="K110" s="1929" t="s">
        <v>5087</v>
      </c>
    </row>
    <row r="111" spans="1:11" hidden="1" x14ac:dyDescent="0.2">
      <c r="A111" s="1929" t="s">
        <v>5086</v>
      </c>
      <c r="B111" s="1929" t="s">
        <v>1228</v>
      </c>
      <c r="C111" s="1929" t="s">
        <v>1334</v>
      </c>
      <c r="D111" s="1929" t="s">
        <v>1226</v>
      </c>
      <c r="E111" s="1929" t="s">
        <v>32</v>
      </c>
      <c r="F111" s="1929">
        <v>21.9</v>
      </c>
      <c r="G111" s="1929">
        <v>34.799999999999997</v>
      </c>
      <c r="H111" s="1929">
        <v>1.6</v>
      </c>
      <c r="I111" s="1929">
        <v>18</v>
      </c>
      <c r="J111" s="1929">
        <v>409</v>
      </c>
      <c r="K111" s="1929" t="s">
        <v>5085</v>
      </c>
    </row>
    <row r="112" spans="1:11" hidden="1" x14ac:dyDescent="0.2">
      <c r="A112" s="1929" t="s">
        <v>5084</v>
      </c>
      <c r="B112" s="1929" t="s">
        <v>1249</v>
      </c>
      <c r="C112" s="1929" t="s">
        <v>1248</v>
      </c>
      <c r="D112" s="1929" t="s">
        <v>1226</v>
      </c>
      <c r="E112" s="1929" t="s">
        <v>32</v>
      </c>
      <c r="F112" s="1929">
        <v>21.6</v>
      </c>
      <c r="G112" s="1929">
        <v>12.3</v>
      </c>
      <c r="H112" s="1929">
        <v>1.6</v>
      </c>
      <c r="I112" s="1929">
        <v>22.2</v>
      </c>
      <c r="J112" s="1929">
        <v>479</v>
      </c>
      <c r="K112" s="1929" t="s">
        <v>5083</v>
      </c>
    </row>
    <row r="113" spans="1:11" hidden="1" x14ac:dyDescent="0.2">
      <c r="A113" s="1929" t="s">
        <v>5082</v>
      </c>
      <c r="B113" s="1929" t="s">
        <v>1217</v>
      </c>
      <c r="C113" s="1929" t="s">
        <v>2291</v>
      </c>
      <c r="D113" s="1929" t="s">
        <v>1226</v>
      </c>
      <c r="E113" s="1929" t="s">
        <v>32</v>
      </c>
      <c r="F113" s="1929">
        <v>13.3</v>
      </c>
      <c r="G113" s="1929">
        <v>7</v>
      </c>
      <c r="H113" s="1929">
        <v>1.5</v>
      </c>
      <c r="I113" s="1929">
        <v>175.2</v>
      </c>
      <c r="J113" s="1929">
        <v>493</v>
      </c>
      <c r="K113" s="1929" t="s">
        <v>5081</v>
      </c>
    </row>
    <row r="114" spans="1:11" hidden="1" x14ac:dyDescent="0.2">
      <c r="A114" s="1929" t="s">
        <v>5080</v>
      </c>
      <c r="B114" s="1929" t="s">
        <v>1258</v>
      </c>
      <c r="C114" s="1929" t="s">
        <v>1263</v>
      </c>
      <c r="D114" s="1929" t="s">
        <v>1226</v>
      </c>
      <c r="E114" s="1929" t="s">
        <v>32</v>
      </c>
      <c r="F114" s="1929">
        <v>21.8</v>
      </c>
      <c r="G114" s="1929">
        <v>18.100000000000001</v>
      </c>
      <c r="H114" s="1929">
        <v>0.6</v>
      </c>
      <c r="I114" s="1929">
        <v>24.1</v>
      </c>
      <c r="J114" s="1929">
        <v>523</v>
      </c>
      <c r="K114" s="1929" t="s">
        <v>5079</v>
      </c>
    </row>
    <row r="115" spans="1:11" hidden="1" x14ac:dyDescent="0.2">
      <c r="A115" s="1929" t="s">
        <v>5078</v>
      </c>
      <c r="B115" s="1929" t="s">
        <v>1249</v>
      </c>
      <c r="C115" s="1929" t="s">
        <v>1248</v>
      </c>
      <c r="D115" s="1929" t="s">
        <v>1226</v>
      </c>
      <c r="E115" s="1929" t="s">
        <v>32</v>
      </c>
      <c r="F115" s="1929">
        <v>22.3</v>
      </c>
      <c r="G115" s="1929">
        <v>11</v>
      </c>
      <c r="H115" s="1929">
        <v>1.3</v>
      </c>
      <c r="I115" s="1929">
        <v>20.3</v>
      </c>
      <c r="J115" s="1929">
        <v>542</v>
      </c>
      <c r="K115" s="1929" t="s">
        <v>5077</v>
      </c>
    </row>
    <row r="116" spans="1:11" hidden="1" x14ac:dyDescent="0.2">
      <c r="A116" s="1929" t="s">
        <v>5076</v>
      </c>
      <c r="B116" s="1929" t="s">
        <v>1234</v>
      </c>
      <c r="C116" s="1929" t="s">
        <v>1233</v>
      </c>
      <c r="D116" s="1929" t="s">
        <v>1226</v>
      </c>
      <c r="E116" s="1929" t="s">
        <v>32</v>
      </c>
      <c r="F116" s="1929">
        <v>30.1</v>
      </c>
      <c r="G116" s="1929">
        <v>7.3</v>
      </c>
      <c r="H116" s="1929">
        <v>1.8</v>
      </c>
      <c r="I116" s="1929">
        <v>18</v>
      </c>
      <c r="J116" s="1929">
        <v>582</v>
      </c>
      <c r="K116" s="1929" t="s">
        <v>5075</v>
      </c>
    </row>
    <row r="117" spans="1:11" hidden="1" x14ac:dyDescent="0.2">
      <c r="A117" s="1929" t="s">
        <v>5074</v>
      </c>
      <c r="B117" s="1929" t="s">
        <v>1306</v>
      </c>
      <c r="C117" s="1929" t="s">
        <v>1392</v>
      </c>
      <c r="D117" s="1929" t="s">
        <v>1226</v>
      </c>
      <c r="E117" s="1929" t="s">
        <v>32</v>
      </c>
      <c r="F117" s="1929">
        <v>9.5</v>
      </c>
      <c r="G117" s="1929">
        <v>32.6</v>
      </c>
      <c r="H117" s="1929">
        <v>0.7</v>
      </c>
      <c r="I117" s="1929">
        <v>23.2</v>
      </c>
      <c r="J117" s="1929">
        <v>599</v>
      </c>
      <c r="K117" s="1929" t="s">
        <v>5073</v>
      </c>
    </row>
    <row r="118" spans="1:11" hidden="1" x14ac:dyDescent="0.2">
      <c r="A118" s="1929" t="s">
        <v>5072</v>
      </c>
      <c r="B118" s="1929" t="s">
        <v>1234</v>
      </c>
      <c r="C118" s="1929" t="s">
        <v>1233</v>
      </c>
      <c r="D118" s="1929" t="s">
        <v>1226</v>
      </c>
      <c r="E118" s="1929" t="s">
        <v>32</v>
      </c>
      <c r="F118" s="1929">
        <v>14</v>
      </c>
      <c r="G118" s="1929">
        <v>15.9</v>
      </c>
      <c r="H118" s="1929">
        <v>1.1000000000000001</v>
      </c>
      <c r="I118" s="1929">
        <v>16</v>
      </c>
      <c r="J118" s="1929">
        <v>601</v>
      </c>
      <c r="K118" s="1929" t="s">
        <v>5071</v>
      </c>
    </row>
    <row r="119" spans="1:11" hidden="1" x14ac:dyDescent="0.2">
      <c r="A119" s="1929" t="s">
        <v>5070</v>
      </c>
      <c r="B119" s="1929" t="s">
        <v>1234</v>
      </c>
      <c r="C119" s="1929" t="s">
        <v>1337</v>
      </c>
      <c r="D119" s="1929" t="s">
        <v>1226</v>
      </c>
      <c r="E119" s="1929" t="s">
        <v>32</v>
      </c>
      <c r="F119" s="1929">
        <v>12.6</v>
      </c>
      <c r="G119" s="1929">
        <v>9.1</v>
      </c>
      <c r="H119" s="1929">
        <v>0.9</v>
      </c>
      <c r="I119" s="1929">
        <v>34.1</v>
      </c>
      <c r="J119" s="1929">
        <v>604</v>
      </c>
      <c r="K119" s="1929" t="s">
        <v>5069</v>
      </c>
    </row>
    <row r="120" spans="1:11" hidden="1" x14ac:dyDescent="0.2">
      <c r="A120" s="1929" t="s">
        <v>5068</v>
      </c>
      <c r="B120" s="1929" t="s">
        <v>1228</v>
      </c>
      <c r="C120" s="1929" t="s">
        <v>1297</v>
      </c>
      <c r="D120" s="1929" t="s">
        <v>1226</v>
      </c>
      <c r="E120" s="1929" t="s">
        <v>32</v>
      </c>
      <c r="F120" s="1929">
        <v>15.3</v>
      </c>
      <c r="G120" s="1929">
        <v>37.700000000000003</v>
      </c>
      <c r="H120" s="1929">
        <v>0.8</v>
      </c>
      <c r="I120" s="1929">
        <v>10.4</v>
      </c>
      <c r="J120" s="1929">
        <v>638</v>
      </c>
      <c r="K120" s="1929" t="s">
        <v>5067</v>
      </c>
    </row>
    <row r="121" spans="1:11" hidden="1" x14ac:dyDescent="0.2">
      <c r="A121" s="1929" t="s">
        <v>5066</v>
      </c>
      <c r="B121" s="1929" t="s">
        <v>1238</v>
      </c>
      <c r="C121" s="1929" t="s">
        <v>1349</v>
      </c>
      <c r="D121" s="1929" t="s">
        <v>1226</v>
      </c>
      <c r="E121" s="1929" t="s">
        <v>32</v>
      </c>
      <c r="F121" s="1929">
        <v>6.7</v>
      </c>
      <c r="G121" s="1929">
        <v>18.2</v>
      </c>
      <c r="H121" s="1929">
        <v>0.6</v>
      </c>
      <c r="I121" s="1929">
        <v>29.4</v>
      </c>
      <c r="J121" s="1929">
        <v>740</v>
      </c>
      <c r="K121" s="1929" t="s">
        <v>5065</v>
      </c>
    </row>
    <row r="122" spans="1:11" hidden="1" x14ac:dyDescent="0.2">
      <c r="A122" s="1929" t="s">
        <v>5064</v>
      </c>
      <c r="B122" s="1929" t="s">
        <v>1238</v>
      </c>
      <c r="C122" s="1929" t="s">
        <v>1434</v>
      </c>
      <c r="D122" s="1929" t="s">
        <v>1226</v>
      </c>
      <c r="E122" s="1929" t="s">
        <v>32</v>
      </c>
      <c r="F122" s="1929">
        <v>26.5</v>
      </c>
      <c r="G122" s="1929">
        <v>6</v>
      </c>
      <c r="H122" s="1929">
        <v>0.8</v>
      </c>
      <c r="I122" s="1929">
        <v>16.100000000000001</v>
      </c>
      <c r="J122" s="1929">
        <v>750</v>
      </c>
      <c r="K122" s="1929" t="s">
        <v>5063</v>
      </c>
    </row>
    <row r="123" spans="1:11" hidden="1" x14ac:dyDescent="0.2">
      <c r="A123" s="1929" t="s">
        <v>5062</v>
      </c>
      <c r="B123" s="1929" t="s">
        <v>1234</v>
      </c>
      <c r="C123" s="1929" t="s">
        <v>1337</v>
      </c>
      <c r="D123" s="1929" t="s">
        <v>1226</v>
      </c>
      <c r="E123" s="1929" t="s">
        <v>32</v>
      </c>
      <c r="F123" s="1929">
        <v>20.8</v>
      </c>
      <c r="G123" s="1929">
        <v>12.6</v>
      </c>
      <c r="H123" s="1929">
        <v>-10.4</v>
      </c>
      <c r="I123" s="1929">
        <v>37.4</v>
      </c>
      <c r="J123" s="1929">
        <v>771</v>
      </c>
      <c r="K123" s="1929" t="s">
        <v>5061</v>
      </c>
    </row>
    <row r="124" spans="1:11" hidden="1" x14ac:dyDescent="0.2">
      <c r="A124" s="1929" t="s">
        <v>5060</v>
      </c>
      <c r="B124" s="1929" t="s">
        <v>1269</v>
      </c>
      <c r="C124" s="1929" t="s">
        <v>1504</v>
      </c>
      <c r="D124" s="1929" t="s">
        <v>1226</v>
      </c>
      <c r="E124" s="1929" t="s">
        <v>32</v>
      </c>
      <c r="F124" s="1929">
        <v>44.6</v>
      </c>
      <c r="G124" s="1929">
        <v>5.8</v>
      </c>
      <c r="H124" s="1929">
        <v>-0.9</v>
      </c>
      <c r="I124" s="1929">
        <v>28</v>
      </c>
      <c r="J124" s="1929">
        <v>921</v>
      </c>
      <c r="K124" s="1929" t="s">
        <v>5059</v>
      </c>
    </row>
    <row r="125" spans="1:11" hidden="1" x14ac:dyDescent="0.2">
      <c r="A125" s="1929" t="s">
        <v>5058</v>
      </c>
      <c r="B125" s="1929" t="s">
        <v>1217</v>
      </c>
      <c r="C125" s="1929" t="s">
        <v>1368</v>
      </c>
      <c r="D125" s="1929" t="s">
        <v>1226</v>
      </c>
      <c r="E125" s="1929" t="s">
        <v>32</v>
      </c>
      <c r="F125" s="1929">
        <v>6.2</v>
      </c>
      <c r="G125" s="1929">
        <v>29</v>
      </c>
      <c r="H125" s="1929">
        <v>-0.6</v>
      </c>
      <c r="I125" s="1929">
        <v>36.9</v>
      </c>
      <c r="J125" s="1929">
        <v>947</v>
      </c>
      <c r="K125" s="1929" t="s">
        <v>5057</v>
      </c>
    </row>
    <row r="126" spans="1:11" hidden="1" x14ac:dyDescent="0.2">
      <c r="A126" s="1929" t="s">
        <v>5056</v>
      </c>
      <c r="B126" s="1929" t="s">
        <v>1245</v>
      </c>
      <c r="C126" s="1929" t="s">
        <v>1244</v>
      </c>
      <c r="D126" s="1929" t="s">
        <v>1226</v>
      </c>
      <c r="E126" s="1929" t="s">
        <v>32</v>
      </c>
      <c r="F126" s="1929">
        <v>9.6</v>
      </c>
      <c r="G126" s="1929">
        <v>9.9</v>
      </c>
      <c r="H126" s="1929">
        <v>0.6</v>
      </c>
      <c r="I126" s="1929">
        <v>11.1</v>
      </c>
      <c r="J126" s="1929">
        <v>974</v>
      </c>
      <c r="K126" s="1929" t="s">
        <v>5055</v>
      </c>
    </row>
    <row r="127" spans="1:11" hidden="1" x14ac:dyDescent="0.2">
      <c r="A127" s="1929" t="s">
        <v>5054</v>
      </c>
      <c r="B127" s="1929" t="s">
        <v>1228</v>
      </c>
      <c r="C127" s="1929" t="s">
        <v>1297</v>
      </c>
      <c r="D127" s="1929" t="s">
        <v>1226</v>
      </c>
      <c r="E127" s="1929" t="s">
        <v>32</v>
      </c>
      <c r="F127" s="1929">
        <v>7.6</v>
      </c>
      <c r="G127" s="1929">
        <v>11.4</v>
      </c>
      <c r="H127" s="1929">
        <v>0.5</v>
      </c>
      <c r="I127" s="1929">
        <v>12.8</v>
      </c>
      <c r="J127" s="1929">
        <v>988</v>
      </c>
      <c r="K127" s="1929" t="s">
        <v>5053</v>
      </c>
    </row>
    <row r="128" spans="1:11" hidden="1" x14ac:dyDescent="0.2">
      <c r="A128" s="1929" t="s">
        <v>5052</v>
      </c>
      <c r="B128" s="1929" t="s">
        <v>1217</v>
      </c>
      <c r="C128" s="1929" t="s">
        <v>1563</v>
      </c>
      <c r="D128" s="1929" t="s">
        <v>1226</v>
      </c>
      <c r="E128" s="1929" t="s">
        <v>32</v>
      </c>
      <c r="F128" s="1929">
        <v>8.3000000000000007</v>
      </c>
      <c r="G128" s="1929">
        <v>7.2</v>
      </c>
      <c r="H128" s="1929">
        <v>0.4</v>
      </c>
      <c r="I128" s="1929">
        <v>18.100000000000001</v>
      </c>
      <c r="J128" s="1929">
        <v>1058</v>
      </c>
      <c r="K128" s="1929" t="s">
        <v>5051</v>
      </c>
    </row>
    <row r="129" spans="1:11" hidden="1" x14ac:dyDescent="0.2">
      <c r="A129" s="1929" t="s">
        <v>5050</v>
      </c>
      <c r="B129" s="1929" t="s">
        <v>1228</v>
      </c>
      <c r="C129" s="1929" t="s">
        <v>1315</v>
      </c>
      <c r="D129" s="1929" t="s">
        <v>1226</v>
      </c>
      <c r="E129" s="1929" t="s">
        <v>32</v>
      </c>
      <c r="F129" s="1929">
        <v>10.9</v>
      </c>
      <c r="G129" s="1929">
        <v>5.0999999999999996</v>
      </c>
      <c r="H129" s="1929">
        <v>0.7</v>
      </c>
      <c r="I129" s="1929">
        <v>11.9</v>
      </c>
      <c r="J129" s="1929">
        <v>1072</v>
      </c>
      <c r="K129" s="1929" t="s">
        <v>5049</v>
      </c>
    </row>
    <row r="130" spans="1:11" hidden="1" x14ac:dyDescent="0.2">
      <c r="A130" s="1929" t="s">
        <v>5048</v>
      </c>
      <c r="B130" s="1929" t="s">
        <v>1217</v>
      </c>
      <c r="C130" s="1929" t="s">
        <v>1563</v>
      </c>
      <c r="D130" s="1929" t="s">
        <v>1226</v>
      </c>
      <c r="E130" s="1929" t="s">
        <v>32</v>
      </c>
      <c r="F130" s="1929">
        <v>9.8000000000000007</v>
      </c>
      <c r="G130" s="1929">
        <v>5.8</v>
      </c>
      <c r="H130" s="1929">
        <v>-0.6</v>
      </c>
      <c r="I130" s="1929">
        <v>36</v>
      </c>
      <c r="J130" s="1929">
        <v>1136</v>
      </c>
      <c r="K130" s="1929" t="s">
        <v>5047</v>
      </c>
    </row>
    <row r="131" spans="1:11" hidden="1" x14ac:dyDescent="0.2">
      <c r="A131" s="1929" t="s">
        <v>5046</v>
      </c>
      <c r="B131" s="1929" t="s">
        <v>1234</v>
      </c>
      <c r="C131" s="1929" t="s">
        <v>1337</v>
      </c>
      <c r="D131" s="1929" t="s">
        <v>1226</v>
      </c>
      <c r="E131" s="1929" t="s">
        <v>32</v>
      </c>
      <c r="F131" s="1929">
        <v>19.899999999999999</v>
      </c>
      <c r="G131" s="1929">
        <v>3.8</v>
      </c>
      <c r="H131" s="1929">
        <v>-2.7</v>
      </c>
      <c r="I131" s="1929">
        <v>29.6</v>
      </c>
      <c r="J131" s="1929">
        <v>1160</v>
      </c>
      <c r="K131" s="1929" t="s">
        <v>5045</v>
      </c>
    </row>
    <row r="132" spans="1:11" hidden="1" x14ac:dyDescent="0.2">
      <c r="A132" s="1929" t="s">
        <v>5044</v>
      </c>
      <c r="B132" s="1929" t="s">
        <v>1306</v>
      </c>
      <c r="C132" s="1929" t="s">
        <v>1305</v>
      </c>
      <c r="D132" s="1929" t="s">
        <v>1226</v>
      </c>
      <c r="E132" s="1929" t="s">
        <v>32</v>
      </c>
      <c r="F132" s="1929">
        <v>9.8000000000000007</v>
      </c>
      <c r="G132" s="1929">
        <v>8.5</v>
      </c>
      <c r="H132" s="1929">
        <v>0.5</v>
      </c>
      <c r="I132" s="1929">
        <v>5.2</v>
      </c>
      <c r="J132" s="1929">
        <v>1164</v>
      </c>
      <c r="K132" s="1929" t="s">
        <v>5043</v>
      </c>
    </row>
    <row r="133" spans="1:11" hidden="1" x14ac:dyDescent="0.2">
      <c r="A133" s="1929" t="s">
        <v>5042</v>
      </c>
      <c r="B133" s="1929" t="s">
        <v>1258</v>
      </c>
      <c r="C133" s="1929" t="s">
        <v>1263</v>
      </c>
      <c r="D133" s="1929" t="s">
        <v>1226</v>
      </c>
      <c r="E133" s="1929" t="s">
        <v>32</v>
      </c>
      <c r="F133" s="1929">
        <v>15.8</v>
      </c>
      <c r="G133" s="1929">
        <v>5.7</v>
      </c>
      <c r="H133" s="1929">
        <v>0.2</v>
      </c>
      <c r="I133" s="1929">
        <v>17.600000000000001</v>
      </c>
      <c r="J133" s="1929">
        <v>1189</v>
      </c>
      <c r="K133" s="1929" t="s">
        <v>5041</v>
      </c>
    </row>
    <row r="134" spans="1:11" hidden="1" x14ac:dyDescent="0.2">
      <c r="A134" s="1929" t="s">
        <v>5040</v>
      </c>
      <c r="B134" s="1929" t="s">
        <v>1217</v>
      </c>
      <c r="C134" s="1929" t="s">
        <v>1302</v>
      </c>
      <c r="D134" s="1929" t="s">
        <v>1226</v>
      </c>
      <c r="E134" s="1929" t="s">
        <v>32</v>
      </c>
      <c r="F134" s="1929">
        <v>4.0999999999999996</v>
      </c>
      <c r="G134" s="1929">
        <v>6.3</v>
      </c>
      <c r="H134" s="1929">
        <v>0.4</v>
      </c>
      <c r="I134" s="1929">
        <v>39.9</v>
      </c>
      <c r="J134" s="1929">
        <v>1220</v>
      </c>
      <c r="K134" s="1929" t="s">
        <v>5039</v>
      </c>
    </row>
    <row r="135" spans="1:11" hidden="1" x14ac:dyDescent="0.2">
      <c r="A135" s="1929" t="s">
        <v>5038</v>
      </c>
      <c r="B135" s="1929" t="s">
        <v>1234</v>
      </c>
      <c r="C135" s="1929" t="s">
        <v>1337</v>
      </c>
      <c r="D135" s="1929" t="s">
        <v>1226</v>
      </c>
      <c r="E135" s="1929" t="s">
        <v>32</v>
      </c>
      <c r="F135" s="1929">
        <v>10.7</v>
      </c>
      <c r="G135" s="1929">
        <v>3.6</v>
      </c>
      <c r="H135" s="1929">
        <v>0.5</v>
      </c>
      <c r="I135" s="1929">
        <v>15.5</v>
      </c>
      <c r="J135" s="1929">
        <v>1253</v>
      </c>
      <c r="K135" s="1929" t="s">
        <v>5037</v>
      </c>
    </row>
    <row r="136" spans="1:11" hidden="1" x14ac:dyDescent="0.2">
      <c r="A136" s="1929" t="s">
        <v>5036</v>
      </c>
      <c r="B136" s="1929" t="s">
        <v>1306</v>
      </c>
      <c r="C136" s="1929" t="s">
        <v>1392</v>
      </c>
      <c r="D136" s="1929" t="s">
        <v>1226</v>
      </c>
      <c r="E136" s="1929" t="s">
        <v>32</v>
      </c>
      <c r="F136" s="1929">
        <v>5.6</v>
      </c>
      <c r="G136" s="1929">
        <v>18.600000000000001</v>
      </c>
      <c r="H136" s="1929">
        <v>0.3</v>
      </c>
      <c r="I136" s="1929">
        <v>11.1</v>
      </c>
      <c r="J136" s="1929">
        <v>1274</v>
      </c>
      <c r="K136" s="1929" t="s">
        <v>5035</v>
      </c>
    </row>
    <row r="137" spans="1:11" hidden="1" x14ac:dyDescent="0.2">
      <c r="A137" s="1929" t="s">
        <v>5034</v>
      </c>
      <c r="B137" s="1929" t="s">
        <v>1258</v>
      </c>
      <c r="C137" s="1929" t="s">
        <v>1263</v>
      </c>
      <c r="D137" s="1929" t="s">
        <v>1226</v>
      </c>
      <c r="E137" s="1929" t="s">
        <v>32</v>
      </c>
      <c r="F137" s="1929">
        <v>10.1</v>
      </c>
      <c r="G137" s="1929">
        <v>3.9</v>
      </c>
      <c r="H137" s="1929">
        <v>0.8</v>
      </c>
      <c r="I137" s="1929">
        <v>9.6</v>
      </c>
      <c r="J137" s="1929">
        <v>1296</v>
      </c>
      <c r="K137" s="1929" t="s">
        <v>5033</v>
      </c>
    </row>
    <row r="138" spans="1:11" hidden="1" x14ac:dyDescent="0.2">
      <c r="A138" s="1929" t="s">
        <v>5032</v>
      </c>
      <c r="B138" s="1929" t="s">
        <v>1306</v>
      </c>
      <c r="C138" s="1929" t="s">
        <v>1392</v>
      </c>
      <c r="D138" s="1929" t="s">
        <v>1226</v>
      </c>
      <c r="E138" s="1929" t="s">
        <v>32</v>
      </c>
      <c r="F138" s="1929">
        <v>5.2</v>
      </c>
      <c r="G138" s="1929">
        <v>11.1</v>
      </c>
      <c r="H138" s="1929">
        <v>0.7</v>
      </c>
      <c r="I138" s="1929">
        <v>4.9000000000000004</v>
      </c>
      <c r="J138" s="1929">
        <v>1305</v>
      </c>
      <c r="K138" s="1929" t="s">
        <v>5031</v>
      </c>
    </row>
    <row r="139" spans="1:11" hidden="1" x14ac:dyDescent="0.2">
      <c r="A139" s="1929" t="s">
        <v>5030</v>
      </c>
      <c r="B139" s="1929" t="s">
        <v>1258</v>
      </c>
      <c r="C139" s="1929" t="s">
        <v>1263</v>
      </c>
      <c r="D139" s="1929" t="s">
        <v>1226</v>
      </c>
      <c r="E139" s="1929" t="s">
        <v>32</v>
      </c>
      <c r="F139" s="1929">
        <v>10.3</v>
      </c>
      <c r="G139" s="1929">
        <v>4.7</v>
      </c>
      <c r="H139" s="1929">
        <v>-1.2</v>
      </c>
      <c r="I139" s="1929">
        <v>19.2</v>
      </c>
      <c r="J139" s="1929">
        <v>1405</v>
      </c>
      <c r="K139" s="1929" t="s">
        <v>5029</v>
      </c>
    </row>
    <row r="140" spans="1:11" hidden="1" x14ac:dyDescent="0.2">
      <c r="A140" s="1929" t="s">
        <v>5028</v>
      </c>
      <c r="B140" s="1929" t="s">
        <v>1217</v>
      </c>
      <c r="C140" s="1929" t="s">
        <v>1252</v>
      </c>
      <c r="D140" s="1929" t="s">
        <v>1226</v>
      </c>
      <c r="E140" s="1929" t="s">
        <v>32</v>
      </c>
      <c r="F140" s="1929">
        <v>2.6</v>
      </c>
      <c r="G140" s="1929">
        <v>2.1</v>
      </c>
      <c r="H140" s="1929">
        <v>0.7</v>
      </c>
      <c r="I140" s="1929">
        <v>15</v>
      </c>
      <c r="J140" s="1929">
        <v>1510</v>
      </c>
      <c r="K140" s="1929" t="s">
        <v>5027</v>
      </c>
    </row>
    <row r="141" spans="1:11" hidden="1" x14ac:dyDescent="0.2">
      <c r="A141" s="1929" t="s">
        <v>5026</v>
      </c>
      <c r="B141" s="1929" t="s">
        <v>1258</v>
      </c>
      <c r="C141" s="1929" t="s">
        <v>1263</v>
      </c>
      <c r="D141" s="1929" t="s">
        <v>1226</v>
      </c>
      <c r="E141" s="1929" t="s">
        <v>32</v>
      </c>
      <c r="F141" s="1929">
        <v>12.1</v>
      </c>
      <c r="G141" s="1929">
        <v>4.9000000000000004</v>
      </c>
      <c r="H141" s="1929">
        <v>0.3</v>
      </c>
      <c r="I141" s="1929">
        <v>8.6</v>
      </c>
      <c r="J141" s="1929">
        <v>1533</v>
      </c>
      <c r="K141" s="1929" t="s">
        <v>5025</v>
      </c>
    </row>
    <row r="142" spans="1:11" hidden="1" x14ac:dyDescent="0.2">
      <c r="A142" s="1929" t="s">
        <v>5024</v>
      </c>
      <c r="B142" s="1929" t="s">
        <v>1310</v>
      </c>
      <c r="C142" s="1929" t="s">
        <v>1309</v>
      </c>
      <c r="D142" s="1929" t="s">
        <v>1226</v>
      </c>
      <c r="E142" s="1929" t="s">
        <v>32</v>
      </c>
      <c r="F142" s="1929">
        <v>6.1</v>
      </c>
      <c r="G142" s="1929">
        <v>3.9</v>
      </c>
      <c r="H142" s="1929">
        <v>0.4</v>
      </c>
      <c r="I142" s="1929">
        <v>16.899999999999999</v>
      </c>
      <c r="J142" s="1929">
        <v>1582</v>
      </c>
      <c r="K142" s="1929" t="s">
        <v>5023</v>
      </c>
    </row>
    <row r="143" spans="1:11" hidden="1" x14ac:dyDescent="0.2">
      <c r="A143" s="1929" t="s">
        <v>5022</v>
      </c>
      <c r="B143" s="1929" t="s">
        <v>1258</v>
      </c>
      <c r="C143" s="1929" t="s">
        <v>1263</v>
      </c>
      <c r="D143" s="1929" t="s">
        <v>1226</v>
      </c>
      <c r="E143" s="1929" t="s">
        <v>32</v>
      </c>
      <c r="F143" s="1929">
        <v>14.6</v>
      </c>
      <c r="G143" s="1929">
        <v>2.8</v>
      </c>
      <c r="H143" s="1929">
        <v>0.1</v>
      </c>
      <c r="I143" s="1929">
        <v>12.3</v>
      </c>
      <c r="J143" s="1929">
        <v>1586</v>
      </c>
      <c r="K143" s="1929" t="s">
        <v>5021</v>
      </c>
    </row>
    <row r="144" spans="1:11" hidden="1" x14ac:dyDescent="0.2">
      <c r="A144" s="1929" t="s">
        <v>5020</v>
      </c>
      <c r="B144" s="1929" t="s">
        <v>1238</v>
      </c>
      <c r="C144" s="1929" t="s">
        <v>1241</v>
      </c>
      <c r="D144" s="1929" t="s">
        <v>1226</v>
      </c>
      <c r="E144" s="1929" t="s">
        <v>32</v>
      </c>
      <c r="F144" s="1929">
        <v>6.7</v>
      </c>
      <c r="G144" s="1929">
        <v>7.7</v>
      </c>
      <c r="H144" s="1929">
        <v>0</v>
      </c>
      <c r="I144" s="1929">
        <v>11.1</v>
      </c>
      <c r="J144" s="1929">
        <v>1632</v>
      </c>
      <c r="K144" s="1929" t="s">
        <v>5019</v>
      </c>
    </row>
    <row r="145" spans="1:11" hidden="1" x14ac:dyDescent="0.2">
      <c r="A145" s="1929" t="s">
        <v>5018</v>
      </c>
      <c r="B145" s="1929" t="s">
        <v>1310</v>
      </c>
      <c r="C145" s="1929" t="s">
        <v>1309</v>
      </c>
      <c r="D145" s="1929" t="s">
        <v>1226</v>
      </c>
      <c r="E145" s="1929" t="s">
        <v>32</v>
      </c>
      <c r="F145" s="1929">
        <v>5.5</v>
      </c>
      <c r="G145" s="1929">
        <v>4.2</v>
      </c>
      <c r="H145" s="1929">
        <v>0.4</v>
      </c>
      <c r="I145" s="1929">
        <v>15.1</v>
      </c>
      <c r="J145" s="1929">
        <v>1674</v>
      </c>
      <c r="K145" s="1929" t="s">
        <v>5017</v>
      </c>
    </row>
    <row r="146" spans="1:11" hidden="1" x14ac:dyDescent="0.2">
      <c r="A146" s="1929" t="s">
        <v>5016</v>
      </c>
      <c r="B146" s="1929" t="s">
        <v>1258</v>
      </c>
      <c r="C146" s="1929" t="s">
        <v>1263</v>
      </c>
      <c r="D146" s="1929" t="s">
        <v>1226</v>
      </c>
      <c r="E146" s="1929" t="s">
        <v>32</v>
      </c>
      <c r="F146" s="1929">
        <v>5.9</v>
      </c>
      <c r="G146" s="1929">
        <v>4.5999999999999996</v>
      </c>
      <c r="H146" s="1929">
        <v>0.4</v>
      </c>
      <c r="I146" s="1929">
        <v>11.2</v>
      </c>
      <c r="J146" s="1929">
        <v>1704</v>
      </c>
      <c r="K146" s="1929" t="s">
        <v>5015</v>
      </c>
    </row>
    <row r="147" spans="1:11" hidden="1" x14ac:dyDescent="0.2">
      <c r="A147" s="1929" t="s">
        <v>5014</v>
      </c>
      <c r="B147" s="1929" t="s">
        <v>1238</v>
      </c>
      <c r="C147" s="1929" t="s">
        <v>1485</v>
      </c>
      <c r="D147" s="1929" t="s">
        <v>1226</v>
      </c>
      <c r="E147" s="1929" t="s">
        <v>32</v>
      </c>
      <c r="F147" s="1929">
        <v>1.4</v>
      </c>
      <c r="G147" s="1929">
        <v>12</v>
      </c>
      <c r="H147" s="1929">
        <v>0</v>
      </c>
      <c r="I147" s="1929">
        <v>8.9</v>
      </c>
      <c r="J147" s="1929">
        <v>1882</v>
      </c>
      <c r="K147" s="1929" t="s">
        <v>5013</v>
      </c>
    </row>
    <row r="148" spans="1:11" hidden="1" x14ac:dyDescent="0.2">
      <c r="A148" s="1929" t="s">
        <v>5012</v>
      </c>
      <c r="B148" s="1929" t="s">
        <v>1228</v>
      </c>
      <c r="C148" s="1929" t="s">
        <v>1524</v>
      </c>
      <c r="D148" s="1929" t="s">
        <v>1226</v>
      </c>
      <c r="E148" s="1929" t="s">
        <v>32</v>
      </c>
      <c r="F148" s="1929">
        <v>7.7</v>
      </c>
      <c r="G148" s="1929">
        <v>3.2</v>
      </c>
      <c r="H148" s="1929">
        <v>0.4</v>
      </c>
      <c r="I148" s="1929">
        <v>2.2999999999999998</v>
      </c>
      <c r="J148" s="1929">
        <v>1892</v>
      </c>
      <c r="K148" s="1929" t="s">
        <v>5011</v>
      </c>
    </row>
    <row r="149" spans="1:11" hidden="1" x14ac:dyDescent="0.2">
      <c r="A149" s="1929" t="s">
        <v>5010</v>
      </c>
      <c r="B149" s="1929" t="s">
        <v>1217</v>
      </c>
      <c r="C149" s="1929" t="s">
        <v>1216</v>
      </c>
      <c r="D149" s="1929" t="s">
        <v>1226</v>
      </c>
      <c r="E149" s="1929" t="s">
        <v>32</v>
      </c>
      <c r="F149" s="1929">
        <v>1.2</v>
      </c>
      <c r="G149" s="1929">
        <v>1.4</v>
      </c>
      <c r="H149" s="1929">
        <v>0.1</v>
      </c>
      <c r="I149" s="1929">
        <v>30.2</v>
      </c>
      <c r="J149" s="1929">
        <v>1906</v>
      </c>
      <c r="K149" s="1929" t="s">
        <v>5009</v>
      </c>
    </row>
    <row r="150" spans="1:11" hidden="1" x14ac:dyDescent="0.2">
      <c r="A150" s="1929" t="s">
        <v>5008</v>
      </c>
      <c r="B150" s="1929" t="s">
        <v>1234</v>
      </c>
      <c r="C150" s="1929" t="s">
        <v>1337</v>
      </c>
      <c r="D150" s="1929" t="s">
        <v>1226</v>
      </c>
      <c r="E150" s="1929" t="s">
        <v>32</v>
      </c>
      <c r="F150" s="1929">
        <v>8.1999999999999993</v>
      </c>
      <c r="G150" s="1929">
        <v>0.7</v>
      </c>
      <c r="H150" s="1929">
        <v>0.4</v>
      </c>
      <c r="I150" s="1929">
        <v>4.4000000000000004</v>
      </c>
      <c r="J150" s="1929">
        <v>1916</v>
      </c>
      <c r="K150" s="1929" t="s">
        <v>5007</v>
      </c>
    </row>
    <row r="151" spans="1:11" hidden="1" x14ac:dyDescent="0.2">
      <c r="A151" s="1929" t="s">
        <v>5006</v>
      </c>
      <c r="B151" s="1929" t="s">
        <v>1234</v>
      </c>
      <c r="C151" s="1929" t="s">
        <v>1337</v>
      </c>
      <c r="D151" s="1929" t="s">
        <v>1226</v>
      </c>
      <c r="E151" s="1929" t="s">
        <v>32</v>
      </c>
      <c r="F151" s="1929">
        <v>9.5</v>
      </c>
      <c r="G151" s="1929">
        <v>2.4</v>
      </c>
      <c r="H151" s="1929">
        <v>0.3</v>
      </c>
      <c r="I151" s="1929">
        <v>7.6</v>
      </c>
      <c r="J151" s="1929">
        <v>1996</v>
      </c>
      <c r="K151" s="1929" t="s">
        <v>5005</v>
      </c>
    </row>
    <row r="152" spans="1:11" x14ac:dyDescent="0.2">
      <c r="A152" s="1929" t="s">
        <v>5004</v>
      </c>
      <c r="B152" s="1929" t="s">
        <v>1306</v>
      </c>
      <c r="C152" s="1929" t="s">
        <v>1392</v>
      </c>
      <c r="D152" s="1929" t="s">
        <v>1226</v>
      </c>
      <c r="E152" s="1929" t="s">
        <v>84</v>
      </c>
      <c r="F152" s="1929">
        <v>5.9</v>
      </c>
      <c r="G152" s="1929">
        <v>4.8</v>
      </c>
      <c r="H152" s="1929">
        <v>0.5</v>
      </c>
      <c r="I152" s="1929">
        <v>2.5</v>
      </c>
      <c r="J152" s="1929">
        <v>1771</v>
      </c>
      <c r="K152" s="1929" t="s">
        <v>5003</v>
      </c>
    </row>
    <row r="153" spans="1:11" hidden="1" x14ac:dyDescent="0.2">
      <c r="A153" s="1929" t="s">
        <v>5002</v>
      </c>
      <c r="B153" s="1929" t="s">
        <v>1228</v>
      </c>
      <c r="C153" s="1929" t="s">
        <v>1466</v>
      </c>
      <c r="D153" s="1929" t="s">
        <v>274</v>
      </c>
      <c r="E153" s="1929" t="s">
        <v>33</v>
      </c>
      <c r="F153" s="1929">
        <v>21.6</v>
      </c>
      <c r="G153" s="1929">
        <v>13.2</v>
      </c>
      <c r="H153" s="1929">
        <v>0.9</v>
      </c>
      <c r="I153" s="1929">
        <v>18.2</v>
      </c>
      <c r="J153" s="1929">
        <v>581</v>
      </c>
      <c r="K153" s="1929" t="s">
        <v>5001</v>
      </c>
    </row>
    <row r="154" spans="1:11" hidden="1" x14ac:dyDescent="0.2">
      <c r="A154" s="1929" t="s">
        <v>5000</v>
      </c>
      <c r="B154" s="1929" t="s">
        <v>1306</v>
      </c>
      <c r="C154" s="1929" t="s">
        <v>1392</v>
      </c>
      <c r="D154" s="1929" t="s">
        <v>274</v>
      </c>
      <c r="E154" s="1929" t="s">
        <v>33</v>
      </c>
      <c r="F154" s="1929">
        <v>9</v>
      </c>
      <c r="G154" s="1929">
        <v>20.7</v>
      </c>
      <c r="H154" s="1929">
        <v>0.5</v>
      </c>
      <c r="I154" s="1929">
        <v>19.2</v>
      </c>
      <c r="J154" s="1929">
        <v>777</v>
      </c>
      <c r="K154" s="1929" t="s">
        <v>4999</v>
      </c>
    </row>
    <row r="155" spans="1:11" hidden="1" x14ac:dyDescent="0.2">
      <c r="A155" s="1929" t="s">
        <v>4998</v>
      </c>
      <c r="B155" s="1929" t="s">
        <v>1217</v>
      </c>
      <c r="C155" s="1929" t="s">
        <v>1368</v>
      </c>
      <c r="D155" s="1929" t="s">
        <v>274</v>
      </c>
      <c r="E155" s="1929" t="s">
        <v>33</v>
      </c>
      <c r="F155" s="1929">
        <v>6.1</v>
      </c>
      <c r="G155" s="1929">
        <v>24.4</v>
      </c>
      <c r="H155" s="1929">
        <v>0.5</v>
      </c>
      <c r="I155" s="1929">
        <v>22.1</v>
      </c>
      <c r="J155" s="1929">
        <v>819</v>
      </c>
      <c r="K155" s="1929" t="s">
        <v>4997</v>
      </c>
    </row>
    <row r="156" spans="1:11" hidden="1" x14ac:dyDescent="0.2">
      <c r="A156" s="1929" t="s">
        <v>4996</v>
      </c>
      <c r="B156" s="1929" t="s">
        <v>1238</v>
      </c>
      <c r="C156" s="1929" t="s">
        <v>1485</v>
      </c>
      <c r="D156" s="1929" t="s">
        <v>274</v>
      </c>
      <c r="E156" s="1929" t="s">
        <v>33</v>
      </c>
      <c r="F156" s="1929">
        <v>8.1999999999999993</v>
      </c>
      <c r="G156" s="1929">
        <v>12.9</v>
      </c>
      <c r="H156" s="1929">
        <v>-0.3</v>
      </c>
      <c r="I156" s="1929">
        <v>22.6</v>
      </c>
      <c r="J156" s="1929">
        <v>1050</v>
      </c>
      <c r="K156" s="1929" t="s">
        <v>4995</v>
      </c>
    </row>
    <row r="157" spans="1:11" hidden="1" x14ac:dyDescent="0.2">
      <c r="A157" s="1929" t="s">
        <v>4994</v>
      </c>
      <c r="B157" s="1929" t="s">
        <v>1217</v>
      </c>
      <c r="C157" s="1929" t="s">
        <v>1216</v>
      </c>
      <c r="D157" s="1929" t="s">
        <v>274</v>
      </c>
      <c r="E157" s="1929" t="s">
        <v>33</v>
      </c>
      <c r="F157" s="1929">
        <v>6.1</v>
      </c>
      <c r="G157" s="1929">
        <v>3.2</v>
      </c>
      <c r="H157" s="1929">
        <v>0.6</v>
      </c>
      <c r="I157" s="1929">
        <v>38.5</v>
      </c>
      <c r="J157" s="1929">
        <v>1141</v>
      </c>
      <c r="K157" s="1929" t="s">
        <v>4993</v>
      </c>
    </row>
    <row r="158" spans="1:11" hidden="1" x14ac:dyDescent="0.2">
      <c r="A158" s="1929" t="s">
        <v>4992</v>
      </c>
      <c r="B158" s="1929" t="s">
        <v>1238</v>
      </c>
      <c r="C158" s="1929" t="s">
        <v>1878</v>
      </c>
      <c r="D158" s="1929" t="s">
        <v>274</v>
      </c>
      <c r="E158" s="1929" t="s">
        <v>33</v>
      </c>
      <c r="F158" s="1929">
        <v>3.5</v>
      </c>
      <c r="G158" s="1929">
        <v>8.6</v>
      </c>
      <c r="H158" s="1929">
        <v>0.3</v>
      </c>
      <c r="I158" s="1929">
        <v>56.7</v>
      </c>
      <c r="J158" s="1929">
        <v>1162</v>
      </c>
      <c r="K158" s="1929" t="s">
        <v>4991</v>
      </c>
    </row>
    <row r="159" spans="1:11" hidden="1" x14ac:dyDescent="0.2">
      <c r="A159" s="1929" t="s">
        <v>4990</v>
      </c>
      <c r="B159" s="1929" t="s">
        <v>1217</v>
      </c>
      <c r="C159" s="1929" t="s">
        <v>1216</v>
      </c>
      <c r="D159" s="1929" t="s">
        <v>274</v>
      </c>
      <c r="E159" s="1929" t="s">
        <v>33</v>
      </c>
      <c r="F159" s="1929">
        <v>4</v>
      </c>
      <c r="G159" s="1929">
        <v>2.2999999999999998</v>
      </c>
      <c r="H159" s="1929">
        <v>0.3</v>
      </c>
      <c r="I159" s="1929">
        <v>33.299999999999997</v>
      </c>
      <c r="J159" s="1929">
        <v>1638</v>
      </c>
      <c r="K159" s="1929" t="s">
        <v>4989</v>
      </c>
    </row>
    <row r="160" spans="1:11" hidden="1" x14ac:dyDescent="0.2">
      <c r="A160" s="1929" t="s">
        <v>4988</v>
      </c>
      <c r="B160" s="1929" t="s">
        <v>1234</v>
      </c>
      <c r="C160" s="1929" t="s">
        <v>1461</v>
      </c>
      <c r="D160" s="1929" t="s">
        <v>274</v>
      </c>
      <c r="E160" s="1929" t="s">
        <v>33</v>
      </c>
      <c r="F160" s="1929">
        <v>8.3000000000000007</v>
      </c>
      <c r="G160" s="1929">
        <v>2.2000000000000002</v>
      </c>
      <c r="H160" s="1929">
        <v>0.5</v>
      </c>
      <c r="I160" s="1929">
        <v>4.8</v>
      </c>
      <c r="J160" s="1929">
        <v>1722</v>
      </c>
      <c r="K160" s="1929" t="s">
        <v>4987</v>
      </c>
    </row>
    <row r="161" spans="1:11" hidden="1" x14ac:dyDescent="0.2">
      <c r="A161" s="1929" t="s">
        <v>4986</v>
      </c>
      <c r="B161" s="1929" t="s">
        <v>1217</v>
      </c>
      <c r="C161" s="1929" t="s">
        <v>2291</v>
      </c>
      <c r="D161" s="1929" t="s">
        <v>1013</v>
      </c>
      <c r="E161" s="1929" t="s">
        <v>66</v>
      </c>
      <c r="F161" s="1929">
        <v>215.6</v>
      </c>
      <c r="G161" s="1929">
        <v>148.69999999999999</v>
      </c>
      <c r="H161" s="1929">
        <v>42.7</v>
      </c>
      <c r="I161" s="1929">
        <v>3124.9</v>
      </c>
      <c r="J161" s="1929">
        <v>1</v>
      </c>
      <c r="K161" s="1929" t="s">
        <v>4985</v>
      </c>
    </row>
    <row r="162" spans="1:11" hidden="1" x14ac:dyDescent="0.2">
      <c r="A162" s="1929" t="s">
        <v>4984</v>
      </c>
      <c r="B162" s="1929" t="s">
        <v>1217</v>
      </c>
      <c r="C162" s="1929" t="s">
        <v>1216</v>
      </c>
      <c r="D162" s="1929" t="s">
        <v>1013</v>
      </c>
      <c r="E162" s="1929" t="s">
        <v>66</v>
      </c>
      <c r="F162" s="1929">
        <v>174.4</v>
      </c>
      <c r="G162" s="1929">
        <v>121.3</v>
      </c>
      <c r="H162" s="1929">
        <v>34.200000000000003</v>
      </c>
      <c r="I162" s="1929">
        <v>2449.5</v>
      </c>
      <c r="J162" s="1929">
        <v>2</v>
      </c>
      <c r="K162" s="1929" t="s">
        <v>4983</v>
      </c>
    </row>
    <row r="163" spans="1:11" hidden="1" x14ac:dyDescent="0.2">
      <c r="A163" s="1929" t="s">
        <v>4982</v>
      </c>
      <c r="B163" s="1929" t="s">
        <v>1217</v>
      </c>
      <c r="C163" s="1929" t="s">
        <v>1216</v>
      </c>
      <c r="D163" s="1929" t="s">
        <v>1013</v>
      </c>
      <c r="E163" s="1929" t="s">
        <v>66</v>
      </c>
      <c r="F163" s="1929">
        <v>141.1</v>
      </c>
      <c r="G163" s="1929">
        <v>136.4</v>
      </c>
      <c r="H163" s="1929">
        <v>27</v>
      </c>
      <c r="I163" s="1929">
        <v>2405.4</v>
      </c>
      <c r="J163" s="1929">
        <v>3</v>
      </c>
      <c r="K163" s="1929" t="s">
        <v>4981</v>
      </c>
    </row>
    <row r="164" spans="1:11" hidden="1" x14ac:dyDescent="0.2">
      <c r="A164" s="1929" t="s">
        <v>4980</v>
      </c>
      <c r="B164" s="1929" t="s">
        <v>1217</v>
      </c>
      <c r="C164" s="1929" t="s">
        <v>2291</v>
      </c>
      <c r="D164" s="1929" t="s">
        <v>1013</v>
      </c>
      <c r="E164" s="1929" t="s">
        <v>66</v>
      </c>
      <c r="F164" s="1929">
        <v>124.2</v>
      </c>
      <c r="G164" s="1929">
        <v>105.1</v>
      </c>
      <c r="H164" s="1929">
        <v>25.5</v>
      </c>
      <c r="I164" s="1929">
        <v>2291.8000000000002</v>
      </c>
      <c r="J164" s="1929">
        <v>9</v>
      </c>
      <c r="K164" s="1929" t="s">
        <v>4979</v>
      </c>
    </row>
    <row r="165" spans="1:11" hidden="1" x14ac:dyDescent="0.2">
      <c r="A165" s="1929" t="s">
        <v>4978</v>
      </c>
      <c r="B165" s="1929" t="s">
        <v>1258</v>
      </c>
      <c r="C165" s="1929" t="s">
        <v>1263</v>
      </c>
      <c r="D165" s="1929" t="s">
        <v>1013</v>
      </c>
      <c r="E165" s="1929" t="s">
        <v>66</v>
      </c>
      <c r="F165" s="1929">
        <v>202</v>
      </c>
      <c r="G165" s="1929">
        <v>328.5</v>
      </c>
      <c r="H165" s="1929">
        <v>21.1</v>
      </c>
      <c r="I165" s="1929">
        <v>386.9</v>
      </c>
      <c r="J165" s="1929">
        <v>10</v>
      </c>
      <c r="K165" s="1929" t="s">
        <v>4977</v>
      </c>
    </row>
    <row r="166" spans="1:11" hidden="1" x14ac:dyDescent="0.2">
      <c r="A166" s="1929" t="s">
        <v>4976</v>
      </c>
      <c r="B166" s="1929" t="s">
        <v>1258</v>
      </c>
      <c r="C166" s="1929" t="s">
        <v>1263</v>
      </c>
      <c r="D166" s="1929" t="s">
        <v>1013</v>
      </c>
      <c r="E166" s="1929" t="s">
        <v>66</v>
      </c>
      <c r="F166" s="1929">
        <v>94.7</v>
      </c>
      <c r="G166" s="1929">
        <v>445.3</v>
      </c>
      <c r="H166" s="1929">
        <v>10.9</v>
      </c>
      <c r="I166" s="1929">
        <v>228.4</v>
      </c>
      <c r="J166" s="1929">
        <v>29</v>
      </c>
      <c r="K166" s="1929" t="s">
        <v>4975</v>
      </c>
    </row>
    <row r="167" spans="1:11" hidden="1" x14ac:dyDescent="0.2">
      <c r="A167" s="1929" t="s">
        <v>4974</v>
      </c>
      <c r="B167" s="1929" t="s">
        <v>1217</v>
      </c>
      <c r="C167" s="1929" t="s">
        <v>1252</v>
      </c>
      <c r="D167" s="1929" t="s">
        <v>1013</v>
      </c>
      <c r="E167" s="1929" t="s">
        <v>66</v>
      </c>
      <c r="F167" s="1929">
        <v>66.099999999999994</v>
      </c>
      <c r="G167" s="1929">
        <v>59</v>
      </c>
      <c r="H167" s="1929">
        <v>4.5999999999999996</v>
      </c>
      <c r="I167" s="1929">
        <v>552.79999999999995</v>
      </c>
      <c r="J167" s="1929">
        <v>62</v>
      </c>
      <c r="K167" s="1929" t="s">
        <v>4973</v>
      </c>
    </row>
    <row r="168" spans="1:11" hidden="1" x14ac:dyDescent="0.2">
      <c r="A168" s="1929" t="s">
        <v>4972</v>
      </c>
      <c r="B168" s="1929" t="s">
        <v>1217</v>
      </c>
      <c r="C168" s="1929" t="s">
        <v>2291</v>
      </c>
      <c r="D168" s="1929" t="s">
        <v>1013</v>
      </c>
      <c r="E168" s="1929" t="s">
        <v>66</v>
      </c>
      <c r="F168" s="1929">
        <v>48.7</v>
      </c>
      <c r="G168" s="1929">
        <v>46.6</v>
      </c>
      <c r="H168" s="1929">
        <v>10.1</v>
      </c>
      <c r="I168" s="1929">
        <v>942.2</v>
      </c>
      <c r="J168" s="1929">
        <v>65</v>
      </c>
      <c r="K168" s="1929" t="s">
        <v>4971</v>
      </c>
    </row>
    <row r="169" spans="1:11" hidden="1" x14ac:dyDescent="0.2">
      <c r="A169" s="1929" t="s">
        <v>4970</v>
      </c>
      <c r="B169" s="1929" t="s">
        <v>1217</v>
      </c>
      <c r="C169" s="1929" t="s">
        <v>1302</v>
      </c>
      <c r="D169" s="1929" t="s">
        <v>1013</v>
      </c>
      <c r="E169" s="1929" t="s">
        <v>66</v>
      </c>
      <c r="F169" s="1929">
        <v>79.8</v>
      </c>
      <c r="G169" s="1929">
        <v>68.400000000000006</v>
      </c>
      <c r="H169" s="1929">
        <v>4</v>
      </c>
      <c r="I169" s="1929">
        <v>327.2</v>
      </c>
      <c r="J169" s="1929">
        <v>66</v>
      </c>
      <c r="K169" s="1929" t="s">
        <v>4969</v>
      </c>
    </row>
    <row r="170" spans="1:11" hidden="1" x14ac:dyDescent="0.2">
      <c r="A170" s="1929" t="s">
        <v>4968</v>
      </c>
      <c r="B170" s="1929" t="s">
        <v>1217</v>
      </c>
      <c r="C170" s="1929" t="s">
        <v>2291</v>
      </c>
      <c r="D170" s="1929" t="s">
        <v>1013</v>
      </c>
      <c r="E170" s="1929" t="s">
        <v>66</v>
      </c>
      <c r="F170" s="1929">
        <v>45.2</v>
      </c>
      <c r="G170" s="1929">
        <v>32.200000000000003</v>
      </c>
      <c r="H170" s="1929">
        <v>8.1</v>
      </c>
      <c r="I170" s="1929">
        <v>634.70000000000005</v>
      </c>
      <c r="J170" s="1929">
        <v>102</v>
      </c>
      <c r="K170" s="1929" t="s">
        <v>4967</v>
      </c>
    </row>
    <row r="171" spans="1:11" hidden="1" x14ac:dyDescent="0.2">
      <c r="A171" s="1929" t="s">
        <v>4966</v>
      </c>
      <c r="B171" s="1929" t="s">
        <v>1217</v>
      </c>
      <c r="C171" s="1929" t="s">
        <v>1216</v>
      </c>
      <c r="D171" s="1929" t="s">
        <v>1013</v>
      </c>
      <c r="E171" s="1929" t="s">
        <v>66</v>
      </c>
      <c r="F171" s="1929">
        <v>33.6</v>
      </c>
      <c r="G171" s="1929">
        <v>34.1</v>
      </c>
      <c r="H171" s="1929">
        <v>6.8</v>
      </c>
      <c r="I171" s="1929">
        <v>541.20000000000005</v>
      </c>
      <c r="J171" s="1929">
        <v>121</v>
      </c>
      <c r="K171" s="1929" t="s">
        <v>4965</v>
      </c>
    </row>
    <row r="172" spans="1:11" hidden="1" x14ac:dyDescent="0.2">
      <c r="A172" s="1929" t="s">
        <v>4964</v>
      </c>
      <c r="B172" s="1929" t="s">
        <v>1234</v>
      </c>
      <c r="C172" s="1929" t="s">
        <v>1337</v>
      </c>
      <c r="D172" s="1929" t="s">
        <v>1013</v>
      </c>
      <c r="E172" s="1929" t="s">
        <v>66</v>
      </c>
      <c r="F172" s="1929">
        <v>57.6</v>
      </c>
      <c r="G172" s="1929">
        <v>42.8</v>
      </c>
      <c r="H172" s="1929">
        <v>7.2</v>
      </c>
      <c r="I172" s="1929">
        <v>80.400000000000006</v>
      </c>
      <c r="J172" s="1929">
        <v>124</v>
      </c>
      <c r="K172" s="1929" t="s">
        <v>4963</v>
      </c>
    </row>
    <row r="173" spans="1:11" hidden="1" x14ac:dyDescent="0.2">
      <c r="A173" s="1929" t="s">
        <v>4962</v>
      </c>
      <c r="B173" s="1929" t="s">
        <v>1217</v>
      </c>
      <c r="C173" s="1929" t="s">
        <v>1216</v>
      </c>
      <c r="D173" s="1929" t="s">
        <v>1013</v>
      </c>
      <c r="E173" s="1929" t="s">
        <v>66</v>
      </c>
      <c r="F173" s="1929">
        <v>28.8</v>
      </c>
      <c r="G173" s="1929">
        <v>32.700000000000003</v>
      </c>
      <c r="H173" s="1929">
        <v>6.7</v>
      </c>
      <c r="I173" s="1929">
        <v>593.5</v>
      </c>
      <c r="J173" s="1929">
        <v>129</v>
      </c>
      <c r="K173" s="1929" t="s">
        <v>4961</v>
      </c>
    </row>
    <row r="174" spans="1:11" hidden="1" x14ac:dyDescent="0.2">
      <c r="A174" s="1929" t="s">
        <v>4960</v>
      </c>
      <c r="B174" s="1929" t="s">
        <v>1217</v>
      </c>
      <c r="C174" s="1929" t="s">
        <v>1216</v>
      </c>
      <c r="D174" s="1929" t="s">
        <v>1013</v>
      </c>
      <c r="E174" s="1929" t="s">
        <v>66</v>
      </c>
      <c r="F174" s="1929">
        <v>29.2</v>
      </c>
      <c r="G174" s="1929">
        <v>31.7</v>
      </c>
      <c r="H174" s="1929">
        <v>6.7</v>
      </c>
      <c r="I174" s="1929">
        <v>607.9</v>
      </c>
      <c r="J174" s="1929">
        <v>130</v>
      </c>
      <c r="K174" s="1929" t="s">
        <v>4959</v>
      </c>
    </row>
    <row r="175" spans="1:11" hidden="1" x14ac:dyDescent="0.2">
      <c r="A175" s="1929" t="s">
        <v>4958</v>
      </c>
      <c r="B175" s="1929" t="s">
        <v>1217</v>
      </c>
      <c r="C175" s="1929" t="s">
        <v>1216</v>
      </c>
      <c r="D175" s="1929" t="s">
        <v>1013</v>
      </c>
      <c r="E175" s="1929" t="s">
        <v>66</v>
      </c>
      <c r="F175" s="1929">
        <v>32.5</v>
      </c>
      <c r="G175" s="1929">
        <v>27.8</v>
      </c>
      <c r="H175" s="1929">
        <v>5.7</v>
      </c>
      <c r="I175" s="1929">
        <v>555.6</v>
      </c>
      <c r="J175" s="1929">
        <v>134</v>
      </c>
      <c r="K175" s="1929" t="s">
        <v>4957</v>
      </c>
    </row>
    <row r="176" spans="1:11" hidden="1" x14ac:dyDescent="0.2">
      <c r="A176" s="1929" t="s">
        <v>4956</v>
      </c>
      <c r="B176" s="1929" t="s">
        <v>1249</v>
      </c>
      <c r="C176" s="1929" t="s">
        <v>1248</v>
      </c>
      <c r="D176" s="1929" t="s">
        <v>1013</v>
      </c>
      <c r="E176" s="1929" t="s">
        <v>66</v>
      </c>
      <c r="F176" s="1929">
        <v>37.4</v>
      </c>
      <c r="G176" s="1929">
        <v>52.3</v>
      </c>
      <c r="H176" s="1929">
        <v>2.9</v>
      </c>
      <c r="I176" s="1929">
        <v>89.7</v>
      </c>
      <c r="J176" s="1929">
        <v>150</v>
      </c>
      <c r="K176" s="1929" t="s">
        <v>4955</v>
      </c>
    </row>
    <row r="177" spans="1:11" hidden="1" x14ac:dyDescent="0.2">
      <c r="A177" s="1929" t="s">
        <v>4954</v>
      </c>
      <c r="B177" s="1929" t="s">
        <v>1228</v>
      </c>
      <c r="C177" s="1929" t="s">
        <v>2392</v>
      </c>
      <c r="D177" s="1929" t="s">
        <v>1013</v>
      </c>
      <c r="E177" s="1929" t="s">
        <v>66</v>
      </c>
      <c r="F177" s="1929">
        <v>24.7</v>
      </c>
      <c r="G177" s="1929">
        <v>88.3</v>
      </c>
      <c r="H177" s="1929">
        <v>4</v>
      </c>
      <c r="I177" s="1929">
        <v>56.4</v>
      </c>
      <c r="J177" s="1929">
        <v>175</v>
      </c>
      <c r="K177" s="1929" t="s">
        <v>4953</v>
      </c>
    </row>
    <row r="178" spans="1:11" hidden="1" x14ac:dyDescent="0.2">
      <c r="A178" s="1929" t="s">
        <v>4952</v>
      </c>
      <c r="B178" s="1929" t="s">
        <v>1217</v>
      </c>
      <c r="C178" s="1929" t="s">
        <v>1216</v>
      </c>
      <c r="D178" s="1929" t="s">
        <v>1013</v>
      </c>
      <c r="E178" s="1929" t="s">
        <v>66</v>
      </c>
      <c r="F178" s="1929">
        <v>18.600000000000001</v>
      </c>
      <c r="G178" s="1929">
        <v>21.2</v>
      </c>
      <c r="H178" s="1929">
        <v>4.2</v>
      </c>
      <c r="I178" s="1929">
        <v>404.2</v>
      </c>
      <c r="J178" s="1929">
        <v>206</v>
      </c>
      <c r="K178" s="1929" t="s">
        <v>4951</v>
      </c>
    </row>
    <row r="179" spans="1:11" hidden="1" x14ac:dyDescent="0.2">
      <c r="A179" s="1929" t="s">
        <v>4950</v>
      </c>
      <c r="B179" s="1929" t="s">
        <v>1238</v>
      </c>
      <c r="C179" s="1929" t="s">
        <v>1241</v>
      </c>
      <c r="D179" s="1929" t="s">
        <v>1013</v>
      </c>
      <c r="E179" s="1929" t="s">
        <v>66</v>
      </c>
      <c r="F179" s="1929">
        <v>14</v>
      </c>
      <c r="G179" s="1929">
        <v>88.1</v>
      </c>
      <c r="H179" s="1929">
        <v>2.5</v>
      </c>
      <c r="I179" s="1929">
        <v>123.4</v>
      </c>
      <c r="J179" s="1929">
        <v>223</v>
      </c>
      <c r="K179" s="1929" t="s">
        <v>4949</v>
      </c>
    </row>
    <row r="180" spans="1:11" hidden="1" x14ac:dyDescent="0.2">
      <c r="A180" s="1929" t="s">
        <v>4948</v>
      </c>
      <c r="B180" s="1929" t="s">
        <v>1217</v>
      </c>
      <c r="C180" s="1929" t="s">
        <v>1302</v>
      </c>
      <c r="D180" s="1929" t="s">
        <v>1013</v>
      </c>
      <c r="E180" s="1929" t="s">
        <v>66</v>
      </c>
      <c r="F180" s="1929">
        <v>23.2</v>
      </c>
      <c r="G180" s="1929">
        <v>33.200000000000003</v>
      </c>
      <c r="H180" s="1929">
        <v>1.6</v>
      </c>
      <c r="I180" s="1929">
        <v>118.6</v>
      </c>
      <c r="J180" s="1929">
        <v>227</v>
      </c>
      <c r="K180" s="1929" t="s">
        <v>4947</v>
      </c>
    </row>
    <row r="181" spans="1:11" hidden="1" x14ac:dyDescent="0.2">
      <c r="A181" s="1929" t="s">
        <v>4946</v>
      </c>
      <c r="B181" s="1929" t="s">
        <v>1217</v>
      </c>
      <c r="C181" s="1929" t="s">
        <v>1563</v>
      </c>
      <c r="D181" s="1929" t="s">
        <v>1013</v>
      </c>
      <c r="E181" s="1929" t="s">
        <v>66</v>
      </c>
      <c r="F181" s="1929">
        <v>17.7</v>
      </c>
      <c r="G181" s="1929">
        <v>42.3</v>
      </c>
      <c r="H181" s="1929">
        <v>1.5</v>
      </c>
      <c r="I181" s="1929">
        <v>114.9</v>
      </c>
      <c r="J181" s="1929">
        <v>248</v>
      </c>
      <c r="K181" s="1929" t="s">
        <v>4945</v>
      </c>
    </row>
    <row r="182" spans="1:11" hidden="1" x14ac:dyDescent="0.2">
      <c r="A182" s="1929" t="s">
        <v>4944</v>
      </c>
      <c r="B182" s="1929" t="s">
        <v>1217</v>
      </c>
      <c r="C182" s="1929" t="s">
        <v>1216</v>
      </c>
      <c r="D182" s="1929" t="s">
        <v>1013</v>
      </c>
      <c r="E182" s="1929" t="s">
        <v>66</v>
      </c>
      <c r="F182" s="1929">
        <v>16.600000000000001</v>
      </c>
      <c r="G182" s="1929">
        <v>17.100000000000001</v>
      </c>
      <c r="H182" s="1929">
        <v>2.5</v>
      </c>
      <c r="I182" s="1929">
        <v>312.5</v>
      </c>
      <c r="J182" s="1929">
        <v>274</v>
      </c>
      <c r="K182" s="1929" t="s">
        <v>4943</v>
      </c>
    </row>
    <row r="183" spans="1:11" hidden="1" x14ac:dyDescent="0.2">
      <c r="A183" s="1929" t="s">
        <v>4942</v>
      </c>
      <c r="B183" s="1929" t="s">
        <v>1217</v>
      </c>
      <c r="C183" s="1929" t="s">
        <v>1456</v>
      </c>
      <c r="D183" s="1929" t="s">
        <v>1013</v>
      </c>
      <c r="E183" s="1929" t="s">
        <v>66</v>
      </c>
      <c r="F183" s="1929">
        <v>14.9</v>
      </c>
      <c r="G183" s="1929">
        <v>22</v>
      </c>
      <c r="H183" s="1929">
        <v>2.5</v>
      </c>
      <c r="I183" s="1929">
        <v>79.2</v>
      </c>
      <c r="J183" s="1929">
        <v>305</v>
      </c>
      <c r="K183" s="1929" t="s">
        <v>4941</v>
      </c>
    </row>
    <row r="184" spans="1:11" hidden="1" x14ac:dyDescent="0.2">
      <c r="A184" s="1929" t="s">
        <v>4940</v>
      </c>
      <c r="B184" s="1929" t="s">
        <v>1238</v>
      </c>
      <c r="C184" s="1929" t="s">
        <v>1241</v>
      </c>
      <c r="D184" s="1929" t="s">
        <v>1013</v>
      </c>
      <c r="E184" s="1929" t="s">
        <v>66</v>
      </c>
      <c r="F184" s="1929">
        <v>11.2</v>
      </c>
      <c r="G184" s="1929">
        <v>52.8</v>
      </c>
      <c r="H184" s="1929">
        <v>2</v>
      </c>
      <c r="I184" s="1929">
        <v>85.6</v>
      </c>
      <c r="J184" s="1929">
        <v>306</v>
      </c>
      <c r="K184" s="1929" t="s">
        <v>4939</v>
      </c>
    </row>
    <row r="185" spans="1:11" hidden="1" x14ac:dyDescent="0.2">
      <c r="A185" s="1929" t="s">
        <v>4938</v>
      </c>
      <c r="B185" s="1929" t="s">
        <v>1238</v>
      </c>
      <c r="C185" s="1929" t="s">
        <v>1241</v>
      </c>
      <c r="D185" s="1929" t="s">
        <v>1013</v>
      </c>
      <c r="E185" s="1929" t="s">
        <v>66</v>
      </c>
      <c r="F185" s="1929">
        <v>10.5</v>
      </c>
      <c r="G185" s="1929">
        <v>89.9</v>
      </c>
      <c r="H185" s="1929">
        <v>1.7</v>
      </c>
      <c r="I185" s="1929">
        <v>87.5</v>
      </c>
      <c r="J185" s="1929">
        <v>311</v>
      </c>
      <c r="K185" s="1929" t="s">
        <v>4937</v>
      </c>
    </row>
    <row r="186" spans="1:11" hidden="1" x14ac:dyDescent="0.2">
      <c r="A186" s="1929" t="s">
        <v>4936</v>
      </c>
      <c r="B186" s="1929" t="s">
        <v>1217</v>
      </c>
      <c r="C186" s="1929" t="s">
        <v>1216</v>
      </c>
      <c r="D186" s="1929" t="s">
        <v>1013</v>
      </c>
      <c r="E186" s="1929" t="s">
        <v>66</v>
      </c>
      <c r="F186" s="1929">
        <v>12</v>
      </c>
      <c r="G186" s="1929">
        <v>12.9</v>
      </c>
      <c r="H186" s="1929">
        <v>2.4</v>
      </c>
      <c r="I186" s="1929">
        <v>253.5</v>
      </c>
      <c r="J186" s="1929">
        <v>365</v>
      </c>
      <c r="K186" s="1929" t="s">
        <v>4935</v>
      </c>
    </row>
    <row r="187" spans="1:11" hidden="1" x14ac:dyDescent="0.2">
      <c r="A187" s="1929" t="s">
        <v>4934</v>
      </c>
      <c r="B187" s="1929" t="s">
        <v>1310</v>
      </c>
      <c r="C187" s="1929" t="s">
        <v>1309</v>
      </c>
      <c r="D187" s="1929" t="s">
        <v>1013</v>
      </c>
      <c r="E187" s="1929" t="s">
        <v>66</v>
      </c>
      <c r="F187" s="1929">
        <v>12.1</v>
      </c>
      <c r="G187" s="1929">
        <v>21.8</v>
      </c>
      <c r="H187" s="1929">
        <v>1.7</v>
      </c>
      <c r="I187" s="1929">
        <v>43.1</v>
      </c>
      <c r="J187" s="1929">
        <v>401</v>
      </c>
      <c r="K187" s="1929" t="s">
        <v>4933</v>
      </c>
    </row>
    <row r="188" spans="1:11" hidden="1" x14ac:dyDescent="0.2">
      <c r="A188" s="1929" t="s">
        <v>4932</v>
      </c>
      <c r="B188" s="1929" t="s">
        <v>1245</v>
      </c>
      <c r="C188" s="1929" t="s">
        <v>1244</v>
      </c>
      <c r="D188" s="1929" t="s">
        <v>1013</v>
      </c>
      <c r="E188" s="1929" t="s">
        <v>66</v>
      </c>
      <c r="F188" s="1929">
        <v>135.4</v>
      </c>
      <c r="G188" s="1929">
        <v>9.8000000000000007</v>
      </c>
      <c r="H188" s="1929">
        <v>2.5</v>
      </c>
      <c r="I188" s="1929">
        <v>17.7</v>
      </c>
      <c r="J188" s="1929">
        <v>426</v>
      </c>
      <c r="K188" s="1929" t="s">
        <v>4931</v>
      </c>
    </row>
    <row r="189" spans="1:11" hidden="1" x14ac:dyDescent="0.2">
      <c r="A189" s="1929" t="s">
        <v>4930</v>
      </c>
      <c r="B189" s="1929" t="s">
        <v>1217</v>
      </c>
      <c r="C189" s="1929" t="s">
        <v>1216</v>
      </c>
      <c r="D189" s="1929" t="s">
        <v>1013</v>
      </c>
      <c r="E189" s="1929" t="s">
        <v>66</v>
      </c>
      <c r="F189" s="1929">
        <v>10.8</v>
      </c>
      <c r="G189" s="1929">
        <v>9.8000000000000007</v>
      </c>
      <c r="H189" s="1929">
        <v>2.1</v>
      </c>
      <c r="I189" s="1929">
        <v>197.2</v>
      </c>
      <c r="J189" s="1929">
        <v>429</v>
      </c>
      <c r="K189" s="1929" t="s">
        <v>4929</v>
      </c>
    </row>
    <row r="190" spans="1:11" hidden="1" x14ac:dyDescent="0.2">
      <c r="A190" s="1929" t="s">
        <v>4928</v>
      </c>
      <c r="B190" s="1929" t="s">
        <v>1217</v>
      </c>
      <c r="C190" s="1929" t="s">
        <v>1302</v>
      </c>
      <c r="D190" s="1929" t="s">
        <v>1013</v>
      </c>
      <c r="E190" s="1929" t="s">
        <v>66</v>
      </c>
      <c r="F190" s="1929">
        <v>10.199999999999999</v>
      </c>
      <c r="G190" s="1929">
        <v>18.7</v>
      </c>
      <c r="H190" s="1929">
        <v>0.7</v>
      </c>
      <c r="I190" s="1929">
        <v>88.6</v>
      </c>
      <c r="J190" s="1929">
        <v>474</v>
      </c>
      <c r="K190" s="1929" t="s">
        <v>4927</v>
      </c>
    </row>
    <row r="191" spans="1:11" hidden="1" x14ac:dyDescent="0.2">
      <c r="A191" s="1929" t="s">
        <v>4926</v>
      </c>
      <c r="B191" s="1929" t="s">
        <v>1228</v>
      </c>
      <c r="C191" s="1929" t="s">
        <v>2023</v>
      </c>
      <c r="D191" s="1929" t="s">
        <v>1013</v>
      </c>
      <c r="E191" s="1929" t="s">
        <v>66</v>
      </c>
      <c r="F191" s="1929">
        <v>13.7</v>
      </c>
      <c r="G191" s="1929">
        <v>17.899999999999999</v>
      </c>
      <c r="H191" s="1929">
        <v>1.6</v>
      </c>
      <c r="I191" s="1929">
        <v>21.2</v>
      </c>
      <c r="J191" s="1929">
        <v>501</v>
      </c>
      <c r="K191" s="1929" t="s">
        <v>4925</v>
      </c>
    </row>
    <row r="192" spans="1:11" hidden="1" x14ac:dyDescent="0.2">
      <c r="A192" s="1929" t="s">
        <v>4924</v>
      </c>
      <c r="B192" s="1929" t="s">
        <v>1217</v>
      </c>
      <c r="C192" s="1929" t="s">
        <v>1456</v>
      </c>
      <c r="D192" s="1929" t="s">
        <v>1013</v>
      </c>
      <c r="E192" s="1929" t="s">
        <v>66</v>
      </c>
      <c r="F192" s="1929">
        <v>8.9</v>
      </c>
      <c r="G192" s="1929">
        <v>13.1</v>
      </c>
      <c r="H192" s="1929">
        <v>1.7</v>
      </c>
      <c r="I192" s="1929">
        <v>51.5</v>
      </c>
      <c r="J192" s="1929">
        <v>511</v>
      </c>
      <c r="K192" s="1929" t="s">
        <v>4923</v>
      </c>
    </row>
    <row r="193" spans="1:11" hidden="1" x14ac:dyDescent="0.2">
      <c r="A193" s="1929" t="s">
        <v>4922</v>
      </c>
      <c r="B193" s="1929" t="s">
        <v>1234</v>
      </c>
      <c r="C193" s="1929" t="s">
        <v>1445</v>
      </c>
      <c r="D193" s="1929" t="s">
        <v>1013</v>
      </c>
      <c r="E193" s="1929" t="s">
        <v>66</v>
      </c>
      <c r="F193" s="1929">
        <v>10.4</v>
      </c>
      <c r="G193" s="1929">
        <v>30.8</v>
      </c>
      <c r="H193" s="1929">
        <v>0.7</v>
      </c>
      <c r="I193" s="1929">
        <v>37.4</v>
      </c>
      <c r="J193" s="1929">
        <v>512</v>
      </c>
      <c r="K193" s="1929" t="s">
        <v>4921</v>
      </c>
    </row>
    <row r="194" spans="1:11" hidden="1" x14ac:dyDescent="0.2">
      <c r="A194" s="1929" t="s">
        <v>4920</v>
      </c>
      <c r="B194" s="1929" t="s">
        <v>1217</v>
      </c>
      <c r="C194" s="1929" t="s">
        <v>1456</v>
      </c>
      <c r="D194" s="1929" t="s">
        <v>1013</v>
      </c>
      <c r="E194" s="1929" t="s">
        <v>66</v>
      </c>
      <c r="F194" s="1929">
        <v>7.2</v>
      </c>
      <c r="G194" s="1929">
        <v>11.4</v>
      </c>
      <c r="H194" s="1929">
        <v>1.6</v>
      </c>
      <c r="I194" s="1929">
        <v>44.7</v>
      </c>
      <c r="J194" s="1929">
        <v>600</v>
      </c>
      <c r="K194" s="1929" t="s">
        <v>4919</v>
      </c>
    </row>
    <row r="195" spans="1:11" hidden="1" x14ac:dyDescent="0.2">
      <c r="A195" s="1929" t="s">
        <v>4918</v>
      </c>
      <c r="B195" s="1929" t="s">
        <v>1234</v>
      </c>
      <c r="C195" s="1929" t="s">
        <v>1476</v>
      </c>
      <c r="D195" s="1929" t="s">
        <v>1013</v>
      </c>
      <c r="E195" s="1929" t="s">
        <v>66</v>
      </c>
      <c r="F195" s="1929">
        <v>22.8</v>
      </c>
      <c r="G195" s="1929">
        <v>9</v>
      </c>
      <c r="H195" s="1929">
        <v>1.5</v>
      </c>
      <c r="I195" s="1929">
        <v>15.4</v>
      </c>
      <c r="J195" s="1929">
        <v>603</v>
      </c>
      <c r="K195" s="1929" t="s">
        <v>4917</v>
      </c>
    </row>
    <row r="196" spans="1:11" hidden="1" x14ac:dyDescent="0.2">
      <c r="A196" s="1929" t="s">
        <v>4916</v>
      </c>
      <c r="B196" s="1929" t="s">
        <v>1238</v>
      </c>
      <c r="C196" s="1929" t="s">
        <v>1434</v>
      </c>
      <c r="D196" s="1929" t="s">
        <v>1013</v>
      </c>
      <c r="E196" s="1929" t="s">
        <v>66</v>
      </c>
      <c r="F196" s="1929">
        <v>16</v>
      </c>
      <c r="G196" s="1929">
        <v>7.9</v>
      </c>
      <c r="H196" s="1929">
        <v>2</v>
      </c>
      <c r="I196" s="1929">
        <v>16.399999999999999</v>
      </c>
      <c r="J196" s="1929">
        <v>641</v>
      </c>
      <c r="K196" s="1929" t="s">
        <v>4915</v>
      </c>
    </row>
    <row r="197" spans="1:11" hidden="1" x14ac:dyDescent="0.2">
      <c r="A197" s="1929" t="s">
        <v>4914</v>
      </c>
      <c r="B197" s="1929" t="s">
        <v>1234</v>
      </c>
      <c r="C197" s="1929" t="s">
        <v>1476</v>
      </c>
      <c r="D197" s="1929" t="s">
        <v>1013</v>
      </c>
      <c r="E197" s="1929" t="s">
        <v>66</v>
      </c>
      <c r="F197" s="1929">
        <v>5.4</v>
      </c>
      <c r="G197" s="1929">
        <v>19.2</v>
      </c>
      <c r="H197" s="1929">
        <v>0.9</v>
      </c>
      <c r="I197" s="1929">
        <v>48.2</v>
      </c>
      <c r="J197" s="1929">
        <v>650</v>
      </c>
      <c r="K197" s="1929" t="s">
        <v>4913</v>
      </c>
    </row>
    <row r="198" spans="1:11" hidden="1" x14ac:dyDescent="0.2">
      <c r="A198" s="1929" t="s">
        <v>4912</v>
      </c>
      <c r="D198" s="1929" t="s">
        <v>1013</v>
      </c>
      <c r="E198" s="1929" t="s">
        <v>66</v>
      </c>
      <c r="F198" s="1929">
        <v>20.100000000000001</v>
      </c>
      <c r="G198" s="1929">
        <v>4</v>
      </c>
      <c r="H198" s="1929">
        <v>1.2</v>
      </c>
      <c r="I198" s="1929">
        <v>46.2</v>
      </c>
      <c r="J198" s="1929">
        <v>685</v>
      </c>
      <c r="K198" s="1929" t="s">
        <v>4911</v>
      </c>
    </row>
    <row r="199" spans="1:11" hidden="1" x14ac:dyDescent="0.2">
      <c r="A199" s="1929" t="s">
        <v>4910</v>
      </c>
      <c r="B199" s="1929" t="s">
        <v>1238</v>
      </c>
      <c r="C199" s="1929" t="s">
        <v>1237</v>
      </c>
      <c r="D199" s="1929" t="s">
        <v>1013</v>
      </c>
      <c r="E199" s="1929" t="s">
        <v>66</v>
      </c>
      <c r="F199" s="1929">
        <v>11.6</v>
      </c>
      <c r="G199" s="1929">
        <v>14.1</v>
      </c>
      <c r="H199" s="1929">
        <v>0.6</v>
      </c>
      <c r="I199" s="1929">
        <v>19</v>
      </c>
      <c r="J199" s="1929">
        <v>693</v>
      </c>
      <c r="K199" s="1929" t="s">
        <v>4909</v>
      </c>
    </row>
    <row r="200" spans="1:11" hidden="1" x14ac:dyDescent="0.2">
      <c r="A200" s="1929" t="s">
        <v>4908</v>
      </c>
      <c r="B200" s="1929" t="s">
        <v>1310</v>
      </c>
      <c r="C200" s="1929" t="s">
        <v>1309</v>
      </c>
      <c r="D200" s="1929" t="s">
        <v>1013</v>
      </c>
      <c r="E200" s="1929" t="s">
        <v>66</v>
      </c>
      <c r="F200" s="1929">
        <v>6.6</v>
      </c>
      <c r="G200" s="1929">
        <v>10.8</v>
      </c>
      <c r="H200" s="1929">
        <v>1</v>
      </c>
      <c r="I200" s="1929">
        <v>40.4</v>
      </c>
      <c r="J200" s="1929">
        <v>698</v>
      </c>
      <c r="K200" s="1929" t="s">
        <v>4907</v>
      </c>
    </row>
    <row r="201" spans="1:11" hidden="1" x14ac:dyDescent="0.2">
      <c r="A201" s="1929" t="s">
        <v>4906</v>
      </c>
      <c r="B201" s="1929" t="s">
        <v>1234</v>
      </c>
      <c r="C201" s="1929" t="s">
        <v>1337</v>
      </c>
      <c r="D201" s="1929" t="s">
        <v>1013</v>
      </c>
      <c r="E201" s="1929" t="s">
        <v>66</v>
      </c>
      <c r="F201" s="1929">
        <v>7.3</v>
      </c>
      <c r="G201" s="1929">
        <v>13.2</v>
      </c>
      <c r="H201" s="1929">
        <v>0.7</v>
      </c>
      <c r="I201" s="1929">
        <v>35.5</v>
      </c>
      <c r="J201" s="1929">
        <v>701</v>
      </c>
      <c r="K201" s="1929" t="s">
        <v>4905</v>
      </c>
    </row>
    <row r="202" spans="1:11" hidden="1" x14ac:dyDescent="0.2">
      <c r="A202" s="1929" t="s">
        <v>4904</v>
      </c>
      <c r="B202" s="1929" t="s">
        <v>1228</v>
      </c>
      <c r="C202" s="1929" t="s">
        <v>2023</v>
      </c>
      <c r="D202" s="1929" t="s">
        <v>1013</v>
      </c>
      <c r="E202" s="1929" t="s">
        <v>66</v>
      </c>
      <c r="F202" s="1929">
        <v>12.8</v>
      </c>
      <c r="G202" s="1929">
        <v>19.600000000000001</v>
      </c>
      <c r="H202" s="1929">
        <v>0.6</v>
      </c>
      <c r="I202" s="1929">
        <v>16</v>
      </c>
      <c r="J202" s="1929">
        <v>703</v>
      </c>
      <c r="K202" s="1929" t="s">
        <v>4903</v>
      </c>
    </row>
    <row r="203" spans="1:11" hidden="1" x14ac:dyDescent="0.2">
      <c r="A203" s="1929" t="s">
        <v>4902</v>
      </c>
      <c r="B203" s="1929" t="s">
        <v>1245</v>
      </c>
      <c r="C203" s="1929" t="s">
        <v>1244</v>
      </c>
      <c r="D203" s="1929" t="s">
        <v>1013</v>
      </c>
      <c r="E203" s="1929" t="s">
        <v>66</v>
      </c>
      <c r="F203" s="1929">
        <v>55.8</v>
      </c>
      <c r="G203" s="1929">
        <v>5.2</v>
      </c>
      <c r="H203" s="1929">
        <v>1.7</v>
      </c>
      <c r="I203" s="1929">
        <v>11.7</v>
      </c>
      <c r="J203" s="1929">
        <v>723</v>
      </c>
      <c r="K203" s="1929" t="s">
        <v>4901</v>
      </c>
    </row>
    <row r="204" spans="1:11" hidden="1" x14ac:dyDescent="0.2">
      <c r="A204" s="1929" t="s">
        <v>4900</v>
      </c>
      <c r="B204" s="1929" t="s">
        <v>1217</v>
      </c>
      <c r="C204" s="1929" t="s">
        <v>1368</v>
      </c>
      <c r="D204" s="1929" t="s">
        <v>1013</v>
      </c>
      <c r="E204" s="1929" t="s">
        <v>66</v>
      </c>
      <c r="F204" s="1929">
        <v>19</v>
      </c>
      <c r="G204" s="1929">
        <v>2.7</v>
      </c>
      <c r="H204" s="1929">
        <v>0.9</v>
      </c>
      <c r="I204" s="1929">
        <v>44.8</v>
      </c>
      <c r="J204" s="1929">
        <v>732</v>
      </c>
      <c r="K204" s="1929" t="s">
        <v>4899</v>
      </c>
    </row>
    <row r="205" spans="1:11" hidden="1" x14ac:dyDescent="0.2">
      <c r="A205" s="1929" t="s">
        <v>4898</v>
      </c>
      <c r="B205" s="1929" t="s">
        <v>1228</v>
      </c>
      <c r="C205" s="1929" t="s">
        <v>2392</v>
      </c>
      <c r="D205" s="1929" t="s">
        <v>1013</v>
      </c>
      <c r="E205" s="1929" t="s">
        <v>66</v>
      </c>
      <c r="F205" s="1929">
        <v>12.4</v>
      </c>
      <c r="G205" s="1929">
        <v>6.1</v>
      </c>
      <c r="H205" s="1929">
        <v>1.5</v>
      </c>
      <c r="I205" s="1929">
        <v>19.2</v>
      </c>
      <c r="J205" s="1929">
        <v>739</v>
      </c>
      <c r="K205" s="1929" t="s">
        <v>4897</v>
      </c>
    </row>
    <row r="206" spans="1:11" hidden="1" x14ac:dyDescent="0.2">
      <c r="A206" s="1929" t="s">
        <v>4896</v>
      </c>
      <c r="B206" s="1929" t="s">
        <v>1234</v>
      </c>
      <c r="C206" s="1929" t="s">
        <v>1445</v>
      </c>
      <c r="D206" s="1929" t="s">
        <v>1013</v>
      </c>
      <c r="E206" s="1929" t="s">
        <v>66</v>
      </c>
      <c r="F206" s="1929">
        <v>8.1999999999999993</v>
      </c>
      <c r="G206" s="1929">
        <v>8.3000000000000007</v>
      </c>
      <c r="H206" s="1929">
        <v>0.9</v>
      </c>
      <c r="I206" s="1929">
        <v>30.2</v>
      </c>
      <c r="J206" s="1929">
        <v>751</v>
      </c>
      <c r="K206" s="1929" t="s">
        <v>4895</v>
      </c>
    </row>
    <row r="207" spans="1:11" hidden="1" x14ac:dyDescent="0.2">
      <c r="A207" s="1929" t="s">
        <v>4894</v>
      </c>
      <c r="B207" s="1929" t="s">
        <v>1238</v>
      </c>
      <c r="C207" s="1929" t="s">
        <v>1241</v>
      </c>
      <c r="D207" s="1929" t="s">
        <v>1013</v>
      </c>
      <c r="E207" s="1929" t="s">
        <v>66</v>
      </c>
      <c r="F207" s="1929">
        <v>5</v>
      </c>
      <c r="G207" s="1929">
        <v>32.1</v>
      </c>
      <c r="H207" s="1929">
        <v>0.5</v>
      </c>
      <c r="I207" s="1929">
        <v>53.3</v>
      </c>
      <c r="J207" s="1929">
        <v>759</v>
      </c>
      <c r="K207" s="1929" t="s">
        <v>4893</v>
      </c>
    </row>
    <row r="208" spans="1:11" hidden="1" x14ac:dyDescent="0.2">
      <c r="A208" s="1929" t="s">
        <v>4892</v>
      </c>
      <c r="B208" s="1929" t="s">
        <v>1310</v>
      </c>
      <c r="C208" s="1929" t="s">
        <v>1309</v>
      </c>
      <c r="D208" s="1929" t="s">
        <v>1013</v>
      </c>
      <c r="E208" s="1929" t="s">
        <v>66</v>
      </c>
      <c r="F208" s="1929">
        <v>15.3</v>
      </c>
      <c r="G208" s="1929">
        <v>3.8</v>
      </c>
      <c r="H208" s="1929">
        <v>1.5</v>
      </c>
      <c r="I208" s="1929">
        <v>25.4</v>
      </c>
      <c r="J208" s="1929">
        <v>794</v>
      </c>
      <c r="K208" s="1929" t="s">
        <v>4891</v>
      </c>
    </row>
    <row r="209" spans="1:11" hidden="1" x14ac:dyDescent="0.2">
      <c r="A209" s="1929" t="s">
        <v>4890</v>
      </c>
      <c r="B209" s="1929" t="s">
        <v>1238</v>
      </c>
      <c r="C209" s="1929" t="s">
        <v>1237</v>
      </c>
      <c r="D209" s="1929" t="s">
        <v>1013</v>
      </c>
      <c r="E209" s="1929" t="s">
        <v>66</v>
      </c>
      <c r="F209" s="1929">
        <v>7.9</v>
      </c>
      <c r="G209" s="1929">
        <v>14.6</v>
      </c>
      <c r="H209" s="1929">
        <v>0.6</v>
      </c>
      <c r="I209" s="1929">
        <v>19.8</v>
      </c>
      <c r="J209" s="1929">
        <v>796</v>
      </c>
      <c r="K209" s="1929" t="s">
        <v>4889</v>
      </c>
    </row>
    <row r="210" spans="1:11" hidden="1" x14ac:dyDescent="0.2">
      <c r="A210" s="1929" t="s">
        <v>4888</v>
      </c>
      <c r="B210" s="1929" t="s">
        <v>1238</v>
      </c>
      <c r="C210" s="1929" t="s">
        <v>1241</v>
      </c>
      <c r="D210" s="1929" t="s">
        <v>1013</v>
      </c>
      <c r="E210" s="1929" t="s">
        <v>66</v>
      </c>
      <c r="F210" s="1929">
        <v>4.3</v>
      </c>
      <c r="G210" s="1929">
        <v>19.7</v>
      </c>
      <c r="H210" s="1929">
        <v>0.6</v>
      </c>
      <c r="I210" s="1929">
        <v>35.4</v>
      </c>
      <c r="J210" s="1929">
        <v>802</v>
      </c>
      <c r="K210" s="1929" t="s">
        <v>4887</v>
      </c>
    </row>
    <row r="211" spans="1:11" hidden="1" x14ac:dyDescent="0.2">
      <c r="A211" s="1929" t="s">
        <v>4886</v>
      </c>
      <c r="B211" s="1929" t="s">
        <v>1217</v>
      </c>
      <c r="C211" s="1929" t="s">
        <v>1456</v>
      </c>
      <c r="D211" s="1929" t="s">
        <v>1013</v>
      </c>
      <c r="E211" s="1929" t="s">
        <v>66</v>
      </c>
      <c r="F211" s="1929">
        <v>7.6</v>
      </c>
      <c r="G211" s="1929">
        <v>6.8</v>
      </c>
      <c r="H211" s="1929">
        <v>1.3</v>
      </c>
      <c r="I211" s="1929">
        <v>23.8</v>
      </c>
      <c r="J211" s="1929">
        <v>808</v>
      </c>
      <c r="K211" s="1929" t="s">
        <v>4885</v>
      </c>
    </row>
    <row r="212" spans="1:11" hidden="1" x14ac:dyDescent="0.2">
      <c r="A212" s="1929" t="s">
        <v>4884</v>
      </c>
      <c r="B212" s="1929" t="s">
        <v>1238</v>
      </c>
      <c r="C212" s="1929" t="s">
        <v>1237</v>
      </c>
      <c r="D212" s="1929" t="s">
        <v>1013</v>
      </c>
      <c r="E212" s="1929" t="s">
        <v>66</v>
      </c>
      <c r="F212" s="1929">
        <v>13.2</v>
      </c>
      <c r="G212" s="1929">
        <v>7.9</v>
      </c>
      <c r="H212" s="1929">
        <v>0.4</v>
      </c>
      <c r="I212" s="1929">
        <v>28.6</v>
      </c>
      <c r="J212" s="1929">
        <v>822</v>
      </c>
      <c r="K212" s="1929" t="s">
        <v>4883</v>
      </c>
    </row>
    <row r="213" spans="1:11" hidden="1" x14ac:dyDescent="0.2">
      <c r="A213" s="1929" t="s">
        <v>4882</v>
      </c>
      <c r="B213" s="1929" t="s">
        <v>1228</v>
      </c>
      <c r="C213" s="1929" t="s">
        <v>2392</v>
      </c>
      <c r="D213" s="1929" t="s">
        <v>1013</v>
      </c>
      <c r="E213" s="1929" t="s">
        <v>66</v>
      </c>
      <c r="F213" s="1929">
        <v>15.4</v>
      </c>
      <c r="G213" s="1929">
        <v>8.9</v>
      </c>
      <c r="H213" s="1929">
        <v>1.3</v>
      </c>
      <c r="I213" s="1929">
        <v>8.6999999999999993</v>
      </c>
      <c r="J213" s="1929">
        <v>839</v>
      </c>
      <c r="K213" s="1929" t="s">
        <v>4881</v>
      </c>
    </row>
    <row r="214" spans="1:11" hidden="1" x14ac:dyDescent="0.2">
      <c r="A214" s="1929" t="s">
        <v>4880</v>
      </c>
      <c r="B214" s="1929" t="s">
        <v>1310</v>
      </c>
      <c r="C214" s="1929" t="s">
        <v>1309</v>
      </c>
      <c r="D214" s="1929" t="s">
        <v>1013</v>
      </c>
      <c r="E214" s="1929" t="s">
        <v>66</v>
      </c>
      <c r="F214" s="1929">
        <v>4.9000000000000004</v>
      </c>
      <c r="G214" s="1929">
        <v>12.1</v>
      </c>
      <c r="H214" s="1929">
        <v>0.6</v>
      </c>
      <c r="I214" s="1929">
        <v>49.2</v>
      </c>
      <c r="J214" s="1929">
        <v>862</v>
      </c>
      <c r="K214" s="1929" t="s">
        <v>4879</v>
      </c>
    </row>
    <row r="215" spans="1:11" hidden="1" x14ac:dyDescent="0.2">
      <c r="A215" s="1929" t="s">
        <v>4878</v>
      </c>
      <c r="B215" s="1929" t="s">
        <v>1306</v>
      </c>
      <c r="C215" s="1929" t="s">
        <v>1413</v>
      </c>
      <c r="D215" s="1929" t="s">
        <v>1013</v>
      </c>
      <c r="E215" s="1929" t="s">
        <v>66</v>
      </c>
      <c r="F215" s="1929">
        <v>27.2</v>
      </c>
      <c r="G215" s="1929">
        <v>4.5999999999999996</v>
      </c>
      <c r="H215" s="1929">
        <v>2.5</v>
      </c>
      <c r="I215" s="1929">
        <v>9.1999999999999993</v>
      </c>
      <c r="J215" s="1929">
        <v>875</v>
      </c>
      <c r="K215" s="1929" t="s">
        <v>4877</v>
      </c>
    </row>
    <row r="216" spans="1:11" hidden="1" x14ac:dyDescent="0.2">
      <c r="A216" s="1929" t="s">
        <v>4876</v>
      </c>
      <c r="B216" s="1929" t="s">
        <v>1234</v>
      </c>
      <c r="C216" s="1929" t="s">
        <v>1337</v>
      </c>
      <c r="D216" s="1929" t="s">
        <v>1013</v>
      </c>
      <c r="E216" s="1929" t="s">
        <v>66</v>
      </c>
      <c r="F216" s="1929">
        <v>5.8</v>
      </c>
      <c r="G216" s="1929">
        <v>28.5</v>
      </c>
      <c r="H216" s="1929">
        <v>0.6</v>
      </c>
      <c r="I216" s="1929">
        <v>14.7</v>
      </c>
      <c r="J216" s="1929">
        <v>891</v>
      </c>
      <c r="K216" s="1929" t="s">
        <v>4875</v>
      </c>
    </row>
    <row r="217" spans="1:11" hidden="1" x14ac:dyDescent="0.2">
      <c r="A217" s="1929" t="s">
        <v>4874</v>
      </c>
      <c r="B217" s="1929" t="s">
        <v>1269</v>
      </c>
      <c r="C217" s="1929" t="s">
        <v>1504</v>
      </c>
      <c r="D217" s="1929" t="s">
        <v>1013</v>
      </c>
      <c r="E217" s="1929" t="s">
        <v>66</v>
      </c>
      <c r="F217" s="1929">
        <v>7.1</v>
      </c>
      <c r="G217" s="1929">
        <v>27.1</v>
      </c>
      <c r="H217" s="1929">
        <v>0.4</v>
      </c>
      <c r="I217" s="1929">
        <v>17.399999999999999</v>
      </c>
      <c r="J217" s="1929">
        <v>903</v>
      </c>
      <c r="K217" s="1929" t="s">
        <v>4873</v>
      </c>
    </row>
    <row r="218" spans="1:11" hidden="1" x14ac:dyDescent="0.2">
      <c r="A218" s="1929" t="s">
        <v>4872</v>
      </c>
      <c r="B218" s="1929" t="s">
        <v>1310</v>
      </c>
      <c r="C218" s="1929" t="s">
        <v>1309</v>
      </c>
      <c r="D218" s="1929" t="s">
        <v>1013</v>
      </c>
      <c r="E218" s="1929" t="s">
        <v>66</v>
      </c>
      <c r="F218" s="1929">
        <v>9.1999999999999993</v>
      </c>
      <c r="G218" s="1929">
        <v>7.5</v>
      </c>
      <c r="H218" s="1929">
        <v>0.7</v>
      </c>
      <c r="I218" s="1929">
        <v>15.2</v>
      </c>
      <c r="J218" s="1929">
        <v>917</v>
      </c>
      <c r="K218" s="1929" t="s">
        <v>4871</v>
      </c>
    </row>
    <row r="219" spans="1:11" hidden="1" x14ac:dyDescent="0.2">
      <c r="A219" s="1929" t="s">
        <v>4870</v>
      </c>
      <c r="B219" s="1929" t="s">
        <v>1238</v>
      </c>
      <c r="C219" s="1929" t="s">
        <v>1700</v>
      </c>
      <c r="D219" s="1929" t="s">
        <v>1013</v>
      </c>
      <c r="E219" s="1929" t="s">
        <v>66</v>
      </c>
      <c r="F219" s="1929">
        <v>17.399999999999999</v>
      </c>
      <c r="G219" s="1929">
        <v>4.5999999999999996</v>
      </c>
      <c r="H219" s="1929">
        <v>0.9</v>
      </c>
      <c r="I219" s="1929">
        <v>14.6</v>
      </c>
      <c r="J219" s="1929">
        <v>928</v>
      </c>
      <c r="K219" s="1929" t="s">
        <v>4869</v>
      </c>
    </row>
    <row r="220" spans="1:11" hidden="1" x14ac:dyDescent="0.2">
      <c r="A220" s="1929" t="s">
        <v>4868</v>
      </c>
      <c r="B220" s="1929" t="s">
        <v>1310</v>
      </c>
      <c r="C220" s="1929" t="s">
        <v>1309</v>
      </c>
      <c r="D220" s="1929" t="s">
        <v>1013</v>
      </c>
      <c r="E220" s="1929" t="s">
        <v>66</v>
      </c>
      <c r="F220" s="1929">
        <v>3.6</v>
      </c>
      <c r="G220" s="1929">
        <v>10.8</v>
      </c>
      <c r="H220" s="1929">
        <v>0.7</v>
      </c>
      <c r="I220" s="1929">
        <v>28.5</v>
      </c>
      <c r="J220" s="1929">
        <v>935</v>
      </c>
      <c r="K220" s="1929" t="s">
        <v>4867</v>
      </c>
    </row>
    <row r="221" spans="1:11" hidden="1" x14ac:dyDescent="0.2">
      <c r="A221" s="1929" t="s">
        <v>4866</v>
      </c>
      <c r="B221" s="1929" t="s">
        <v>1238</v>
      </c>
      <c r="C221" s="1929" t="s">
        <v>1237</v>
      </c>
      <c r="D221" s="1929" t="s">
        <v>1013</v>
      </c>
      <c r="E221" s="1929" t="s">
        <v>66</v>
      </c>
      <c r="F221" s="1929">
        <v>7.3</v>
      </c>
      <c r="G221" s="1929">
        <v>12.8</v>
      </c>
      <c r="H221" s="1929">
        <v>0.4</v>
      </c>
      <c r="I221" s="1929">
        <v>21.4</v>
      </c>
      <c r="J221" s="1929">
        <v>938</v>
      </c>
      <c r="K221" s="1929" t="s">
        <v>4865</v>
      </c>
    </row>
    <row r="222" spans="1:11" hidden="1" x14ac:dyDescent="0.2">
      <c r="A222" s="1929" t="s">
        <v>4864</v>
      </c>
      <c r="B222" s="1929" t="s">
        <v>1234</v>
      </c>
      <c r="C222" s="1929" t="s">
        <v>1972</v>
      </c>
      <c r="D222" s="1929" t="s">
        <v>1013</v>
      </c>
      <c r="E222" s="1929" t="s">
        <v>66</v>
      </c>
      <c r="F222" s="1929">
        <v>6.6</v>
      </c>
      <c r="G222" s="1929">
        <v>28.1</v>
      </c>
      <c r="H222" s="1929">
        <v>0.2</v>
      </c>
      <c r="I222" s="1929">
        <v>33</v>
      </c>
      <c r="J222" s="1929">
        <v>940</v>
      </c>
      <c r="K222" s="1929" t="s">
        <v>4863</v>
      </c>
    </row>
    <row r="223" spans="1:11" hidden="1" x14ac:dyDescent="0.2">
      <c r="A223" s="1929" t="s">
        <v>4862</v>
      </c>
      <c r="B223" s="1929" t="s">
        <v>1217</v>
      </c>
      <c r="C223" s="1929" t="s">
        <v>1368</v>
      </c>
      <c r="D223" s="1929" t="s">
        <v>1013</v>
      </c>
      <c r="E223" s="1929" t="s">
        <v>66</v>
      </c>
      <c r="F223" s="1929">
        <v>14.4</v>
      </c>
      <c r="G223" s="1929">
        <v>2.1</v>
      </c>
      <c r="H223" s="1929">
        <v>0.7</v>
      </c>
      <c r="I223" s="1929">
        <v>22.2</v>
      </c>
      <c r="J223" s="1929">
        <v>945</v>
      </c>
      <c r="K223" s="1929" t="s">
        <v>4861</v>
      </c>
    </row>
    <row r="224" spans="1:11" hidden="1" x14ac:dyDescent="0.2">
      <c r="A224" s="1929" t="s">
        <v>4860</v>
      </c>
      <c r="B224" s="1929" t="s">
        <v>1258</v>
      </c>
      <c r="C224" s="1929" t="s">
        <v>1257</v>
      </c>
      <c r="D224" s="1929" t="s">
        <v>1013</v>
      </c>
      <c r="E224" s="1929" t="s">
        <v>66</v>
      </c>
      <c r="F224" s="1929">
        <v>12.8</v>
      </c>
      <c r="G224" s="1929">
        <v>4.5</v>
      </c>
      <c r="H224" s="1929">
        <v>1.1000000000000001</v>
      </c>
      <c r="I224" s="1929">
        <v>13.1</v>
      </c>
      <c r="J224" s="1929">
        <v>989</v>
      </c>
      <c r="K224" s="1929" t="s">
        <v>4859</v>
      </c>
    </row>
    <row r="225" spans="1:11" hidden="1" x14ac:dyDescent="0.2">
      <c r="A225" s="1929" t="s">
        <v>4858</v>
      </c>
      <c r="B225" s="1929" t="s">
        <v>1238</v>
      </c>
      <c r="C225" s="1929" t="s">
        <v>1237</v>
      </c>
      <c r="D225" s="1929" t="s">
        <v>1013</v>
      </c>
      <c r="E225" s="1929" t="s">
        <v>66</v>
      </c>
      <c r="F225" s="1929">
        <v>7.7</v>
      </c>
      <c r="G225" s="1929">
        <v>9.4</v>
      </c>
      <c r="H225" s="1929">
        <v>0.6</v>
      </c>
      <c r="I225" s="1929">
        <v>13</v>
      </c>
      <c r="J225" s="1929">
        <v>1003</v>
      </c>
      <c r="K225" s="1929" t="s">
        <v>4857</v>
      </c>
    </row>
    <row r="226" spans="1:11" hidden="1" x14ac:dyDescent="0.2">
      <c r="A226" s="1929" t="s">
        <v>4856</v>
      </c>
      <c r="B226" s="1929" t="s">
        <v>1228</v>
      </c>
      <c r="C226" s="1929" t="s">
        <v>2023</v>
      </c>
      <c r="D226" s="1929" t="s">
        <v>1013</v>
      </c>
      <c r="E226" s="1929" t="s">
        <v>66</v>
      </c>
      <c r="F226" s="1929">
        <v>7.1</v>
      </c>
      <c r="G226" s="1929">
        <v>13.8</v>
      </c>
      <c r="H226" s="1929">
        <v>0.6</v>
      </c>
      <c r="I226" s="1929">
        <v>9.9</v>
      </c>
      <c r="J226" s="1929">
        <v>1009</v>
      </c>
      <c r="K226" s="1929" t="s">
        <v>4855</v>
      </c>
    </row>
    <row r="227" spans="1:11" hidden="1" x14ac:dyDescent="0.2">
      <c r="A227" s="1929" t="s">
        <v>4854</v>
      </c>
      <c r="B227" s="1929" t="s">
        <v>1234</v>
      </c>
      <c r="C227" s="1929" t="s">
        <v>1337</v>
      </c>
      <c r="D227" s="1929" t="s">
        <v>1013</v>
      </c>
      <c r="E227" s="1929" t="s">
        <v>66</v>
      </c>
      <c r="F227" s="1929">
        <v>6.7</v>
      </c>
      <c r="G227" s="1929">
        <v>7</v>
      </c>
      <c r="H227" s="1929">
        <v>1</v>
      </c>
      <c r="I227" s="1929">
        <v>13.1</v>
      </c>
      <c r="J227" s="1929">
        <v>1016</v>
      </c>
      <c r="K227" s="1929" t="s">
        <v>4853</v>
      </c>
    </row>
    <row r="228" spans="1:11" hidden="1" x14ac:dyDescent="0.2">
      <c r="A228" s="1929" t="s">
        <v>4852</v>
      </c>
      <c r="B228" s="1929" t="s">
        <v>1217</v>
      </c>
      <c r="C228" s="1929" t="s">
        <v>1216</v>
      </c>
      <c r="D228" s="1929" t="s">
        <v>1013</v>
      </c>
      <c r="E228" s="1929" t="s">
        <v>66</v>
      </c>
      <c r="F228" s="1929">
        <v>4.0999999999999996</v>
      </c>
      <c r="G228" s="1929">
        <v>4.3</v>
      </c>
      <c r="H228" s="1929">
        <v>1</v>
      </c>
      <c r="I228" s="1929">
        <v>81.099999999999994</v>
      </c>
      <c r="J228" s="1929">
        <v>1021</v>
      </c>
      <c r="K228" s="1929" t="s">
        <v>4851</v>
      </c>
    </row>
    <row r="229" spans="1:11" hidden="1" x14ac:dyDescent="0.2">
      <c r="A229" s="1929" t="s">
        <v>4850</v>
      </c>
      <c r="B229" s="1929" t="s">
        <v>1217</v>
      </c>
      <c r="C229" s="1929" t="s">
        <v>1456</v>
      </c>
      <c r="D229" s="1929" t="s">
        <v>1013</v>
      </c>
      <c r="E229" s="1929" t="s">
        <v>66</v>
      </c>
      <c r="F229" s="1929">
        <v>4.5999999999999996</v>
      </c>
      <c r="G229" s="1929">
        <v>5.9</v>
      </c>
      <c r="H229" s="1929">
        <v>1.2</v>
      </c>
      <c r="I229" s="1929">
        <v>23.2</v>
      </c>
      <c r="J229" s="1929">
        <v>1028</v>
      </c>
      <c r="K229" s="1929" t="s">
        <v>4849</v>
      </c>
    </row>
    <row r="230" spans="1:11" hidden="1" x14ac:dyDescent="0.2">
      <c r="A230" s="1929" t="s">
        <v>4848</v>
      </c>
      <c r="B230" s="1929" t="s">
        <v>1306</v>
      </c>
      <c r="C230" s="1929" t="s">
        <v>1305</v>
      </c>
      <c r="D230" s="1929" t="s">
        <v>1013</v>
      </c>
      <c r="E230" s="1929" t="s">
        <v>66</v>
      </c>
      <c r="F230" s="1929">
        <v>16.2</v>
      </c>
      <c r="G230" s="1929">
        <v>10.9</v>
      </c>
      <c r="H230" s="1929">
        <v>0.4</v>
      </c>
      <c r="I230" s="1929">
        <v>8.4</v>
      </c>
      <c r="J230" s="1929">
        <v>1039</v>
      </c>
      <c r="K230" s="1929" t="s">
        <v>4847</v>
      </c>
    </row>
    <row r="231" spans="1:11" hidden="1" x14ac:dyDescent="0.2">
      <c r="A231" s="1929" t="s">
        <v>4846</v>
      </c>
      <c r="B231" s="1929" t="s">
        <v>1306</v>
      </c>
      <c r="C231" s="1929" t="s">
        <v>1305</v>
      </c>
      <c r="D231" s="1929" t="s">
        <v>1013</v>
      </c>
      <c r="E231" s="1929" t="s">
        <v>66</v>
      </c>
      <c r="F231" s="1929">
        <v>14</v>
      </c>
      <c r="G231" s="1929">
        <v>7.3</v>
      </c>
      <c r="H231" s="1929">
        <v>0.6</v>
      </c>
      <c r="I231" s="1929">
        <v>3.3</v>
      </c>
      <c r="J231" s="1929">
        <v>1054</v>
      </c>
      <c r="K231" s="1929" t="s">
        <v>4845</v>
      </c>
    </row>
    <row r="232" spans="1:11" hidden="1" x14ac:dyDescent="0.2">
      <c r="A232" s="1929" t="s">
        <v>4844</v>
      </c>
      <c r="B232" s="1929" t="s">
        <v>1238</v>
      </c>
      <c r="C232" s="1929" t="s">
        <v>1485</v>
      </c>
      <c r="D232" s="1929" t="s">
        <v>1013</v>
      </c>
      <c r="E232" s="1929" t="s">
        <v>66</v>
      </c>
      <c r="F232" s="1929">
        <v>4.8</v>
      </c>
      <c r="G232" s="1929">
        <v>14.3</v>
      </c>
      <c r="H232" s="1929">
        <v>0.4</v>
      </c>
      <c r="I232" s="1929">
        <v>22.8</v>
      </c>
      <c r="J232" s="1929">
        <v>1069</v>
      </c>
      <c r="K232" s="1929" t="s">
        <v>4843</v>
      </c>
    </row>
    <row r="233" spans="1:11" hidden="1" x14ac:dyDescent="0.2">
      <c r="A233" s="1929" t="s">
        <v>4842</v>
      </c>
      <c r="B233" s="1929" t="s">
        <v>1217</v>
      </c>
      <c r="C233" s="1929" t="s">
        <v>1216</v>
      </c>
      <c r="D233" s="1929" t="s">
        <v>1013</v>
      </c>
      <c r="E233" s="1929" t="s">
        <v>66</v>
      </c>
      <c r="F233" s="1929">
        <v>5</v>
      </c>
      <c r="G233" s="1929">
        <v>3.2</v>
      </c>
      <c r="H233" s="1929">
        <v>0.8</v>
      </c>
      <c r="I233" s="1929">
        <v>63.1</v>
      </c>
      <c r="J233" s="1929">
        <v>1088</v>
      </c>
      <c r="K233" s="1929" t="s">
        <v>4841</v>
      </c>
    </row>
    <row r="234" spans="1:11" hidden="1" x14ac:dyDescent="0.2">
      <c r="A234" s="1929" t="s">
        <v>4840</v>
      </c>
      <c r="B234" s="1929" t="s">
        <v>1238</v>
      </c>
      <c r="C234" s="1929" t="s">
        <v>1485</v>
      </c>
      <c r="D234" s="1929" t="s">
        <v>1013</v>
      </c>
      <c r="E234" s="1929" t="s">
        <v>66</v>
      </c>
      <c r="F234" s="1929">
        <v>3.7</v>
      </c>
      <c r="G234" s="1929">
        <v>15.9</v>
      </c>
      <c r="H234" s="1929">
        <v>0.3</v>
      </c>
      <c r="I234" s="1929">
        <v>27.3</v>
      </c>
      <c r="J234" s="1929">
        <v>1093</v>
      </c>
      <c r="K234" s="1929" t="s">
        <v>4839</v>
      </c>
    </row>
    <row r="235" spans="1:11" hidden="1" x14ac:dyDescent="0.2">
      <c r="A235" s="1929" t="s">
        <v>4838</v>
      </c>
      <c r="B235" s="1929" t="s">
        <v>1217</v>
      </c>
      <c r="C235" s="1929" t="s">
        <v>1216</v>
      </c>
      <c r="D235" s="1929" t="s">
        <v>1013</v>
      </c>
      <c r="E235" s="1929" t="s">
        <v>66</v>
      </c>
      <c r="F235" s="1929">
        <v>4.0999999999999996</v>
      </c>
      <c r="G235" s="1929">
        <v>3.9</v>
      </c>
      <c r="H235" s="1929">
        <v>0.8</v>
      </c>
      <c r="I235" s="1929">
        <v>73.900000000000006</v>
      </c>
      <c r="J235" s="1929">
        <v>1098</v>
      </c>
      <c r="K235" s="1929" t="s">
        <v>4837</v>
      </c>
    </row>
    <row r="236" spans="1:11" hidden="1" x14ac:dyDescent="0.2">
      <c r="A236" s="1929" t="s">
        <v>4836</v>
      </c>
      <c r="B236" s="1929" t="s">
        <v>1217</v>
      </c>
      <c r="C236" s="1929" t="s">
        <v>1216</v>
      </c>
      <c r="D236" s="1929" t="s">
        <v>1013</v>
      </c>
      <c r="E236" s="1929" t="s">
        <v>66</v>
      </c>
      <c r="F236" s="1929">
        <v>3.7</v>
      </c>
      <c r="G236" s="1929">
        <v>3.3</v>
      </c>
      <c r="H236" s="1929">
        <v>0.7</v>
      </c>
      <c r="I236" s="1929">
        <v>69.599999999999994</v>
      </c>
      <c r="J236" s="1929">
        <v>1116</v>
      </c>
      <c r="K236" s="1929" t="s">
        <v>4835</v>
      </c>
    </row>
    <row r="237" spans="1:11" hidden="1" x14ac:dyDescent="0.2">
      <c r="A237" s="1929" t="s">
        <v>4834</v>
      </c>
      <c r="B237" s="1929" t="s">
        <v>1228</v>
      </c>
      <c r="C237" s="1929" t="s">
        <v>1297</v>
      </c>
      <c r="D237" s="1929" t="s">
        <v>1013</v>
      </c>
      <c r="E237" s="1929" t="s">
        <v>66</v>
      </c>
      <c r="F237" s="1929">
        <v>8.6</v>
      </c>
      <c r="G237" s="1929">
        <v>17.100000000000001</v>
      </c>
      <c r="H237" s="1929">
        <v>0.2</v>
      </c>
      <c r="I237" s="1929">
        <v>13.6</v>
      </c>
      <c r="J237" s="1929">
        <v>1123</v>
      </c>
      <c r="K237" s="1929" t="s">
        <v>4833</v>
      </c>
    </row>
    <row r="238" spans="1:11" hidden="1" x14ac:dyDescent="0.2">
      <c r="A238" s="1929" t="s">
        <v>4832</v>
      </c>
      <c r="B238" s="1929" t="s">
        <v>1228</v>
      </c>
      <c r="C238" s="1929" t="s">
        <v>2392</v>
      </c>
      <c r="D238" s="1929" t="s">
        <v>1013</v>
      </c>
      <c r="E238" s="1929" t="s">
        <v>66</v>
      </c>
      <c r="F238" s="1929">
        <v>17.2</v>
      </c>
      <c r="G238" s="1929">
        <v>8.4</v>
      </c>
      <c r="H238" s="1929">
        <v>0.1</v>
      </c>
      <c r="I238" s="1929">
        <v>12.9</v>
      </c>
      <c r="J238" s="1929">
        <v>1133</v>
      </c>
      <c r="K238" s="1929" t="s">
        <v>4831</v>
      </c>
    </row>
    <row r="239" spans="1:11" hidden="1" x14ac:dyDescent="0.2">
      <c r="A239" s="1929" t="s">
        <v>4830</v>
      </c>
      <c r="B239" s="1929" t="s">
        <v>1306</v>
      </c>
      <c r="C239" s="1929" t="s">
        <v>1305</v>
      </c>
      <c r="D239" s="1929" t="s">
        <v>1013</v>
      </c>
      <c r="E239" s="1929" t="s">
        <v>66</v>
      </c>
      <c r="F239" s="1929">
        <v>12.1</v>
      </c>
      <c r="G239" s="1929">
        <v>7.3</v>
      </c>
      <c r="H239" s="1929">
        <v>0.5</v>
      </c>
      <c r="I239" s="1929">
        <v>5.2</v>
      </c>
      <c r="J239" s="1929">
        <v>1176</v>
      </c>
      <c r="K239" s="1929" t="s">
        <v>4829</v>
      </c>
    </row>
    <row r="240" spans="1:11" hidden="1" x14ac:dyDescent="0.2">
      <c r="A240" s="1929" t="s">
        <v>4828</v>
      </c>
      <c r="B240" s="1929" t="s">
        <v>1238</v>
      </c>
      <c r="C240" s="1929" t="s">
        <v>1237</v>
      </c>
      <c r="D240" s="1929" t="s">
        <v>1013</v>
      </c>
      <c r="E240" s="1929" t="s">
        <v>66</v>
      </c>
      <c r="F240" s="1929">
        <v>6.1</v>
      </c>
      <c r="G240" s="1929">
        <v>6.2</v>
      </c>
      <c r="H240" s="1929">
        <v>0.6</v>
      </c>
      <c r="I240" s="1929">
        <v>14.8</v>
      </c>
      <c r="J240" s="1929">
        <v>1176</v>
      </c>
      <c r="K240" s="1929" t="s">
        <v>4827</v>
      </c>
    </row>
    <row r="241" spans="1:11" hidden="1" x14ac:dyDescent="0.2">
      <c r="A241" s="1929" t="s">
        <v>4826</v>
      </c>
      <c r="B241" s="1929" t="s">
        <v>1234</v>
      </c>
      <c r="C241" s="1929" t="s">
        <v>1445</v>
      </c>
      <c r="D241" s="1929" t="s">
        <v>1013</v>
      </c>
      <c r="E241" s="1929" t="s">
        <v>66</v>
      </c>
      <c r="F241" s="1929">
        <v>3.3</v>
      </c>
      <c r="G241" s="1929">
        <v>17.399999999999999</v>
      </c>
      <c r="H241" s="1929">
        <v>0</v>
      </c>
      <c r="I241" s="1929">
        <v>26.1</v>
      </c>
      <c r="J241" s="1929">
        <v>1187</v>
      </c>
      <c r="K241" s="1929" t="s">
        <v>4825</v>
      </c>
    </row>
    <row r="242" spans="1:11" hidden="1" x14ac:dyDescent="0.2">
      <c r="A242" s="1929" t="s">
        <v>4824</v>
      </c>
      <c r="B242" s="1929" t="s">
        <v>1306</v>
      </c>
      <c r="C242" s="1929" t="s">
        <v>1305</v>
      </c>
      <c r="D242" s="1929" t="s">
        <v>1013</v>
      </c>
      <c r="E242" s="1929" t="s">
        <v>66</v>
      </c>
      <c r="F242" s="1929">
        <v>20.3</v>
      </c>
      <c r="G242" s="1929">
        <v>3.8</v>
      </c>
      <c r="H242" s="1929">
        <v>0.7</v>
      </c>
      <c r="I242" s="1929">
        <v>4.3</v>
      </c>
      <c r="J242" s="1929">
        <v>1200</v>
      </c>
      <c r="K242" s="1929" t="s">
        <v>4823</v>
      </c>
    </row>
    <row r="243" spans="1:11" hidden="1" x14ac:dyDescent="0.2">
      <c r="A243" s="1929" t="s">
        <v>4822</v>
      </c>
      <c r="B243" s="1929" t="s">
        <v>1306</v>
      </c>
      <c r="C243" s="1929" t="s">
        <v>1413</v>
      </c>
      <c r="D243" s="1929" t="s">
        <v>1013</v>
      </c>
      <c r="E243" s="1929" t="s">
        <v>66</v>
      </c>
      <c r="F243" s="1929">
        <v>10.5</v>
      </c>
      <c r="G243" s="1929">
        <v>3.8</v>
      </c>
      <c r="H243" s="1929">
        <v>1.5</v>
      </c>
      <c r="I243" s="1929">
        <v>7.2</v>
      </c>
      <c r="J243" s="1929">
        <v>1222</v>
      </c>
      <c r="K243" s="1929" t="s">
        <v>4821</v>
      </c>
    </row>
    <row r="244" spans="1:11" hidden="1" x14ac:dyDescent="0.2">
      <c r="A244" s="1929" t="s">
        <v>4820</v>
      </c>
      <c r="B244" s="1929" t="s">
        <v>1217</v>
      </c>
      <c r="C244" s="1929" t="s">
        <v>1456</v>
      </c>
      <c r="D244" s="1929" t="s">
        <v>1013</v>
      </c>
      <c r="E244" s="1929" t="s">
        <v>66</v>
      </c>
      <c r="F244" s="1929">
        <v>3.9</v>
      </c>
      <c r="G244" s="1929">
        <v>5.0999999999999996</v>
      </c>
      <c r="H244" s="1929">
        <v>0.7</v>
      </c>
      <c r="I244" s="1929">
        <v>22.8</v>
      </c>
      <c r="J244" s="1929">
        <v>1228</v>
      </c>
      <c r="K244" s="1929" t="s">
        <v>4819</v>
      </c>
    </row>
    <row r="245" spans="1:11" hidden="1" x14ac:dyDescent="0.2">
      <c r="A245" s="1929" t="s">
        <v>4818</v>
      </c>
      <c r="B245" s="1929" t="s">
        <v>1238</v>
      </c>
      <c r="C245" s="1929" t="s">
        <v>3030</v>
      </c>
      <c r="D245" s="1929" t="s">
        <v>1013</v>
      </c>
      <c r="E245" s="1929" t="s">
        <v>66</v>
      </c>
      <c r="F245" s="1929">
        <v>2.4</v>
      </c>
      <c r="G245" s="1929">
        <v>16.2</v>
      </c>
      <c r="H245" s="1929">
        <v>0.4</v>
      </c>
      <c r="I245" s="1929">
        <v>11.6</v>
      </c>
      <c r="J245" s="1929">
        <v>1243</v>
      </c>
      <c r="K245" s="1929" t="s">
        <v>4817</v>
      </c>
    </row>
    <row r="246" spans="1:11" hidden="1" x14ac:dyDescent="0.2">
      <c r="A246" s="1929" t="s">
        <v>4816</v>
      </c>
      <c r="B246" s="1929" t="s">
        <v>1217</v>
      </c>
      <c r="C246" s="1929" t="s">
        <v>1216</v>
      </c>
      <c r="D246" s="1929" t="s">
        <v>1013</v>
      </c>
      <c r="E246" s="1929" t="s">
        <v>66</v>
      </c>
      <c r="F246" s="1929">
        <v>1.1000000000000001</v>
      </c>
      <c r="G246" s="1929">
        <v>2.6</v>
      </c>
      <c r="H246" s="1929">
        <v>0.5</v>
      </c>
      <c r="I246" s="1929">
        <v>53.2</v>
      </c>
      <c r="J246" s="1929">
        <v>1249</v>
      </c>
      <c r="K246" s="1929" t="s">
        <v>4815</v>
      </c>
    </row>
    <row r="247" spans="1:11" hidden="1" x14ac:dyDescent="0.2">
      <c r="A247" s="1929" t="s">
        <v>4814</v>
      </c>
      <c r="B247" s="1929" t="s">
        <v>1217</v>
      </c>
      <c r="C247" s="1929" t="s">
        <v>1456</v>
      </c>
      <c r="D247" s="1929" t="s">
        <v>1013</v>
      </c>
      <c r="E247" s="1929" t="s">
        <v>66</v>
      </c>
      <c r="F247" s="1929">
        <v>5</v>
      </c>
      <c r="G247" s="1929">
        <v>6.3</v>
      </c>
      <c r="H247" s="1929">
        <v>0.5</v>
      </c>
      <c r="I247" s="1929">
        <v>19.2</v>
      </c>
      <c r="J247" s="1929">
        <v>1267</v>
      </c>
      <c r="K247" s="1929" t="s">
        <v>4813</v>
      </c>
    </row>
    <row r="248" spans="1:11" hidden="1" x14ac:dyDescent="0.2">
      <c r="A248" s="1929" t="s">
        <v>4812</v>
      </c>
      <c r="B248" s="1929" t="s">
        <v>1217</v>
      </c>
      <c r="C248" s="1929" t="s">
        <v>1456</v>
      </c>
      <c r="D248" s="1929" t="s">
        <v>1013</v>
      </c>
      <c r="E248" s="1929" t="s">
        <v>66</v>
      </c>
      <c r="F248" s="1929">
        <v>2.5</v>
      </c>
      <c r="G248" s="1929">
        <v>4.7</v>
      </c>
      <c r="H248" s="1929">
        <v>0.8</v>
      </c>
      <c r="I248" s="1929">
        <v>20.2</v>
      </c>
      <c r="J248" s="1929">
        <v>1271</v>
      </c>
      <c r="K248" s="1929" t="s">
        <v>4811</v>
      </c>
    </row>
    <row r="249" spans="1:11" hidden="1" x14ac:dyDescent="0.2">
      <c r="A249" s="1929" t="s">
        <v>4810</v>
      </c>
      <c r="B249" s="1929" t="s">
        <v>1238</v>
      </c>
      <c r="C249" s="1929" t="s">
        <v>1700</v>
      </c>
      <c r="D249" s="1929" t="s">
        <v>1013</v>
      </c>
      <c r="E249" s="1929" t="s">
        <v>66</v>
      </c>
      <c r="F249" s="1929">
        <v>5.5</v>
      </c>
      <c r="G249" s="1929">
        <v>10.1</v>
      </c>
      <c r="H249" s="1929">
        <v>0</v>
      </c>
      <c r="I249" s="1929">
        <v>26.7</v>
      </c>
      <c r="J249" s="1929">
        <v>1282</v>
      </c>
      <c r="K249" s="1929" t="s">
        <v>4809</v>
      </c>
    </row>
    <row r="250" spans="1:11" hidden="1" x14ac:dyDescent="0.2">
      <c r="A250" s="1929" t="s">
        <v>4808</v>
      </c>
      <c r="B250" s="1929" t="s">
        <v>1217</v>
      </c>
      <c r="C250" s="1929" t="s">
        <v>1368</v>
      </c>
      <c r="D250" s="1929" t="s">
        <v>1013</v>
      </c>
      <c r="E250" s="1929" t="s">
        <v>66</v>
      </c>
      <c r="F250" s="1929">
        <v>9.5</v>
      </c>
      <c r="G250" s="1929">
        <v>1.2</v>
      </c>
      <c r="H250" s="1929">
        <v>0.4</v>
      </c>
      <c r="I250" s="1929">
        <v>17.5</v>
      </c>
      <c r="J250" s="1929">
        <v>1286</v>
      </c>
      <c r="K250" s="1929" t="s">
        <v>4807</v>
      </c>
    </row>
    <row r="251" spans="1:11" hidden="1" x14ac:dyDescent="0.2">
      <c r="A251" s="1929" t="s">
        <v>4806</v>
      </c>
      <c r="B251" s="1929" t="s">
        <v>1234</v>
      </c>
      <c r="C251" s="1929" t="s">
        <v>1476</v>
      </c>
      <c r="D251" s="1929" t="s">
        <v>1013</v>
      </c>
      <c r="E251" s="1929" t="s">
        <v>66</v>
      </c>
      <c r="F251" s="1929">
        <v>4.7</v>
      </c>
      <c r="G251" s="1929">
        <v>7</v>
      </c>
      <c r="H251" s="1929">
        <v>0.5</v>
      </c>
      <c r="I251" s="1929">
        <v>16.3</v>
      </c>
      <c r="J251" s="1929">
        <v>1291</v>
      </c>
      <c r="K251" s="1929" t="s">
        <v>4805</v>
      </c>
    </row>
    <row r="252" spans="1:11" hidden="1" x14ac:dyDescent="0.2">
      <c r="A252" s="1929" t="s">
        <v>4804</v>
      </c>
      <c r="B252" s="1929" t="s">
        <v>1217</v>
      </c>
      <c r="C252" s="1929" t="s">
        <v>1456</v>
      </c>
      <c r="D252" s="1929" t="s">
        <v>1013</v>
      </c>
      <c r="E252" s="1929" t="s">
        <v>66</v>
      </c>
      <c r="F252" s="1929">
        <v>5</v>
      </c>
      <c r="G252" s="1929">
        <v>4.5999999999999996</v>
      </c>
      <c r="H252" s="1929">
        <v>0.7</v>
      </c>
      <c r="I252" s="1929">
        <v>22.1</v>
      </c>
      <c r="J252" s="1929">
        <v>1297</v>
      </c>
      <c r="K252" s="1929" t="s">
        <v>4803</v>
      </c>
    </row>
    <row r="253" spans="1:11" hidden="1" x14ac:dyDescent="0.2">
      <c r="A253" s="1929" t="s">
        <v>4802</v>
      </c>
      <c r="B253" s="1929" t="s">
        <v>1238</v>
      </c>
      <c r="C253" s="1929" t="s">
        <v>1241</v>
      </c>
      <c r="D253" s="1929" t="s">
        <v>1013</v>
      </c>
      <c r="E253" s="1929" t="s">
        <v>66</v>
      </c>
      <c r="F253" s="1929">
        <v>4.9000000000000004</v>
      </c>
      <c r="G253" s="1929">
        <v>9.6999999999999993</v>
      </c>
      <c r="H253" s="1929">
        <v>0.6</v>
      </c>
      <c r="I253" s="1929">
        <v>11</v>
      </c>
      <c r="J253" s="1929">
        <v>1313</v>
      </c>
      <c r="K253" s="1929" t="s">
        <v>4801</v>
      </c>
    </row>
    <row r="254" spans="1:11" hidden="1" x14ac:dyDescent="0.2">
      <c r="A254" s="1929" t="s">
        <v>4800</v>
      </c>
      <c r="B254" s="1929" t="s">
        <v>1228</v>
      </c>
      <c r="C254" s="1929" t="s">
        <v>1498</v>
      </c>
      <c r="D254" s="1929" t="s">
        <v>1013</v>
      </c>
      <c r="E254" s="1929" t="s">
        <v>66</v>
      </c>
      <c r="F254" s="1929">
        <v>3.5</v>
      </c>
      <c r="G254" s="1929">
        <v>13.8</v>
      </c>
      <c r="H254" s="1929">
        <v>0.3</v>
      </c>
      <c r="I254" s="1929">
        <v>12.9</v>
      </c>
      <c r="J254" s="1929">
        <v>1335</v>
      </c>
      <c r="K254" s="1929" t="s">
        <v>4799</v>
      </c>
    </row>
    <row r="255" spans="1:11" hidden="1" x14ac:dyDescent="0.2">
      <c r="A255" s="1929" t="s">
        <v>4798</v>
      </c>
      <c r="B255" s="1929" t="s">
        <v>1238</v>
      </c>
      <c r="C255" s="1929" t="s">
        <v>1237</v>
      </c>
      <c r="D255" s="1929" t="s">
        <v>1013</v>
      </c>
      <c r="E255" s="1929" t="s">
        <v>66</v>
      </c>
      <c r="F255" s="1929">
        <v>6.2</v>
      </c>
      <c r="G255" s="1929">
        <v>9.3000000000000007</v>
      </c>
      <c r="H255" s="1929">
        <v>0.4</v>
      </c>
      <c r="I255" s="1929">
        <v>12</v>
      </c>
      <c r="J255" s="1929">
        <v>1349</v>
      </c>
      <c r="K255" s="1929" t="s">
        <v>4797</v>
      </c>
    </row>
    <row r="256" spans="1:11" hidden="1" x14ac:dyDescent="0.2">
      <c r="A256" s="1929" t="s">
        <v>4796</v>
      </c>
      <c r="B256" s="1929" t="s">
        <v>1238</v>
      </c>
      <c r="C256" s="1929" t="s">
        <v>1241</v>
      </c>
      <c r="D256" s="1929" t="s">
        <v>1013</v>
      </c>
      <c r="E256" s="1929" t="s">
        <v>66</v>
      </c>
      <c r="F256" s="1929">
        <v>2.8</v>
      </c>
      <c r="G256" s="1929">
        <v>16.2</v>
      </c>
      <c r="H256" s="1929">
        <v>0.3</v>
      </c>
      <c r="I256" s="1929">
        <v>15.8</v>
      </c>
      <c r="J256" s="1929">
        <v>1360</v>
      </c>
      <c r="K256" s="1929" t="s">
        <v>4795</v>
      </c>
    </row>
    <row r="257" spans="1:11" hidden="1" x14ac:dyDescent="0.2">
      <c r="A257" s="1929" t="s">
        <v>4794</v>
      </c>
      <c r="B257" s="1929" t="s">
        <v>1306</v>
      </c>
      <c r="C257" s="1929" t="s">
        <v>1413</v>
      </c>
      <c r="D257" s="1929" t="s">
        <v>1013</v>
      </c>
      <c r="E257" s="1929" t="s">
        <v>66</v>
      </c>
      <c r="F257" s="1929">
        <v>9</v>
      </c>
      <c r="G257" s="1929">
        <v>2.6</v>
      </c>
      <c r="H257" s="1929">
        <v>0.9</v>
      </c>
      <c r="I257" s="1929">
        <v>4.4000000000000004</v>
      </c>
      <c r="J257" s="1929">
        <v>1382</v>
      </c>
      <c r="K257" s="1929" t="s">
        <v>4793</v>
      </c>
    </row>
    <row r="258" spans="1:11" hidden="1" x14ac:dyDescent="0.2">
      <c r="A258" s="1929" t="s">
        <v>4792</v>
      </c>
      <c r="B258" s="1929" t="s">
        <v>1234</v>
      </c>
      <c r="C258" s="1929" t="s">
        <v>1337</v>
      </c>
      <c r="D258" s="1929" t="s">
        <v>1013</v>
      </c>
      <c r="E258" s="1929" t="s">
        <v>66</v>
      </c>
      <c r="F258" s="1929">
        <v>4.5999999999999996</v>
      </c>
      <c r="G258" s="1929">
        <v>8.1</v>
      </c>
      <c r="H258" s="1929">
        <v>0.5</v>
      </c>
      <c r="I258" s="1929">
        <v>11.1</v>
      </c>
      <c r="J258" s="1929">
        <v>1389</v>
      </c>
      <c r="K258" s="1929" t="s">
        <v>4791</v>
      </c>
    </row>
    <row r="259" spans="1:11" hidden="1" x14ac:dyDescent="0.2">
      <c r="A259" s="1929" t="s">
        <v>4790</v>
      </c>
      <c r="B259" s="1929" t="s">
        <v>1238</v>
      </c>
      <c r="C259" s="1929" t="s">
        <v>1237</v>
      </c>
      <c r="D259" s="1929" t="s">
        <v>1013</v>
      </c>
      <c r="E259" s="1929" t="s">
        <v>66</v>
      </c>
      <c r="F259" s="1929">
        <v>6.9</v>
      </c>
      <c r="G259" s="1929">
        <v>5.8</v>
      </c>
      <c r="H259" s="1929">
        <v>0.5</v>
      </c>
      <c r="I259" s="1929">
        <v>11.1</v>
      </c>
      <c r="J259" s="1929">
        <v>1396</v>
      </c>
      <c r="K259" s="1929" t="s">
        <v>4789</v>
      </c>
    </row>
    <row r="260" spans="1:11" hidden="1" x14ac:dyDescent="0.2">
      <c r="A260" s="1929" t="s">
        <v>4788</v>
      </c>
      <c r="B260" s="1929" t="s">
        <v>1234</v>
      </c>
      <c r="C260" s="1929" t="s">
        <v>1445</v>
      </c>
      <c r="D260" s="1929" t="s">
        <v>1013</v>
      </c>
      <c r="E260" s="1929" t="s">
        <v>66</v>
      </c>
      <c r="F260" s="1929">
        <v>3.4</v>
      </c>
      <c r="G260" s="1929">
        <v>14.7</v>
      </c>
      <c r="H260" s="1929">
        <v>0.1</v>
      </c>
      <c r="I260" s="1929">
        <v>15.9</v>
      </c>
      <c r="J260" s="1929">
        <v>1402</v>
      </c>
      <c r="K260" s="1929" t="s">
        <v>4787</v>
      </c>
    </row>
    <row r="261" spans="1:11" hidden="1" x14ac:dyDescent="0.2">
      <c r="A261" s="1929" t="s">
        <v>4786</v>
      </c>
      <c r="D261" s="1929" t="s">
        <v>1013</v>
      </c>
      <c r="E261" s="1929" t="s">
        <v>66</v>
      </c>
      <c r="F261" s="1929">
        <v>3.3</v>
      </c>
      <c r="G261" s="1929">
        <v>6.6</v>
      </c>
      <c r="H261" s="1929">
        <v>0.6</v>
      </c>
      <c r="I261" s="1929">
        <v>11.1</v>
      </c>
      <c r="J261" s="1929">
        <v>1445</v>
      </c>
      <c r="K261" s="1929" t="s">
        <v>4785</v>
      </c>
    </row>
    <row r="262" spans="1:11" hidden="1" x14ac:dyDescent="0.2">
      <c r="A262" s="1929" t="s">
        <v>4784</v>
      </c>
      <c r="B262" s="1929" t="s">
        <v>1306</v>
      </c>
      <c r="C262" s="1929" t="s">
        <v>1626</v>
      </c>
      <c r="D262" s="1929" t="s">
        <v>1013</v>
      </c>
      <c r="E262" s="1929" t="s">
        <v>66</v>
      </c>
      <c r="F262" s="1929">
        <v>5.8</v>
      </c>
      <c r="G262" s="1929">
        <v>12.1</v>
      </c>
      <c r="H262" s="1929">
        <v>0.4</v>
      </c>
      <c r="I262" s="1929">
        <v>9</v>
      </c>
      <c r="J262" s="1929">
        <v>1446</v>
      </c>
      <c r="K262" s="1929" t="s">
        <v>4783</v>
      </c>
    </row>
    <row r="263" spans="1:11" hidden="1" x14ac:dyDescent="0.2">
      <c r="A263" s="1929" t="s">
        <v>4782</v>
      </c>
      <c r="B263" s="1929" t="s">
        <v>1245</v>
      </c>
      <c r="C263" s="1929" t="s">
        <v>1244</v>
      </c>
      <c r="D263" s="1929" t="s">
        <v>1013</v>
      </c>
      <c r="E263" s="1929" t="s">
        <v>66</v>
      </c>
      <c r="F263" s="1929">
        <v>9.1</v>
      </c>
      <c r="G263" s="1929">
        <v>1.5</v>
      </c>
      <c r="H263" s="1929">
        <v>0.7</v>
      </c>
      <c r="I263" s="1929">
        <v>4.0999999999999996</v>
      </c>
      <c r="J263" s="1929">
        <v>1456</v>
      </c>
      <c r="K263" s="1929" t="s">
        <v>4781</v>
      </c>
    </row>
    <row r="264" spans="1:11" hidden="1" x14ac:dyDescent="0.2">
      <c r="A264" s="1929" t="s">
        <v>4780</v>
      </c>
      <c r="B264" s="1929" t="s">
        <v>1258</v>
      </c>
      <c r="C264" s="1929" t="s">
        <v>1263</v>
      </c>
      <c r="D264" s="1929" t="s">
        <v>1013</v>
      </c>
      <c r="E264" s="1929" t="s">
        <v>66</v>
      </c>
      <c r="F264" s="1929">
        <v>5</v>
      </c>
      <c r="G264" s="1929">
        <v>4.2</v>
      </c>
      <c r="H264" s="1929">
        <v>0.5</v>
      </c>
      <c r="I264" s="1929">
        <v>25.6</v>
      </c>
      <c r="J264" s="1929">
        <v>1458</v>
      </c>
      <c r="K264" s="1929" t="s">
        <v>4779</v>
      </c>
    </row>
    <row r="265" spans="1:11" hidden="1" x14ac:dyDescent="0.2">
      <c r="A265" s="1929" t="s">
        <v>4778</v>
      </c>
      <c r="B265" s="1929" t="s">
        <v>1228</v>
      </c>
      <c r="C265" s="1929" t="s">
        <v>1606</v>
      </c>
      <c r="D265" s="1929" t="s">
        <v>1013</v>
      </c>
      <c r="E265" s="1929" t="s">
        <v>66</v>
      </c>
      <c r="F265" s="1929">
        <v>5.5</v>
      </c>
      <c r="G265" s="1929">
        <v>3.7</v>
      </c>
      <c r="H265" s="1929">
        <v>0.7</v>
      </c>
      <c r="I265" s="1929">
        <v>14.5</v>
      </c>
      <c r="J265" s="1929">
        <v>1459</v>
      </c>
      <c r="K265" s="1929" t="s">
        <v>4777</v>
      </c>
    </row>
    <row r="266" spans="1:11" hidden="1" x14ac:dyDescent="0.2">
      <c r="A266" s="1929" t="s">
        <v>4776</v>
      </c>
      <c r="B266" s="1929" t="s">
        <v>1217</v>
      </c>
      <c r="C266" s="1929" t="s">
        <v>1456</v>
      </c>
      <c r="D266" s="1929" t="s">
        <v>1013</v>
      </c>
      <c r="E266" s="1929" t="s">
        <v>66</v>
      </c>
      <c r="F266" s="1929">
        <v>4.3</v>
      </c>
      <c r="G266" s="1929">
        <v>2.4</v>
      </c>
      <c r="H266" s="1929">
        <v>1.2</v>
      </c>
      <c r="I266" s="1929">
        <v>12.9</v>
      </c>
      <c r="J266" s="1929">
        <v>1462</v>
      </c>
      <c r="K266" s="1929" t="s">
        <v>4775</v>
      </c>
    </row>
    <row r="267" spans="1:11" hidden="1" x14ac:dyDescent="0.2">
      <c r="A267" s="1929" t="s">
        <v>4774</v>
      </c>
      <c r="B267" s="1929" t="s">
        <v>1310</v>
      </c>
      <c r="C267" s="1929" t="s">
        <v>1552</v>
      </c>
      <c r="D267" s="1929" t="s">
        <v>1013</v>
      </c>
      <c r="E267" s="1929" t="s">
        <v>66</v>
      </c>
      <c r="F267" s="1929">
        <v>8.1999999999999993</v>
      </c>
      <c r="G267" s="1929">
        <v>3.1</v>
      </c>
      <c r="H267" s="1929">
        <v>0.3</v>
      </c>
      <c r="I267" s="1929">
        <v>18.3</v>
      </c>
      <c r="J267" s="1929">
        <v>1466</v>
      </c>
      <c r="K267" s="1929" t="s">
        <v>4773</v>
      </c>
    </row>
    <row r="268" spans="1:11" hidden="1" x14ac:dyDescent="0.2">
      <c r="A268" s="1929" t="s">
        <v>4772</v>
      </c>
      <c r="B268" s="1929" t="s">
        <v>1228</v>
      </c>
      <c r="C268" s="1929" t="s">
        <v>2392</v>
      </c>
      <c r="D268" s="1929" t="s">
        <v>1013</v>
      </c>
      <c r="E268" s="1929" t="s">
        <v>66</v>
      </c>
      <c r="F268" s="1929">
        <v>7.7</v>
      </c>
      <c r="G268" s="1929">
        <v>5.8</v>
      </c>
      <c r="H268" s="1929">
        <v>0.5</v>
      </c>
      <c r="I268" s="1929">
        <v>8.1999999999999993</v>
      </c>
      <c r="J268" s="1929">
        <v>1469</v>
      </c>
      <c r="K268" s="1929" t="s">
        <v>4771</v>
      </c>
    </row>
    <row r="269" spans="1:11" hidden="1" x14ac:dyDescent="0.2">
      <c r="A269" s="1929" t="s">
        <v>4770</v>
      </c>
      <c r="B269" s="1929" t="s">
        <v>1234</v>
      </c>
      <c r="C269" s="1929" t="s">
        <v>1337</v>
      </c>
      <c r="D269" s="1929" t="s">
        <v>1013</v>
      </c>
      <c r="E269" s="1929" t="s">
        <v>66</v>
      </c>
      <c r="F269" s="1929">
        <v>4.5</v>
      </c>
      <c r="G269" s="1929">
        <v>9.4</v>
      </c>
      <c r="H269" s="1929">
        <v>0.3</v>
      </c>
      <c r="I269" s="1929">
        <v>19.600000000000001</v>
      </c>
      <c r="J269" s="1929">
        <v>1472</v>
      </c>
      <c r="K269" s="1929" t="s">
        <v>4769</v>
      </c>
    </row>
    <row r="270" spans="1:11" hidden="1" x14ac:dyDescent="0.2">
      <c r="A270" s="1929" t="s">
        <v>4768</v>
      </c>
      <c r="D270" s="1929" t="s">
        <v>1013</v>
      </c>
      <c r="E270" s="1929" t="s">
        <v>66</v>
      </c>
      <c r="F270" s="1929">
        <v>2</v>
      </c>
      <c r="G270" s="1929">
        <v>5</v>
      </c>
      <c r="H270" s="1929">
        <v>0.5</v>
      </c>
      <c r="I270" s="1929">
        <v>16.100000000000001</v>
      </c>
      <c r="J270" s="1929">
        <v>1474</v>
      </c>
      <c r="K270" s="1929" t="s">
        <v>4767</v>
      </c>
    </row>
    <row r="271" spans="1:11" hidden="1" x14ac:dyDescent="0.2">
      <c r="A271" s="1929" t="s">
        <v>4766</v>
      </c>
      <c r="B271" s="1929" t="s">
        <v>1306</v>
      </c>
      <c r="C271" s="1929" t="s">
        <v>1389</v>
      </c>
      <c r="D271" s="1929" t="s">
        <v>1013</v>
      </c>
      <c r="E271" s="1929" t="s">
        <v>66</v>
      </c>
      <c r="F271" s="1929">
        <v>12.9</v>
      </c>
      <c r="G271" s="1929">
        <v>2.7</v>
      </c>
      <c r="H271" s="1929">
        <v>0.5</v>
      </c>
      <c r="I271" s="1929">
        <v>5.2</v>
      </c>
      <c r="J271" s="1929">
        <v>1478</v>
      </c>
      <c r="K271" s="1929" t="s">
        <v>4765</v>
      </c>
    </row>
    <row r="272" spans="1:11" hidden="1" x14ac:dyDescent="0.2">
      <c r="A272" s="1929" t="s">
        <v>4764</v>
      </c>
      <c r="B272" s="1929" t="s">
        <v>1234</v>
      </c>
      <c r="C272" s="1929" t="s">
        <v>1445</v>
      </c>
      <c r="D272" s="1929" t="s">
        <v>1013</v>
      </c>
      <c r="E272" s="1929" t="s">
        <v>66</v>
      </c>
      <c r="F272" s="1929">
        <v>3.6</v>
      </c>
      <c r="G272" s="1929">
        <v>12.2</v>
      </c>
      <c r="H272" s="1929">
        <v>0.1</v>
      </c>
      <c r="I272" s="1929">
        <v>15.3</v>
      </c>
      <c r="J272" s="1929">
        <v>1492</v>
      </c>
      <c r="K272" s="1929" t="s">
        <v>4763</v>
      </c>
    </row>
    <row r="273" spans="1:11" hidden="1" x14ac:dyDescent="0.2">
      <c r="A273" s="1929" t="s">
        <v>4762</v>
      </c>
      <c r="B273" s="1929" t="s">
        <v>1234</v>
      </c>
      <c r="C273" s="1929" t="s">
        <v>1445</v>
      </c>
      <c r="D273" s="1929" t="s">
        <v>1013</v>
      </c>
      <c r="E273" s="1929" t="s">
        <v>66</v>
      </c>
      <c r="F273" s="1929">
        <v>2.2000000000000002</v>
      </c>
      <c r="G273" s="1929">
        <v>17.600000000000001</v>
      </c>
      <c r="H273" s="1929">
        <v>0.1</v>
      </c>
      <c r="I273" s="1929">
        <v>12</v>
      </c>
      <c r="J273" s="1929">
        <v>1497</v>
      </c>
      <c r="K273" s="1929" t="s">
        <v>4761</v>
      </c>
    </row>
    <row r="274" spans="1:11" hidden="1" x14ac:dyDescent="0.2">
      <c r="A274" s="1929" t="s">
        <v>4760</v>
      </c>
      <c r="B274" s="1929" t="s">
        <v>1234</v>
      </c>
      <c r="C274" s="1929" t="s">
        <v>1337</v>
      </c>
      <c r="D274" s="1929" t="s">
        <v>1013</v>
      </c>
      <c r="E274" s="1929" t="s">
        <v>66</v>
      </c>
      <c r="F274" s="1929">
        <v>3.9</v>
      </c>
      <c r="G274" s="1929">
        <v>4.8</v>
      </c>
      <c r="H274" s="1929">
        <v>0.9</v>
      </c>
      <c r="I274" s="1929">
        <v>10.8</v>
      </c>
      <c r="J274" s="1929">
        <v>1509</v>
      </c>
      <c r="K274" s="1929" t="s">
        <v>4759</v>
      </c>
    </row>
    <row r="275" spans="1:11" hidden="1" x14ac:dyDescent="0.2">
      <c r="A275" s="1929" t="s">
        <v>4758</v>
      </c>
      <c r="B275" s="1929" t="s">
        <v>1217</v>
      </c>
      <c r="C275" s="1929" t="s">
        <v>1216</v>
      </c>
      <c r="D275" s="1929" t="s">
        <v>1013</v>
      </c>
      <c r="E275" s="1929" t="s">
        <v>66</v>
      </c>
      <c r="F275" s="1929">
        <v>1.7</v>
      </c>
      <c r="G275" s="1929">
        <v>1.8</v>
      </c>
      <c r="H275" s="1929">
        <v>0.4</v>
      </c>
      <c r="I275" s="1929">
        <v>34.200000000000003</v>
      </c>
      <c r="J275" s="1929">
        <v>1516</v>
      </c>
      <c r="K275" s="1929" t="s">
        <v>4757</v>
      </c>
    </row>
    <row r="276" spans="1:11" hidden="1" x14ac:dyDescent="0.2">
      <c r="A276" s="1929" t="s">
        <v>4756</v>
      </c>
      <c r="B276" s="1929" t="s">
        <v>1238</v>
      </c>
      <c r="C276" s="1929" t="s">
        <v>1584</v>
      </c>
      <c r="D276" s="1929" t="s">
        <v>1013</v>
      </c>
      <c r="E276" s="1929" t="s">
        <v>66</v>
      </c>
      <c r="F276" s="1929">
        <v>3.9</v>
      </c>
      <c r="G276" s="1929">
        <v>6.9</v>
      </c>
      <c r="H276" s="1929">
        <v>0.4</v>
      </c>
      <c r="I276" s="1929">
        <v>12.9</v>
      </c>
      <c r="J276" s="1929">
        <v>1550</v>
      </c>
      <c r="K276" s="1929" t="s">
        <v>4755</v>
      </c>
    </row>
    <row r="277" spans="1:11" hidden="1" x14ac:dyDescent="0.2">
      <c r="A277" s="1929" t="s">
        <v>4754</v>
      </c>
      <c r="D277" s="1929" t="s">
        <v>1013</v>
      </c>
      <c r="E277" s="1929" t="s">
        <v>66</v>
      </c>
      <c r="F277" s="1929">
        <v>5</v>
      </c>
      <c r="G277" s="1929">
        <v>7.1</v>
      </c>
      <c r="H277" s="1929">
        <v>0.6</v>
      </c>
      <c r="I277" s="1929">
        <v>7.8</v>
      </c>
      <c r="J277" s="1929">
        <v>1558</v>
      </c>
      <c r="K277" s="1929" t="s">
        <v>4753</v>
      </c>
    </row>
    <row r="278" spans="1:11" hidden="1" x14ac:dyDescent="0.2">
      <c r="A278" s="1929" t="s">
        <v>4752</v>
      </c>
      <c r="B278" s="1929" t="s">
        <v>1217</v>
      </c>
      <c r="C278" s="1929" t="s">
        <v>1368</v>
      </c>
      <c r="D278" s="1929" t="s">
        <v>1013</v>
      </c>
      <c r="E278" s="1929" t="s">
        <v>66</v>
      </c>
      <c r="F278" s="1929">
        <v>7.7</v>
      </c>
      <c r="G278" s="1929">
        <v>1.4</v>
      </c>
      <c r="H278" s="1929">
        <v>0.4</v>
      </c>
      <c r="I278" s="1929">
        <v>13.7</v>
      </c>
      <c r="J278" s="1929">
        <v>1565</v>
      </c>
      <c r="K278" s="1929" t="s">
        <v>4751</v>
      </c>
    </row>
    <row r="279" spans="1:11" hidden="1" x14ac:dyDescent="0.2">
      <c r="A279" s="1929" t="s">
        <v>4750</v>
      </c>
      <c r="B279" s="1929" t="s">
        <v>1245</v>
      </c>
      <c r="C279" s="1929" t="s">
        <v>1429</v>
      </c>
      <c r="D279" s="1929" t="s">
        <v>1013</v>
      </c>
      <c r="E279" s="1929" t="s">
        <v>66</v>
      </c>
      <c r="F279" s="1929">
        <v>11.4</v>
      </c>
      <c r="G279" s="1929">
        <v>1.5</v>
      </c>
      <c r="H279" s="1929">
        <v>0.4</v>
      </c>
      <c r="I279" s="1929">
        <v>2</v>
      </c>
      <c r="J279" s="1929">
        <v>1572</v>
      </c>
      <c r="K279" s="1929" t="s">
        <v>4749</v>
      </c>
    </row>
    <row r="280" spans="1:11" hidden="1" x14ac:dyDescent="0.2">
      <c r="A280" s="1929" t="s">
        <v>4748</v>
      </c>
      <c r="B280" s="1929" t="s">
        <v>1217</v>
      </c>
      <c r="C280" s="1929" t="s">
        <v>1368</v>
      </c>
      <c r="D280" s="1929" t="s">
        <v>1013</v>
      </c>
      <c r="E280" s="1929" t="s">
        <v>66</v>
      </c>
      <c r="F280" s="1929">
        <v>6.9</v>
      </c>
      <c r="G280" s="1929">
        <v>1.1000000000000001</v>
      </c>
      <c r="H280" s="1929">
        <v>0.3</v>
      </c>
      <c r="I280" s="1929">
        <v>16.5</v>
      </c>
      <c r="J280" s="1929">
        <v>1579</v>
      </c>
      <c r="K280" s="1929" t="s">
        <v>4747</v>
      </c>
    </row>
    <row r="281" spans="1:11" hidden="1" x14ac:dyDescent="0.2">
      <c r="A281" s="1929" t="s">
        <v>4746</v>
      </c>
      <c r="B281" s="1929" t="s">
        <v>1238</v>
      </c>
      <c r="C281" s="1929" t="s">
        <v>3030</v>
      </c>
      <c r="D281" s="1929" t="s">
        <v>1013</v>
      </c>
      <c r="E281" s="1929" t="s">
        <v>66</v>
      </c>
      <c r="F281" s="1929">
        <v>1.9</v>
      </c>
      <c r="G281" s="1929">
        <v>28.6</v>
      </c>
      <c r="H281" s="1929">
        <v>0.1</v>
      </c>
      <c r="I281" s="1929">
        <v>8.3000000000000007</v>
      </c>
      <c r="J281" s="1929">
        <v>1597</v>
      </c>
      <c r="K281" s="1929" t="s">
        <v>4745</v>
      </c>
    </row>
    <row r="282" spans="1:11" hidden="1" x14ac:dyDescent="0.2">
      <c r="A282" s="1929" t="s">
        <v>4744</v>
      </c>
      <c r="B282" s="1929" t="s">
        <v>1249</v>
      </c>
      <c r="C282" s="1929" t="s">
        <v>1248</v>
      </c>
      <c r="D282" s="1929" t="s">
        <v>1013</v>
      </c>
      <c r="E282" s="1929" t="s">
        <v>66</v>
      </c>
      <c r="F282" s="1929">
        <v>3.1</v>
      </c>
      <c r="G282" s="1929">
        <v>11.1</v>
      </c>
      <c r="H282" s="1929">
        <v>0.4</v>
      </c>
      <c r="I282" s="1929">
        <v>8</v>
      </c>
      <c r="J282" s="1929">
        <v>1626</v>
      </c>
      <c r="K282" s="1929" t="s">
        <v>4743</v>
      </c>
    </row>
    <row r="283" spans="1:11" hidden="1" x14ac:dyDescent="0.2">
      <c r="A283" s="1929" t="s">
        <v>4742</v>
      </c>
      <c r="B283" s="1929" t="s">
        <v>1238</v>
      </c>
      <c r="C283" s="1929" t="s">
        <v>1609</v>
      </c>
      <c r="D283" s="1929" t="s">
        <v>1013</v>
      </c>
      <c r="E283" s="1929" t="s">
        <v>66</v>
      </c>
      <c r="F283" s="1929">
        <v>0.7</v>
      </c>
      <c r="G283" s="1929">
        <v>8.5</v>
      </c>
      <c r="H283" s="1929">
        <v>0.1</v>
      </c>
      <c r="I283" s="1929">
        <v>15.6</v>
      </c>
      <c r="J283" s="1929">
        <v>1641</v>
      </c>
      <c r="K283" s="1929" t="s">
        <v>4741</v>
      </c>
    </row>
    <row r="284" spans="1:11" hidden="1" x14ac:dyDescent="0.2">
      <c r="A284" s="1929" t="s">
        <v>4740</v>
      </c>
      <c r="B284" s="1929" t="s">
        <v>1234</v>
      </c>
      <c r="C284" s="1929" t="s">
        <v>1445</v>
      </c>
      <c r="D284" s="1929" t="s">
        <v>1013</v>
      </c>
      <c r="E284" s="1929" t="s">
        <v>66</v>
      </c>
      <c r="F284" s="1929">
        <v>2</v>
      </c>
      <c r="G284" s="1929">
        <v>12</v>
      </c>
      <c r="H284" s="1929">
        <v>0</v>
      </c>
      <c r="I284" s="1929">
        <v>11.8</v>
      </c>
      <c r="J284" s="1929">
        <v>1642</v>
      </c>
      <c r="K284" s="1929" t="s">
        <v>4739</v>
      </c>
    </row>
    <row r="285" spans="1:11" hidden="1" x14ac:dyDescent="0.2">
      <c r="A285" s="1929" t="s">
        <v>4738</v>
      </c>
      <c r="B285" s="1929" t="s">
        <v>1238</v>
      </c>
      <c r="C285" s="1929" t="s">
        <v>1241</v>
      </c>
      <c r="D285" s="1929" t="s">
        <v>1013</v>
      </c>
      <c r="E285" s="1929" t="s">
        <v>66</v>
      </c>
      <c r="F285" s="1929">
        <v>2.9</v>
      </c>
      <c r="G285" s="1929">
        <v>9.1</v>
      </c>
      <c r="H285" s="1929">
        <v>0.3</v>
      </c>
      <c r="I285" s="1929">
        <v>14</v>
      </c>
      <c r="J285" s="1929">
        <v>1655</v>
      </c>
      <c r="K285" s="1929" t="s">
        <v>4737</v>
      </c>
    </row>
    <row r="286" spans="1:11" hidden="1" x14ac:dyDescent="0.2">
      <c r="A286" s="1929" t="s">
        <v>4736</v>
      </c>
      <c r="B286" s="1929" t="s">
        <v>1245</v>
      </c>
      <c r="C286" s="1929" t="s">
        <v>1429</v>
      </c>
      <c r="D286" s="1929" t="s">
        <v>1013</v>
      </c>
      <c r="E286" s="1929" t="s">
        <v>66</v>
      </c>
      <c r="F286" s="1929">
        <v>4.8</v>
      </c>
      <c r="G286" s="1929">
        <v>5.4</v>
      </c>
      <c r="H286" s="1929">
        <v>0.4</v>
      </c>
      <c r="I286" s="1929">
        <v>14.8</v>
      </c>
      <c r="J286" s="1929">
        <v>1668</v>
      </c>
      <c r="K286" s="1929" t="s">
        <v>4735</v>
      </c>
    </row>
    <row r="287" spans="1:11" hidden="1" x14ac:dyDescent="0.2">
      <c r="A287" s="1929" t="s">
        <v>4734</v>
      </c>
      <c r="B287" s="1929" t="s">
        <v>1234</v>
      </c>
      <c r="C287" s="1929" t="s">
        <v>1445</v>
      </c>
      <c r="D287" s="1929" t="s">
        <v>1013</v>
      </c>
      <c r="E287" s="1929" t="s">
        <v>66</v>
      </c>
      <c r="F287" s="1929">
        <v>2.2000000000000002</v>
      </c>
      <c r="G287" s="1929">
        <v>13.1</v>
      </c>
      <c r="H287" s="1929">
        <v>-0.4</v>
      </c>
      <c r="I287" s="1929">
        <v>9.9</v>
      </c>
      <c r="J287" s="1929">
        <v>1715</v>
      </c>
      <c r="K287" s="1929" t="s">
        <v>4733</v>
      </c>
    </row>
    <row r="288" spans="1:11" hidden="1" x14ac:dyDescent="0.2">
      <c r="A288" s="1929" t="s">
        <v>4732</v>
      </c>
      <c r="B288" s="1929" t="s">
        <v>1238</v>
      </c>
      <c r="C288" s="1929" t="s">
        <v>1485</v>
      </c>
      <c r="D288" s="1929" t="s">
        <v>1013</v>
      </c>
      <c r="E288" s="1929" t="s">
        <v>66</v>
      </c>
      <c r="F288" s="1929">
        <v>3.6</v>
      </c>
      <c r="G288" s="1929">
        <v>4.8</v>
      </c>
      <c r="H288" s="1929">
        <v>0.3</v>
      </c>
      <c r="I288" s="1929">
        <v>17.100000000000001</v>
      </c>
      <c r="J288" s="1929">
        <v>1731</v>
      </c>
      <c r="K288" s="1929" t="s">
        <v>4731</v>
      </c>
    </row>
    <row r="289" spans="1:11" hidden="1" x14ac:dyDescent="0.2">
      <c r="A289" s="1929" t="s">
        <v>4730</v>
      </c>
      <c r="B289" s="1929" t="s">
        <v>1228</v>
      </c>
      <c r="C289" s="1929" t="s">
        <v>1498</v>
      </c>
      <c r="D289" s="1929" t="s">
        <v>1013</v>
      </c>
      <c r="E289" s="1929" t="s">
        <v>66</v>
      </c>
      <c r="F289" s="1929">
        <v>0.5</v>
      </c>
      <c r="G289" s="1929">
        <v>15.1</v>
      </c>
      <c r="H289" s="1929">
        <v>0</v>
      </c>
      <c r="I289" s="1929">
        <v>9</v>
      </c>
      <c r="J289" s="1929">
        <v>1740</v>
      </c>
      <c r="K289" s="1929" t="s">
        <v>4729</v>
      </c>
    </row>
    <row r="290" spans="1:11" hidden="1" x14ac:dyDescent="0.2">
      <c r="A290" s="1929" t="s">
        <v>4728</v>
      </c>
      <c r="B290" s="1929" t="s">
        <v>1228</v>
      </c>
      <c r="C290" s="1929" t="s">
        <v>2392</v>
      </c>
      <c r="D290" s="1929" t="s">
        <v>1013</v>
      </c>
      <c r="E290" s="1929" t="s">
        <v>66</v>
      </c>
      <c r="F290" s="1929">
        <v>7.4</v>
      </c>
      <c r="G290" s="1929">
        <v>3</v>
      </c>
      <c r="H290" s="1929">
        <v>0.4</v>
      </c>
      <c r="I290" s="1929">
        <v>9.5</v>
      </c>
      <c r="J290" s="1929">
        <v>1763</v>
      </c>
      <c r="K290" s="1929" t="s">
        <v>4727</v>
      </c>
    </row>
    <row r="291" spans="1:11" hidden="1" x14ac:dyDescent="0.2">
      <c r="A291" s="1929" t="s">
        <v>4726</v>
      </c>
      <c r="B291" s="1929" t="s">
        <v>1238</v>
      </c>
      <c r="C291" s="1929" t="s">
        <v>3030</v>
      </c>
      <c r="D291" s="1929" t="s">
        <v>1013</v>
      </c>
      <c r="E291" s="1929" t="s">
        <v>66</v>
      </c>
      <c r="F291" s="1929">
        <v>0.8</v>
      </c>
      <c r="G291" s="1929">
        <v>16.899999999999999</v>
      </c>
      <c r="H291" s="1929">
        <v>-0.1</v>
      </c>
      <c r="I291" s="1929">
        <v>2</v>
      </c>
      <c r="J291" s="1929">
        <v>1772</v>
      </c>
      <c r="K291" s="1929" t="s">
        <v>4725</v>
      </c>
    </row>
    <row r="292" spans="1:11" hidden="1" x14ac:dyDescent="0.2">
      <c r="A292" s="1929" t="s">
        <v>4724</v>
      </c>
      <c r="B292" s="1929" t="s">
        <v>1217</v>
      </c>
      <c r="C292" s="1929" t="s">
        <v>1403</v>
      </c>
      <c r="D292" s="1929" t="s">
        <v>1013</v>
      </c>
      <c r="E292" s="1929" t="s">
        <v>66</v>
      </c>
      <c r="F292" s="1929">
        <v>1.8</v>
      </c>
      <c r="G292" s="1929">
        <v>3.2</v>
      </c>
      <c r="H292" s="1929">
        <v>0.5</v>
      </c>
      <c r="I292" s="1929">
        <v>14.5</v>
      </c>
      <c r="J292" s="1929">
        <v>1786</v>
      </c>
      <c r="K292" s="1929" t="s">
        <v>4723</v>
      </c>
    </row>
    <row r="293" spans="1:11" hidden="1" x14ac:dyDescent="0.2">
      <c r="A293" s="1929" t="s">
        <v>4722</v>
      </c>
      <c r="B293" s="1929" t="s">
        <v>1234</v>
      </c>
      <c r="C293" s="1929" t="s">
        <v>1445</v>
      </c>
      <c r="D293" s="1929" t="s">
        <v>1013</v>
      </c>
      <c r="E293" s="1929" t="s">
        <v>66</v>
      </c>
      <c r="F293" s="1929">
        <v>0.9</v>
      </c>
      <c r="G293" s="1929">
        <v>9.6999999999999993</v>
      </c>
      <c r="H293" s="1929">
        <v>0</v>
      </c>
      <c r="I293" s="1929">
        <v>11.7</v>
      </c>
      <c r="J293" s="1929">
        <v>1786</v>
      </c>
      <c r="K293" s="1929" t="s">
        <v>4721</v>
      </c>
    </row>
    <row r="294" spans="1:11" hidden="1" x14ac:dyDescent="0.2">
      <c r="A294" s="1929" t="s">
        <v>4720</v>
      </c>
      <c r="B294" s="1929" t="s">
        <v>1269</v>
      </c>
      <c r="C294" s="1929" t="s">
        <v>1504</v>
      </c>
      <c r="D294" s="1929" t="s">
        <v>1013</v>
      </c>
      <c r="E294" s="1929" t="s">
        <v>66</v>
      </c>
      <c r="F294" s="1929">
        <v>9.1999999999999993</v>
      </c>
      <c r="G294" s="1929">
        <v>2.6</v>
      </c>
      <c r="H294" s="1929">
        <v>0.4</v>
      </c>
      <c r="I294" s="1929">
        <v>2.1</v>
      </c>
      <c r="J294" s="1929">
        <v>1807</v>
      </c>
      <c r="K294" s="1929" t="s">
        <v>4719</v>
      </c>
    </row>
    <row r="295" spans="1:11" hidden="1" x14ac:dyDescent="0.2">
      <c r="A295" s="1929" t="s">
        <v>4718</v>
      </c>
      <c r="B295" s="1929" t="s">
        <v>1228</v>
      </c>
      <c r="C295" s="1929" t="s">
        <v>1279</v>
      </c>
      <c r="D295" s="1929" t="s">
        <v>1013</v>
      </c>
      <c r="E295" s="1929" t="s">
        <v>66</v>
      </c>
      <c r="F295" s="1929">
        <v>1</v>
      </c>
      <c r="G295" s="1929">
        <v>0.1</v>
      </c>
      <c r="H295" s="1929">
        <v>1</v>
      </c>
      <c r="I295" s="1929">
        <v>0.9</v>
      </c>
      <c r="J295" s="1929">
        <v>1811</v>
      </c>
      <c r="K295" s="1929" t="s">
        <v>4717</v>
      </c>
    </row>
    <row r="296" spans="1:11" hidden="1" x14ac:dyDescent="0.2">
      <c r="A296" s="1929" t="s">
        <v>4716</v>
      </c>
      <c r="B296" s="1929" t="s">
        <v>1234</v>
      </c>
      <c r="C296" s="1929" t="s">
        <v>1445</v>
      </c>
      <c r="D296" s="1929" t="s">
        <v>1013</v>
      </c>
      <c r="E296" s="1929" t="s">
        <v>66</v>
      </c>
      <c r="F296" s="1929">
        <v>5.2</v>
      </c>
      <c r="G296" s="1929">
        <v>6.1</v>
      </c>
      <c r="H296" s="1929">
        <v>0</v>
      </c>
      <c r="I296" s="1929">
        <v>14.9</v>
      </c>
      <c r="J296" s="1929">
        <v>1838</v>
      </c>
      <c r="K296" s="1929" t="s">
        <v>4715</v>
      </c>
    </row>
    <row r="297" spans="1:11" hidden="1" x14ac:dyDescent="0.2">
      <c r="A297" s="1929" t="s">
        <v>4714</v>
      </c>
      <c r="B297" s="1929" t="s">
        <v>1306</v>
      </c>
      <c r="C297" s="1929" t="s">
        <v>1413</v>
      </c>
      <c r="D297" s="1929" t="s">
        <v>1013</v>
      </c>
      <c r="E297" s="1929" t="s">
        <v>66</v>
      </c>
      <c r="F297" s="1929">
        <v>9.8000000000000007</v>
      </c>
      <c r="G297" s="1929">
        <v>4.2</v>
      </c>
      <c r="H297" s="1929">
        <v>0.3</v>
      </c>
      <c r="I297" s="1929">
        <v>4.5</v>
      </c>
      <c r="J297" s="1929">
        <v>1865</v>
      </c>
      <c r="K297" s="1929" t="s">
        <v>4713</v>
      </c>
    </row>
    <row r="298" spans="1:11" hidden="1" x14ac:dyDescent="0.2">
      <c r="A298" s="1929" t="s">
        <v>4712</v>
      </c>
      <c r="B298" s="1929" t="s">
        <v>1228</v>
      </c>
      <c r="C298" s="1929" t="s">
        <v>1297</v>
      </c>
      <c r="D298" s="1929" t="s">
        <v>1013</v>
      </c>
      <c r="E298" s="1929" t="s">
        <v>66</v>
      </c>
      <c r="F298" s="1929">
        <v>2.2000000000000002</v>
      </c>
      <c r="G298" s="1929">
        <v>9.8000000000000007</v>
      </c>
      <c r="H298" s="1929">
        <v>-0.1</v>
      </c>
      <c r="I298" s="1929">
        <v>10.199999999999999</v>
      </c>
      <c r="J298" s="1929">
        <v>1873</v>
      </c>
      <c r="K298" s="1929" t="s">
        <v>4711</v>
      </c>
    </row>
    <row r="299" spans="1:11" hidden="1" x14ac:dyDescent="0.2">
      <c r="A299" s="1929" t="s">
        <v>4710</v>
      </c>
      <c r="B299" s="1929" t="s">
        <v>1217</v>
      </c>
      <c r="C299" s="1929" t="s">
        <v>1456</v>
      </c>
      <c r="D299" s="1929" t="s">
        <v>1013</v>
      </c>
      <c r="E299" s="1929" t="s">
        <v>66</v>
      </c>
      <c r="F299" s="1929">
        <v>2.5</v>
      </c>
      <c r="G299" s="1929">
        <v>3.2</v>
      </c>
      <c r="H299" s="1929">
        <v>0.5</v>
      </c>
      <c r="I299" s="1929">
        <v>12.6</v>
      </c>
      <c r="J299" s="1929">
        <v>1880</v>
      </c>
      <c r="K299" s="1929" t="s">
        <v>4709</v>
      </c>
    </row>
    <row r="300" spans="1:11" hidden="1" x14ac:dyDescent="0.2">
      <c r="A300" s="1929" t="s">
        <v>4708</v>
      </c>
      <c r="B300" s="1929" t="s">
        <v>1234</v>
      </c>
      <c r="C300" s="1929" t="s">
        <v>1337</v>
      </c>
      <c r="D300" s="1929" t="s">
        <v>1013</v>
      </c>
      <c r="E300" s="1929" t="s">
        <v>66</v>
      </c>
      <c r="F300" s="1929">
        <v>2.2999999999999998</v>
      </c>
      <c r="G300" s="1929">
        <v>13.1</v>
      </c>
      <c r="H300" s="1929">
        <v>0.2</v>
      </c>
      <c r="I300" s="1929">
        <v>5</v>
      </c>
      <c r="J300" s="1929">
        <v>1887</v>
      </c>
      <c r="K300" s="1929" t="s">
        <v>4707</v>
      </c>
    </row>
    <row r="301" spans="1:11" hidden="1" x14ac:dyDescent="0.2">
      <c r="A301" s="1929" t="s">
        <v>4706</v>
      </c>
      <c r="B301" s="1929" t="s">
        <v>1234</v>
      </c>
      <c r="C301" s="1929" t="s">
        <v>1337</v>
      </c>
      <c r="D301" s="1929" t="s">
        <v>1013</v>
      </c>
      <c r="E301" s="1929" t="s">
        <v>66</v>
      </c>
      <c r="F301" s="1929">
        <v>2.1</v>
      </c>
      <c r="G301" s="1929">
        <v>12.4</v>
      </c>
      <c r="H301" s="1929">
        <v>0.1</v>
      </c>
      <c r="I301" s="1929">
        <v>7.4</v>
      </c>
      <c r="J301" s="1929">
        <v>1928</v>
      </c>
      <c r="K301" s="1929" t="s">
        <v>4705</v>
      </c>
    </row>
    <row r="302" spans="1:11" hidden="1" x14ac:dyDescent="0.2">
      <c r="A302" s="1929" t="s">
        <v>4704</v>
      </c>
      <c r="B302" s="1929" t="s">
        <v>1234</v>
      </c>
      <c r="C302" s="1929" t="s">
        <v>1233</v>
      </c>
      <c r="D302" s="1929" t="s">
        <v>1013</v>
      </c>
      <c r="E302" s="1929" t="s">
        <v>66</v>
      </c>
      <c r="F302" s="1929">
        <v>6.3</v>
      </c>
      <c r="G302" s="1929">
        <v>3.2</v>
      </c>
      <c r="H302" s="1929">
        <v>0.5</v>
      </c>
      <c r="I302" s="1929">
        <v>4.5999999999999996</v>
      </c>
      <c r="J302" s="1929">
        <v>1937</v>
      </c>
      <c r="K302" s="1929" t="s">
        <v>4703</v>
      </c>
    </row>
    <row r="303" spans="1:11" hidden="1" x14ac:dyDescent="0.2">
      <c r="A303" s="1929" t="s">
        <v>4702</v>
      </c>
      <c r="D303" s="1929" t="s">
        <v>1013</v>
      </c>
      <c r="E303" s="1929" t="s">
        <v>66</v>
      </c>
      <c r="F303" s="1929">
        <v>1.5</v>
      </c>
      <c r="G303" s="1929">
        <v>12.2</v>
      </c>
      <c r="H303" s="1929">
        <v>0.1</v>
      </c>
      <c r="I303" s="1929">
        <v>3.8</v>
      </c>
      <c r="J303" s="1929">
        <v>1942</v>
      </c>
      <c r="K303" s="1929" t="s">
        <v>4701</v>
      </c>
    </row>
    <row r="304" spans="1:11" hidden="1" x14ac:dyDescent="0.2">
      <c r="A304" s="1929" t="s">
        <v>4700</v>
      </c>
      <c r="D304" s="1929" t="s">
        <v>1013</v>
      </c>
      <c r="E304" s="1929" t="s">
        <v>66</v>
      </c>
      <c r="F304" s="1929">
        <v>2.5</v>
      </c>
      <c r="G304" s="1929">
        <v>9.1999999999999993</v>
      </c>
      <c r="H304" s="1929">
        <v>0.1</v>
      </c>
      <c r="I304" s="1929">
        <v>10</v>
      </c>
      <c r="J304" s="1929">
        <v>1944</v>
      </c>
      <c r="K304" s="1929" t="s">
        <v>4699</v>
      </c>
    </row>
    <row r="305" spans="1:11" hidden="1" x14ac:dyDescent="0.2">
      <c r="A305" s="1929" t="s">
        <v>4698</v>
      </c>
      <c r="D305" s="1929" t="s">
        <v>1013</v>
      </c>
      <c r="E305" s="1929" t="s">
        <v>66</v>
      </c>
      <c r="F305" s="1929">
        <v>6</v>
      </c>
      <c r="G305" s="1929">
        <v>2.9</v>
      </c>
      <c r="H305" s="1929">
        <v>0.4</v>
      </c>
      <c r="I305" s="1929">
        <v>10.199999999999999</v>
      </c>
      <c r="J305" s="1929">
        <v>1957</v>
      </c>
      <c r="K305" s="1929" t="s">
        <v>4697</v>
      </c>
    </row>
    <row r="306" spans="1:11" hidden="1" x14ac:dyDescent="0.2">
      <c r="A306" s="1929" t="s">
        <v>4696</v>
      </c>
      <c r="B306" s="1929" t="s">
        <v>1306</v>
      </c>
      <c r="C306" s="1929" t="s">
        <v>1305</v>
      </c>
      <c r="D306" s="1929" t="s">
        <v>1013</v>
      </c>
      <c r="E306" s="1929" t="s">
        <v>66</v>
      </c>
      <c r="F306" s="1929">
        <v>3.3</v>
      </c>
      <c r="G306" s="1929">
        <v>11.1</v>
      </c>
      <c r="H306" s="1929">
        <v>0.3</v>
      </c>
      <c r="I306" s="1929">
        <v>4.7</v>
      </c>
      <c r="J306" s="1929">
        <v>1964</v>
      </c>
      <c r="K306" s="1929" t="s">
        <v>4695</v>
      </c>
    </row>
    <row r="307" spans="1:11" hidden="1" x14ac:dyDescent="0.2">
      <c r="A307" s="1929" t="s">
        <v>4694</v>
      </c>
      <c r="B307" s="1929" t="s">
        <v>1217</v>
      </c>
      <c r="C307" s="1929" t="s">
        <v>1456</v>
      </c>
      <c r="D307" s="1929" t="s">
        <v>1013</v>
      </c>
      <c r="E307" s="1929" t="s">
        <v>66</v>
      </c>
      <c r="F307" s="1929">
        <v>2.2000000000000002</v>
      </c>
      <c r="G307" s="1929">
        <v>1.7</v>
      </c>
      <c r="H307" s="1929">
        <v>0.3</v>
      </c>
      <c r="I307" s="1929">
        <v>16.3</v>
      </c>
      <c r="J307" s="1929">
        <v>1965</v>
      </c>
      <c r="K307" s="1929" t="s">
        <v>4693</v>
      </c>
    </row>
    <row r="308" spans="1:11" hidden="1" x14ac:dyDescent="0.2">
      <c r="A308" s="1929" t="s">
        <v>4692</v>
      </c>
      <c r="B308" s="1929" t="s">
        <v>1234</v>
      </c>
      <c r="C308" s="1929" t="s">
        <v>1445</v>
      </c>
      <c r="D308" s="1929" t="s">
        <v>1013</v>
      </c>
      <c r="E308" s="1929" t="s">
        <v>66</v>
      </c>
      <c r="F308" s="1929">
        <v>1.7</v>
      </c>
      <c r="G308" s="1929">
        <v>11</v>
      </c>
      <c r="H308" s="1929">
        <v>-0.3</v>
      </c>
      <c r="I308" s="1929">
        <v>8.8000000000000007</v>
      </c>
      <c r="J308" s="1929">
        <v>1968</v>
      </c>
      <c r="K308" s="1929" t="s">
        <v>4691</v>
      </c>
    </row>
    <row r="309" spans="1:11" hidden="1" x14ac:dyDescent="0.2">
      <c r="A309" s="1929" t="s">
        <v>4690</v>
      </c>
      <c r="B309" s="1929" t="s">
        <v>1234</v>
      </c>
      <c r="C309" s="1929" t="s">
        <v>1233</v>
      </c>
      <c r="D309" s="1929" t="s">
        <v>1013</v>
      </c>
      <c r="E309" s="1929" t="s">
        <v>66</v>
      </c>
      <c r="F309" s="1929">
        <v>1.6</v>
      </c>
      <c r="G309" s="1929">
        <v>6.5</v>
      </c>
      <c r="H309" s="1929">
        <v>0.1</v>
      </c>
      <c r="I309" s="1929">
        <v>12.8</v>
      </c>
      <c r="J309" s="1929">
        <v>1990</v>
      </c>
      <c r="K309" s="1929" t="s">
        <v>4689</v>
      </c>
    </row>
    <row r="310" spans="1:11" hidden="1" x14ac:dyDescent="0.2">
      <c r="A310" s="1929" t="s">
        <v>4688</v>
      </c>
      <c r="B310" s="1929" t="s">
        <v>1258</v>
      </c>
      <c r="C310" s="1929" t="s">
        <v>1263</v>
      </c>
      <c r="D310" s="1929" t="s">
        <v>274</v>
      </c>
      <c r="E310" s="1929" t="s">
        <v>67</v>
      </c>
      <c r="F310" s="1929">
        <v>83.6</v>
      </c>
      <c r="G310" s="1929">
        <v>37.700000000000003</v>
      </c>
      <c r="H310" s="1929">
        <v>7</v>
      </c>
      <c r="I310" s="1929">
        <v>68.5</v>
      </c>
      <c r="J310" s="1929">
        <v>128</v>
      </c>
      <c r="K310" s="1929" t="s">
        <v>4687</v>
      </c>
    </row>
    <row r="311" spans="1:11" hidden="1" x14ac:dyDescent="0.2">
      <c r="A311" s="1929" t="s">
        <v>4686</v>
      </c>
      <c r="B311" s="1929" t="s">
        <v>1217</v>
      </c>
      <c r="C311" s="1929" t="s">
        <v>1368</v>
      </c>
      <c r="D311" s="1929" t="s">
        <v>274</v>
      </c>
      <c r="E311" s="1929" t="s">
        <v>67</v>
      </c>
      <c r="F311" s="1929">
        <v>13.3</v>
      </c>
      <c r="G311" s="1929">
        <v>9</v>
      </c>
      <c r="H311" s="1929">
        <v>0.8</v>
      </c>
      <c r="I311" s="1929">
        <v>72</v>
      </c>
      <c r="J311" s="1929">
        <v>553</v>
      </c>
      <c r="K311" s="1929" t="s">
        <v>4685</v>
      </c>
    </row>
    <row r="312" spans="1:11" hidden="1" x14ac:dyDescent="0.2">
      <c r="A312" s="1929" t="s">
        <v>4684</v>
      </c>
      <c r="B312" s="1929" t="s">
        <v>1217</v>
      </c>
      <c r="C312" s="1929" t="s">
        <v>1216</v>
      </c>
      <c r="D312" s="1929" t="s">
        <v>274</v>
      </c>
      <c r="E312" s="1929" t="s">
        <v>67</v>
      </c>
      <c r="F312" s="1929">
        <v>13.3</v>
      </c>
      <c r="G312" s="1929">
        <v>5.9</v>
      </c>
      <c r="H312" s="1929">
        <v>0.8</v>
      </c>
      <c r="I312" s="1929">
        <v>67.7</v>
      </c>
      <c r="J312" s="1929">
        <v>644</v>
      </c>
      <c r="K312" s="1929" t="s">
        <v>4683</v>
      </c>
    </row>
    <row r="313" spans="1:11" hidden="1" x14ac:dyDescent="0.2">
      <c r="A313" s="1929" t="s">
        <v>4682</v>
      </c>
      <c r="B313" s="1929" t="s">
        <v>1217</v>
      </c>
      <c r="C313" s="1929" t="s">
        <v>1216</v>
      </c>
      <c r="D313" s="1929" t="s">
        <v>274</v>
      </c>
      <c r="E313" s="1929" t="s">
        <v>67</v>
      </c>
      <c r="F313" s="1929">
        <v>5.8</v>
      </c>
      <c r="G313" s="1929">
        <v>3.1</v>
      </c>
      <c r="H313" s="1929">
        <v>0.5</v>
      </c>
      <c r="I313" s="1929">
        <v>28.2</v>
      </c>
      <c r="J313" s="1929">
        <v>1363</v>
      </c>
      <c r="K313" s="1929" t="s">
        <v>4681</v>
      </c>
    </row>
    <row r="314" spans="1:11" hidden="1" x14ac:dyDescent="0.2">
      <c r="A314" s="1929" t="s">
        <v>4680</v>
      </c>
      <c r="B314" s="1929" t="s">
        <v>1234</v>
      </c>
      <c r="C314" s="1929" t="s">
        <v>1476</v>
      </c>
      <c r="D314" s="1929" t="s">
        <v>274</v>
      </c>
      <c r="E314" s="1929" t="s">
        <v>67</v>
      </c>
      <c r="F314" s="1929">
        <v>8.4</v>
      </c>
      <c r="G314" s="1929">
        <v>4.0999999999999996</v>
      </c>
      <c r="H314" s="1929">
        <v>0.2</v>
      </c>
      <c r="I314" s="1929">
        <v>14.3</v>
      </c>
      <c r="J314" s="1929">
        <v>1816</v>
      </c>
      <c r="K314" s="1929" t="s">
        <v>4679</v>
      </c>
    </row>
    <row r="315" spans="1:11" hidden="1" x14ac:dyDescent="0.2">
      <c r="A315" s="1929" t="s">
        <v>4678</v>
      </c>
      <c r="B315" s="1929" t="s">
        <v>1310</v>
      </c>
      <c r="C315" s="1929" t="s">
        <v>1309</v>
      </c>
      <c r="D315" s="1929" t="s">
        <v>274</v>
      </c>
      <c r="E315" s="1929" t="s">
        <v>67</v>
      </c>
      <c r="F315" s="1929">
        <v>7.4</v>
      </c>
      <c r="G315" s="1929">
        <v>1</v>
      </c>
      <c r="H315" s="1929">
        <v>0.5</v>
      </c>
      <c r="I315" s="1929">
        <v>8.4</v>
      </c>
      <c r="J315" s="1929">
        <v>1831</v>
      </c>
      <c r="K315" s="1929" t="s">
        <v>4677</v>
      </c>
    </row>
    <row r="316" spans="1:11" hidden="1" x14ac:dyDescent="0.2">
      <c r="A316" s="1929" t="s">
        <v>4676</v>
      </c>
      <c r="B316" s="1929" t="s">
        <v>1310</v>
      </c>
      <c r="C316" s="1929" t="s">
        <v>1309</v>
      </c>
      <c r="D316" s="1929" t="s">
        <v>303</v>
      </c>
      <c r="E316" s="1929" t="s">
        <v>34</v>
      </c>
      <c r="F316" s="1929">
        <v>15.3</v>
      </c>
      <c r="G316" s="1929">
        <v>11.1</v>
      </c>
      <c r="H316" s="1929">
        <v>1.8</v>
      </c>
      <c r="I316" s="1929">
        <v>32.299999999999997</v>
      </c>
      <c r="J316" s="1929">
        <v>485</v>
      </c>
      <c r="K316" s="1929" t="s">
        <v>4675</v>
      </c>
    </row>
    <row r="317" spans="1:11" hidden="1" x14ac:dyDescent="0.2">
      <c r="A317" s="1929" t="s">
        <v>4674</v>
      </c>
      <c r="B317" s="1929" t="s">
        <v>1238</v>
      </c>
      <c r="C317" s="1929" t="s">
        <v>1700</v>
      </c>
      <c r="D317" s="1929" t="s">
        <v>303</v>
      </c>
      <c r="E317" s="1929" t="s">
        <v>35</v>
      </c>
      <c r="F317" s="1929">
        <v>51.7</v>
      </c>
      <c r="G317" s="1929">
        <v>47.4</v>
      </c>
      <c r="H317" s="1929">
        <v>3.6</v>
      </c>
      <c r="I317" s="1929">
        <v>74.5</v>
      </c>
      <c r="J317" s="1929">
        <v>142</v>
      </c>
      <c r="K317" s="1929" t="s">
        <v>4673</v>
      </c>
    </row>
    <row r="318" spans="1:11" hidden="1" x14ac:dyDescent="0.2">
      <c r="A318" s="1929" t="s">
        <v>4672</v>
      </c>
      <c r="B318" s="1929" t="s">
        <v>1217</v>
      </c>
      <c r="C318" s="1929" t="s">
        <v>2291</v>
      </c>
      <c r="D318" s="1929" t="s">
        <v>303</v>
      </c>
      <c r="E318" s="1929" t="s">
        <v>35</v>
      </c>
      <c r="F318" s="1929">
        <v>28.3</v>
      </c>
      <c r="G318" s="1929">
        <v>20.8</v>
      </c>
      <c r="H318" s="1929">
        <v>1.3</v>
      </c>
      <c r="I318" s="1929">
        <v>596</v>
      </c>
      <c r="J318" s="1929">
        <v>231</v>
      </c>
      <c r="K318" s="1929" t="s">
        <v>4671</v>
      </c>
    </row>
    <row r="319" spans="1:11" hidden="1" x14ac:dyDescent="0.2">
      <c r="A319" s="1929" t="s">
        <v>4670</v>
      </c>
      <c r="B319" s="1929" t="s">
        <v>1269</v>
      </c>
      <c r="C319" s="1929" t="s">
        <v>1504</v>
      </c>
      <c r="D319" s="1929" t="s">
        <v>303</v>
      </c>
      <c r="E319" s="1929" t="s">
        <v>35</v>
      </c>
      <c r="F319" s="1929">
        <v>119.6</v>
      </c>
      <c r="G319" s="1929">
        <v>14.9</v>
      </c>
      <c r="H319" s="1929">
        <v>4.5</v>
      </c>
      <c r="I319" s="1929">
        <v>13</v>
      </c>
      <c r="J319" s="1929">
        <v>399</v>
      </c>
      <c r="K319" s="1929" t="s">
        <v>4669</v>
      </c>
    </row>
    <row r="320" spans="1:11" hidden="1" x14ac:dyDescent="0.2">
      <c r="A320" s="1929" t="s">
        <v>4668</v>
      </c>
      <c r="B320" s="1929" t="s">
        <v>1306</v>
      </c>
      <c r="C320" s="1929" t="s">
        <v>1413</v>
      </c>
      <c r="D320" s="1929" t="s">
        <v>303</v>
      </c>
      <c r="E320" s="1929" t="s">
        <v>35</v>
      </c>
      <c r="F320" s="1929">
        <v>15.2</v>
      </c>
      <c r="G320" s="1929">
        <v>11.8</v>
      </c>
      <c r="H320" s="1929">
        <v>1</v>
      </c>
      <c r="I320" s="1929">
        <v>27.9</v>
      </c>
      <c r="J320" s="1929">
        <v>565</v>
      </c>
      <c r="K320" s="1929" t="s">
        <v>4667</v>
      </c>
    </row>
    <row r="321" spans="1:11" hidden="1" x14ac:dyDescent="0.2">
      <c r="A321" s="1929" t="s">
        <v>4666</v>
      </c>
      <c r="B321" s="1929" t="s">
        <v>1269</v>
      </c>
      <c r="C321" s="1929" t="s">
        <v>1294</v>
      </c>
      <c r="D321" s="1929" t="s">
        <v>303</v>
      </c>
      <c r="E321" s="1929" t="s">
        <v>35</v>
      </c>
      <c r="F321" s="1929">
        <v>17.3</v>
      </c>
      <c r="G321" s="1929">
        <v>2.1</v>
      </c>
      <c r="H321" s="1929">
        <v>0.5</v>
      </c>
      <c r="I321" s="1929">
        <v>1.6</v>
      </c>
      <c r="J321" s="1929">
        <v>1353</v>
      </c>
      <c r="K321" s="1929" t="s">
        <v>4665</v>
      </c>
    </row>
    <row r="322" spans="1:11" hidden="1" x14ac:dyDescent="0.2">
      <c r="A322" s="1929" t="s">
        <v>4664</v>
      </c>
      <c r="B322" s="1929" t="s">
        <v>1249</v>
      </c>
      <c r="C322" s="1929" t="s">
        <v>1248</v>
      </c>
      <c r="D322" s="1929" t="s">
        <v>303</v>
      </c>
      <c r="E322" s="1929" t="s">
        <v>35</v>
      </c>
      <c r="F322" s="1929">
        <v>7.4</v>
      </c>
      <c r="G322" s="1929">
        <v>4.4000000000000004</v>
      </c>
      <c r="H322" s="1929">
        <v>0.6</v>
      </c>
      <c r="I322" s="1929">
        <v>11.2</v>
      </c>
      <c r="J322" s="1929">
        <v>1451</v>
      </c>
      <c r="K322" s="1929" t="s">
        <v>4663</v>
      </c>
    </row>
    <row r="323" spans="1:11" hidden="1" x14ac:dyDescent="0.2">
      <c r="A323" s="1929" t="s">
        <v>4662</v>
      </c>
      <c r="B323" s="1929" t="s">
        <v>1217</v>
      </c>
      <c r="C323" s="1929" t="s">
        <v>1216</v>
      </c>
      <c r="D323" s="1929" t="s">
        <v>303</v>
      </c>
      <c r="E323" s="1929" t="s">
        <v>35</v>
      </c>
      <c r="F323" s="1929">
        <v>4.0999999999999996</v>
      </c>
      <c r="G323" s="1929">
        <v>1.8</v>
      </c>
      <c r="H323" s="1929">
        <v>0.3</v>
      </c>
      <c r="I323" s="1929">
        <v>48.4</v>
      </c>
      <c r="J323" s="1929">
        <v>1517</v>
      </c>
      <c r="K323" s="1929" t="s">
        <v>4661</v>
      </c>
    </row>
    <row r="324" spans="1:11" hidden="1" x14ac:dyDescent="0.2">
      <c r="A324" s="1929" t="s">
        <v>4660</v>
      </c>
      <c r="D324" s="1929" t="s">
        <v>303</v>
      </c>
      <c r="E324" s="1929" t="s">
        <v>35</v>
      </c>
      <c r="F324" s="1929">
        <v>6.3</v>
      </c>
      <c r="G324" s="1929">
        <v>14</v>
      </c>
      <c r="H324" s="1929">
        <v>-0.1</v>
      </c>
      <c r="I324" s="1929">
        <v>9</v>
      </c>
      <c r="J324" s="1929">
        <v>1552</v>
      </c>
      <c r="K324" s="1929" t="s">
        <v>4659</v>
      </c>
    </row>
    <row r="325" spans="1:11" hidden="1" x14ac:dyDescent="0.2">
      <c r="A325" s="1929" t="s">
        <v>4658</v>
      </c>
      <c r="B325" s="1929" t="s">
        <v>1269</v>
      </c>
      <c r="C325" s="1929" t="s">
        <v>1340</v>
      </c>
      <c r="D325" s="1929" t="s">
        <v>303</v>
      </c>
      <c r="E325" s="1929" t="s">
        <v>35</v>
      </c>
      <c r="F325" s="1929">
        <v>13.8</v>
      </c>
      <c r="G325" s="1929">
        <v>2.1</v>
      </c>
      <c r="H325" s="1929">
        <v>0.4</v>
      </c>
      <c r="I325" s="1929">
        <v>3</v>
      </c>
      <c r="J325" s="1929">
        <v>1554</v>
      </c>
      <c r="K325" s="1929" t="s">
        <v>4657</v>
      </c>
    </row>
    <row r="326" spans="1:11" hidden="1" x14ac:dyDescent="0.2">
      <c r="A326" s="1929" t="s">
        <v>4656</v>
      </c>
      <c r="B326" s="1929" t="s">
        <v>1238</v>
      </c>
      <c r="C326" s="1929" t="s">
        <v>1584</v>
      </c>
      <c r="D326" s="1929" t="s">
        <v>303</v>
      </c>
      <c r="E326" s="1929" t="s">
        <v>35</v>
      </c>
      <c r="F326" s="1929">
        <v>9.4</v>
      </c>
      <c r="G326" s="1929">
        <v>8.1</v>
      </c>
      <c r="H326" s="1929">
        <v>-0.1</v>
      </c>
      <c r="I326" s="1929">
        <v>7.8</v>
      </c>
      <c r="J326" s="1929">
        <v>1574</v>
      </c>
      <c r="K326" s="1929" t="s">
        <v>4655</v>
      </c>
    </row>
    <row r="327" spans="1:11" hidden="1" x14ac:dyDescent="0.2">
      <c r="A327" s="1929" t="s">
        <v>4654</v>
      </c>
      <c r="D327" s="1929" t="s">
        <v>303</v>
      </c>
      <c r="E327" s="1929" t="s">
        <v>35</v>
      </c>
      <c r="F327" s="1929">
        <v>1.2</v>
      </c>
      <c r="G327" s="1929">
        <v>17</v>
      </c>
      <c r="H327" s="1929">
        <v>0.1</v>
      </c>
      <c r="I327" s="1929">
        <v>1.8</v>
      </c>
      <c r="J327" s="1929">
        <v>1768</v>
      </c>
      <c r="K327" s="1929" t="s">
        <v>4653</v>
      </c>
    </row>
    <row r="328" spans="1:11" hidden="1" x14ac:dyDescent="0.2">
      <c r="A328" s="1929" t="s">
        <v>4652</v>
      </c>
      <c r="B328" s="1929" t="s">
        <v>1306</v>
      </c>
      <c r="C328" s="1929" t="s">
        <v>1389</v>
      </c>
      <c r="D328" s="1929" t="s">
        <v>303</v>
      </c>
      <c r="E328" s="1929" t="s">
        <v>35</v>
      </c>
      <c r="F328" s="1929">
        <v>8.5</v>
      </c>
      <c r="G328" s="1929">
        <v>1.6</v>
      </c>
      <c r="H328" s="1929">
        <v>0.4</v>
      </c>
      <c r="I328" s="1929">
        <v>1.7</v>
      </c>
      <c r="J328" s="1929">
        <v>1840</v>
      </c>
      <c r="K328" s="1929" t="s">
        <v>4651</v>
      </c>
    </row>
    <row r="329" spans="1:11" hidden="1" x14ac:dyDescent="0.2">
      <c r="A329" s="1929" t="s">
        <v>4650</v>
      </c>
      <c r="B329" s="1929" t="s">
        <v>1238</v>
      </c>
      <c r="C329" s="1929" t="s">
        <v>1482</v>
      </c>
      <c r="D329" s="1929" t="s">
        <v>303</v>
      </c>
      <c r="E329" s="1929" t="s">
        <v>35</v>
      </c>
      <c r="F329" s="1929">
        <v>5.6</v>
      </c>
      <c r="G329" s="1929">
        <v>8.1</v>
      </c>
      <c r="H329" s="1929">
        <v>0.3</v>
      </c>
      <c r="I329" s="1929">
        <v>4.3</v>
      </c>
      <c r="J329" s="1929">
        <v>1916</v>
      </c>
      <c r="K329" s="1929" t="s">
        <v>4649</v>
      </c>
    </row>
    <row r="330" spans="1:11" hidden="1" x14ac:dyDescent="0.2">
      <c r="A330" s="1929" t="s">
        <v>4648</v>
      </c>
      <c r="B330" s="1929" t="s">
        <v>1217</v>
      </c>
      <c r="C330" s="1929" t="s">
        <v>1216</v>
      </c>
      <c r="D330" s="1929" t="s">
        <v>303</v>
      </c>
      <c r="E330" s="1929" t="s">
        <v>35</v>
      </c>
      <c r="F330" s="1929">
        <v>1.9</v>
      </c>
      <c r="G330" s="1929">
        <v>1</v>
      </c>
      <c r="H330" s="1929">
        <v>0</v>
      </c>
      <c r="I330" s="1929">
        <v>27.3</v>
      </c>
      <c r="J330" s="1929">
        <v>1963</v>
      </c>
      <c r="K330" s="1929" t="s">
        <v>4647</v>
      </c>
    </row>
    <row r="331" spans="1:11" hidden="1" x14ac:dyDescent="0.2">
      <c r="A331" s="1929" t="s">
        <v>4646</v>
      </c>
      <c r="B331" s="1929" t="s">
        <v>1217</v>
      </c>
      <c r="C331" s="1929" t="s">
        <v>1216</v>
      </c>
      <c r="D331" s="1929" t="s">
        <v>305</v>
      </c>
      <c r="E331" s="1929" t="s">
        <v>286</v>
      </c>
      <c r="F331" s="1929">
        <v>4.8</v>
      </c>
      <c r="G331" s="1929">
        <v>1.7</v>
      </c>
      <c r="H331" s="1929">
        <v>0.4</v>
      </c>
      <c r="I331" s="1929">
        <v>16.399999999999999</v>
      </c>
      <c r="J331" s="1929">
        <v>1750</v>
      </c>
      <c r="K331" s="1929" t="s">
        <v>4645</v>
      </c>
    </row>
    <row r="332" spans="1:11" hidden="1" x14ac:dyDescent="0.2">
      <c r="A332" s="1929" t="s">
        <v>4644</v>
      </c>
      <c r="B332" s="1929" t="s">
        <v>1217</v>
      </c>
      <c r="C332" s="1929" t="s">
        <v>1252</v>
      </c>
      <c r="D332" s="1929" t="s">
        <v>303</v>
      </c>
      <c r="E332" s="1929" t="s">
        <v>37</v>
      </c>
      <c r="F332" s="1929">
        <v>29.7</v>
      </c>
      <c r="G332" s="1929">
        <v>8.6999999999999993</v>
      </c>
      <c r="H332" s="1929">
        <v>1.9</v>
      </c>
      <c r="I332" s="1929">
        <v>44.3</v>
      </c>
      <c r="J332" s="1929">
        <v>408</v>
      </c>
      <c r="K332" s="1929" t="s">
        <v>4643</v>
      </c>
    </row>
    <row r="333" spans="1:11" hidden="1" x14ac:dyDescent="0.2">
      <c r="A333" s="1929" t="s">
        <v>4642</v>
      </c>
      <c r="B333" s="1929" t="s">
        <v>1310</v>
      </c>
      <c r="C333" s="1929" t="s">
        <v>1309</v>
      </c>
      <c r="D333" s="1929" t="s">
        <v>303</v>
      </c>
      <c r="E333" s="1929" t="s">
        <v>37</v>
      </c>
      <c r="F333" s="1929">
        <v>20.3</v>
      </c>
      <c r="G333" s="1929">
        <v>8</v>
      </c>
      <c r="H333" s="1929">
        <v>1.6</v>
      </c>
      <c r="I333" s="1929">
        <v>33.6</v>
      </c>
      <c r="J333" s="1929">
        <v>513</v>
      </c>
      <c r="K333" s="1929" t="s">
        <v>4641</v>
      </c>
    </row>
    <row r="334" spans="1:11" hidden="1" x14ac:dyDescent="0.2">
      <c r="A334" s="1929" t="s">
        <v>4640</v>
      </c>
      <c r="B334" s="1929" t="s">
        <v>1245</v>
      </c>
      <c r="C334" s="1929" t="s">
        <v>1507</v>
      </c>
      <c r="D334" s="1929" t="s">
        <v>303</v>
      </c>
      <c r="E334" s="1929" t="s">
        <v>37</v>
      </c>
      <c r="F334" s="1929">
        <v>28.1</v>
      </c>
      <c r="G334" s="1929">
        <v>27.5</v>
      </c>
      <c r="H334" s="1929">
        <v>-0.8</v>
      </c>
      <c r="I334" s="1929">
        <v>34.700000000000003</v>
      </c>
      <c r="J334" s="1929">
        <v>631</v>
      </c>
      <c r="K334" s="1929" t="s">
        <v>4639</v>
      </c>
    </row>
    <row r="335" spans="1:11" hidden="1" x14ac:dyDescent="0.2">
      <c r="A335" s="1929" t="s">
        <v>4638</v>
      </c>
      <c r="B335" s="1929" t="s">
        <v>1234</v>
      </c>
      <c r="C335" s="1929" t="s">
        <v>1420</v>
      </c>
      <c r="D335" s="1929" t="s">
        <v>303</v>
      </c>
      <c r="E335" s="1929" t="s">
        <v>37</v>
      </c>
      <c r="F335" s="1929">
        <v>9.3000000000000007</v>
      </c>
      <c r="G335" s="1929">
        <v>13.3</v>
      </c>
      <c r="H335" s="1929">
        <v>0.4</v>
      </c>
      <c r="I335" s="1929">
        <v>20.100000000000001</v>
      </c>
      <c r="J335" s="1929">
        <v>829</v>
      </c>
      <c r="K335" s="1929" t="s">
        <v>4637</v>
      </c>
    </row>
    <row r="336" spans="1:11" hidden="1" x14ac:dyDescent="0.2">
      <c r="A336" s="1929" t="s">
        <v>4636</v>
      </c>
      <c r="B336" s="1929" t="s">
        <v>1238</v>
      </c>
      <c r="C336" s="1929" t="s">
        <v>1241</v>
      </c>
      <c r="D336" s="1929" t="s">
        <v>303</v>
      </c>
      <c r="E336" s="1929" t="s">
        <v>37</v>
      </c>
      <c r="F336" s="1929">
        <v>21.6</v>
      </c>
      <c r="G336" s="1929">
        <v>9.1999999999999993</v>
      </c>
      <c r="H336" s="1929">
        <v>0.9</v>
      </c>
      <c r="I336" s="1929">
        <v>7.4</v>
      </c>
      <c r="J336" s="1929">
        <v>836</v>
      </c>
      <c r="K336" s="1929" t="s">
        <v>4635</v>
      </c>
    </row>
    <row r="337" spans="1:11" hidden="1" x14ac:dyDescent="0.2">
      <c r="A337" s="1929" t="s">
        <v>4634</v>
      </c>
      <c r="B337" s="1929" t="s">
        <v>1217</v>
      </c>
      <c r="C337" s="1929" t="s">
        <v>1216</v>
      </c>
      <c r="D337" s="1929" t="s">
        <v>303</v>
      </c>
      <c r="E337" s="1929" t="s">
        <v>37</v>
      </c>
      <c r="F337" s="1929">
        <v>7.3</v>
      </c>
      <c r="G337" s="1929">
        <v>2.6</v>
      </c>
      <c r="H337" s="1929">
        <v>0.6</v>
      </c>
      <c r="I337" s="1929">
        <v>60.2</v>
      </c>
      <c r="J337" s="1929">
        <v>1015</v>
      </c>
      <c r="K337" s="1929" t="s">
        <v>4633</v>
      </c>
    </row>
    <row r="338" spans="1:11" hidden="1" x14ac:dyDescent="0.2">
      <c r="A338" s="1929" t="s">
        <v>4632</v>
      </c>
      <c r="B338" s="1929" t="s">
        <v>1258</v>
      </c>
      <c r="C338" s="1929" t="s">
        <v>1263</v>
      </c>
      <c r="D338" s="1929" t="s">
        <v>303</v>
      </c>
      <c r="E338" s="1929" t="s">
        <v>37</v>
      </c>
      <c r="F338" s="1929">
        <v>5.3</v>
      </c>
      <c r="G338" s="1929">
        <v>23.2</v>
      </c>
      <c r="H338" s="1929">
        <v>0.7</v>
      </c>
      <c r="I338" s="1929">
        <v>9.6999999999999993</v>
      </c>
      <c r="J338" s="1929">
        <v>1034</v>
      </c>
      <c r="K338" s="1929" t="s">
        <v>4631</v>
      </c>
    </row>
    <row r="339" spans="1:11" hidden="1" x14ac:dyDescent="0.2">
      <c r="A339" s="1929" t="s">
        <v>4630</v>
      </c>
      <c r="B339" s="1929" t="s">
        <v>1234</v>
      </c>
      <c r="C339" s="1929" t="s">
        <v>1420</v>
      </c>
      <c r="D339" s="1929" t="s">
        <v>303</v>
      </c>
      <c r="E339" s="1929" t="s">
        <v>37</v>
      </c>
      <c r="F339" s="1929">
        <v>8.5</v>
      </c>
      <c r="G339" s="1929">
        <v>14</v>
      </c>
      <c r="H339" s="1929">
        <v>-0.1</v>
      </c>
      <c r="I339" s="1929">
        <v>17.600000000000001</v>
      </c>
      <c r="J339" s="1929">
        <v>1081</v>
      </c>
      <c r="K339" s="1929" t="s">
        <v>4629</v>
      </c>
    </row>
    <row r="340" spans="1:11" hidden="1" x14ac:dyDescent="0.2">
      <c r="A340" s="1929" t="s">
        <v>4628</v>
      </c>
      <c r="B340" s="1929" t="s">
        <v>1238</v>
      </c>
      <c r="C340" s="1929" t="s">
        <v>1237</v>
      </c>
      <c r="D340" s="1929" t="s">
        <v>303</v>
      </c>
      <c r="E340" s="1929" t="s">
        <v>37</v>
      </c>
      <c r="F340" s="1929">
        <v>11</v>
      </c>
      <c r="G340" s="1929">
        <v>6.2</v>
      </c>
      <c r="H340" s="1929">
        <v>0.5</v>
      </c>
      <c r="I340" s="1929">
        <v>7.2</v>
      </c>
      <c r="J340" s="1929">
        <v>1240</v>
      </c>
      <c r="K340" s="1929" t="s">
        <v>4627</v>
      </c>
    </row>
    <row r="341" spans="1:11" hidden="1" x14ac:dyDescent="0.2">
      <c r="A341" s="1929" t="s">
        <v>4626</v>
      </c>
      <c r="B341" s="1929" t="s">
        <v>1238</v>
      </c>
      <c r="C341" s="1929" t="s">
        <v>1609</v>
      </c>
      <c r="D341" s="1929" t="s">
        <v>303</v>
      </c>
      <c r="E341" s="1929" t="s">
        <v>37</v>
      </c>
      <c r="F341" s="1929">
        <v>5.9</v>
      </c>
      <c r="G341" s="1929">
        <v>7.9</v>
      </c>
      <c r="H341" s="1929">
        <v>0.4</v>
      </c>
      <c r="I341" s="1929">
        <v>5.0999999999999996</v>
      </c>
      <c r="J341" s="1929">
        <v>1577</v>
      </c>
      <c r="K341" s="1929" t="s">
        <v>4625</v>
      </c>
    </row>
    <row r="342" spans="1:11" hidden="1" x14ac:dyDescent="0.2">
      <c r="A342" s="1929" t="s">
        <v>4624</v>
      </c>
      <c r="B342" s="1929" t="s">
        <v>1234</v>
      </c>
      <c r="C342" s="1929" t="s">
        <v>1445</v>
      </c>
      <c r="D342" s="1929" t="s">
        <v>303</v>
      </c>
      <c r="E342" s="1929" t="s">
        <v>37</v>
      </c>
      <c r="F342" s="1929">
        <v>2.7</v>
      </c>
      <c r="G342" s="1929">
        <v>9</v>
      </c>
      <c r="H342" s="1929">
        <v>-1.3</v>
      </c>
      <c r="I342" s="1929">
        <v>12.2</v>
      </c>
      <c r="J342" s="1929">
        <v>1793</v>
      </c>
      <c r="K342" s="1929" t="s">
        <v>4623</v>
      </c>
    </row>
    <row r="343" spans="1:11" hidden="1" x14ac:dyDescent="0.2">
      <c r="A343" s="1929" t="s">
        <v>4622</v>
      </c>
      <c r="B343" s="1929" t="s">
        <v>1306</v>
      </c>
      <c r="C343" s="1929" t="s">
        <v>1392</v>
      </c>
      <c r="D343" s="1929" t="s">
        <v>303</v>
      </c>
      <c r="E343" s="1929" t="s">
        <v>37</v>
      </c>
      <c r="F343" s="1929">
        <v>4.4000000000000004</v>
      </c>
      <c r="G343" s="1929">
        <v>12.4</v>
      </c>
      <c r="H343" s="1929">
        <v>0.2</v>
      </c>
      <c r="I343" s="1929">
        <v>6</v>
      </c>
      <c r="J343" s="1929">
        <v>1924</v>
      </c>
      <c r="K343" s="1929" t="s">
        <v>4621</v>
      </c>
    </row>
    <row r="344" spans="1:11" hidden="1" x14ac:dyDescent="0.2">
      <c r="A344" s="1929" t="s">
        <v>4620</v>
      </c>
      <c r="B344" s="1929" t="s">
        <v>1217</v>
      </c>
      <c r="C344" s="1929" t="s">
        <v>2291</v>
      </c>
      <c r="D344" s="1929" t="s">
        <v>303</v>
      </c>
      <c r="E344" s="1929" t="s">
        <v>38</v>
      </c>
      <c r="F344" s="1929">
        <v>98.6</v>
      </c>
      <c r="G344" s="1929">
        <v>123.2</v>
      </c>
      <c r="H344" s="1929">
        <v>6.4</v>
      </c>
      <c r="I344" s="1929">
        <v>2480.5</v>
      </c>
      <c r="J344" s="1929">
        <v>24</v>
      </c>
      <c r="K344" s="1929" t="s">
        <v>4619</v>
      </c>
    </row>
    <row r="345" spans="1:11" hidden="1" x14ac:dyDescent="0.2">
      <c r="A345" s="1929" t="s">
        <v>231</v>
      </c>
      <c r="B345" s="1929" t="s">
        <v>1258</v>
      </c>
      <c r="C345" s="1929" t="s">
        <v>1263</v>
      </c>
      <c r="D345" s="1929" t="s">
        <v>303</v>
      </c>
      <c r="E345" s="1929" t="s">
        <v>38</v>
      </c>
      <c r="F345" s="1929">
        <v>149.80000000000001</v>
      </c>
      <c r="G345" s="1929">
        <v>227.9</v>
      </c>
      <c r="H345" s="1929">
        <v>11.2</v>
      </c>
      <c r="I345" s="1929">
        <v>239.1</v>
      </c>
      <c r="J345" s="1929">
        <v>25</v>
      </c>
      <c r="K345" s="1929" t="s">
        <v>4618</v>
      </c>
    </row>
    <row r="346" spans="1:11" hidden="1" x14ac:dyDescent="0.2">
      <c r="A346" s="1929" t="s">
        <v>4617</v>
      </c>
      <c r="B346" s="1929" t="s">
        <v>1217</v>
      </c>
      <c r="C346" s="1929" t="s">
        <v>1252</v>
      </c>
      <c r="D346" s="1929" t="s">
        <v>303</v>
      </c>
      <c r="E346" s="1929" t="s">
        <v>38</v>
      </c>
      <c r="F346" s="1929">
        <v>63.4</v>
      </c>
      <c r="G346" s="1929">
        <v>138.9</v>
      </c>
      <c r="H346" s="1929">
        <v>6</v>
      </c>
      <c r="I346" s="1929">
        <v>1018.9</v>
      </c>
      <c r="J346" s="1929">
        <v>33</v>
      </c>
      <c r="K346" s="1929" t="s">
        <v>4616</v>
      </c>
    </row>
    <row r="347" spans="1:11" hidden="1" x14ac:dyDescent="0.2">
      <c r="A347" s="1929" t="s">
        <v>4615</v>
      </c>
      <c r="B347" s="1929" t="s">
        <v>1310</v>
      </c>
      <c r="C347" s="1929" t="s">
        <v>1309</v>
      </c>
      <c r="D347" s="1929" t="s">
        <v>303</v>
      </c>
      <c r="E347" s="1929" t="s">
        <v>38</v>
      </c>
      <c r="F347" s="1929">
        <v>75.8</v>
      </c>
      <c r="G347" s="1929">
        <v>100.4</v>
      </c>
      <c r="H347" s="1929">
        <v>4.5</v>
      </c>
      <c r="I347" s="1929">
        <v>353.9</v>
      </c>
      <c r="J347" s="1929">
        <v>50</v>
      </c>
      <c r="K347" s="1929" t="s">
        <v>4614</v>
      </c>
    </row>
    <row r="348" spans="1:11" hidden="1" x14ac:dyDescent="0.2">
      <c r="A348" s="1929" t="s">
        <v>4613</v>
      </c>
      <c r="B348" s="1929" t="s">
        <v>1269</v>
      </c>
      <c r="C348" s="1929" t="s">
        <v>1504</v>
      </c>
      <c r="D348" s="1929" t="s">
        <v>303</v>
      </c>
      <c r="E348" s="1929" t="s">
        <v>38</v>
      </c>
      <c r="F348" s="1929">
        <v>137.1</v>
      </c>
      <c r="G348" s="1929">
        <v>43.7</v>
      </c>
      <c r="H348" s="1929">
        <v>4.9000000000000004</v>
      </c>
      <c r="I348" s="1929">
        <v>132.4</v>
      </c>
      <c r="J348" s="1929">
        <v>87</v>
      </c>
      <c r="K348" s="1929" t="s">
        <v>4612</v>
      </c>
    </row>
    <row r="349" spans="1:11" hidden="1" x14ac:dyDescent="0.2">
      <c r="A349" s="1929" t="s">
        <v>4611</v>
      </c>
      <c r="B349" s="1929" t="s">
        <v>1217</v>
      </c>
      <c r="C349" s="1929" t="s">
        <v>2291</v>
      </c>
      <c r="D349" s="1929" t="s">
        <v>303</v>
      </c>
      <c r="E349" s="1929" t="s">
        <v>38</v>
      </c>
      <c r="F349" s="1929">
        <v>41</v>
      </c>
      <c r="G349" s="1929">
        <v>65.3</v>
      </c>
      <c r="H349" s="1929">
        <v>3.3</v>
      </c>
      <c r="I349" s="1929">
        <v>2117.6999999999998</v>
      </c>
      <c r="J349" s="1929">
        <v>89</v>
      </c>
      <c r="K349" s="1929" t="s">
        <v>4610</v>
      </c>
    </row>
    <row r="350" spans="1:11" hidden="1" x14ac:dyDescent="0.2">
      <c r="A350" s="1929" t="s">
        <v>4609</v>
      </c>
      <c r="B350" s="1929" t="s">
        <v>1217</v>
      </c>
      <c r="C350" s="1929" t="s">
        <v>2291</v>
      </c>
      <c r="D350" s="1929" t="s">
        <v>303</v>
      </c>
      <c r="E350" s="1929" t="s">
        <v>38</v>
      </c>
      <c r="F350" s="1929">
        <v>50</v>
      </c>
      <c r="G350" s="1929">
        <v>45.6</v>
      </c>
      <c r="H350" s="1929">
        <v>2.9</v>
      </c>
      <c r="I350" s="1929">
        <v>1702.1</v>
      </c>
      <c r="J350" s="1929">
        <v>103</v>
      </c>
      <c r="K350" s="1929" t="s">
        <v>4608</v>
      </c>
    </row>
    <row r="351" spans="1:11" hidden="1" x14ac:dyDescent="0.2">
      <c r="A351" s="1929" t="s">
        <v>4607</v>
      </c>
      <c r="B351" s="1929" t="s">
        <v>1238</v>
      </c>
      <c r="C351" s="1929" t="s">
        <v>1349</v>
      </c>
      <c r="D351" s="1929" t="s">
        <v>303</v>
      </c>
      <c r="E351" s="1929" t="s">
        <v>38</v>
      </c>
      <c r="F351" s="1929">
        <v>56.9</v>
      </c>
      <c r="G351" s="1929">
        <v>78.7</v>
      </c>
      <c r="H351" s="1929">
        <v>1.9</v>
      </c>
      <c r="I351" s="1929">
        <v>128.6</v>
      </c>
      <c r="J351" s="1929">
        <v>131</v>
      </c>
      <c r="K351" s="1929" t="s">
        <v>4606</v>
      </c>
    </row>
    <row r="352" spans="1:11" hidden="1" x14ac:dyDescent="0.2">
      <c r="A352" s="1929" t="s">
        <v>4605</v>
      </c>
      <c r="B352" s="1929" t="s">
        <v>1249</v>
      </c>
      <c r="C352" s="1929" t="s">
        <v>1248</v>
      </c>
      <c r="D352" s="1929" t="s">
        <v>303</v>
      </c>
      <c r="E352" s="1929" t="s">
        <v>38</v>
      </c>
      <c r="F352" s="1929">
        <v>39</v>
      </c>
      <c r="G352" s="1929">
        <v>54.4</v>
      </c>
      <c r="H352" s="1929">
        <v>2.5</v>
      </c>
      <c r="I352" s="1929">
        <v>118.3</v>
      </c>
      <c r="J352" s="1929">
        <v>144</v>
      </c>
      <c r="K352" s="1929" t="s">
        <v>4604</v>
      </c>
    </row>
    <row r="353" spans="1:11" hidden="1" x14ac:dyDescent="0.2">
      <c r="A353" s="1929" t="s">
        <v>4603</v>
      </c>
      <c r="B353" s="1929" t="s">
        <v>1238</v>
      </c>
      <c r="C353" s="1929" t="s">
        <v>1241</v>
      </c>
      <c r="D353" s="1929" t="s">
        <v>303</v>
      </c>
      <c r="E353" s="1929" t="s">
        <v>38</v>
      </c>
      <c r="F353" s="1929">
        <v>44.2</v>
      </c>
      <c r="G353" s="1929">
        <v>54.1</v>
      </c>
      <c r="H353" s="1929">
        <v>2.6</v>
      </c>
      <c r="I353" s="1929">
        <v>86.9</v>
      </c>
      <c r="J353" s="1929">
        <v>147</v>
      </c>
      <c r="K353" s="1929" t="s">
        <v>4602</v>
      </c>
    </row>
    <row r="354" spans="1:11" hidden="1" x14ac:dyDescent="0.2">
      <c r="A354" s="1929" t="s">
        <v>4601</v>
      </c>
      <c r="B354" s="1929" t="s">
        <v>1306</v>
      </c>
      <c r="C354" s="1929" t="s">
        <v>1389</v>
      </c>
      <c r="D354" s="1929" t="s">
        <v>303</v>
      </c>
      <c r="E354" s="1929" t="s">
        <v>38</v>
      </c>
      <c r="F354" s="1929">
        <v>98.7</v>
      </c>
      <c r="G354" s="1929">
        <v>30.5</v>
      </c>
      <c r="H354" s="1929">
        <v>3.9</v>
      </c>
      <c r="I354" s="1929">
        <v>43.1</v>
      </c>
      <c r="J354" s="1929">
        <v>172</v>
      </c>
      <c r="K354" s="1929" t="s">
        <v>4600</v>
      </c>
    </row>
    <row r="355" spans="1:11" hidden="1" x14ac:dyDescent="0.2">
      <c r="A355" s="1929" t="s">
        <v>4599</v>
      </c>
      <c r="B355" s="1929" t="s">
        <v>1228</v>
      </c>
      <c r="C355" s="1929" t="s">
        <v>1276</v>
      </c>
      <c r="D355" s="1929" t="s">
        <v>303</v>
      </c>
      <c r="E355" s="1929" t="s">
        <v>38</v>
      </c>
      <c r="F355" s="1929">
        <v>34.4</v>
      </c>
      <c r="G355" s="1929">
        <v>38.4</v>
      </c>
      <c r="H355" s="1929">
        <v>1.8</v>
      </c>
      <c r="I355" s="1929">
        <v>82.9</v>
      </c>
      <c r="J355" s="1929">
        <v>192</v>
      </c>
      <c r="K355" s="1929" t="s">
        <v>4598</v>
      </c>
    </row>
    <row r="356" spans="1:11" hidden="1" x14ac:dyDescent="0.2">
      <c r="A356" s="1929" t="s">
        <v>4597</v>
      </c>
      <c r="B356" s="1929" t="s">
        <v>1238</v>
      </c>
      <c r="C356" s="1929" t="s">
        <v>1584</v>
      </c>
      <c r="D356" s="1929" t="s">
        <v>303</v>
      </c>
      <c r="E356" s="1929" t="s">
        <v>38</v>
      </c>
      <c r="F356" s="1929">
        <v>50.7</v>
      </c>
      <c r="G356" s="1929">
        <v>31.3</v>
      </c>
      <c r="H356" s="1929">
        <v>2.5</v>
      </c>
      <c r="I356" s="1929">
        <v>51</v>
      </c>
      <c r="J356" s="1929">
        <v>196</v>
      </c>
      <c r="K356" s="1929" t="s">
        <v>4596</v>
      </c>
    </row>
    <row r="357" spans="1:11" hidden="1" x14ac:dyDescent="0.2">
      <c r="A357" s="1929" t="s">
        <v>4595</v>
      </c>
      <c r="B357" s="1929" t="s">
        <v>1306</v>
      </c>
      <c r="C357" s="1929" t="s">
        <v>1392</v>
      </c>
      <c r="D357" s="1929" t="s">
        <v>303</v>
      </c>
      <c r="E357" s="1929" t="s">
        <v>38</v>
      </c>
      <c r="F357" s="1929">
        <v>27.4</v>
      </c>
      <c r="G357" s="1929">
        <v>99.4</v>
      </c>
      <c r="H357" s="1929">
        <v>1.7</v>
      </c>
      <c r="I357" s="1929">
        <v>60</v>
      </c>
      <c r="J357" s="1929">
        <v>212</v>
      </c>
      <c r="K357" s="1929" t="s">
        <v>4594</v>
      </c>
    </row>
    <row r="358" spans="1:11" hidden="1" x14ac:dyDescent="0.2">
      <c r="A358" s="1929" t="s">
        <v>4593</v>
      </c>
      <c r="B358" s="1929" t="s">
        <v>1306</v>
      </c>
      <c r="C358" s="1929" t="s">
        <v>1305</v>
      </c>
      <c r="D358" s="1929" t="s">
        <v>303</v>
      </c>
      <c r="E358" s="1929" t="s">
        <v>38</v>
      </c>
      <c r="F358" s="1929">
        <v>41.8</v>
      </c>
      <c r="G358" s="1929">
        <v>28.3</v>
      </c>
      <c r="H358" s="1929">
        <v>1.9</v>
      </c>
      <c r="I358" s="1929">
        <v>42.6</v>
      </c>
      <c r="J358" s="1929">
        <v>242</v>
      </c>
      <c r="K358" s="1929" t="s">
        <v>4592</v>
      </c>
    </row>
    <row r="359" spans="1:11" hidden="1" x14ac:dyDescent="0.2">
      <c r="A359" s="1929" t="s">
        <v>4591</v>
      </c>
      <c r="B359" s="1929" t="s">
        <v>1217</v>
      </c>
      <c r="C359" s="1929" t="s">
        <v>2291</v>
      </c>
      <c r="D359" s="1929" t="s">
        <v>303</v>
      </c>
      <c r="E359" s="1929" t="s">
        <v>38</v>
      </c>
      <c r="F359" s="1929">
        <v>23.6</v>
      </c>
      <c r="G359" s="1929">
        <v>21.6</v>
      </c>
      <c r="H359" s="1929">
        <v>1.2</v>
      </c>
      <c r="I359" s="1929">
        <v>702.9</v>
      </c>
      <c r="J359" s="1929">
        <v>251</v>
      </c>
      <c r="K359" s="1929" t="s">
        <v>4590</v>
      </c>
    </row>
    <row r="360" spans="1:11" hidden="1" x14ac:dyDescent="0.2">
      <c r="A360" s="1929" t="s">
        <v>4589</v>
      </c>
      <c r="B360" s="1929" t="s">
        <v>1228</v>
      </c>
      <c r="C360" s="1929" t="s">
        <v>2392</v>
      </c>
      <c r="D360" s="1929" t="s">
        <v>303</v>
      </c>
      <c r="E360" s="1929" t="s">
        <v>38</v>
      </c>
      <c r="F360" s="1929">
        <v>28.7</v>
      </c>
      <c r="G360" s="1929">
        <v>54.3</v>
      </c>
      <c r="H360" s="1929">
        <v>0.8</v>
      </c>
      <c r="I360" s="1929">
        <v>103.3</v>
      </c>
      <c r="J360" s="1929">
        <v>262</v>
      </c>
      <c r="K360" s="1929" t="s">
        <v>4588</v>
      </c>
    </row>
    <row r="361" spans="1:11" hidden="1" x14ac:dyDescent="0.2">
      <c r="A361" s="1929" t="s">
        <v>4587</v>
      </c>
      <c r="B361" s="1929" t="s">
        <v>1217</v>
      </c>
      <c r="C361" s="1929" t="s">
        <v>1252</v>
      </c>
      <c r="D361" s="1929" t="s">
        <v>303</v>
      </c>
      <c r="E361" s="1929" t="s">
        <v>38</v>
      </c>
      <c r="F361" s="1929">
        <v>14.6</v>
      </c>
      <c r="G361" s="1929">
        <v>36.200000000000003</v>
      </c>
      <c r="H361" s="1929">
        <v>1.3</v>
      </c>
      <c r="I361" s="1929">
        <v>455.1</v>
      </c>
      <c r="J361" s="1929">
        <v>265</v>
      </c>
      <c r="K361" s="1929" t="s">
        <v>4586</v>
      </c>
    </row>
    <row r="362" spans="1:11" hidden="1" x14ac:dyDescent="0.2">
      <c r="A362" s="1929" t="s">
        <v>4585</v>
      </c>
      <c r="B362" s="1929" t="s">
        <v>1234</v>
      </c>
      <c r="C362" s="1929" t="s">
        <v>1476</v>
      </c>
      <c r="D362" s="1929" t="s">
        <v>303</v>
      </c>
      <c r="E362" s="1929" t="s">
        <v>38</v>
      </c>
      <c r="F362" s="1929">
        <v>34.5</v>
      </c>
      <c r="G362" s="1929">
        <v>55.5</v>
      </c>
      <c r="H362" s="1929">
        <v>0.8</v>
      </c>
      <c r="I362" s="1929">
        <v>63</v>
      </c>
      <c r="J362" s="1929">
        <v>277</v>
      </c>
      <c r="K362" s="1929" t="s">
        <v>4584</v>
      </c>
    </row>
    <row r="363" spans="1:11" hidden="1" x14ac:dyDescent="0.2">
      <c r="A363" s="1929" t="s">
        <v>4583</v>
      </c>
      <c r="B363" s="1929" t="s">
        <v>1234</v>
      </c>
      <c r="C363" s="1929" t="s">
        <v>1233</v>
      </c>
      <c r="D363" s="1929" t="s">
        <v>303</v>
      </c>
      <c r="E363" s="1929" t="s">
        <v>38</v>
      </c>
      <c r="F363" s="1929">
        <v>42.1</v>
      </c>
      <c r="G363" s="1929">
        <v>20.2</v>
      </c>
      <c r="H363" s="1929">
        <v>2.2000000000000002</v>
      </c>
      <c r="I363" s="1929">
        <v>34.6</v>
      </c>
      <c r="J363" s="1929">
        <v>293</v>
      </c>
      <c r="K363" s="1929" t="s">
        <v>4582</v>
      </c>
    </row>
    <row r="364" spans="1:11" hidden="1" x14ac:dyDescent="0.2">
      <c r="A364" s="1929" t="s">
        <v>4581</v>
      </c>
      <c r="B364" s="1929" t="s">
        <v>1238</v>
      </c>
      <c r="C364" s="1929" t="s">
        <v>1349</v>
      </c>
      <c r="D364" s="1929" t="s">
        <v>303</v>
      </c>
      <c r="E364" s="1929" t="s">
        <v>38</v>
      </c>
      <c r="F364" s="1929">
        <v>29</v>
      </c>
      <c r="G364" s="1929">
        <v>19.5</v>
      </c>
      <c r="H364" s="1929">
        <v>1.4</v>
      </c>
      <c r="I364" s="1929">
        <v>33</v>
      </c>
      <c r="J364" s="1929">
        <v>351</v>
      </c>
      <c r="K364" s="1929" t="s">
        <v>4580</v>
      </c>
    </row>
    <row r="365" spans="1:11" hidden="1" x14ac:dyDescent="0.2">
      <c r="A365" s="1929" t="s">
        <v>4579</v>
      </c>
      <c r="B365" s="1929" t="s">
        <v>1228</v>
      </c>
      <c r="C365" s="1929" t="s">
        <v>1334</v>
      </c>
      <c r="D365" s="1929" t="s">
        <v>303</v>
      </c>
      <c r="E365" s="1929" t="s">
        <v>38</v>
      </c>
      <c r="F365" s="1929">
        <v>23.6</v>
      </c>
      <c r="G365" s="1929">
        <v>26.9</v>
      </c>
      <c r="H365" s="1929">
        <v>1.5</v>
      </c>
      <c r="I365" s="1929">
        <v>28.5</v>
      </c>
      <c r="J365" s="1929">
        <v>359</v>
      </c>
      <c r="K365" s="1929" t="s">
        <v>4578</v>
      </c>
    </row>
    <row r="366" spans="1:11" hidden="1" x14ac:dyDescent="0.2">
      <c r="A366" s="1929" t="s">
        <v>4577</v>
      </c>
      <c r="B366" s="1929" t="s">
        <v>1234</v>
      </c>
      <c r="C366" s="1929" t="s">
        <v>1476</v>
      </c>
      <c r="D366" s="1929" t="s">
        <v>303</v>
      </c>
      <c r="E366" s="1929" t="s">
        <v>38</v>
      </c>
      <c r="F366" s="1929">
        <v>23.1</v>
      </c>
      <c r="G366" s="1929">
        <v>20.2</v>
      </c>
      <c r="H366" s="1929">
        <v>0.8</v>
      </c>
      <c r="I366" s="1929">
        <v>51.1</v>
      </c>
      <c r="J366" s="1929">
        <v>381</v>
      </c>
      <c r="K366" s="1929" t="s">
        <v>4576</v>
      </c>
    </row>
    <row r="367" spans="1:11" hidden="1" x14ac:dyDescent="0.2">
      <c r="A367" s="1929" t="s">
        <v>4575</v>
      </c>
      <c r="B367" s="1929" t="s">
        <v>1306</v>
      </c>
      <c r="C367" s="1929" t="s">
        <v>1413</v>
      </c>
      <c r="D367" s="1929" t="s">
        <v>303</v>
      </c>
      <c r="E367" s="1929" t="s">
        <v>38</v>
      </c>
      <c r="F367" s="1929">
        <v>30.6</v>
      </c>
      <c r="G367" s="1929">
        <v>10.9</v>
      </c>
      <c r="H367" s="1929">
        <v>1.6</v>
      </c>
      <c r="I367" s="1929">
        <v>38.299999999999997</v>
      </c>
      <c r="J367" s="1929">
        <v>398</v>
      </c>
      <c r="K367" s="1929" t="s">
        <v>4574</v>
      </c>
    </row>
    <row r="368" spans="1:11" hidden="1" x14ac:dyDescent="0.2">
      <c r="A368" s="1929" t="s">
        <v>4573</v>
      </c>
      <c r="B368" s="1929" t="s">
        <v>1310</v>
      </c>
      <c r="C368" s="1929" t="s">
        <v>1309</v>
      </c>
      <c r="D368" s="1929" t="s">
        <v>303</v>
      </c>
      <c r="E368" s="1929" t="s">
        <v>38</v>
      </c>
      <c r="F368" s="1929">
        <v>64.599999999999994</v>
      </c>
      <c r="G368" s="1929">
        <v>118.6</v>
      </c>
      <c r="H368" s="1929">
        <v>-12.3</v>
      </c>
      <c r="I368" s="1929">
        <v>219.9</v>
      </c>
      <c r="J368" s="1929">
        <v>405</v>
      </c>
      <c r="K368" s="1929" t="s">
        <v>4572</v>
      </c>
    </row>
    <row r="369" spans="1:11" hidden="1" x14ac:dyDescent="0.2">
      <c r="A369" s="1929" t="s">
        <v>4571</v>
      </c>
      <c r="B369" s="1929" t="s">
        <v>1238</v>
      </c>
      <c r="C369" s="1929" t="s">
        <v>1878</v>
      </c>
      <c r="D369" s="1929" t="s">
        <v>303</v>
      </c>
      <c r="E369" s="1929" t="s">
        <v>38</v>
      </c>
      <c r="F369" s="1929">
        <v>9.1</v>
      </c>
      <c r="G369" s="1929">
        <v>26.6</v>
      </c>
      <c r="H369" s="1929">
        <v>1</v>
      </c>
      <c r="I369" s="1929">
        <v>41.2</v>
      </c>
      <c r="J369" s="1929">
        <v>493</v>
      </c>
      <c r="K369" s="1929" t="s">
        <v>4570</v>
      </c>
    </row>
    <row r="370" spans="1:11" hidden="1" x14ac:dyDescent="0.2">
      <c r="A370" s="1929" t="s">
        <v>4569</v>
      </c>
      <c r="B370" s="1929" t="s">
        <v>1238</v>
      </c>
      <c r="C370" s="1929" t="s">
        <v>1349</v>
      </c>
      <c r="D370" s="1929" t="s">
        <v>303</v>
      </c>
      <c r="E370" s="1929" t="s">
        <v>38</v>
      </c>
      <c r="F370" s="1929">
        <v>13.8</v>
      </c>
      <c r="G370" s="1929">
        <v>18.2</v>
      </c>
      <c r="H370" s="1929">
        <v>0.8</v>
      </c>
      <c r="I370" s="1929">
        <v>29.6</v>
      </c>
      <c r="J370" s="1929">
        <v>527</v>
      </c>
      <c r="K370" s="1929" t="s">
        <v>4568</v>
      </c>
    </row>
    <row r="371" spans="1:11" hidden="1" x14ac:dyDescent="0.2">
      <c r="A371" s="1929" t="s">
        <v>4567</v>
      </c>
      <c r="B371" s="1929" t="s">
        <v>1217</v>
      </c>
      <c r="C371" s="1929" t="s">
        <v>2291</v>
      </c>
      <c r="D371" s="1929" t="s">
        <v>303</v>
      </c>
      <c r="E371" s="1929" t="s">
        <v>38</v>
      </c>
      <c r="F371" s="1929">
        <v>8.5</v>
      </c>
      <c r="G371" s="1929">
        <v>9.6999999999999993</v>
      </c>
      <c r="H371" s="1929">
        <v>1.1000000000000001</v>
      </c>
      <c r="I371" s="1929">
        <v>321</v>
      </c>
      <c r="J371" s="1929">
        <v>538</v>
      </c>
      <c r="K371" s="1929" t="s">
        <v>4566</v>
      </c>
    </row>
    <row r="372" spans="1:11" hidden="1" x14ac:dyDescent="0.2">
      <c r="A372" s="1929" t="s">
        <v>4565</v>
      </c>
      <c r="B372" s="1929" t="s">
        <v>1249</v>
      </c>
      <c r="C372" s="1929" t="s">
        <v>1248</v>
      </c>
      <c r="D372" s="1929" t="s">
        <v>303</v>
      </c>
      <c r="E372" s="1929" t="s">
        <v>38</v>
      </c>
      <c r="F372" s="1929">
        <v>37.299999999999997</v>
      </c>
      <c r="G372" s="1929">
        <v>31.6</v>
      </c>
      <c r="H372" s="1929">
        <v>-1.3</v>
      </c>
      <c r="I372" s="1929">
        <v>67.8</v>
      </c>
      <c r="J372" s="1929">
        <v>548</v>
      </c>
      <c r="K372" s="1929" t="s">
        <v>4564</v>
      </c>
    </row>
    <row r="373" spans="1:11" hidden="1" x14ac:dyDescent="0.2">
      <c r="A373" s="1929" t="s">
        <v>4563</v>
      </c>
      <c r="B373" s="1929" t="s">
        <v>1228</v>
      </c>
      <c r="C373" s="1929" t="s">
        <v>1568</v>
      </c>
      <c r="D373" s="1929" t="s">
        <v>303</v>
      </c>
      <c r="E373" s="1929" t="s">
        <v>38</v>
      </c>
      <c r="F373" s="1929">
        <v>18.399999999999999</v>
      </c>
      <c r="G373" s="1929">
        <v>9.1999999999999993</v>
      </c>
      <c r="H373" s="1929">
        <v>1.1000000000000001</v>
      </c>
      <c r="I373" s="1929">
        <v>23.6</v>
      </c>
      <c r="J373" s="1929">
        <v>589</v>
      </c>
      <c r="K373" s="1929" t="s">
        <v>4562</v>
      </c>
    </row>
    <row r="374" spans="1:11" hidden="1" x14ac:dyDescent="0.2">
      <c r="A374" s="1929" t="s">
        <v>4561</v>
      </c>
      <c r="B374" s="1929" t="s">
        <v>1228</v>
      </c>
      <c r="C374" s="1929" t="s">
        <v>1227</v>
      </c>
      <c r="D374" s="1929" t="s">
        <v>303</v>
      </c>
      <c r="E374" s="1929" t="s">
        <v>38</v>
      </c>
      <c r="F374" s="1929">
        <v>16.5</v>
      </c>
      <c r="G374" s="1929">
        <v>24.1</v>
      </c>
      <c r="H374" s="1929">
        <v>0.6</v>
      </c>
      <c r="I374" s="1929">
        <v>16.600000000000001</v>
      </c>
      <c r="J374" s="1929">
        <v>613</v>
      </c>
      <c r="K374" s="1929" t="s">
        <v>4560</v>
      </c>
    </row>
    <row r="375" spans="1:11" hidden="1" x14ac:dyDescent="0.2">
      <c r="A375" s="1929" t="s">
        <v>4559</v>
      </c>
      <c r="B375" s="1929" t="s">
        <v>1217</v>
      </c>
      <c r="C375" s="1929" t="s">
        <v>1456</v>
      </c>
      <c r="D375" s="1929" t="s">
        <v>303</v>
      </c>
      <c r="E375" s="1929" t="s">
        <v>38</v>
      </c>
      <c r="F375" s="1929">
        <v>25.2</v>
      </c>
      <c r="G375" s="1929">
        <v>2.2999999999999998</v>
      </c>
      <c r="H375" s="1929">
        <v>1.7</v>
      </c>
      <c r="I375" s="1929">
        <v>44.6</v>
      </c>
      <c r="J375" s="1929">
        <v>622</v>
      </c>
      <c r="K375" s="1929" t="s">
        <v>4558</v>
      </c>
    </row>
    <row r="376" spans="1:11" hidden="1" x14ac:dyDescent="0.2">
      <c r="A376" s="1929" t="s">
        <v>4557</v>
      </c>
      <c r="B376" s="1929" t="s">
        <v>1238</v>
      </c>
      <c r="C376" s="1929" t="s">
        <v>1241</v>
      </c>
      <c r="D376" s="1929" t="s">
        <v>303</v>
      </c>
      <c r="E376" s="1929" t="s">
        <v>38</v>
      </c>
      <c r="F376" s="1929">
        <v>13.4</v>
      </c>
      <c r="G376" s="1929">
        <v>44.3</v>
      </c>
      <c r="H376" s="1929">
        <v>-1</v>
      </c>
      <c r="I376" s="1929">
        <v>47.3</v>
      </c>
      <c r="J376" s="1929">
        <v>660</v>
      </c>
      <c r="K376" s="1929" t="s">
        <v>4556</v>
      </c>
    </row>
    <row r="377" spans="1:11" hidden="1" x14ac:dyDescent="0.2">
      <c r="A377" s="1929" t="s">
        <v>4555</v>
      </c>
      <c r="B377" s="1929" t="s">
        <v>1217</v>
      </c>
      <c r="C377" s="1929" t="s">
        <v>1252</v>
      </c>
      <c r="D377" s="1929" t="s">
        <v>303</v>
      </c>
      <c r="E377" s="1929" t="s">
        <v>38</v>
      </c>
      <c r="F377" s="1929">
        <v>6.5</v>
      </c>
      <c r="G377" s="1929">
        <v>12.8</v>
      </c>
      <c r="H377" s="1929">
        <v>0.7</v>
      </c>
      <c r="I377" s="1929">
        <v>45.5</v>
      </c>
      <c r="J377" s="1929">
        <v>695</v>
      </c>
      <c r="K377" s="1929" t="s">
        <v>4554</v>
      </c>
    </row>
    <row r="378" spans="1:11" hidden="1" x14ac:dyDescent="0.2">
      <c r="A378" s="1929" t="s">
        <v>4553</v>
      </c>
      <c r="B378" s="1929" t="s">
        <v>1258</v>
      </c>
      <c r="C378" s="1929" t="s">
        <v>1257</v>
      </c>
      <c r="D378" s="1929" t="s">
        <v>303</v>
      </c>
      <c r="E378" s="1929" t="s">
        <v>38</v>
      </c>
      <c r="F378" s="1929">
        <v>11.4</v>
      </c>
      <c r="G378" s="1929">
        <v>12.4</v>
      </c>
      <c r="H378" s="1929">
        <v>0.7</v>
      </c>
      <c r="I378" s="1929">
        <v>18.3</v>
      </c>
      <c r="J378" s="1929">
        <v>697</v>
      </c>
      <c r="K378" s="1929" t="s">
        <v>4552</v>
      </c>
    </row>
    <row r="379" spans="1:11" hidden="1" x14ac:dyDescent="0.2">
      <c r="A379" s="1929" t="s">
        <v>4551</v>
      </c>
      <c r="B379" s="1929" t="s">
        <v>1310</v>
      </c>
      <c r="C379" s="1929" t="s">
        <v>1552</v>
      </c>
      <c r="D379" s="1929" t="s">
        <v>303</v>
      </c>
      <c r="E379" s="1929" t="s">
        <v>38</v>
      </c>
      <c r="F379" s="1929">
        <v>10.8</v>
      </c>
      <c r="G379" s="1929">
        <v>29.6</v>
      </c>
      <c r="H379" s="1929">
        <v>-0.2</v>
      </c>
      <c r="I379" s="1929">
        <v>49.9</v>
      </c>
      <c r="J379" s="1929">
        <v>719</v>
      </c>
      <c r="K379" s="1929" t="s">
        <v>4550</v>
      </c>
    </row>
    <row r="380" spans="1:11" hidden="1" x14ac:dyDescent="0.2">
      <c r="A380" s="1929" t="s">
        <v>4549</v>
      </c>
      <c r="B380" s="1929" t="s">
        <v>1228</v>
      </c>
      <c r="C380" s="1929" t="s">
        <v>1276</v>
      </c>
      <c r="D380" s="1929" t="s">
        <v>303</v>
      </c>
      <c r="E380" s="1929" t="s">
        <v>38</v>
      </c>
      <c r="F380" s="1929">
        <v>25.8</v>
      </c>
      <c r="G380" s="1929">
        <v>12.9</v>
      </c>
      <c r="H380" s="1929">
        <v>0.1</v>
      </c>
      <c r="I380" s="1929">
        <v>31.4</v>
      </c>
      <c r="J380" s="1929">
        <v>763</v>
      </c>
      <c r="K380" s="1929" t="s">
        <v>4548</v>
      </c>
    </row>
    <row r="381" spans="1:11" hidden="1" x14ac:dyDescent="0.2">
      <c r="A381" s="1929" t="s">
        <v>4547</v>
      </c>
      <c r="B381" s="1929" t="s">
        <v>1228</v>
      </c>
      <c r="C381" s="1929" t="s">
        <v>2392</v>
      </c>
      <c r="D381" s="1929" t="s">
        <v>303</v>
      </c>
      <c r="E381" s="1929" t="s">
        <v>38</v>
      </c>
      <c r="F381" s="1929">
        <v>6.6</v>
      </c>
      <c r="G381" s="1929">
        <v>71.8</v>
      </c>
      <c r="H381" s="1929">
        <v>-3.1</v>
      </c>
      <c r="I381" s="1929">
        <v>82.2</v>
      </c>
      <c r="J381" s="1929">
        <v>775</v>
      </c>
      <c r="K381" s="1929" t="s">
        <v>4546</v>
      </c>
    </row>
    <row r="382" spans="1:11" hidden="1" x14ac:dyDescent="0.2">
      <c r="A382" s="1929" t="s">
        <v>4545</v>
      </c>
      <c r="B382" s="1929" t="s">
        <v>1245</v>
      </c>
      <c r="C382" s="1929" t="s">
        <v>1244</v>
      </c>
      <c r="D382" s="1929" t="s">
        <v>303</v>
      </c>
      <c r="E382" s="1929" t="s">
        <v>38</v>
      </c>
      <c r="F382" s="1929">
        <v>11.8</v>
      </c>
      <c r="G382" s="1929">
        <v>13.4</v>
      </c>
      <c r="H382" s="1929">
        <v>0.6</v>
      </c>
      <c r="I382" s="1929">
        <v>14</v>
      </c>
      <c r="J382" s="1929">
        <v>798</v>
      </c>
      <c r="K382" s="1929" t="s">
        <v>4544</v>
      </c>
    </row>
    <row r="383" spans="1:11" hidden="1" x14ac:dyDescent="0.2">
      <c r="A383" s="1929" t="s">
        <v>4543</v>
      </c>
      <c r="B383" s="1929" t="s">
        <v>1228</v>
      </c>
      <c r="C383" s="1929" t="s">
        <v>1334</v>
      </c>
      <c r="D383" s="1929" t="s">
        <v>303</v>
      </c>
      <c r="E383" s="1929" t="s">
        <v>38</v>
      </c>
      <c r="F383" s="1929">
        <v>11.2</v>
      </c>
      <c r="G383" s="1929">
        <v>16.100000000000001</v>
      </c>
      <c r="H383" s="1929">
        <v>0.6</v>
      </c>
      <c r="I383" s="1929">
        <v>12.5</v>
      </c>
      <c r="J383" s="1929">
        <v>805</v>
      </c>
      <c r="K383" s="1929" t="s">
        <v>4542</v>
      </c>
    </row>
    <row r="384" spans="1:11" hidden="1" x14ac:dyDescent="0.2">
      <c r="A384" s="1929" t="s">
        <v>4541</v>
      </c>
      <c r="B384" s="1929" t="s">
        <v>1245</v>
      </c>
      <c r="C384" s="1929" t="s">
        <v>1507</v>
      </c>
      <c r="D384" s="1929" t="s">
        <v>303</v>
      </c>
      <c r="E384" s="1929" t="s">
        <v>38</v>
      </c>
      <c r="F384" s="1929">
        <v>11.2</v>
      </c>
      <c r="G384" s="1929">
        <v>19.2</v>
      </c>
      <c r="H384" s="1929">
        <v>-1.7</v>
      </c>
      <c r="I384" s="1929">
        <v>30.2</v>
      </c>
      <c r="J384" s="1929">
        <v>838</v>
      </c>
      <c r="K384" s="1929" t="s">
        <v>4540</v>
      </c>
    </row>
    <row r="385" spans="1:11" hidden="1" x14ac:dyDescent="0.2">
      <c r="A385" s="1929" t="s">
        <v>4539</v>
      </c>
      <c r="B385" s="1929" t="s">
        <v>1238</v>
      </c>
      <c r="C385" s="1929" t="s">
        <v>1241</v>
      </c>
      <c r="D385" s="1929" t="s">
        <v>303</v>
      </c>
      <c r="E385" s="1929" t="s">
        <v>38</v>
      </c>
      <c r="F385" s="1929">
        <v>6.7</v>
      </c>
      <c r="G385" s="1929">
        <v>18.899999999999999</v>
      </c>
      <c r="H385" s="1929">
        <v>0.3</v>
      </c>
      <c r="I385" s="1929">
        <v>37.700000000000003</v>
      </c>
      <c r="J385" s="1929">
        <v>847</v>
      </c>
      <c r="K385" s="1929" t="s">
        <v>4538</v>
      </c>
    </row>
    <row r="386" spans="1:11" hidden="1" x14ac:dyDescent="0.2">
      <c r="A386" s="1929" t="s">
        <v>4537</v>
      </c>
      <c r="B386" s="1929" t="s">
        <v>1269</v>
      </c>
      <c r="C386" s="1929" t="s">
        <v>1294</v>
      </c>
      <c r="D386" s="1929" t="s">
        <v>303</v>
      </c>
      <c r="E386" s="1929" t="s">
        <v>38</v>
      </c>
      <c r="F386" s="1929">
        <v>21.3</v>
      </c>
      <c r="G386" s="1929">
        <v>6.7</v>
      </c>
      <c r="H386" s="1929">
        <v>0.8</v>
      </c>
      <c r="I386" s="1929">
        <v>10.4</v>
      </c>
      <c r="J386" s="1929">
        <v>863</v>
      </c>
      <c r="K386" s="1929" t="s">
        <v>4536</v>
      </c>
    </row>
    <row r="387" spans="1:11" hidden="1" x14ac:dyDescent="0.2">
      <c r="A387" s="1929" t="s">
        <v>4535</v>
      </c>
      <c r="B387" s="1929" t="s">
        <v>1310</v>
      </c>
      <c r="C387" s="1929" t="s">
        <v>1552</v>
      </c>
      <c r="D387" s="1929" t="s">
        <v>303</v>
      </c>
      <c r="E387" s="1929" t="s">
        <v>38</v>
      </c>
      <c r="F387" s="1929">
        <v>9.9</v>
      </c>
      <c r="G387" s="1929">
        <v>12</v>
      </c>
      <c r="H387" s="1929">
        <v>-0.7</v>
      </c>
      <c r="I387" s="1929">
        <v>41.3</v>
      </c>
      <c r="J387" s="1929">
        <v>906</v>
      </c>
      <c r="K387" s="1929" t="s">
        <v>4534</v>
      </c>
    </row>
    <row r="388" spans="1:11" hidden="1" x14ac:dyDescent="0.2">
      <c r="A388" s="1929" t="s">
        <v>4533</v>
      </c>
      <c r="B388" s="1929" t="s">
        <v>1238</v>
      </c>
      <c r="C388" s="1929" t="s">
        <v>1878</v>
      </c>
      <c r="D388" s="1929" t="s">
        <v>303</v>
      </c>
      <c r="E388" s="1929" t="s">
        <v>38</v>
      </c>
      <c r="F388" s="1929">
        <v>6</v>
      </c>
      <c r="G388" s="1929">
        <v>13.1</v>
      </c>
      <c r="H388" s="1929">
        <v>0.6</v>
      </c>
      <c r="I388" s="1929">
        <v>19.600000000000001</v>
      </c>
      <c r="J388" s="1929">
        <v>916</v>
      </c>
      <c r="K388" s="1929" t="s">
        <v>4532</v>
      </c>
    </row>
    <row r="389" spans="1:11" hidden="1" x14ac:dyDescent="0.2">
      <c r="A389" s="1929" t="s">
        <v>4531</v>
      </c>
      <c r="B389" s="1929" t="s">
        <v>1306</v>
      </c>
      <c r="C389" s="1929" t="s">
        <v>1392</v>
      </c>
      <c r="D389" s="1929" t="s">
        <v>303</v>
      </c>
      <c r="E389" s="1929" t="s">
        <v>38</v>
      </c>
      <c r="F389" s="1929">
        <v>0.6</v>
      </c>
      <c r="G389" s="1929">
        <v>65.5</v>
      </c>
      <c r="H389" s="1929">
        <v>0.1</v>
      </c>
      <c r="I389" s="1929">
        <v>56.6</v>
      </c>
      <c r="J389" s="1929">
        <v>923</v>
      </c>
      <c r="K389" s="1929" t="s">
        <v>4530</v>
      </c>
    </row>
    <row r="390" spans="1:11" hidden="1" x14ac:dyDescent="0.2">
      <c r="A390" s="1929" t="s">
        <v>4529</v>
      </c>
      <c r="B390" s="1929" t="s">
        <v>1228</v>
      </c>
      <c r="C390" s="1929" t="s">
        <v>1276</v>
      </c>
      <c r="D390" s="1929" t="s">
        <v>303</v>
      </c>
      <c r="E390" s="1929" t="s">
        <v>38</v>
      </c>
      <c r="F390" s="1929">
        <v>34.799999999999997</v>
      </c>
      <c r="G390" s="1929">
        <v>5</v>
      </c>
      <c r="H390" s="1929">
        <v>1</v>
      </c>
      <c r="I390" s="1929">
        <v>4.5999999999999996</v>
      </c>
      <c r="J390" s="1929">
        <v>941</v>
      </c>
      <c r="K390" s="1929" t="s">
        <v>4528</v>
      </c>
    </row>
    <row r="391" spans="1:11" hidden="1" x14ac:dyDescent="0.2">
      <c r="A391" s="1929" t="s">
        <v>4527</v>
      </c>
      <c r="B391" s="1929" t="s">
        <v>1238</v>
      </c>
      <c r="C391" s="1929" t="s">
        <v>1349</v>
      </c>
      <c r="D391" s="1929" t="s">
        <v>303</v>
      </c>
      <c r="E391" s="1929" t="s">
        <v>38</v>
      </c>
      <c r="F391" s="1929">
        <v>14.2</v>
      </c>
      <c r="G391" s="1929">
        <v>6.1</v>
      </c>
      <c r="H391" s="1929">
        <v>0.6</v>
      </c>
      <c r="I391" s="1929">
        <v>13.9</v>
      </c>
      <c r="J391" s="1929">
        <v>948</v>
      </c>
      <c r="K391" s="1929" t="s">
        <v>4526</v>
      </c>
    </row>
    <row r="392" spans="1:11" hidden="1" x14ac:dyDescent="0.2">
      <c r="A392" s="1929" t="s">
        <v>4525</v>
      </c>
      <c r="B392" s="1929" t="s">
        <v>1217</v>
      </c>
      <c r="C392" s="1929" t="s">
        <v>1368</v>
      </c>
      <c r="D392" s="1929" t="s">
        <v>303</v>
      </c>
      <c r="E392" s="1929" t="s">
        <v>38</v>
      </c>
      <c r="F392" s="1929">
        <v>7.7</v>
      </c>
      <c r="G392" s="1929">
        <v>8.5</v>
      </c>
      <c r="H392" s="1929">
        <v>0.4</v>
      </c>
      <c r="I392" s="1929">
        <v>18.7</v>
      </c>
      <c r="J392" s="1929">
        <v>1005</v>
      </c>
      <c r="K392" s="1929" t="s">
        <v>4524</v>
      </c>
    </row>
    <row r="393" spans="1:11" hidden="1" x14ac:dyDescent="0.2">
      <c r="A393" s="1929" t="s">
        <v>4523</v>
      </c>
      <c r="B393" s="1929" t="s">
        <v>1238</v>
      </c>
      <c r="C393" s="1929" t="s">
        <v>1584</v>
      </c>
      <c r="D393" s="1929" t="s">
        <v>303</v>
      </c>
      <c r="E393" s="1929" t="s">
        <v>38</v>
      </c>
      <c r="F393" s="1929">
        <v>16.5</v>
      </c>
      <c r="G393" s="1929">
        <v>5.9</v>
      </c>
      <c r="H393" s="1929">
        <v>0.7</v>
      </c>
      <c r="I393" s="1929">
        <v>9.1</v>
      </c>
      <c r="J393" s="1929">
        <v>1022</v>
      </c>
      <c r="K393" s="1929" t="s">
        <v>4522</v>
      </c>
    </row>
    <row r="394" spans="1:11" hidden="1" x14ac:dyDescent="0.2">
      <c r="A394" s="1929" t="s">
        <v>4521</v>
      </c>
      <c r="B394" s="1929" t="s">
        <v>1238</v>
      </c>
      <c r="C394" s="1929" t="s">
        <v>1485</v>
      </c>
      <c r="D394" s="1929" t="s">
        <v>303</v>
      </c>
      <c r="E394" s="1929" t="s">
        <v>38</v>
      </c>
      <c r="F394" s="1929">
        <v>4.7</v>
      </c>
      <c r="G394" s="1929">
        <v>34</v>
      </c>
      <c r="H394" s="1929">
        <v>-2.4</v>
      </c>
      <c r="I394" s="1929">
        <v>35</v>
      </c>
      <c r="J394" s="1929">
        <v>1036</v>
      </c>
      <c r="K394" s="1929" t="s">
        <v>4520</v>
      </c>
    </row>
    <row r="395" spans="1:11" hidden="1" x14ac:dyDescent="0.2">
      <c r="A395" s="1929" t="s">
        <v>4519</v>
      </c>
      <c r="B395" s="1929" t="s">
        <v>1228</v>
      </c>
      <c r="C395" s="1929" t="s">
        <v>1408</v>
      </c>
      <c r="D395" s="1929" t="s">
        <v>303</v>
      </c>
      <c r="E395" s="1929" t="s">
        <v>38</v>
      </c>
      <c r="F395" s="1929">
        <v>5.2</v>
      </c>
      <c r="G395" s="1929">
        <v>9.5</v>
      </c>
      <c r="H395" s="1929">
        <v>1.7</v>
      </c>
      <c r="I395" s="1929">
        <v>11.1</v>
      </c>
      <c r="J395" s="1929">
        <v>1038</v>
      </c>
      <c r="K395" s="1929" t="s">
        <v>4518</v>
      </c>
    </row>
    <row r="396" spans="1:11" hidden="1" x14ac:dyDescent="0.2">
      <c r="A396" s="1929" t="s">
        <v>4517</v>
      </c>
      <c r="B396" s="1929" t="s">
        <v>1245</v>
      </c>
      <c r="C396" s="1929" t="s">
        <v>1429</v>
      </c>
      <c r="D396" s="1929" t="s">
        <v>303</v>
      </c>
      <c r="E396" s="1929" t="s">
        <v>38</v>
      </c>
      <c r="F396" s="1929">
        <v>7.4</v>
      </c>
      <c r="G396" s="1929">
        <v>17.3</v>
      </c>
      <c r="H396" s="1929">
        <v>0.3</v>
      </c>
      <c r="I396" s="1929">
        <v>14.5</v>
      </c>
      <c r="J396" s="1929">
        <v>1100</v>
      </c>
      <c r="K396" s="1929" t="s">
        <v>4516</v>
      </c>
    </row>
    <row r="397" spans="1:11" hidden="1" x14ac:dyDescent="0.2">
      <c r="A397" s="1929" t="s">
        <v>4515</v>
      </c>
      <c r="B397" s="1929" t="s">
        <v>1217</v>
      </c>
      <c r="C397" s="1929" t="s">
        <v>1368</v>
      </c>
      <c r="D397" s="1929" t="s">
        <v>303</v>
      </c>
      <c r="E397" s="1929" t="s">
        <v>38</v>
      </c>
      <c r="F397" s="1929">
        <v>5.8</v>
      </c>
      <c r="G397" s="1929">
        <v>5.7</v>
      </c>
      <c r="H397" s="1929">
        <v>0.7</v>
      </c>
      <c r="I397" s="1929">
        <v>16.899999999999999</v>
      </c>
      <c r="J397" s="1929">
        <v>1144</v>
      </c>
      <c r="K397" s="1929" t="s">
        <v>4514</v>
      </c>
    </row>
    <row r="398" spans="1:11" hidden="1" x14ac:dyDescent="0.2">
      <c r="A398" s="1929" t="s">
        <v>4513</v>
      </c>
      <c r="B398" s="1929" t="s">
        <v>1245</v>
      </c>
      <c r="C398" s="1929" t="s">
        <v>1244</v>
      </c>
      <c r="D398" s="1929" t="s">
        <v>303</v>
      </c>
      <c r="E398" s="1929" t="s">
        <v>38</v>
      </c>
      <c r="F398" s="1929">
        <v>8.9</v>
      </c>
      <c r="G398" s="1929">
        <v>11.4</v>
      </c>
      <c r="H398" s="1929">
        <v>0.3</v>
      </c>
      <c r="I398" s="1929">
        <v>9.6999999999999993</v>
      </c>
      <c r="J398" s="1929">
        <v>1198</v>
      </c>
      <c r="K398" s="1929" t="s">
        <v>4512</v>
      </c>
    </row>
    <row r="399" spans="1:11" hidden="1" x14ac:dyDescent="0.2">
      <c r="A399" s="1929" t="s">
        <v>4511</v>
      </c>
      <c r="B399" s="1929" t="s">
        <v>1238</v>
      </c>
      <c r="C399" s="1929" t="s">
        <v>1700</v>
      </c>
      <c r="D399" s="1929" t="s">
        <v>303</v>
      </c>
      <c r="E399" s="1929" t="s">
        <v>38</v>
      </c>
      <c r="F399" s="1929">
        <v>12.6</v>
      </c>
      <c r="G399" s="1929">
        <v>3.7</v>
      </c>
      <c r="H399" s="1929">
        <v>0.4</v>
      </c>
      <c r="I399" s="1929">
        <v>13.3</v>
      </c>
      <c r="J399" s="1929">
        <v>1318</v>
      </c>
      <c r="K399" s="1929" t="s">
        <v>4510</v>
      </c>
    </row>
    <row r="400" spans="1:11" hidden="1" x14ac:dyDescent="0.2">
      <c r="A400" s="1929" t="s">
        <v>4509</v>
      </c>
      <c r="B400" s="1929" t="s">
        <v>1238</v>
      </c>
      <c r="C400" s="1929" t="s">
        <v>1609</v>
      </c>
      <c r="D400" s="1929" t="s">
        <v>303</v>
      </c>
      <c r="E400" s="1929" t="s">
        <v>38</v>
      </c>
      <c r="F400" s="1929">
        <v>6.8</v>
      </c>
      <c r="G400" s="1929">
        <v>7.4</v>
      </c>
      <c r="H400" s="1929">
        <v>0.3</v>
      </c>
      <c r="I400" s="1929">
        <v>12.8</v>
      </c>
      <c r="J400" s="1929">
        <v>1352</v>
      </c>
      <c r="K400" s="1929" t="s">
        <v>4508</v>
      </c>
    </row>
    <row r="401" spans="1:11" hidden="1" x14ac:dyDescent="0.2">
      <c r="A401" s="1929" t="s">
        <v>4507</v>
      </c>
      <c r="B401" s="1929" t="s">
        <v>1245</v>
      </c>
      <c r="C401" s="1929" t="s">
        <v>1244</v>
      </c>
      <c r="D401" s="1929" t="s">
        <v>303</v>
      </c>
      <c r="E401" s="1929" t="s">
        <v>38</v>
      </c>
      <c r="F401" s="1929">
        <v>16.5</v>
      </c>
      <c r="G401" s="1929">
        <v>5</v>
      </c>
      <c r="H401" s="1929">
        <v>0.4</v>
      </c>
      <c r="I401" s="1929">
        <v>6.6</v>
      </c>
      <c r="J401" s="1929">
        <v>1398</v>
      </c>
      <c r="K401" s="1929" t="s">
        <v>4506</v>
      </c>
    </row>
    <row r="402" spans="1:11" hidden="1" x14ac:dyDescent="0.2">
      <c r="A402" s="1929" t="s">
        <v>4505</v>
      </c>
      <c r="B402" s="1929" t="s">
        <v>1217</v>
      </c>
      <c r="C402" s="1929" t="s">
        <v>1456</v>
      </c>
      <c r="D402" s="1929" t="s">
        <v>303</v>
      </c>
      <c r="E402" s="1929" t="s">
        <v>38</v>
      </c>
      <c r="F402" s="1929">
        <v>5.8</v>
      </c>
      <c r="G402" s="1929">
        <v>1.2</v>
      </c>
      <c r="H402" s="1929">
        <v>0.5</v>
      </c>
      <c r="I402" s="1929">
        <v>23.7</v>
      </c>
      <c r="J402" s="1929">
        <v>1399</v>
      </c>
      <c r="K402" s="1929" t="s">
        <v>4504</v>
      </c>
    </row>
    <row r="403" spans="1:11" hidden="1" x14ac:dyDescent="0.2">
      <c r="A403" s="1929" t="s">
        <v>4503</v>
      </c>
      <c r="B403" s="1929" t="s">
        <v>1228</v>
      </c>
      <c r="C403" s="1929" t="s">
        <v>1606</v>
      </c>
      <c r="D403" s="1929" t="s">
        <v>303</v>
      </c>
      <c r="E403" s="1929" t="s">
        <v>38</v>
      </c>
      <c r="F403" s="1929">
        <v>12</v>
      </c>
      <c r="G403" s="1929">
        <v>7.4</v>
      </c>
      <c r="H403" s="1929">
        <v>0.2</v>
      </c>
      <c r="I403" s="1929">
        <v>9.6999999999999993</v>
      </c>
      <c r="J403" s="1929">
        <v>1418</v>
      </c>
      <c r="K403" s="1929" t="s">
        <v>4502</v>
      </c>
    </row>
    <row r="404" spans="1:11" hidden="1" x14ac:dyDescent="0.2">
      <c r="A404" s="1929" t="s">
        <v>4501</v>
      </c>
      <c r="B404" s="1929" t="s">
        <v>1238</v>
      </c>
      <c r="C404" s="1929" t="s">
        <v>1349</v>
      </c>
      <c r="D404" s="1929" t="s">
        <v>303</v>
      </c>
      <c r="E404" s="1929" t="s">
        <v>38</v>
      </c>
      <c r="F404" s="1929">
        <v>9.8000000000000007</v>
      </c>
      <c r="G404" s="1929">
        <v>5.0999999999999996</v>
      </c>
      <c r="H404" s="1929">
        <v>0.5</v>
      </c>
      <c r="I404" s="1929">
        <v>5.7</v>
      </c>
      <c r="J404" s="1929">
        <v>1419</v>
      </c>
      <c r="K404" s="1929" t="s">
        <v>4500</v>
      </c>
    </row>
    <row r="405" spans="1:11" hidden="1" x14ac:dyDescent="0.2">
      <c r="A405" s="1929" t="s">
        <v>4499</v>
      </c>
      <c r="B405" s="1929" t="s">
        <v>1217</v>
      </c>
      <c r="C405" s="1929" t="s">
        <v>1456</v>
      </c>
      <c r="D405" s="1929" t="s">
        <v>303</v>
      </c>
      <c r="E405" s="1929" t="s">
        <v>38</v>
      </c>
      <c r="F405" s="1929">
        <v>8.1999999999999993</v>
      </c>
      <c r="G405" s="1929">
        <v>1</v>
      </c>
      <c r="H405" s="1929">
        <v>0.4</v>
      </c>
      <c r="I405" s="1929">
        <v>15.2</v>
      </c>
      <c r="J405" s="1929">
        <v>1424</v>
      </c>
      <c r="K405" s="1929" t="s">
        <v>4498</v>
      </c>
    </row>
    <row r="406" spans="1:11" hidden="1" x14ac:dyDescent="0.2">
      <c r="A406" s="1929" t="s">
        <v>4497</v>
      </c>
      <c r="B406" s="1929" t="s">
        <v>1245</v>
      </c>
      <c r="C406" s="1929" t="s">
        <v>1286</v>
      </c>
      <c r="D406" s="1929" t="s">
        <v>303</v>
      </c>
      <c r="E406" s="1929" t="s">
        <v>38</v>
      </c>
      <c r="F406" s="1929">
        <v>14.8</v>
      </c>
      <c r="G406" s="1929">
        <v>2.7</v>
      </c>
      <c r="H406" s="1929">
        <v>0.5</v>
      </c>
      <c r="I406" s="1929">
        <v>5.8</v>
      </c>
      <c r="J406" s="1929">
        <v>1431</v>
      </c>
      <c r="K406" s="1929" t="s">
        <v>4496</v>
      </c>
    </row>
    <row r="407" spans="1:11" hidden="1" x14ac:dyDescent="0.2">
      <c r="A407" s="1929" t="s">
        <v>4495</v>
      </c>
      <c r="B407" s="1929" t="s">
        <v>1234</v>
      </c>
      <c r="C407" s="1929" t="s">
        <v>1461</v>
      </c>
      <c r="D407" s="1929" t="s">
        <v>303</v>
      </c>
      <c r="E407" s="1929" t="s">
        <v>38</v>
      </c>
      <c r="F407" s="1929">
        <v>7.2</v>
      </c>
      <c r="G407" s="1929">
        <v>8.1</v>
      </c>
      <c r="H407" s="1929">
        <v>0.2</v>
      </c>
      <c r="I407" s="1929">
        <v>7.5</v>
      </c>
      <c r="J407" s="1929">
        <v>1791</v>
      </c>
      <c r="K407" s="1929" t="s">
        <v>4494</v>
      </c>
    </row>
    <row r="408" spans="1:11" hidden="1" x14ac:dyDescent="0.2">
      <c r="A408" s="1929" t="s">
        <v>4493</v>
      </c>
      <c r="B408" s="1929" t="s">
        <v>1228</v>
      </c>
      <c r="C408" s="1929" t="s">
        <v>1315</v>
      </c>
      <c r="D408" s="1929" t="s">
        <v>303</v>
      </c>
      <c r="E408" s="1929" t="s">
        <v>38</v>
      </c>
      <c r="F408" s="1929">
        <v>7.3</v>
      </c>
      <c r="G408" s="1929">
        <v>1.7</v>
      </c>
      <c r="H408" s="1929">
        <v>0.4</v>
      </c>
      <c r="I408" s="1929">
        <v>8.8000000000000007</v>
      </c>
      <c r="J408" s="1929">
        <v>1851</v>
      </c>
      <c r="K408" s="1929" t="s">
        <v>4492</v>
      </c>
    </row>
    <row r="409" spans="1:11" hidden="1" x14ac:dyDescent="0.2">
      <c r="A409" s="1929" t="s">
        <v>4491</v>
      </c>
      <c r="B409" s="1929" t="s">
        <v>1217</v>
      </c>
      <c r="C409" s="1929" t="s">
        <v>1456</v>
      </c>
      <c r="D409" s="1929" t="s">
        <v>303</v>
      </c>
      <c r="E409" s="1929" t="s">
        <v>38</v>
      </c>
      <c r="F409" s="1929">
        <v>7.3</v>
      </c>
      <c r="G409" s="1929">
        <v>1.9</v>
      </c>
      <c r="H409" s="1929">
        <v>0.2</v>
      </c>
      <c r="I409" s="1929">
        <v>14.2</v>
      </c>
      <c r="J409" s="1929">
        <v>1942</v>
      </c>
      <c r="K409" s="1929" t="s">
        <v>4490</v>
      </c>
    </row>
    <row r="410" spans="1:11" hidden="1" x14ac:dyDescent="0.2">
      <c r="A410" s="1929" t="s">
        <v>4489</v>
      </c>
      <c r="B410" s="1929" t="s">
        <v>1228</v>
      </c>
      <c r="C410" s="1929" t="s">
        <v>2392</v>
      </c>
      <c r="D410" s="1929" t="s">
        <v>303</v>
      </c>
      <c r="E410" s="1929" t="s">
        <v>39</v>
      </c>
      <c r="F410" s="1929">
        <v>119</v>
      </c>
      <c r="G410" s="1929">
        <v>261.5</v>
      </c>
      <c r="H410" s="1929">
        <v>12</v>
      </c>
      <c r="I410" s="1929">
        <v>446.9</v>
      </c>
      <c r="J410" s="1929">
        <v>19</v>
      </c>
      <c r="K410" s="1929" t="s">
        <v>4488</v>
      </c>
    </row>
    <row r="411" spans="1:11" hidden="1" x14ac:dyDescent="0.2">
      <c r="A411" s="1929" t="s">
        <v>4487</v>
      </c>
      <c r="B411" s="1929" t="s">
        <v>1217</v>
      </c>
      <c r="C411" s="1929" t="s">
        <v>1252</v>
      </c>
      <c r="D411" s="1929" t="s">
        <v>303</v>
      </c>
      <c r="E411" s="1929" t="s">
        <v>39</v>
      </c>
      <c r="F411" s="1929">
        <v>77.2</v>
      </c>
      <c r="G411" s="1929">
        <v>131.4</v>
      </c>
      <c r="H411" s="1929">
        <v>8</v>
      </c>
      <c r="I411" s="1929">
        <v>963.1</v>
      </c>
      <c r="J411" s="1929">
        <v>27</v>
      </c>
      <c r="K411" s="1929" t="s">
        <v>4486</v>
      </c>
    </row>
    <row r="412" spans="1:11" hidden="1" x14ac:dyDescent="0.2">
      <c r="A412" s="1929" t="s">
        <v>4485</v>
      </c>
      <c r="B412" s="1929" t="s">
        <v>1228</v>
      </c>
      <c r="C412" s="1929" t="s">
        <v>2392</v>
      </c>
      <c r="D412" s="1929" t="s">
        <v>303</v>
      </c>
      <c r="E412" s="1929" t="s">
        <v>39</v>
      </c>
      <c r="F412" s="1929">
        <v>102.9</v>
      </c>
      <c r="G412" s="1929">
        <v>156.6</v>
      </c>
      <c r="H412" s="1929">
        <v>9.1</v>
      </c>
      <c r="I412" s="1929">
        <v>232.2</v>
      </c>
      <c r="J412" s="1929">
        <v>31</v>
      </c>
      <c r="K412" s="1929" t="s">
        <v>4484</v>
      </c>
    </row>
    <row r="413" spans="1:11" hidden="1" x14ac:dyDescent="0.2">
      <c r="A413" s="1929" t="s">
        <v>4483</v>
      </c>
      <c r="B413" s="1929" t="s">
        <v>1228</v>
      </c>
      <c r="C413" s="1929" t="s">
        <v>2392</v>
      </c>
      <c r="D413" s="1929" t="s">
        <v>303</v>
      </c>
      <c r="E413" s="1929" t="s">
        <v>39</v>
      </c>
      <c r="F413" s="1929">
        <v>83.4</v>
      </c>
      <c r="G413" s="1929">
        <v>101</v>
      </c>
      <c r="H413" s="1929">
        <v>7.1</v>
      </c>
      <c r="I413" s="1929">
        <v>190.7</v>
      </c>
      <c r="J413" s="1929">
        <v>48</v>
      </c>
      <c r="K413" s="1929" t="s">
        <v>4482</v>
      </c>
    </row>
    <row r="414" spans="1:11" hidden="1" x14ac:dyDescent="0.2">
      <c r="A414" s="1929" t="s">
        <v>4481</v>
      </c>
      <c r="B414" s="1929" t="s">
        <v>1238</v>
      </c>
      <c r="C414" s="1929" t="s">
        <v>1878</v>
      </c>
      <c r="D414" s="1929" t="s">
        <v>303</v>
      </c>
      <c r="E414" s="1929" t="s">
        <v>39</v>
      </c>
      <c r="F414" s="1929">
        <v>114.2</v>
      </c>
      <c r="G414" s="1929">
        <v>99.7</v>
      </c>
      <c r="H414" s="1929">
        <v>6</v>
      </c>
      <c r="I414" s="1929">
        <v>140.1</v>
      </c>
      <c r="J414" s="1929">
        <v>53</v>
      </c>
      <c r="K414" s="1929" t="s">
        <v>4480</v>
      </c>
    </row>
    <row r="415" spans="1:11" hidden="1" x14ac:dyDescent="0.2">
      <c r="A415" s="1929" t="s">
        <v>4479</v>
      </c>
      <c r="B415" s="1929" t="s">
        <v>1234</v>
      </c>
      <c r="C415" s="1929" t="s">
        <v>1461</v>
      </c>
      <c r="D415" s="1929" t="s">
        <v>303</v>
      </c>
      <c r="E415" s="1929" t="s">
        <v>39</v>
      </c>
      <c r="F415" s="1929">
        <v>102.3</v>
      </c>
      <c r="G415" s="1929">
        <v>98.2</v>
      </c>
      <c r="H415" s="1929">
        <v>6.4</v>
      </c>
      <c r="I415" s="1929">
        <v>88.7</v>
      </c>
      <c r="J415" s="1929">
        <v>72</v>
      </c>
      <c r="K415" s="1929" t="s">
        <v>4478</v>
      </c>
    </row>
    <row r="416" spans="1:11" hidden="1" x14ac:dyDescent="0.2">
      <c r="A416" s="1929" t="s">
        <v>4477</v>
      </c>
      <c r="B416" s="1929" t="s">
        <v>1217</v>
      </c>
      <c r="C416" s="1929" t="s">
        <v>1252</v>
      </c>
      <c r="D416" s="1929" t="s">
        <v>303</v>
      </c>
      <c r="E416" s="1929" t="s">
        <v>39</v>
      </c>
      <c r="F416" s="1929">
        <v>38.9</v>
      </c>
      <c r="G416" s="1929">
        <v>88</v>
      </c>
      <c r="H416" s="1929">
        <v>4.4000000000000004</v>
      </c>
      <c r="I416" s="1929">
        <v>343.1</v>
      </c>
      <c r="J416" s="1929">
        <v>92</v>
      </c>
      <c r="K416" s="1929" t="s">
        <v>4476</v>
      </c>
    </row>
    <row r="417" spans="1:11" hidden="1" x14ac:dyDescent="0.2">
      <c r="A417" s="1929" t="s">
        <v>4475</v>
      </c>
      <c r="B417" s="1929" t="s">
        <v>1310</v>
      </c>
      <c r="C417" s="1929" t="s">
        <v>1309</v>
      </c>
      <c r="D417" s="1929" t="s">
        <v>303</v>
      </c>
      <c r="E417" s="1929" t="s">
        <v>39</v>
      </c>
      <c r="F417" s="1929">
        <v>37.6</v>
      </c>
      <c r="G417" s="1929">
        <v>162.6</v>
      </c>
      <c r="H417" s="1929">
        <v>2.8</v>
      </c>
      <c r="I417" s="1929">
        <v>180.1</v>
      </c>
      <c r="J417" s="1929">
        <v>113</v>
      </c>
      <c r="K417" s="1929" t="s">
        <v>4474</v>
      </c>
    </row>
    <row r="418" spans="1:11" hidden="1" x14ac:dyDescent="0.2">
      <c r="A418" s="1929" t="s">
        <v>4473</v>
      </c>
      <c r="B418" s="1929" t="s">
        <v>1234</v>
      </c>
      <c r="C418" s="1929" t="s">
        <v>1461</v>
      </c>
      <c r="D418" s="1929" t="s">
        <v>303</v>
      </c>
      <c r="E418" s="1929" t="s">
        <v>39</v>
      </c>
      <c r="F418" s="1929">
        <v>111.3</v>
      </c>
      <c r="G418" s="1929">
        <v>53.3</v>
      </c>
      <c r="H418" s="1929">
        <v>4.2</v>
      </c>
      <c r="I418" s="1929">
        <v>70.7</v>
      </c>
      <c r="J418" s="1929">
        <v>120</v>
      </c>
      <c r="K418" s="1929" t="s">
        <v>4472</v>
      </c>
    </row>
    <row r="419" spans="1:11" hidden="1" x14ac:dyDescent="0.2">
      <c r="A419" s="1929" t="s">
        <v>4471</v>
      </c>
      <c r="B419" s="1929" t="s">
        <v>1249</v>
      </c>
      <c r="C419" s="1929" t="s">
        <v>1248</v>
      </c>
      <c r="D419" s="1929" t="s">
        <v>303</v>
      </c>
      <c r="E419" s="1929" t="s">
        <v>39</v>
      </c>
      <c r="F419" s="1929">
        <v>71.2</v>
      </c>
      <c r="G419" s="1929">
        <v>79.8</v>
      </c>
      <c r="H419" s="1929">
        <v>1.2</v>
      </c>
      <c r="I419" s="1929">
        <v>162.80000000000001</v>
      </c>
      <c r="J419" s="1929">
        <v>145</v>
      </c>
      <c r="K419" s="1929" t="s">
        <v>4470</v>
      </c>
    </row>
    <row r="420" spans="1:11" hidden="1" x14ac:dyDescent="0.2">
      <c r="A420" s="1929" t="s">
        <v>4469</v>
      </c>
      <c r="B420" s="1929" t="s">
        <v>1238</v>
      </c>
      <c r="C420" s="1929" t="s">
        <v>1501</v>
      </c>
      <c r="D420" s="1929" t="s">
        <v>303</v>
      </c>
      <c r="E420" s="1929" t="s">
        <v>39</v>
      </c>
      <c r="F420" s="1929">
        <v>45.4</v>
      </c>
      <c r="G420" s="1929">
        <v>73.099999999999994</v>
      </c>
      <c r="H420" s="1929">
        <v>2.8</v>
      </c>
      <c r="I420" s="1929">
        <v>48.9</v>
      </c>
      <c r="J420" s="1929">
        <v>163</v>
      </c>
      <c r="K420" s="1929" t="s">
        <v>4468</v>
      </c>
    </row>
    <row r="421" spans="1:11" hidden="1" x14ac:dyDescent="0.2">
      <c r="A421" s="1929" t="s">
        <v>4467</v>
      </c>
      <c r="B421" s="1929" t="s">
        <v>1217</v>
      </c>
      <c r="C421" s="1929" t="s">
        <v>2291</v>
      </c>
      <c r="D421" s="1929" t="s">
        <v>303</v>
      </c>
      <c r="E421" s="1929" t="s">
        <v>39</v>
      </c>
      <c r="F421" s="1929">
        <v>46.5</v>
      </c>
      <c r="G421" s="1929">
        <v>61.1</v>
      </c>
      <c r="H421" s="1929">
        <v>0.9</v>
      </c>
      <c r="I421" s="1929">
        <v>2220.4</v>
      </c>
      <c r="J421" s="1929">
        <v>167</v>
      </c>
      <c r="K421" s="1929" t="s">
        <v>4466</v>
      </c>
    </row>
    <row r="422" spans="1:11" hidden="1" x14ac:dyDescent="0.2">
      <c r="A422" s="1929" t="s">
        <v>4465</v>
      </c>
      <c r="B422" s="1929" t="s">
        <v>1245</v>
      </c>
      <c r="C422" s="1929" t="s">
        <v>1286</v>
      </c>
      <c r="D422" s="1929" t="s">
        <v>303</v>
      </c>
      <c r="E422" s="1929" t="s">
        <v>39</v>
      </c>
      <c r="F422" s="1929">
        <v>97.1</v>
      </c>
      <c r="G422" s="1929">
        <v>22.3</v>
      </c>
      <c r="H422" s="1929">
        <v>4.4000000000000004</v>
      </c>
      <c r="I422" s="1929">
        <v>37.299999999999997</v>
      </c>
      <c r="J422" s="1929">
        <v>207</v>
      </c>
      <c r="K422" s="1929" t="s">
        <v>4464</v>
      </c>
    </row>
    <row r="423" spans="1:11" hidden="1" x14ac:dyDescent="0.2">
      <c r="A423" s="1929" t="s">
        <v>4463</v>
      </c>
      <c r="B423" s="1929" t="s">
        <v>1228</v>
      </c>
      <c r="C423" s="1929" t="s">
        <v>1334</v>
      </c>
      <c r="D423" s="1929" t="s">
        <v>303</v>
      </c>
      <c r="E423" s="1929" t="s">
        <v>39</v>
      </c>
      <c r="F423" s="1929">
        <v>48.7</v>
      </c>
      <c r="G423" s="1929">
        <v>44.3</v>
      </c>
      <c r="H423" s="1929">
        <v>2.6</v>
      </c>
      <c r="I423" s="1929">
        <v>37</v>
      </c>
      <c r="J423" s="1929">
        <v>215</v>
      </c>
      <c r="K423" s="1929" t="s">
        <v>4462</v>
      </c>
    </row>
    <row r="424" spans="1:11" hidden="1" x14ac:dyDescent="0.2">
      <c r="A424" s="1929" t="s">
        <v>4461</v>
      </c>
      <c r="B424" s="1929" t="s">
        <v>1234</v>
      </c>
      <c r="C424" s="1929" t="s">
        <v>1461</v>
      </c>
      <c r="D424" s="1929" t="s">
        <v>303</v>
      </c>
      <c r="E424" s="1929" t="s">
        <v>39</v>
      </c>
      <c r="F424" s="1929">
        <v>37</v>
      </c>
      <c r="G424" s="1929">
        <v>22.1</v>
      </c>
      <c r="H424" s="1929">
        <v>1.7</v>
      </c>
      <c r="I424" s="1929">
        <v>45.1</v>
      </c>
      <c r="J424" s="1929">
        <v>275</v>
      </c>
      <c r="K424" s="1929" t="s">
        <v>4460</v>
      </c>
    </row>
    <row r="425" spans="1:11" hidden="1" x14ac:dyDescent="0.2">
      <c r="A425" s="1929" t="s">
        <v>4459</v>
      </c>
      <c r="B425" s="1929" t="s">
        <v>1269</v>
      </c>
      <c r="C425" s="1929" t="s">
        <v>1294</v>
      </c>
      <c r="D425" s="1929" t="s">
        <v>303</v>
      </c>
      <c r="E425" s="1929" t="s">
        <v>39</v>
      </c>
      <c r="F425" s="1929">
        <v>27.8</v>
      </c>
      <c r="G425" s="1929">
        <v>27</v>
      </c>
      <c r="H425" s="1929">
        <v>1.3</v>
      </c>
      <c r="I425" s="1929">
        <v>45.1</v>
      </c>
      <c r="J425" s="1929">
        <v>303</v>
      </c>
      <c r="K425" s="1929" t="s">
        <v>4458</v>
      </c>
    </row>
    <row r="426" spans="1:11" hidden="1" x14ac:dyDescent="0.2">
      <c r="A426" s="1929" t="s">
        <v>4457</v>
      </c>
      <c r="B426" s="1929" t="s">
        <v>1306</v>
      </c>
      <c r="C426" s="1929" t="s">
        <v>1389</v>
      </c>
      <c r="D426" s="1929" t="s">
        <v>303</v>
      </c>
      <c r="E426" s="1929" t="s">
        <v>39</v>
      </c>
      <c r="F426" s="1929">
        <v>46.4</v>
      </c>
      <c r="G426" s="1929">
        <v>21.7</v>
      </c>
      <c r="H426" s="1929">
        <v>2.1</v>
      </c>
      <c r="I426" s="1929">
        <v>26.7</v>
      </c>
      <c r="J426" s="1929">
        <v>312</v>
      </c>
      <c r="K426" s="1929" t="s">
        <v>4456</v>
      </c>
    </row>
    <row r="427" spans="1:11" hidden="1" x14ac:dyDescent="0.2">
      <c r="A427" s="1929" t="s">
        <v>4455</v>
      </c>
      <c r="B427" s="1929" t="s">
        <v>1269</v>
      </c>
      <c r="C427" s="1929" t="s">
        <v>1504</v>
      </c>
      <c r="D427" s="1929" t="s">
        <v>303</v>
      </c>
      <c r="E427" s="1929" t="s">
        <v>39</v>
      </c>
      <c r="F427" s="1929">
        <v>36.299999999999997</v>
      </c>
      <c r="G427" s="1929">
        <v>14.7</v>
      </c>
      <c r="H427" s="1929">
        <v>1.6</v>
      </c>
      <c r="I427" s="1929">
        <v>28.7</v>
      </c>
      <c r="J427" s="1929">
        <v>372</v>
      </c>
      <c r="K427" s="1929" t="s">
        <v>4454</v>
      </c>
    </row>
    <row r="428" spans="1:11" hidden="1" x14ac:dyDescent="0.2">
      <c r="A428" s="1929" t="s">
        <v>4453</v>
      </c>
      <c r="B428" s="1929" t="s">
        <v>1217</v>
      </c>
      <c r="C428" s="1929" t="s">
        <v>1252</v>
      </c>
      <c r="D428" s="1929" t="s">
        <v>303</v>
      </c>
      <c r="E428" s="1929" t="s">
        <v>39</v>
      </c>
      <c r="F428" s="1929">
        <v>9.1999999999999993</v>
      </c>
      <c r="G428" s="1929">
        <v>36.700000000000003</v>
      </c>
      <c r="H428" s="1929">
        <v>1</v>
      </c>
      <c r="I428" s="1929">
        <v>174</v>
      </c>
      <c r="J428" s="1929">
        <v>389</v>
      </c>
      <c r="K428" s="1929" t="s">
        <v>4452</v>
      </c>
    </row>
    <row r="429" spans="1:11" hidden="1" x14ac:dyDescent="0.2">
      <c r="A429" s="1929" t="s">
        <v>4451</v>
      </c>
      <c r="B429" s="1929" t="s">
        <v>1234</v>
      </c>
      <c r="C429" s="1929" t="s">
        <v>1476</v>
      </c>
      <c r="D429" s="1929" t="s">
        <v>303</v>
      </c>
      <c r="E429" s="1929" t="s">
        <v>39</v>
      </c>
      <c r="F429" s="1929">
        <v>16.5</v>
      </c>
      <c r="G429" s="1929">
        <v>18.5</v>
      </c>
      <c r="H429" s="1929">
        <v>1</v>
      </c>
      <c r="I429" s="1929">
        <v>37</v>
      </c>
      <c r="J429" s="1929">
        <v>434</v>
      </c>
      <c r="K429" s="1929" t="s">
        <v>4450</v>
      </c>
    </row>
    <row r="430" spans="1:11" hidden="1" x14ac:dyDescent="0.2">
      <c r="A430" s="1929" t="s">
        <v>4449</v>
      </c>
      <c r="B430" s="1929" t="s">
        <v>1310</v>
      </c>
      <c r="C430" s="1929" t="s">
        <v>1309</v>
      </c>
      <c r="D430" s="1929" t="s">
        <v>303</v>
      </c>
      <c r="E430" s="1929" t="s">
        <v>39</v>
      </c>
      <c r="F430" s="1929">
        <v>25.1</v>
      </c>
      <c r="G430" s="1929">
        <v>68.2</v>
      </c>
      <c r="H430" s="1929">
        <v>-3.6</v>
      </c>
      <c r="I430" s="1929">
        <v>111.8</v>
      </c>
      <c r="J430" s="1929">
        <v>505</v>
      </c>
      <c r="K430" s="1929" t="s">
        <v>4448</v>
      </c>
    </row>
    <row r="431" spans="1:11" hidden="1" x14ac:dyDescent="0.2">
      <c r="A431" s="1929" t="s">
        <v>4447</v>
      </c>
      <c r="B431" s="1929" t="s">
        <v>1228</v>
      </c>
      <c r="C431" s="1929" t="s">
        <v>1276</v>
      </c>
      <c r="D431" s="1929" t="s">
        <v>303</v>
      </c>
      <c r="E431" s="1929" t="s">
        <v>39</v>
      </c>
      <c r="F431" s="1929">
        <v>22.8</v>
      </c>
      <c r="G431" s="1929">
        <v>19.2</v>
      </c>
      <c r="H431" s="1929">
        <v>1</v>
      </c>
      <c r="I431" s="1929">
        <v>16</v>
      </c>
      <c r="J431" s="1929">
        <v>522</v>
      </c>
      <c r="K431" s="1929" t="s">
        <v>4446</v>
      </c>
    </row>
    <row r="432" spans="1:11" hidden="1" x14ac:dyDescent="0.2">
      <c r="A432" s="1929" t="s">
        <v>4445</v>
      </c>
      <c r="D432" s="1929" t="s">
        <v>303</v>
      </c>
      <c r="E432" s="1929" t="s">
        <v>39</v>
      </c>
      <c r="F432" s="1929">
        <v>18.3</v>
      </c>
      <c r="G432" s="1929">
        <v>17.100000000000001</v>
      </c>
      <c r="H432" s="1929">
        <v>0.7</v>
      </c>
      <c r="I432" s="1929">
        <v>21.9</v>
      </c>
      <c r="J432" s="1929">
        <v>552</v>
      </c>
      <c r="K432" s="1929" t="s">
        <v>4444</v>
      </c>
    </row>
    <row r="433" spans="1:11" hidden="1" x14ac:dyDescent="0.2">
      <c r="A433" s="1929" t="s">
        <v>4443</v>
      </c>
      <c r="B433" s="1929" t="s">
        <v>1217</v>
      </c>
      <c r="C433" s="1929" t="s">
        <v>2291</v>
      </c>
      <c r="D433" s="1929" t="s">
        <v>303</v>
      </c>
      <c r="E433" s="1929" t="s">
        <v>39</v>
      </c>
      <c r="F433" s="1929">
        <v>21.7</v>
      </c>
      <c r="G433" s="1929">
        <v>21.6</v>
      </c>
      <c r="H433" s="1929">
        <v>0.1</v>
      </c>
      <c r="I433" s="1929">
        <v>803</v>
      </c>
      <c r="J433" s="1929">
        <v>556</v>
      </c>
      <c r="K433" s="1929" t="s">
        <v>4442</v>
      </c>
    </row>
    <row r="434" spans="1:11" hidden="1" x14ac:dyDescent="0.2">
      <c r="A434" s="1929" t="s">
        <v>4441</v>
      </c>
      <c r="B434" s="1929" t="s">
        <v>1228</v>
      </c>
      <c r="C434" s="1929" t="s">
        <v>2392</v>
      </c>
      <c r="D434" s="1929" t="s">
        <v>303</v>
      </c>
      <c r="E434" s="1929" t="s">
        <v>39</v>
      </c>
      <c r="F434" s="1929">
        <v>32.299999999999997</v>
      </c>
      <c r="G434" s="1929">
        <v>0</v>
      </c>
      <c r="H434" s="1929">
        <v>3.2</v>
      </c>
      <c r="I434" s="1929">
        <v>43.1</v>
      </c>
      <c r="J434" s="1929">
        <v>577</v>
      </c>
      <c r="K434" s="1929" t="s">
        <v>4440</v>
      </c>
    </row>
    <row r="435" spans="1:11" hidden="1" x14ac:dyDescent="0.2">
      <c r="A435" s="1929" t="s">
        <v>4439</v>
      </c>
      <c r="B435" s="1929" t="s">
        <v>1238</v>
      </c>
      <c r="C435" s="1929" t="s">
        <v>1485</v>
      </c>
      <c r="D435" s="1929" t="s">
        <v>303</v>
      </c>
      <c r="E435" s="1929" t="s">
        <v>39</v>
      </c>
      <c r="F435" s="1929">
        <v>12.3</v>
      </c>
      <c r="G435" s="1929">
        <v>39.9</v>
      </c>
      <c r="H435" s="1929">
        <v>0.4</v>
      </c>
      <c r="I435" s="1929">
        <v>40.1</v>
      </c>
      <c r="J435" s="1929">
        <v>580</v>
      </c>
      <c r="K435" s="1929" t="s">
        <v>4438</v>
      </c>
    </row>
    <row r="436" spans="1:11" hidden="1" x14ac:dyDescent="0.2">
      <c r="A436" s="1929" t="s">
        <v>4437</v>
      </c>
      <c r="B436" s="1929" t="s">
        <v>1238</v>
      </c>
      <c r="C436" s="1929" t="s">
        <v>1878</v>
      </c>
      <c r="D436" s="1929" t="s">
        <v>303</v>
      </c>
      <c r="E436" s="1929" t="s">
        <v>39</v>
      </c>
      <c r="F436" s="1929">
        <v>15.5</v>
      </c>
      <c r="G436" s="1929">
        <v>51.6</v>
      </c>
      <c r="H436" s="1929">
        <v>-2</v>
      </c>
      <c r="I436" s="1929">
        <v>48.9</v>
      </c>
      <c r="J436" s="1929">
        <v>624</v>
      </c>
      <c r="K436" s="1929" t="s">
        <v>4436</v>
      </c>
    </row>
    <row r="437" spans="1:11" hidden="1" x14ac:dyDescent="0.2">
      <c r="A437" s="1929" t="s">
        <v>4435</v>
      </c>
      <c r="B437" s="1929" t="s">
        <v>1306</v>
      </c>
      <c r="C437" s="1929" t="s">
        <v>1392</v>
      </c>
      <c r="D437" s="1929" t="s">
        <v>303</v>
      </c>
      <c r="E437" s="1929" t="s">
        <v>39</v>
      </c>
      <c r="F437" s="1929">
        <v>13.4</v>
      </c>
      <c r="G437" s="1929">
        <v>81</v>
      </c>
      <c r="H437" s="1929">
        <v>-0.1</v>
      </c>
      <c r="I437" s="1929">
        <v>45.2</v>
      </c>
      <c r="J437" s="1929">
        <v>642</v>
      </c>
      <c r="K437" s="1929" t="s">
        <v>4434</v>
      </c>
    </row>
    <row r="438" spans="1:11" hidden="1" x14ac:dyDescent="0.2">
      <c r="A438" s="1929" t="s">
        <v>4433</v>
      </c>
      <c r="B438" s="1929" t="s">
        <v>1217</v>
      </c>
      <c r="C438" s="1929" t="s">
        <v>1368</v>
      </c>
      <c r="D438" s="1929" t="s">
        <v>303</v>
      </c>
      <c r="E438" s="1929" t="s">
        <v>39</v>
      </c>
      <c r="F438" s="1929">
        <v>15.5</v>
      </c>
      <c r="G438" s="1929">
        <v>3</v>
      </c>
      <c r="H438" s="1929">
        <v>0.6</v>
      </c>
      <c r="I438" s="1929">
        <v>260.89999999999998</v>
      </c>
      <c r="J438" s="1929">
        <v>718</v>
      </c>
      <c r="K438" s="1929" t="s">
        <v>4432</v>
      </c>
    </row>
    <row r="439" spans="1:11" hidden="1" x14ac:dyDescent="0.2">
      <c r="A439" s="1929" t="s">
        <v>4431</v>
      </c>
      <c r="B439" s="1929" t="s">
        <v>1310</v>
      </c>
      <c r="C439" s="1929" t="s">
        <v>1309</v>
      </c>
      <c r="D439" s="1929" t="s">
        <v>303</v>
      </c>
      <c r="E439" s="1929" t="s">
        <v>39</v>
      </c>
      <c r="F439" s="1929">
        <v>9.6999999999999993</v>
      </c>
      <c r="G439" s="1929">
        <v>27.3</v>
      </c>
      <c r="H439" s="1929">
        <v>0.1</v>
      </c>
      <c r="I439" s="1929">
        <v>49.8</v>
      </c>
      <c r="J439" s="1929">
        <v>770</v>
      </c>
      <c r="K439" s="1929" t="s">
        <v>4430</v>
      </c>
    </row>
    <row r="440" spans="1:11" hidden="1" x14ac:dyDescent="0.2">
      <c r="A440" s="1929" t="s">
        <v>4429</v>
      </c>
      <c r="B440" s="1929" t="s">
        <v>1306</v>
      </c>
      <c r="C440" s="1929" t="s">
        <v>1389</v>
      </c>
      <c r="D440" s="1929" t="s">
        <v>303</v>
      </c>
      <c r="E440" s="1929" t="s">
        <v>39</v>
      </c>
      <c r="F440" s="1929">
        <v>24.7</v>
      </c>
      <c r="G440" s="1929">
        <v>8.1999999999999993</v>
      </c>
      <c r="H440" s="1929">
        <v>0.7</v>
      </c>
      <c r="I440" s="1929">
        <v>8</v>
      </c>
      <c r="J440" s="1929">
        <v>895</v>
      </c>
      <c r="K440" s="1929" t="s">
        <v>4428</v>
      </c>
    </row>
    <row r="441" spans="1:11" hidden="1" x14ac:dyDescent="0.2">
      <c r="A441" s="1929" t="s">
        <v>4427</v>
      </c>
      <c r="B441" s="1929" t="s">
        <v>1234</v>
      </c>
      <c r="C441" s="1929" t="s">
        <v>1233</v>
      </c>
      <c r="D441" s="1929" t="s">
        <v>303</v>
      </c>
      <c r="E441" s="1929" t="s">
        <v>39</v>
      </c>
      <c r="F441" s="1929">
        <v>9.6</v>
      </c>
      <c r="G441" s="1929">
        <v>13</v>
      </c>
      <c r="H441" s="1929">
        <v>0.5</v>
      </c>
      <c r="I441" s="1929">
        <v>7.8</v>
      </c>
      <c r="J441" s="1929">
        <v>1095</v>
      </c>
      <c r="K441" s="1929" t="s">
        <v>4426</v>
      </c>
    </row>
    <row r="442" spans="1:11" hidden="1" x14ac:dyDescent="0.2">
      <c r="A442" s="1929" t="s">
        <v>4425</v>
      </c>
      <c r="B442" s="1929" t="s">
        <v>1306</v>
      </c>
      <c r="C442" s="1929" t="s">
        <v>1305</v>
      </c>
      <c r="D442" s="1929" t="s">
        <v>303</v>
      </c>
      <c r="E442" s="1929" t="s">
        <v>39</v>
      </c>
      <c r="F442" s="1929">
        <v>5.7</v>
      </c>
      <c r="G442" s="1929">
        <v>10.4</v>
      </c>
      <c r="H442" s="1929">
        <v>0.6</v>
      </c>
      <c r="I442" s="1929">
        <v>12.5</v>
      </c>
      <c r="J442" s="1929">
        <v>1120</v>
      </c>
      <c r="K442" s="1929" t="s">
        <v>4424</v>
      </c>
    </row>
    <row r="443" spans="1:11" hidden="1" x14ac:dyDescent="0.2">
      <c r="A443" s="1929" t="s">
        <v>4423</v>
      </c>
      <c r="B443" s="1929" t="s">
        <v>1217</v>
      </c>
      <c r="C443" s="1929" t="s">
        <v>1368</v>
      </c>
      <c r="D443" s="1929" t="s">
        <v>303</v>
      </c>
      <c r="E443" s="1929" t="s">
        <v>39</v>
      </c>
      <c r="F443" s="1929">
        <v>2.2999999999999998</v>
      </c>
      <c r="G443" s="1929">
        <v>9</v>
      </c>
      <c r="H443" s="1929">
        <v>0.2</v>
      </c>
      <c r="I443" s="1929">
        <v>100.1</v>
      </c>
      <c r="J443" s="1929">
        <v>1156</v>
      </c>
      <c r="K443" s="1929" t="s">
        <v>4422</v>
      </c>
    </row>
    <row r="444" spans="1:11" hidden="1" x14ac:dyDescent="0.2">
      <c r="A444" s="1929" t="s">
        <v>4421</v>
      </c>
      <c r="B444" s="1929" t="s">
        <v>1228</v>
      </c>
      <c r="C444" s="1929" t="s">
        <v>1227</v>
      </c>
      <c r="D444" s="1929" t="s">
        <v>303</v>
      </c>
      <c r="E444" s="1929" t="s">
        <v>39</v>
      </c>
      <c r="F444" s="1929">
        <v>4.3</v>
      </c>
      <c r="G444" s="1929">
        <v>24.4</v>
      </c>
      <c r="H444" s="1929">
        <v>0</v>
      </c>
      <c r="I444" s="1929">
        <v>17.5</v>
      </c>
      <c r="J444" s="1929">
        <v>1252</v>
      </c>
      <c r="K444" s="1929" t="s">
        <v>4420</v>
      </c>
    </row>
    <row r="445" spans="1:11" hidden="1" x14ac:dyDescent="0.2">
      <c r="A445" s="1929" t="s">
        <v>4419</v>
      </c>
      <c r="B445" s="1929" t="s">
        <v>1245</v>
      </c>
      <c r="C445" s="1929" t="s">
        <v>1320</v>
      </c>
      <c r="D445" s="1929" t="s">
        <v>303</v>
      </c>
      <c r="E445" s="1929" t="s">
        <v>39</v>
      </c>
      <c r="F445" s="1929">
        <v>13.7</v>
      </c>
      <c r="G445" s="1929">
        <v>5.3</v>
      </c>
      <c r="H445" s="1929">
        <v>0.5</v>
      </c>
      <c r="I445" s="1929">
        <v>8.1</v>
      </c>
      <c r="J445" s="1929">
        <v>1316</v>
      </c>
      <c r="K445" s="1929" t="s">
        <v>4418</v>
      </c>
    </row>
    <row r="446" spans="1:11" hidden="1" x14ac:dyDescent="0.2">
      <c r="A446" s="1929" t="s">
        <v>4417</v>
      </c>
      <c r="D446" s="1929" t="s">
        <v>303</v>
      </c>
      <c r="E446" s="1929" t="s">
        <v>39</v>
      </c>
      <c r="F446" s="1929">
        <v>6.8</v>
      </c>
      <c r="G446" s="1929">
        <v>1.9</v>
      </c>
      <c r="H446" s="1929">
        <v>0.6</v>
      </c>
      <c r="I446" s="1929">
        <v>15.3</v>
      </c>
      <c r="J446" s="1929">
        <v>1341</v>
      </c>
      <c r="K446" s="1929" t="s">
        <v>4416</v>
      </c>
    </row>
    <row r="447" spans="1:11" hidden="1" x14ac:dyDescent="0.2">
      <c r="A447" s="1929" t="s">
        <v>4415</v>
      </c>
      <c r="B447" s="1929" t="s">
        <v>1238</v>
      </c>
      <c r="C447" s="1929" t="s">
        <v>1878</v>
      </c>
      <c r="D447" s="1929" t="s">
        <v>303</v>
      </c>
      <c r="E447" s="1929" t="s">
        <v>39</v>
      </c>
      <c r="F447" s="1929">
        <v>9</v>
      </c>
      <c r="G447" s="1929">
        <v>5.7</v>
      </c>
      <c r="H447" s="1929">
        <v>0.4</v>
      </c>
      <c r="I447" s="1929">
        <v>8.9</v>
      </c>
      <c r="J447" s="1929">
        <v>1395</v>
      </c>
      <c r="K447" s="1929" t="s">
        <v>4414</v>
      </c>
    </row>
    <row r="448" spans="1:11" hidden="1" x14ac:dyDescent="0.2">
      <c r="A448" s="1929" t="s">
        <v>4413</v>
      </c>
      <c r="B448" s="1929" t="s">
        <v>1217</v>
      </c>
      <c r="C448" s="1929" t="s">
        <v>1252</v>
      </c>
      <c r="D448" s="1929" t="s">
        <v>303</v>
      </c>
      <c r="E448" s="1929" t="s">
        <v>39</v>
      </c>
      <c r="F448" s="1929">
        <v>1.1000000000000001</v>
      </c>
      <c r="G448" s="1929">
        <v>6.2</v>
      </c>
      <c r="H448" s="1929">
        <v>0.1</v>
      </c>
      <c r="I448" s="1929">
        <v>36.299999999999997</v>
      </c>
      <c r="J448" s="1929">
        <v>1483</v>
      </c>
      <c r="K448" s="1929" t="s">
        <v>4412</v>
      </c>
    </row>
    <row r="449" spans="1:11" hidden="1" x14ac:dyDescent="0.2">
      <c r="A449" s="1929" t="s">
        <v>4411</v>
      </c>
      <c r="B449" s="1929" t="s">
        <v>1234</v>
      </c>
      <c r="C449" s="1929" t="s">
        <v>1461</v>
      </c>
      <c r="D449" s="1929" t="s">
        <v>303</v>
      </c>
      <c r="E449" s="1929" t="s">
        <v>39</v>
      </c>
      <c r="F449" s="1929">
        <v>6.2</v>
      </c>
      <c r="G449" s="1929">
        <v>5.0999999999999996</v>
      </c>
      <c r="H449" s="1929">
        <v>0.5</v>
      </c>
      <c r="I449" s="1929">
        <v>8.8000000000000007</v>
      </c>
      <c r="J449" s="1929">
        <v>1592</v>
      </c>
      <c r="K449" s="1929" t="s">
        <v>4410</v>
      </c>
    </row>
    <row r="450" spans="1:11" hidden="1" x14ac:dyDescent="0.2">
      <c r="A450" s="1929" t="s">
        <v>4409</v>
      </c>
      <c r="B450" s="1929" t="s">
        <v>1234</v>
      </c>
      <c r="C450" s="1929" t="s">
        <v>1461</v>
      </c>
      <c r="D450" s="1929" t="s">
        <v>303</v>
      </c>
      <c r="E450" s="1929" t="s">
        <v>39</v>
      </c>
      <c r="F450" s="1929">
        <v>6.3</v>
      </c>
      <c r="G450" s="1929">
        <v>11</v>
      </c>
      <c r="H450" s="1929">
        <v>-0.2</v>
      </c>
      <c r="I450" s="1929">
        <v>9.4</v>
      </c>
      <c r="J450" s="1929">
        <v>1607</v>
      </c>
      <c r="K450" s="1929" t="s">
        <v>4408</v>
      </c>
    </row>
    <row r="451" spans="1:11" hidden="1" x14ac:dyDescent="0.2">
      <c r="A451" s="1929" t="s">
        <v>4407</v>
      </c>
      <c r="B451" s="1929" t="s">
        <v>1217</v>
      </c>
      <c r="C451" s="1929" t="s">
        <v>1323</v>
      </c>
      <c r="D451" s="1929" t="s">
        <v>303</v>
      </c>
      <c r="E451" s="1929" t="s">
        <v>39</v>
      </c>
      <c r="F451" s="1929">
        <v>2.7</v>
      </c>
      <c r="G451" s="1929">
        <v>1.3</v>
      </c>
      <c r="H451" s="1929">
        <v>0.2</v>
      </c>
      <c r="I451" s="1929">
        <v>59.2</v>
      </c>
      <c r="J451" s="1929">
        <v>1653</v>
      </c>
      <c r="K451" s="1929" t="s">
        <v>4406</v>
      </c>
    </row>
    <row r="452" spans="1:11" hidden="1" x14ac:dyDescent="0.2">
      <c r="A452" s="1929" t="s">
        <v>4405</v>
      </c>
      <c r="B452" s="1929" t="s">
        <v>1234</v>
      </c>
      <c r="C452" s="1929" t="s">
        <v>1445</v>
      </c>
      <c r="D452" s="1929" t="s">
        <v>303</v>
      </c>
      <c r="E452" s="1929" t="s">
        <v>39</v>
      </c>
      <c r="F452" s="1929">
        <v>2.4</v>
      </c>
      <c r="G452" s="1929">
        <v>12.3</v>
      </c>
      <c r="H452" s="1929">
        <v>-0.7</v>
      </c>
      <c r="I452" s="1929">
        <v>11.1</v>
      </c>
      <c r="J452" s="1929">
        <v>1674</v>
      </c>
      <c r="K452" s="1929" t="s">
        <v>4404</v>
      </c>
    </row>
    <row r="453" spans="1:11" hidden="1" x14ac:dyDescent="0.2">
      <c r="A453" s="1929" t="s">
        <v>4403</v>
      </c>
      <c r="B453" s="1929" t="s">
        <v>1228</v>
      </c>
      <c r="C453" s="1929" t="s">
        <v>1315</v>
      </c>
      <c r="D453" s="1929" t="s">
        <v>303</v>
      </c>
      <c r="E453" s="1929" t="s">
        <v>39</v>
      </c>
      <c r="F453" s="1929">
        <v>9.9</v>
      </c>
      <c r="G453" s="1929">
        <v>3.5</v>
      </c>
      <c r="H453" s="1929">
        <v>0.4</v>
      </c>
      <c r="I453" s="1929">
        <v>4.9000000000000004</v>
      </c>
      <c r="J453" s="1929">
        <v>1683</v>
      </c>
      <c r="K453" s="1929" t="s">
        <v>4402</v>
      </c>
    </row>
    <row r="454" spans="1:11" hidden="1" x14ac:dyDescent="0.2">
      <c r="A454" s="1929" t="s">
        <v>4401</v>
      </c>
      <c r="B454" s="1929" t="s">
        <v>1228</v>
      </c>
      <c r="C454" s="1929" t="s">
        <v>1276</v>
      </c>
      <c r="D454" s="1929" t="s">
        <v>303</v>
      </c>
      <c r="E454" s="1929" t="s">
        <v>39</v>
      </c>
      <c r="F454" s="1929">
        <v>9.1999999999999993</v>
      </c>
      <c r="G454" s="1929">
        <v>3.2</v>
      </c>
      <c r="H454" s="1929">
        <v>0.4</v>
      </c>
      <c r="I454" s="1929">
        <v>2.1</v>
      </c>
      <c r="J454" s="1929">
        <v>1690</v>
      </c>
      <c r="K454" s="1929" t="s">
        <v>4400</v>
      </c>
    </row>
    <row r="455" spans="1:11" hidden="1" x14ac:dyDescent="0.2">
      <c r="A455" s="1929" t="s">
        <v>4399</v>
      </c>
      <c r="B455" s="1929" t="s">
        <v>1228</v>
      </c>
      <c r="C455" s="1929" t="s">
        <v>1297</v>
      </c>
      <c r="D455" s="1929" t="s">
        <v>303</v>
      </c>
      <c r="E455" s="1929" t="s">
        <v>39</v>
      </c>
      <c r="F455" s="1929">
        <v>2</v>
      </c>
      <c r="G455" s="1929">
        <v>19.5</v>
      </c>
      <c r="H455" s="1929">
        <v>0.2</v>
      </c>
      <c r="I455" s="1929">
        <v>6.9</v>
      </c>
      <c r="J455" s="1929">
        <v>1695</v>
      </c>
      <c r="K455" s="1929" t="s">
        <v>4398</v>
      </c>
    </row>
    <row r="456" spans="1:11" hidden="1" x14ac:dyDescent="0.2">
      <c r="A456" s="1929" t="s">
        <v>4397</v>
      </c>
      <c r="B456" s="1929" t="s">
        <v>1238</v>
      </c>
      <c r="C456" s="1929" t="s">
        <v>1241</v>
      </c>
      <c r="D456" s="1929" t="s">
        <v>303</v>
      </c>
      <c r="E456" s="1929" t="s">
        <v>39</v>
      </c>
      <c r="F456" s="1929">
        <v>5.6</v>
      </c>
      <c r="G456" s="1929">
        <v>11.2</v>
      </c>
      <c r="H456" s="1929">
        <v>0.2</v>
      </c>
      <c r="I456" s="1929">
        <v>9</v>
      </c>
      <c r="J456" s="1929">
        <v>1743</v>
      </c>
      <c r="K456" s="1929" t="s">
        <v>4396</v>
      </c>
    </row>
    <row r="457" spans="1:11" hidden="1" x14ac:dyDescent="0.2">
      <c r="A457" s="1929" t="s">
        <v>4395</v>
      </c>
      <c r="B457" s="1929" t="s">
        <v>1234</v>
      </c>
      <c r="C457" s="1929" t="s">
        <v>1337</v>
      </c>
      <c r="D457" s="1929" t="s">
        <v>303</v>
      </c>
      <c r="E457" s="1929" t="s">
        <v>39</v>
      </c>
      <c r="F457" s="1929">
        <v>2.4</v>
      </c>
      <c r="G457" s="1929">
        <v>15.6</v>
      </c>
      <c r="H457" s="1929">
        <v>-0.3</v>
      </c>
      <c r="I457" s="1929">
        <v>5.6</v>
      </c>
      <c r="J457" s="1929">
        <v>1796</v>
      </c>
      <c r="K457" s="1929" t="s">
        <v>4394</v>
      </c>
    </row>
    <row r="458" spans="1:11" hidden="1" x14ac:dyDescent="0.2">
      <c r="A458" s="1929" t="s">
        <v>4393</v>
      </c>
      <c r="B458" s="1929" t="s">
        <v>1217</v>
      </c>
      <c r="C458" s="1929" t="s">
        <v>1216</v>
      </c>
      <c r="D458" s="1929" t="s">
        <v>303</v>
      </c>
      <c r="E458" s="1929" t="s">
        <v>39</v>
      </c>
      <c r="F458" s="1929">
        <v>1.1000000000000001</v>
      </c>
      <c r="G458" s="1929">
        <v>3.3</v>
      </c>
      <c r="H458" s="1929">
        <v>-0.2</v>
      </c>
      <c r="I458" s="1929">
        <v>34.9</v>
      </c>
      <c r="J458" s="1929">
        <v>1852</v>
      </c>
      <c r="K458" s="1929" t="s">
        <v>4392</v>
      </c>
    </row>
    <row r="459" spans="1:11" hidden="1" x14ac:dyDescent="0.2">
      <c r="A459" s="1929" t="s">
        <v>4391</v>
      </c>
      <c r="B459" s="1929" t="s">
        <v>1238</v>
      </c>
      <c r="C459" s="1929" t="s">
        <v>1700</v>
      </c>
      <c r="D459" s="1929" t="s">
        <v>303</v>
      </c>
      <c r="E459" s="1929" t="s">
        <v>39</v>
      </c>
      <c r="F459" s="1929">
        <v>6.9</v>
      </c>
      <c r="G459" s="1929">
        <v>3.4</v>
      </c>
      <c r="H459" s="1929">
        <v>0.3</v>
      </c>
      <c r="I459" s="1929">
        <v>13.1</v>
      </c>
      <c r="J459" s="1929">
        <v>1884</v>
      </c>
      <c r="K459" s="1929" t="s">
        <v>4390</v>
      </c>
    </row>
    <row r="460" spans="1:11" hidden="1" x14ac:dyDescent="0.2">
      <c r="A460" s="1929" t="s">
        <v>4389</v>
      </c>
      <c r="B460" s="1929" t="s">
        <v>1217</v>
      </c>
      <c r="C460" s="1929" t="s">
        <v>1216</v>
      </c>
      <c r="D460" s="1929" t="s">
        <v>303</v>
      </c>
      <c r="E460" s="1929" t="s">
        <v>39</v>
      </c>
      <c r="F460" s="1929">
        <v>1.6</v>
      </c>
      <c r="G460" s="1929">
        <v>1</v>
      </c>
      <c r="H460" s="1929">
        <v>0.1</v>
      </c>
      <c r="I460" s="1929">
        <v>31.9</v>
      </c>
      <c r="J460" s="1929">
        <v>1884</v>
      </c>
      <c r="K460" s="1929" t="s">
        <v>4388</v>
      </c>
    </row>
    <row r="461" spans="1:11" hidden="1" x14ac:dyDescent="0.2">
      <c r="A461" s="1929" t="s">
        <v>4387</v>
      </c>
      <c r="D461" s="1929" t="s">
        <v>303</v>
      </c>
      <c r="E461" s="1929" t="s">
        <v>39</v>
      </c>
      <c r="F461" s="1929">
        <v>6.7</v>
      </c>
      <c r="G461" s="1929">
        <v>6.9</v>
      </c>
      <c r="H461" s="1929">
        <v>0</v>
      </c>
      <c r="I461" s="1929">
        <v>6.1</v>
      </c>
      <c r="J461" s="1929">
        <v>1952</v>
      </c>
      <c r="K461" s="1929" t="s">
        <v>4386</v>
      </c>
    </row>
    <row r="462" spans="1:11" hidden="1" x14ac:dyDescent="0.2">
      <c r="A462" s="1929" t="s">
        <v>4385</v>
      </c>
      <c r="B462" s="1929" t="s">
        <v>1217</v>
      </c>
      <c r="C462" s="1929" t="s">
        <v>1216</v>
      </c>
      <c r="D462" s="1929" t="s">
        <v>303</v>
      </c>
      <c r="E462" s="1929" t="s">
        <v>40</v>
      </c>
      <c r="F462" s="1929">
        <v>13.9</v>
      </c>
      <c r="G462" s="1929">
        <v>5.5</v>
      </c>
      <c r="H462" s="1929">
        <v>3.4</v>
      </c>
      <c r="I462" s="1929">
        <v>126.8</v>
      </c>
      <c r="J462" s="1929">
        <v>502</v>
      </c>
      <c r="K462" s="1929" t="s">
        <v>4384</v>
      </c>
    </row>
    <row r="463" spans="1:11" hidden="1" x14ac:dyDescent="0.2">
      <c r="A463" s="1929" t="s">
        <v>4383</v>
      </c>
      <c r="B463" s="1929" t="s">
        <v>1217</v>
      </c>
      <c r="C463" s="1929" t="s">
        <v>1216</v>
      </c>
      <c r="D463" s="1929" t="s">
        <v>303</v>
      </c>
      <c r="E463" s="1929" t="s">
        <v>40</v>
      </c>
      <c r="F463" s="1929">
        <v>10.5</v>
      </c>
      <c r="G463" s="1929">
        <v>5.2</v>
      </c>
      <c r="H463" s="1929">
        <v>3</v>
      </c>
      <c r="I463" s="1929">
        <v>99.3</v>
      </c>
      <c r="J463" s="1929">
        <v>586</v>
      </c>
      <c r="K463" s="1929" t="s">
        <v>4382</v>
      </c>
    </row>
    <row r="464" spans="1:11" hidden="1" x14ac:dyDescent="0.2">
      <c r="A464" s="1929" t="s">
        <v>4381</v>
      </c>
      <c r="B464" s="1929" t="s">
        <v>1217</v>
      </c>
      <c r="C464" s="1929" t="s">
        <v>2291</v>
      </c>
      <c r="D464" s="1929" t="s">
        <v>303</v>
      </c>
      <c r="E464" s="1929" t="s">
        <v>40</v>
      </c>
      <c r="F464" s="1929">
        <v>13.4</v>
      </c>
      <c r="G464" s="1929">
        <v>5</v>
      </c>
      <c r="H464" s="1929">
        <v>1.1000000000000001</v>
      </c>
      <c r="I464" s="1929">
        <v>152.9</v>
      </c>
      <c r="J464" s="1929">
        <v>607</v>
      </c>
      <c r="K464" s="1929" t="s">
        <v>4380</v>
      </c>
    </row>
    <row r="465" spans="1:11" hidden="1" x14ac:dyDescent="0.2">
      <c r="A465" s="1929" t="s">
        <v>4379</v>
      </c>
      <c r="B465" s="1929" t="s">
        <v>1217</v>
      </c>
      <c r="C465" s="1929" t="s">
        <v>2291</v>
      </c>
      <c r="D465" s="1929" t="s">
        <v>303</v>
      </c>
      <c r="E465" s="1929" t="s">
        <v>40</v>
      </c>
      <c r="F465" s="1929">
        <v>0.4</v>
      </c>
      <c r="G465" s="1929">
        <v>2.8</v>
      </c>
      <c r="H465" s="1929">
        <v>1.1000000000000001</v>
      </c>
      <c r="I465" s="1929">
        <v>150.9</v>
      </c>
      <c r="J465" s="1929">
        <v>979</v>
      </c>
      <c r="K465" s="1929" t="s">
        <v>4378</v>
      </c>
    </row>
    <row r="466" spans="1:11" hidden="1" x14ac:dyDescent="0.2">
      <c r="A466" s="1929" t="s">
        <v>4377</v>
      </c>
      <c r="B466" s="1929" t="s">
        <v>1249</v>
      </c>
      <c r="C466" s="1929" t="s">
        <v>1248</v>
      </c>
      <c r="D466" s="1929" t="s">
        <v>303</v>
      </c>
      <c r="E466" s="1929" t="s">
        <v>40</v>
      </c>
      <c r="F466" s="1929">
        <v>8.1</v>
      </c>
      <c r="G466" s="1929">
        <v>5.4</v>
      </c>
      <c r="H466" s="1929">
        <v>0.4</v>
      </c>
      <c r="I466" s="1929">
        <v>10.8</v>
      </c>
      <c r="J466" s="1929">
        <v>1406</v>
      </c>
      <c r="K466" s="1929" t="s">
        <v>4376</v>
      </c>
    </row>
    <row r="467" spans="1:11" hidden="1" x14ac:dyDescent="0.2">
      <c r="A467" s="1929" t="s">
        <v>4375</v>
      </c>
      <c r="B467" s="1929" t="s">
        <v>1310</v>
      </c>
      <c r="C467" s="1929" t="s">
        <v>1309</v>
      </c>
      <c r="D467" s="1929" t="s">
        <v>303</v>
      </c>
      <c r="E467" s="1929" t="s">
        <v>40</v>
      </c>
      <c r="F467" s="1929">
        <v>3.9</v>
      </c>
      <c r="G467" s="1929">
        <v>7.9</v>
      </c>
      <c r="H467" s="1929">
        <v>-0.3</v>
      </c>
      <c r="I467" s="1929">
        <v>21.8</v>
      </c>
      <c r="J467" s="1929">
        <v>1523</v>
      </c>
      <c r="K467" s="1929" t="s">
        <v>4374</v>
      </c>
    </row>
    <row r="468" spans="1:11" hidden="1" x14ac:dyDescent="0.2">
      <c r="A468" s="1929" t="s">
        <v>4373</v>
      </c>
      <c r="B468" s="1929" t="s">
        <v>1258</v>
      </c>
      <c r="C468" s="1929" t="s">
        <v>1263</v>
      </c>
      <c r="D468" s="1929" t="s">
        <v>303</v>
      </c>
      <c r="E468" s="1929" t="s">
        <v>40</v>
      </c>
      <c r="F468" s="1929">
        <v>3.1</v>
      </c>
      <c r="G468" s="1929">
        <v>12.8</v>
      </c>
      <c r="H468" s="1929">
        <v>-0.4</v>
      </c>
      <c r="I468" s="1929">
        <v>9.9</v>
      </c>
      <c r="J468" s="1929">
        <v>1741</v>
      </c>
      <c r="K468" s="1929" t="s">
        <v>4372</v>
      </c>
    </row>
    <row r="469" spans="1:11" hidden="1" x14ac:dyDescent="0.2">
      <c r="A469" s="1929" t="s">
        <v>4371</v>
      </c>
      <c r="B469" s="1929" t="s">
        <v>1258</v>
      </c>
      <c r="C469" s="1929" t="s">
        <v>1263</v>
      </c>
      <c r="D469" s="1929" t="s">
        <v>303</v>
      </c>
      <c r="E469" s="1929" t="s">
        <v>40</v>
      </c>
      <c r="F469" s="1929">
        <v>1.5</v>
      </c>
      <c r="G469" s="1929">
        <v>12.3</v>
      </c>
      <c r="H469" s="1929">
        <v>0</v>
      </c>
      <c r="I469" s="1929">
        <v>3.3</v>
      </c>
      <c r="J469" s="1929">
        <v>1935</v>
      </c>
      <c r="K469" s="1929" t="s">
        <v>4370</v>
      </c>
    </row>
    <row r="470" spans="1:11" x14ac:dyDescent="0.2">
      <c r="A470" s="1929" t="s">
        <v>4369</v>
      </c>
      <c r="B470" s="1929" t="s">
        <v>1249</v>
      </c>
      <c r="C470" s="1929" t="s">
        <v>1248</v>
      </c>
      <c r="D470" s="1929" t="s">
        <v>1013</v>
      </c>
      <c r="E470" s="1929" t="s">
        <v>91</v>
      </c>
      <c r="F470" s="1929">
        <v>184.6</v>
      </c>
      <c r="G470" s="1929">
        <v>102.5</v>
      </c>
      <c r="H470" s="1929">
        <v>19.8</v>
      </c>
      <c r="I470" s="1929">
        <v>192.8</v>
      </c>
      <c r="J470" s="1929">
        <v>28</v>
      </c>
      <c r="K470" s="1929" t="s">
        <v>4368</v>
      </c>
    </row>
    <row r="471" spans="1:11" x14ac:dyDescent="0.2">
      <c r="A471" s="1929" t="s">
        <v>4367</v>
      </c>
      <c r="B471" s="1929" t="s">
        <v>1258</v>
      </c>
      <c r="C471" s="1929" t="s">
        <v>1263</v>
      </c>
      <c r="D471" s="1929" t="s">
        <v>1013</v>
      </c>
      <c r="E471" s="1929" t="s">
        <v>91</v>
      </c>
      <c r="F471" s="1929">
        <v>67.2</v>
      </c>
      <c r="G471" s="1929">
        <v>43</v>
      </c>
      <c r="H471" s="1929">
        <v>10.6</v>
      </c>
      <c r="I471" s="1929">
        <v>102.7</v>
      </c>
      <c r="J471" s="1929">
        <v>108</v>
      </c>
      <c r="K471" s="1929" t="s">
        <v>4366</v>
      </c>
    </row>
    <row r="472" spans="1:11" x14ac:dyDescent="0.2">
      <c r="A472" s="1929" t="s">
        <v>4365</v>
      </c>
      <c r="B472" s="1929" t="s">
        <v>1238</v>
      </c>
      <c r="C472" s="1929" t="s">
        <v>1878</v>
      </c>
      <c r="D472" s="1929" t="s">
        <v>1013</v>
      </c>
      <c r="E472" s="1929" t="s">
        <v>91</v>
      </c>
      <c r="F472" s="1929">
        <v>57.8</v>
      </c>
      <c r="G472" s="1929">
        <v>33</v>
      </c>
      <c r="H472" s="1929">
        <v>4</v>
      </c>
      <c r="I472" s="1929">
        <v>105.2</v>
      </c>
      <c r="J472" s="1929">
        <v>136</v>
      </c>
      <c r="K472" s="1929" t="s">
        <v>4364</v>
      </c>
    </row>
    <row r="473" spans="1:11" x14ac:dyDescent="0.2">
      <c r="A473" s="1929" t="s">
        <v>4363</v>
      </c>
      <c r="B473" s="1929" t="s">
        <v>1217</v>
      </c>
      <c r="C473" s="1929" t="s">
        <v>1302</v>
      </c>
      <c r="D473" s="1929" t="s">
        <v>1013</v>
      </c>
      <c r="E473" s="1929" t="s">
        <v>91</v>
      </c>
      <c r="F473" s="1929">
        <v>58</v>
      </c>
      <c r="G473" s="1929">
        <v>20.7</v>
      </c>
      <c r="H473" s="1929">
        <v>2.8</v>
      </c>
      <c r="I473" s="1929">
        <v>145.19999999999999</v>
      </c>
      <c r="J473" s="1929">
        <v>164</v>
      </c>
      <c r="K473" s="1929" t="s">
        <v>4362</v>
      </c>
    </row>
    <row r="474" spans="1:11" x14ac:dyDescent="0.2">
      <c r="A474" s="1929" t="s">
        <v>4361</v>
      </c>
      <c r="B474" s="1929" t="s">
        <v>1249</v>
      </c>
      <c r="C474" s="1929" t="s">
        <v>1248</v>
      </c>
      <c r="D474" s="1929" t="s">
        <v>1013</v>
      </c>
      <c r="E474" s="1929" t="s">
        <v>91</v>
      </c>
      <c r="F474" s="1929">
        <v>31.6</v>
      </c>
      <c r="G474" s="1929">
        <v>48</v>
      </c>
      <c r="H474" s="1929">
        <v>1.7</v>
      </c>
      <c r="I474" s="1929">
        <v>87.5</v>
      </c>
      <c r="J474" s="1929">
        <v>193</v>
      </c>
      <c r="K474" s="1929" t="s">
        <v>4360</v>
      </c>
    </row>
    <row r="475" spans="1:11" x14ac:dyDescent="0.2">
      <c r="A475" s="1929" t="s">
        <v>4359</v>
      </c>
      <c r="B475" s="1929" t="s">
        <v>1238</v>
      </c>
      <c r="C475" s="1929" t="s">
        <v>1878</v>
      </c>
      <c r="D475" s="1929" t="s">
        <v>1013</v>
      </c>
      <c r="E475" s="1929" t="s">
        <v>91</v>
      </c>
      <c r="F475" s="1929">
        <v>43.4</v>
      </c>
      <c r="G475" s="1929">
        <v>39.5</v>
      </c>
      <c r="H475" s="1929">
        <v>1.6</v>
      </c>
      <c r="I475" s="1929">
        <v>63.8</v>
      </c>
      <c r="J475" s="1929">
        <v>208</v>
      </c>
      <c r="K475" s="1929" t="s">
        <v>4358</v>
      </c>
    </row>
    <row r="476" spans="1:11" x14ac:dyDescent="0.2">
      <c r="A476" s="1929" t="s">
        <v>4357</v>
      </c>
      <c r="B476" s="1929" t="s">
        <v>1238</v>
      </c>
      <c r="C476" s="1929" t="s">
        <v>1241</v>
      </c>
      <c r="D476" s="1929" t="s">
        <v>1013</v>
      </c>
      <c r="E476" s="1929" t="s">
        <v>91</v>
      </c>
      <c r="F476" s="1929">
        <v>10</v>
      </c>
      <c r="G476" s="1929">
        <v>85.9</v>
      </c>
      <c r="H476" s="1929">
        <v>1.5</v>
      </c>
      <c r="I476" s="1929">
        <v>102.3</v>
      </c>
      <c r="J476" s="1929">
        <v>320</v>
      </c>
      <c r="K476" s="1929" t="s">
        <v>4356</v>
      </c>
    </row>
    <row r="477" spans="1:11" x14ac:dyDescent="0.2">
      <c r="A477" s="1929" t="s">
        <v>4355</v>
      </c>
      <c r="B477" s="1929" t="s">
        <v>1217</v>
      </c>
      <c r="C477" s="1929" t="s">
        <v>1456</v>
      </c>
      <c r="D477" s="1929" t="s">
        <v>1013</v>
      </c>
      <c r="E477" s="1929" t="s">
        <v>91</v>
      </c>
      <c r="F477" s="1929">
        <v>33.4</v>
      </c>
      <c r="G477" s="1929">
        <v>7.1</v>
      </c>
      <c r="H477" s="1929">
        <v>4.7</v>
      </c>
      <c r="I477" s="1929">
        <v>69.5</v>
      </c>
      <c r="J477" s="1929">
        <v>361</v>
      </c>
      <c r="K477" s="1929" t="s">
        <v>4354</v>
      </c>
    </row>
    <row r="478" spans="1:11" x14ac:dyDescent="0.2">
      <c r="A478" s="1929" t="s">
        <v>4353</v>
      </c>
      <c r="B478" s="1929" t="s">
        <v>1217</v>
      </c>
      <c r="C478" s="1929" t="s">
        <v>1456</v>
      </c>
      <c r="D478" s="1929" t="s">
        <v>1013</v>
      </c>
      <c r="E478" s="1929" t="s">
        <v>91</v>
      </c>
      <c r="F478" s="1929">
        <v>39</v>
      </c>
      <c r="G478" s="1929">
        <v>2.6</v>
      </c>
      <c r="H478" s="1929">
        <v>4.5</v>
      </c>
      <c r="I478" s="1929">
        <v>55.3</v>
      </c>
      <c r="J478" s="1929">
        <v>516</v>
      </c>
      <c r="K478" s="1929" t="s">
        <v>4352</v>
      </c>
    </row>
    <row r="479" spans="1:11" x14ac:dyDescent="0.2">
      <c r="A479" s="1929" t="s">
        <v>4351</v>
      </c>
      <c r="B479" s="1929" t="s">
        <v>1310</v>
      </c>
      <c r="C479" s="1929" t="s">
        <v>1309</v>
      </c>
      <c r="D479" s="1929" t="s">
        <v>1013</v>
      </c>
      <c r="E479" s="1929" t="s">
        <v>91</v>
      </c>
      <c r="F479" s="1929">
        <v>19.2</v>
      </c>
      <c r="G479" s="1929">
        <v>13.5</v>
      </c>
      <c r="H479" s="1929">
        <v>0.8</v>
      </c>
      <c r="I479" s="1929">
        <v>27.3</v>
      </c>
      <c r="J479" s="1929">
        <v>530</v>
      </c>
      <c r="K479" s="1929" t="s">
        <v>4350</v>
      </c>
    </row>
    <row r="480" spans="1:11" x14ac:dyDescent="0.2">
      <c r="A480" s="1929" t="s">
        <v>4349</v>
      </c>
      <c r="B480" s="1929" t="s">
        <v>1238</v>
      </c>
      <c r="C480" s="1929" t="s">
        <v>1878</v>
      </c>
      <c r="D480" s="1929" t="s">
        <v>1013</v>
      </c>
      <c r="E480" s="1929" t="s">
        <v>91</v>
      </c>
      <c r="F480" s="1929">
        <v>17.7</v>
      </c>
      <c r="G480" s="1929">
        <v>6.6</v>
      </c>
      <c r="H480" s="1929">
        <v>1.7</v>
      </c>
      <c r="I480" s="1929">
        <v>45</v>
      </c>
      <c r="J480" s="1929">
        <v>531</v>
      </c>
      <c r="K480" s="1929" t="s">
        <v>4348</v>
      </c>
    </row>
    <row r="481" spans="1:11" x14ac:dyDescent="0.2">
      <c r="A481" s="1929" t="s">
        <v>4347</v>
      </c>
      <c r="B481" s="1929" t="s">
        <v>1217</v>
      </c>
      <c r="C481" s="1929" t="s">
        <v>1456</v>
      </c>
      <c r="D481" s="1929" t="s">
        <v>1013</v>
      </c>
      <c r="E481" s="1929" t="s">
        <v>91</v>
      </c>
      <c r="F481" s="1929">
        <v>12.9</v>
      </c>
      <c r="G481" s="1929">
        <v>9.3000000000000007</v>
      </c>
      <c r="H481" s="1929">
        <v>1.9</v>
      </c>
      <c r="I481" s="1929">
        <v>36.299999999999997</v>
      </c>
      <c r="J481" s="1929">
        <v>534</v>
      </c>
      <c r="K481" s="1929" t="s">
        <v>4346</v>
      </c>
    </row>
    <row r="482" spans="1:11" x14ac:dyDescent="0.2">
      <c r="A482" s="1929" t="s">
        <v>4345</v>
      </c>
      <c r="B482" s="1929" t="s">
        <v>1245</v>
      </c>
      <c r="C482" s="1929" t="s">
        <v>1479</v>
      </c>
      <c r="D482" s="1929" t="s">
        <v>1013</v>
      </c>
      <c r="E482" s="1929" t="s">
        <v>91</v>
      </c>
      <c r="F482" s="1929">
        <v>11.9</v>
      </c>
      <c r="G482" s="1929">
        <v>37.200000000000003</v>
      </c>
      <c r="H482" s="1929">
        <v>0.8</v>
      </c>
      <c r="I482" s="1929">
        <v>19.5</v>
      </c>
      <c r="J482" s="1929">
        <v>566</v>
      </c>
      <c r="K482" s="1929" t="s">
        <v>4344</v>
      </c>
    </row>
    <row r="483" spans="1:11" x14ac:dyDescent="0.2">
      <c r="A483" s="1929" t="s">
        <v>4343</v>
      </c>
      <c r="B483" s="1929" t="s">
        <v>1310</v>
      </c>
      <c r="C483" s="1929" t="s">
        <v>1309</v>
      </c>
      <c r="D483" s="1929" t="s">
        <v>1013</v>
      </c>
      <c r="E483" s="1929" t="s">
        <v>91</v>
      </c>
      <c r="F483" s="1929">
        <v>12.6</v>
      </c>
      <c r="G483" s="1929">
        <v>9</v>
      </c>
      <c r="H483" s="1929">
        <v>1.5</v>
      </c>
      <c r="I483" s="1929">
        <v>27.6</v>
      </c>
      <c r="J483" s="1929">
        <v>595</v>
      </c>
      <c r="K483" s="1929" t="s">
        <v>4342</v>
      </c>
    </row>
    <row r="484" spans="1:11" x14ac:dyDescent="0.2">
      <c r="A484" s="1929" t="s">
        <v>4341</v>
      </c>
      <c r="B484" s="1929" t="s">
        <v>1238</v>
      </c>
      <c r="C484" s="1929" t="s">
        <v>1434</v>
      </c>
      <c r="D484" s="1929" t="s">
        <v>1013</v>
      </c>
      <c r="E484" s="1929" t="s">
        <v>91</v>
      </c>
      <c r="F484" s="1929">
        <v>21.7</v>
      </c>
      <c r="G484" s="1929">
        <v>5</v>
      </c>
      <c r="H484" s="1929">
        <v>1.7</v>
      </c>
      <c r="I484" s="1929">
        <v>27.8</v>
      </c>
      <c r="J484" s="1929">
        <v>632</v>
      </c>
      <c r="K484" s="1929" t="s">
        <v>4340</v>
      </c>
    </row>
    <row r="485" spans="1:11" x14ac:dyDescent="0.2">
      <c r="A485" s="1929" t="s">
        <v>4339</v>
      </c>
      <c r="B485" s="1929" t="s">
        <v>1217</v>
      </c>
      <c r="C485" s="1929" t="s">
        <v>1456</v>
      </c>
      <c r="D485" s="1929" t="s">
        <v>1013</v>
      </c>
      <c r="E485" s="1929" t="s">
        <v>91</v>
      </c>
      <c r="F485" s="1929">
        <v>8</v>
      </c>
      <c r="G485" s="1929">
        <v>10.199999999999999</v>
      </c>
      <c r="H485" s="1929">
        <v>1.4</v>
      </c>
      <c r="I485" s="1929">
        <v>34.1</v>
      </c>
      <c r="J485" s="1929">
        <v>633</v>
      </c>
      <c r="K485" s="1929" t="s">
        <v>4338</v>
      </c>
    </row>
    <row r="486" spans="1:11" x14ac:dyDescent="0.2">
      <c r="A486" s="1929" t="s">
        <v>4337</v>
      </c>
      <c r="B486" s="1929" t="s">
        <v>1238</v>
      </c>
      <c r="C486" s="1929" t="s">
        <v>3030</v>
      </c>
      <c r="D486" s="1929" t="s">
        <v>1013</v>
      </c>
      <c r="E486" s="1929" t="s">
        <v>91</v>
      </c>
      <c r="F486" s="1929">
        <v>12.5</v>
      </c>
      <c r="G486" s="1929">
        <v>20.7</v>
      </c>
      <c r="H486" s="1929">
        <v>0.8</v>
      </c>
      <c r="I486" s="1929">
        <v>12.5</v>
      </c>
      <c r="J486" s="1929">
        <v>690</v>
      </c>
      <c r="K486" s="1929" t="s">
        <v>4336</v>
      </c>
    </row>
    <row r="487" spans="1:11" x14ac:dyDescent="0.2">
      <c r="A487" s="1929" t="s">
        <v>4335</v>
      </c>
      <c r="B487" s="1929" t="s">
        <v>1217</v>
      </c>
      <c r="C487" s="1929" t="s">
        <v>1456</v>
      </c>
      <c r="D487" s="1929" t="s">
        <v>1013</v>
      </c>
      <c r="E487" s="1929" t="s">
        <v>91</v>
      </c>
      <c r="F487" s="1929">
        <v>15.7</v>
      </c>
      <c r="G487" s="1929">
        <v>3</v>
      </c>
      <c r="H487" s="1929">
        <v>2.1</v>
      </c>
      <c r="I487" s="1929">
        <v>39.200000000000003</v>
      </c>
      <c r="J487" s="1929">
        <v>692</v>
      </c>
      <c r="K487" s="1929" t="s">
        <v>4334</v>
      </c>
    </row>
    <row r="488" spans="1:11" x14ac:dyDescent="0.2">
      <c r="A488" s="1929" t="s">
        <v>4333</v>
      </c>
      <c r="B488" s="1929" t="s">
        <v>1217</v>
      </c>
      <c r="C488" s="1929" t="s">
        <v>1456</v>
      </c>
      <c r="D488" s="1929" t="s">
        <v>1013</v>
      </c>
      <c r="E488" s="1929" t="s">
        <v>91</v>
      </c>
      <c r="F488" s="1929">
        <v>8.8000000000000007</v>
      </c>
      <c r="G488" s="1929">
        <v>6.4</v>
      </c>
      <c r="H488" s="1929">
        <v>1.1000000000000001</v>
      </c>
      <c r="I488" s="1929">
        <v>45.7</v>
      </c>
      <c r="J488" s="1929">
        <v>704</v>
      </c>
      <c r="K488" s="1929" t="s">
        <v>4332</v>
      </c>
    </row>
    <row r="489" spans="1:11" x14ac:dyDescent="0.2">
      <c r="A489" s="1929" t="s">
        <v>4331</v>
      </c>
      <c r="B489" s="1929" t="s">
        <v>1217</v>
      </c>
      <c r="C489" s="1929" t="s">
        <v>1456</v>
      </c>
      <c r="D489" s="1929" t="s">
        <v>1013</v>
      </c>
      <c r="E489" s="1929" t="s">
        <v>91</v>
      </c>
      <c r="F489" s="1929">
        <v>8.1</v>
      </c>
      <c r="G489" s="1929">
        <v>4.3</v>
      </c>
      <c r="H489" s="1929">
        <v>3.1</v>
      </c>
      <c r="I489" s="1929">
        <v>62.8</v>
      </c>
      <c r="J489" s="1929">
        <v>729</v>
      </c>
      <c r="K489" s="1929" t="s">
        <v>4330</v>
      </c>
    </row>
    <row r="490" spans="1:11" x14ac:dyDescent="0.2">
      <c r="A490" s="1929" t="s">
        <v>4329</v>
      </c>
      <c r="B490" s="1929" t="s">
        <v>1228</v>
      </c>
      <c r="C490" s="1929" t="s">
        <v>1589</v>
      </c>
      <c r="D490" s="1929" t="s">
        <v>1013</v>
      </c>
      <c r="E490" s="1929" t="s">
        <v>91</v>
      </c>
      <c r="F490" s="1929">
        <v>39.700000000000003</v>
      </c>
      <c r="G490" s="1929">
        <v>8.5</v>
      </c>
      <c r="H490" s="1929">
        <v>1.3</v>
      </c>
      <c r="I490" s="1929">
        <v>6</v>
      </c>
      <c r="J490" s="1929">
        <v>742</v>
      </c>
      <c r="K490" s="1929" t="s">
        <v>4328</v>
      </c>
    </row>
    <row r="491" spans="1:11" x14ac:dyDescent="0.2">
      <c r="A491" s="1929" t="s">
        <v>4327</v>
      </c>
      <c r="B491" s="1929" t="s">
        <v>1234</v>
      </c>
      <c r="C491" s="1929" t="s">
        <v>1445</v>
      </c>
      <c r="D491" s="1929" t="s">
        <v>1013</v>
      </c>
      <c r="E491" s="1929" t="s">
        <v>91</v>
      </c>
      <c r="F491" s="1929">
        <v>6.5</v>
      </c>
      <c r="G491" s="1929">
        <v>11.4</v>
      </c>
      <c r="H491" s="1929">
        <v>0.8</v>
      </c>
      <c r="I491" s="1929">
        <v>34.5</v>
      </c>
      <c r="J491" s="1929">
        <v>754</v>
      </c>
      <c r="K491" s="1929" t="s">
        <v>4326</v>
      </c>
    </row>
    <row r="492" spans="1:11" x14ac:dyDescent="0.2">
      <c r="A492" s="1929" t="s">
        <v>4325</v>
      </c>
      <c r="B492" s="1929" t="s">
        <v>1217</v>
      </c>
      <c r="C492" s="1929" t="s">
        <v>1456</v>
      </c>
      <c r="D492" s="1929" t="s">
        <v>1013</v>
      </c>
      <c r="E492" s="1929" t="s">
        <v>91</v>
      </c>
      <c r="F492" s="1929">
        <v>7.6</v>
      </c>
      <c r="G492" s="1929">
        <v>6.8</v>
      </c>
      <c r="H492" s="1929">
        <v>1.2</v>
      </c>
      <c r="I492" s="1929">
        <v>29</v>
      </c>
      <c r="J492" s="1929">
        <v>788</v>
      </c>
      <c r="K492" s="1929" t="s">
        <v>4324</v>
      </c>
    </row>
    <row r="493" spans="1:11" x14ac:dyDescent="0.2">
      <c r="A493" s="1929" t="s">
        <v>4323</v>
      </c>
      <c r="B493" s="1929" t="s">
        <v>1217</v>
      </c>
      <c r="C493" s="1929" t="s">
        <v>1216</v>
      </c>
      <c r="D493" s="1929" t="s">
        <v>1013</v>
      </c>
      <c r="E493" s="1929" t="s">
        <v>91</v>
      </c>
      <c r="F493" s="1929">
        <v>9.1</v>
      </c>
      <c r="G493" s="1929">
        <v>4.0999999999999996</v>
      </c>
      <c r="H493" s="1929">
        <v>0.9</v>
      </c>
      <c r="I493" s="1929">
        <v>97.2</v>
      </c>
      <c r="J493" s="1929">
        <v>817</v>
      </c>
      <c r="K493" s="1929" t="s">
        <v>4322</v>
      </c>
    </row>
    <row r="494" spans="1:11" x14ac:dyDescent="0.2">
      <c r="A494" s="1929" t="s">
        <v>4321</v>
      </c>
      <c r="B494" s="1929" t="s">
        <v>1228</v>
      </c>
      <c r="C494" s="1929" t="s">
        <v>1589</v>
      </c>
      <c r="D494" s="1929" t="s">
        <v>1013</v>
      </c>
      <c r="E494" s="1929" t="s">
        <v>91</v>
      </c>
      <c r="F494" s="1929">
        <v>16.5</v>
      </c>
      <c r="G494" s="1929">
        <v>11.3</v>
      </c>
      <c r="H494" s="1929">
        <v>1</v>
      </c>
      <c r="I494" s="1929">
        <v>5.5</v>
      </c>
      <c r="J494" s="1929">
        <v>825</v>
      </c>
      <c r="K494" s="1929" t="s">
        <v>4320</v>
      </c>
    </row>
    <row r="495" spans="1:11" x14ac:dyDescent="0.2">
      <c r="A495" s="1929" t="s">
        <v>4319</v>
      </c>
      <c r="B495" s="1929" t="s">
        <v>1228</v>
      </c>
      <c r="C495" s="1929" t="s">
        <v>1276</v>
      </c>
      <c r="D495" s="1929" t="s">
        <v>1013</v>
      </c>
      <c r="E495" s="1929" t="s">
        <v>91</v>
      </c>
      <c r="F495" s="1929">
        <v>15.8</v>
      </c>
      <c r="G495" s="1929">
        <v>9</v>
      </c>
      <c r="H495" s="1929">
        <v>0.9</v>
      </c>
      <c r="I495" s="1929">
        <v>6.9</v>
      </c>
      <c r="J495" s="1929">
        <v>893</v>
      </c>
      <c r="K495" s="1929" t="s">
        <v>4318</v>
      </c>
    </row>
    <row r="496" spans="1:11" x14ac:dyDescent="0.2">
      <c r="A496" s="1929" t="s">
        <v>4317</v>
      </c>
      <c r="B496" s="1929" t="s">
        <v>1310</v>
      </c>
      <c r="C496" s="1929" t="s">
        <v>1309</v>
      </c>
      <c r="D496" s="1929" t="s">
        <v>1013</v>
      </c>
      <c r="E496" s="1929" t="s">
        <v>91</v>
      </c>
      <c r="F496" s="1929">
        <v>18.7</v>
      </c>
      <c r="G496" s="1929">
        <v>1.3</v>
      </c>
      <c r="H496" s="1929">
        <v>1.4</v>
      </c>
      <c r="I496" s="1929">
        <v>13.6</v>
      </c>
      <c r="J496" s="1929">
        <v>904</v>
      </c>
      <c r="K496" s="1929" t="s">
        <v>4316</v>
      </c>
    </row>
    <row r="497" spans="1:11" x14ac:dyDescent="0.2">
      <c r="A497" s="1929" t="s">
        <v>4315</v>
      </c>
      <c r="B497" s="1929" t="s">
        <v>1310</v>
      </c>
      <c r="C497" s="1929" t="s">
        <v>1379</v>
      </c>
      <c r="D497" s="1929" t="s">
        <v>1013</v>
      </c>
      <c r="E497" s="1929" t="s">
        <v>91</v>
      </c>
      <c r="F497" s="1929">
        <v>21.2</v>
      </c>
      <c r="G497" s="1929">
        <v>3.6</v>
      </c>
      <c r="H497" s="1929">
        <v>0.9</v>
      </c>
      <c r="I497" s="1929">
        <v>13.7</v>
      </c>
      <c r="J497" s="1929">
        <v>951</v>
      </c>
      <c r="K497" s="1929" t="s">
        <v>4314</v>
      </c>
    </row>
    <row r="498" spans="1:11" x14ac:dyDescent="0.2">
      <c r="A498" s="1929" t="s">
        <v>4313</v>
      </c>
      <c r="B498" s="1929" t="s">
        <v>1217</v>
      </c>
      <c r="C498" s="1929" t="s">
        <v>1456</v>
      </c>
      <c r="D498" s="1929" t="s">
        <v>1013</v>
      </c>
      <c r="E498" s="1929" t="s">
        <v>91</v>
      </c>
      <c r="F498" s="1929">
        <v>11.4</v>
      </c>
      <c r="G498" s="1929">
        <v>0.9</v>
      </c>
      <c r="H498" s="1929">
        <v>2.5</v>
      </c>
      <c r="I498" s="1929">
        <v>13.4</v>
      </c>
      <c r="J498" s="1929">
        <v>954</v>
      </c>
      <c r="K498" s="1929" t="s">
        <v>4312</v>
      </c>
    </row>
    <row r="499" spans="1:11" x14ac:dyDescent="0.2">
      <c r="A499" s="1929" t="s">
        <v>4311</v>
      </c>
      <c r="B499" s="1929" t="s">
        <v>1238</v>
      </c>
      <c r="C499" s="1929" t="s">
        <v>1485</v>
      </c>
      <c r="D499" s="1929" t="s">
        <v>1013</v>
      </c>
      <c r="E499" s="1929" t="s">
        <v>91</v>
      </c>
      <c r="F499" s="1929">
        <v>7.4</v>
      </c>
      <c r="G499" s="1929">
        <v>13</v>
      </c>
      <c r="H499" s="1929">
        <v>0.3</v>
      </c>
      <c r="I499" s="1929">
        <v>22.1</v>
      </c>
      <c r="J499" s="1929">
        <v>972</v>
      </c>
      <c r="K499" s="1929" t="s">
        <v>4310</v>
      </c>
    </row>
    <row r="500" spans="1:11" x14ac:dyDescent="0.2">
      <c r="A500" s="1929" t="s">
        <v>4309</v>
      </c>
      <c r="B500" s="1929" t="s">
        <v>1238</v>
      </c>
      <c r="C500" s="1929" t="s">
        <v>1878</v>
      </c>
      <c r="D500" s="1929" t="s">
        <v>1013</v>
      </c>
      <c r="E500" s="1929" t="s">
        <v>91</v>
      </c>
      <c r="F500" s="1929">
        <v>6.3</v>
      </c>
      <c r="G500" s="1929">
        <v>97.9</v>
      </c>
      <c r="H500" s="1929">
        <v>0.2</v>
      </c>
      <c r="I500" s="1929">
        <v>19.7</v>
      </c>
      <c r="J500" s="1929">
        <v>975</v>
      </c>
      <c r="K500" s="1929" t="s">
        <v>4308</v>
      </c>
    </row>
    <row r="501" spans="1:11" x14ac:dyDescent="0.2">
      <c r="A501" s="1929" t="s">
        <v>4307</v>
      </c>
      <c r="B501" s="1929" t="s">
        <v>1228</v>
      </c>
      <c r="C501" s="1929" t="s">
        <v>1297</v>
      </c>
      <c r="D501" s="1929" t="s">
        <v>1013</v>
      </c>
      <c r="E501" s="1929" t="s">
        <v>91</v>
      </c>
      <c r="F501" s="1929">
        <v>11.9</v>
      </c>
      <c r="G501" s="1929">
        <v>14</v>
      </c>
      <c r="H501" s="1929">
        <v>0.5</v>
      </c>
      <c r="I501" s="1929">
        <v>8.1999999999999993</v>
      </c>
      <c r="J501" s="1929">
        <v>1010</v>
      </c>
      <c r="K501" s="1929" t="s">
        <v>4306</v>
      </c>
    </row>
    <row r="502" spans="1:11" x14ac:dyDescent="0.2">
      <c r="A502" s="1929" t="s">
        <v>4305</v>
      </c>
      <c r="B502" s="1929" t="s">
        <v>1228</v>
      </c>
      <c r="C502" s="1929" t="s">
        <v>1589</v>
      </c>
      <c r="D502" s="1929" t="s">
        <v>1013</v>
      </c>
      <c r="E502" s="1929" t="s">
        <v>91</v>
      </c>
      <c r="F502" s="1929">
        <v>22.1</v>
      </c>
      <c r="G502" s="1929">
        <v>5.0999999999999996</v>
      </c>
      <c r="H502" s="1929">
        <v>0.6</v>
      </c>
      <c r="I502" s="1929">
        <v>8.8000000000000007</v>
      </c>
      <c r="J502" s="1929">
        <v>1067</v>
      </c>
      <c r="K502" s="1929" t="s">
        <v>4304</v>
      </c>
    </row>
    <row r="503" spans="1:11" x14ac:dyDescent="0.2">
      <c r="A503" s="1929" t="s">
        <v>4303</v>
      </c>
      <c r="B503" s="1929" t="s">
        <v>1228</v>
      </c>
      <c r="C503" s="1929" t="s">
        <v>1297</v>
      </c>
      <c r="D503" s="1929" t="s">
        <v>1013</v>
      </c>
      <c r="E503" s="1929" t="s">
        <v>91</v>
      </c>
      <c r="F503" s="1929">
        <v>6.8</v>
      </c>
      <c r="G503" s="1929">
        <v>18.899999999999999</v>
      </c>
      <c r="H503" s="1929">
        <v>0.2</v>
      </c>
      <c r="I503" s="1929">
        <v>20</v>
      </c>
      <c r="J503" s="1929">
        <v>1068</v>
      </c>
      <c r="K503" s="1929" t="s">
        <v>4302</v>
      </c>
    </row>
    <row r="504" spans="1:11" x14ac:dyDescent="0.2">
      <c r="A504" s="1929" t="s">
        <v>4301</v>
      </c>
      <c r="B504" s="1929" t="s">
        <v>1217</v>
      </c>
      <c r="C504" s="1929" t="s">
        <v>1368</v>
      </c>
      <c r="D504" s="1929" t="s">
        <v>1013</v>
      </c>
      <c r="E504" s="1929" t="s">
        <v>91</v>
      </c>
      <c r="F504" s="1929">
        <v>17.899999999999999</v>
      </c>
      <c r="G504" s="1929">
        <v>1</v>
      </c>
      <c r="H504" s="1929">
        <v>0.6</v>
      </c>
      <c r="I504" s="1929">
        <v>11.1</v>
      </c>
      <c r="J504" s="1929">
        <v>1144</v>
      </c>
      <c r="K504" s="1929" t="s">
        <v>4300</v>
      </c>
    </row>
    <row r="505" spans="1:11" x14ac:dyDescent="0.2">
      <c r="A505" s="1929" t="s">
        <v>4299</v>
      </c>
      <c r="B505" s="1929" t="s">
        <v>1217</v>
      </c>
      <c r="C505" s="1929" t="s">
        <v>1456</v>
      </c>
      <c r="D505" s="1929" t="s">
        <v>1013</v>
      </c>
      <c r="E505" s="1929" t="s">
        <v>91</v>
      </c>
      <c r="F505" s="1929">
        <v>6.8</v>
      </c>
      <c r="G505" s="1929">
        <v>1.3</v>
      </c>
      <c r="H505" s="1929">
        <v>0.6</v>
      </c>
      <c r="I505" s="1929">
        <v>25.7</v>
      </c>
      <c r="J505" s="1929">
        <v>1175</v>
      </c>
      <c r="K505" s="1929" t="s">
        <v>4298</v>
      </c>
    </row>
    <row r="506" spans="1:11" x14ac:dyDescent="0.2">
      <c r="A506" s="1929" t="s">
        <v>4297</v>
      </c>
      <c r="B506" s="1929" t="s">
        <v>1310</v>
      </c>
      <c r="C506" s="1929" t="s">
        <v>1379</v>
      </c>
      <c r="D506" s="1929" t="s">
        <v>1013</v>
      </c>
      <c r="E506" s="1929" t="s">
        <v>91</v>
      </c>
      <c r="F506" s="1929">
        <v>11.4</v>
      </c>
      <c r="G506" s="1929">
        <v>4.9000000000000004</v>
      </c>
      <c r="H506" s="1929">
        <v>0.5</v>
      </c>
      <c r="I506" s="1929">
        <v>12.5</v>
      </c>
      <c r="J506" s="1929">
        <v>1196</v>
      </c>
      <c r="K506" s="1929" t="s">
        <v>4296</v>
      </c>
    </row>
    <row r="507" spans="1:11" x14ac:dyDescent="0.2">
      <c r="A507" s="1929" t="s">
        <v>4295</v>
      </c>
      <c r="B507" s="1929" t="s">
        <v>1217</v>
      </c>
      <c r="C507" s="1929" t="s">
        <v>1252</v>
      </c>
      <c r="D507" s="1929" t="s">
        <v>1013</v>
      </c>
      <c r="E507" s="1929" t="s">
        <v>91</v>
      </c>
      <c r="F507" s="1929">
        <v>4.4000000000000004</v>
      </c>
      <c r="G507" s="1929">
        <v>11.9</v>
      </c>
      <c r="H507" s="1929">
        <v>0.2</v>
      </c>
      <c r="I507" s="1929">
        <v>40.299999999999997</v>
      </c>
      <c r="J507" s="1929">
        <v>1197</v>
      </c>
      <c r="K507" s="1929" t="s">
        <v>4294</v>
      </c>
    </row>
    <row r="508" spans="1:11" x14ac:dyDescent="0.2">
      <c r="A508" s="1929" t="s">
        <v>4293</v>
      </c>
      <c r="B508" s="1929" t="s">
        <v>1245</v>
      </c>
      <c r="C508" s="1929" t="s">
        <v>1507</v>
      </c>
      <c r="D508" s="1929" t="s">
        <v>1013</v>
      </c>
      <c r="E508" s="1929" t="s">
        <v>91</v>
      </c>
      <c r="F508" s="1929">
        <v>7.2</v>
      </c>
      <c r="G508" s="1929">
        <v>12.1</v>
      </c>
      <c r="H508" s="1929">
        <v>0.2</v>
      </c>
      <c r="I508" s="1929">
        <v>16.7</v>
      </c>
      <c r="J508" s="1929">
        <v>1220</v>
      </c>
      <c r="K508" s="1929" t="s">
        <v>4292</v>
      </c>
    </row>
    <row r="509" spans="1:11" x14ac:dyDescent="0.2">
      <c r="A509" s="1929" t="s">
        <v>4291</v>
      </c>
      <c r="B509" s="1929" t="s">
        <v>1217</v>
      </c>
      <c r="C509" s="1929" t="s">
        <v>1456</v>
      </c>
      <c r="D509" s="1929" t="s">
        <v>1013</v>
      </c>
      <c r="E509" s="1929" t="s">
        <v>91</v>
      </c>
      <c r="F509" s="1929">
        <v>2.9</v>
      </c>
      <c r="G509" s="1929">
        <v>5.4</v>
      </c>
      <c r="H509" s="1929">
        <v>0.8</v>
      </c>
      <c r="I509" s="1929">
        <v>16.7</v>
      </c>
      <c r="J509" s="1929">
        <v>1256</v>
      </c>
      <c r="K509" s="1929" t="s">
        <v>4290</v>
      </c>
    </row>
    <row r="510" spans="1:11" x14ac:dyDescent="0.2">
      <c r="A510" s="1929" t="s">
        <v>4289</v>
      </c>
      <c r="B510" s="1929" t="s">
        <v>1228</v>
      </c>
      <c r="C510" s="1929" t="s">
        <v>1276</v>
      </c>
      <c r="D510" s="1929" t="s">
        <v>1013</v>
      </c>
      <c r="E510" s="1929" t="s">
        <v>91</v>
      </c>
      <c r="F510" s="1929">
        <v>19.399999999999999</v>
      </c>
      <c r="G510" s="1929">
        <v>3</v>
      </c>
      <c r="H510" s="1929">
        <v>0.6</v>
      </c>
      <c r="I510" s="1929">
        <v>2</v>
      </c>
      <c r="J510" s="1929">
        <v>1262</v>
      </c>
      <c r="K510" s="1929" t="s">
        <v>4288</v>
      </c>
    </row>
    <row r="511" spans="1:11" x14ac:dyDescent="0.2">
      <c r="A511" s="1929" t="s">
        <v>4287</v>
      </c>
      <c r="B511" s="1929" t="s">
        <v>1228</v>
      </c>
      <c r="C511" s="1929" t="s">
        <v>1539</v>
      </c>
      <c r="D511" s="1929" t="s">
        <v>1013</v>
      </c>
      <c r="E511" s="1929" t="s">
        <v>91</v>
      </c>
      <c r="F511" s="1929">
        <v>8.4</v>
      </c>
      <c r="G511" s="1929">
        <v>5.9</v>
      </c>
      <c r="H511" s="1929">
        <v>0.7</v>
      </c>
      <c r="I511" s="1929">
        <v>5.5</v>
      </c>
      <c r="J511" s="1929">
        <v>1277</v>
      </c>
      <c r="K511" s="1929" t="s">
        <v>4286</v>
      </c>
    </row>
    <row r="512" spans="1:11" x14ac:dyDescent="0.2">
      <c r="A512" s="1929" t="s">
        <v>4285</v>
      </c>
      <c r="B512" s="1929" t="s">
        <v>1238</v>
      </c>
      <c r="C512" s="1929" t="s">
        <v>1700</v>
      </c>
      <c r="D512" s="1929" t="s">
        <v>1013</v>
      </c>
      <c r="E512" s="1929" t="s">
        <v>91</v>
      </c>
      <c r="F512" s="1929">
        <v>8.3000000000000007</v>
      </c>
      <c r="G512" s="1929">
        <v>1.3</v>
      </c>
      <c r="H512" s="1929">
        <v>0.5</v>
      </c>
      <c r="I512" s="1929">
        <v>11.1</v>
      </c>
      <c r="J512" s="1929">
        <v>1468</v>
      </c>
      <c r="K512" s="1929" t="s">
        <v>4284</v>
      </c>
    </row>
    <row r="513" spans="1:11" x14ac:dyDescent="0.2">
      <c r="A513" s="1929" t="s">
        <v>4283</v>
      </c>
      <c r="B513" s="1929" t="s">
        <v>1217</v>
      </c>
      <c r="C513" s="1929" t="s">
        <v>1456</v>
      </c>
      <c r="D513" s="1929" t="s">
        <v>1013</v>
      </c>
      <c r="E513" s="1929" t="s">
        <v>91</v>
      </c>
      <c r="F513" s="1929">
        <v>3.8</v>
      </c>
      <c r="G513" s="1929">
        <v>0.7</v>
      </c>
      <c r="H513" s="1929">
        <v>0.6</v>
      </c>
      <c r="I513" s="1929">
        <v>17.399999999999999</v>
      </c>
      <c r="J513" s="1929">
        <v>1551</v>
      </c>
      <c r="K513" s="1929" t="s">
        <v>4282</v>
      </c>
    </row>
    <row r="514" spans="1:11" x14ac:dyDescent="0.2">
      <c r="A514" s="1929" t="s">
        <v>4281</v>
      </c>
      <c r="B514" s="1929" t="s">
        <v>1306</v>
      </c>
      <c r="C514" s="1929" t="s">
        <v>1305</v>
      </c>
      <c r="D514" s="1929" t="s">
        <v>1013</v>
      </c>
      <c r="E514" s="1929" t="s">
        <v>91</v>
      </c>
      <c r="F514" s="1929">
        <v>10</v>
      </c>
      <c r="G514" s="1929">
        <v>7.1</v>
      </c>
      <c r="H514" s="1929">
        <v>0.3</v>
      </c>
      <c r="I514" s="1929">
        <v>4.4000000000000004</v>
      </c>
      <c r="J514" s="1929">
        <v>1564</v>
      </c>
      <c r="K514" s="1929" t="s">
        <v>4280</v>
      </c>
    </row>
    <row r="515" spans="1:11" x14ac:dyDescent="0.2">
      <c r="A515" s="1929" t="s">
        <v>4279</v>
      </c>
      <c r="B515" s="1929" t="s">
        <v>1217</v>
      </c>
      <c r="C515" s="1929" t="s">
        <v>1456</v>
      </c>
      <c r="D515" s="1929" t="s">
        <v>1013</v>
      </c>
      <c r="E515" s="1929" t="s">
        <v>91</v>
      </c>
      <c r="F515" s="1929">
        <v>2.1</v>
      </c>
      <c r="G515" s="1929">
        <v>2</v>
      </c>
      <c r="H515" s="1929">
        <v>0.5</v>
      </c>
      <c r="I515" s="1929">
        <v>17.399999999999999</v>
      </c>
      <c r="J515" s="1929">
        <v>1601</v>
      </c>
      <c r="K515" s="1929" t="s">
        <v>4278</v>
      </c>
    </row>
    <row r="516" spans="1:11" x14ac:dyDescent="0.2">
      <c r="A516" s="1929" t="s">
        <v>4277</v>
      </c>
      <c r="B516" s="1929" t="s">
        <v>1217</v>
      </c>
      <c r="C516" s="1929" t="s">
        <v>1403</v>
      </c>
      <c r="D516" s="1929" t="s">
        <v>1013</v>
      </c>
      <c r="E516" s="1929" t="s">
        <v>91</v>
      </c>
      <c r="F516" s="1929">
        <v>3.1</v>
      </c>
      <c r="G516" s="1929">
        <v>2.7</v>
      </c>
      <c r="H516" s="1929">
        <v>0.5</v>
      </c>
      <c r="I516" s="1929">
        <v>15.6</v>
      </c>
      <c r="J516" s="1929">
        <v>1625</v>
      </c>
      <c r="K516" s="1929" t="s">
        <v>4276</v>
      </c>
    </row>
    <row r="517" spans="1:11" x14ac:dyDescent="0.2">
      <c r="A517" s="1929" t="s">
        <v>4275</v>
      </c>
      <c r="D517" s="1929" t="s">
        <v>1013</v>
      </c>
      <c r="E517" s="1929" t="s">
        <v>91</v>
      </c>
      <c r="F517" s="1929">
        <v>7.7</v>
      </c>
      <c r="G517" s="1929">
        <v>1</v>
      </c>
      <c r="H517" s="1929">
        <v>0.5</v>
      </c>
      <c r="I517" s="1929">
        <v>3.1</v>
      </c>
      <c r="J517" s="1929">
        <v>1680</v>
      </c>
      <c r="K517" s="1929" t="s">
        <v>4274</v>
      </c>
    </row>
    <row r="518" spans="1:11" x14ac:dyDescent="0.2">
      <c r="A518" s="1929" t="s">
        <v>4273</v>
      </c>
      <c r="B518" s="1929" t="s">
        <v>1234</v>
      </c>
      <c r="C518" s="1929" t="s">
        <v>1461</v>
      </c>
      <c r="D518" s="1929" t="s">
        <v>1013</v>
      </c>
      <c r="E518" s="1929" t="s">
        <v>91</v>
      </c>
      <c r="F518" s="1929">
        <v>2.1</v>
      </c>
      <c r="G518" s="1929">
        <v>12.2</v>
      </c>
      <c r="H518" s="1929">
        <v>0.2</v>
      </c>
      <c r="I518" s="1929">
        <v>10.7</v>
      </c>
      <c r="J518" s="1929">
        <v>1698</v>
      </c>
      <c r="K518" s="1929" t="s">
        <v>4272</v>
      </c>
    </row>
    <row r="519" spans="1:11" x14ac:dyDescent="0.2">
      <c r="A519" s="1929" t="s">
        <v>4271</v>
      </c>
      <c r="D519" s="1929" t="s">
        <v>1013</v>
      </c>
      <c r="E519" s="1929" t="s">
        <v>91</v>
      </c>
      <c r="F519" s="1929">
        <v>1.3</v>
      </c>
      <c r="G519" s="1929">
        <v>0</v>
      </c>
      <c r="H519" s="1929">
        <v>1.2</v>
      </c>
      <c r="I519" s="1929">
        <v>2</v>
      </c>
      <c r="J519" s="1929">
        <v>1734</v>
      </c>
      <c r="K519" s="1929" t="s">
        <v>4270</v>
      </c>
    </row>
    <row r="520" spans="1:11" x14ac:dyDescent="0.2">
      <c r="A520" s="1929" t="s">
        <v>4269</v>
      </c>
      <c r="B520" s="1929" t="s">
        <v>1217</v>
      </c>
      <c r="C520" s="1929" t="s">
        <v>1456</v>
      </c>
      <c r="D520" s="1929" t="s">
        <v>1013</v>
      </c>
      <c r="E520" s="1929" t="s">
        <v>91</v>
      </c>
      <c r="F520" s="1929">
        <v>4.7</v>
      </c>
      <c r="G520" s="1929">
        <v>0.9</v>
      </c>
      <c r="H520" s="1929">
        <v>0.8</v>
      </c>
      <c r="I520" s="1929">
        <v>9.8000000000000007</v>
      </c>
      <c r="J520" s="1929">
        <v>1750</v>
      </c>
      <c r="K520" s="1929" t="s">
        <v>4268</v>
      </c>
    </row>
    <row r="521" spans="1:11" x14ac:dyDescent="0.2">
      <c r="A521" s="1929" t="s">
        <v>4267</v>
      </c>
      <c r="B521" s="1929" t="s">
        <v>1217</v>
      </c>
      <c r="C521" s="1929" t="s">
        <v>1456</v>
      </c>
      <c r="D521" s="1929" t="s">
        <v>1013</v>
      </c>
      <c r="E521" s="1929" t="s">
        <v>91</v>
      </c>
      <c r="F521" s="1929">
        <v>4.5999999999999996</v>
      </c>
      <c r="G521" s="1929">
        <v>0.4</v>
      </c>
      <c r="H521" s="1929">
        <v>0.8</v>
      </c>
      <c r="I521" s="1929">
        <v>9.8000000000000007</v>
      </c>
      <c r="J521" s="1929">
        <v>1763</v>
      </c>
      <c r="K521" s="1929" t="s">
        <v>4266</v>
      </c>
    </row>
    <row r="522" spans="1:11" x14ac:dyDescent="0.2">
      <c r="A522" s="1929" t="s">
        <v>4265</v>
      </c>
      <c r="B522" s="1929" t="s">
        <v>1217</v>
      </c>
      <c r="C522" s="1929" t="s">
        <v>1216</v>
      </c>
      <c r="D522" s="1929" t="s">
        <v>1013</v>
      </c>
      <c r="E522" s="1929" t="s">
        <v>91</v>
      </c>
      <c r="F522" s="1929">
        <v>4.9000000000000004</v>
      </c>
      <c r="G522" s="1929">
        <v>0.9</v>
      </c>
      <c r="H522" s="1929">
        <v>0.3</v>
      </c>
      <c r="I522" s="1929">
        <v>27.6</v>
      </c>
      <c r="J522" s="1929">
        <v>1821</v>
      </c>
      <c r="K522" s="1929" t="s">
        <v>4264</v>
      </c>
    </row>
    <row r="523" spans="1:11" x14ac:dyDescent="0.2">
      <c r="A523" s="1929" t="s">
        <v>4263</v>
      </c>
      <c r="B523" s="1929" t="s">
        <v>1310</v>
      </c>
      <c r="C523" s="1929" t="s">
        <v>1552</v>
      </c>
      <c r="D523" s="1929" t="s">
        <v>1013</v>
      </c>
      <c r="E523" s="1929" t="s">
        <v>91</v>
      </c>
      <c r="F523" s="1929">
        <v>6.3</v>
      </c>
      <c r="G523" s="1929">
        <v>1</v>
      </c>
      <c r="H523" s="1929">
        <v>0.6</v>
      </c>
      <c r="I523" s="1929">
        <v>5.3</v>
      </c>
      <c r="J523" s="1929">
        <v>1835</v>
      </c>
      <c r="K523" s="1929" t="s">
        <v>4262</v>
      </c>
    </row>
    <row r="524" spans="1:11" x14ac:dyDescent="0.2">
      <c r="A524" s="1929" t="s">
        <v>4261</v>
      </c>
      <c r="B524" s="1929" t="s">
        <v>1217</v>
      </c>
      <c r="C524" s="1929" t="s">
        <v>1456</v>
      </c>
      <c r="D524" s="1929" t="s">
        <v>1013</v>
      </c>
      <c r="E524" s="1929" t="s">
        <v>91</v>
      </c>
      <c r="F524" s="1929">
        <v>1.9</v>
      </c>
      <c r="G524" s="1929">
        <v>2.2999999999999998</v>
      </c>
      <c r="H524" s="1929">
        <v>0.5</v>
      </c>
      <c r="I524" s="1929">
        <v>12.9</v>
      </c>
      <c r="J524" s="1929">
        <v>1867</v>
      </c>
      <c r="K524" s="1929" t="s">
        <v>4260</v>
      </c>
    </row>
    <row r="525" spans="1:11" x14ac:dyDescent="0.2">
      <c r="A525" s="1929" t="s">
        <v>4259</v>
      </c>
      <c r="B525" s="1929" t="s">
        <v>1217</v>
      </c>
      <c r="C525" s="1929" t="s">
        <v>1368</v>
      </c>
      <c r="D525" s="1929" t="s">
        <v>1013</v>
      </c>
      <c r="E525" s="1929" t="s">
        <v>91</v>
      </c>
      <c r="F525" s="1929">
        <v>4.4000000000000004</v>
      </c>
      <c r="G525" s="1929">
        <v>6.2</v>
      </c>
      <c r="H525" s="1929">
        <v>0.2</v>
      </c>
      <c r="I525" s="1929">
        <v>15.6</v>
      </c>
      <c r="J525" s="1929">
        <v>1869</v>
      </c>
      <c r="K525" s="1929" t="s">
        <v>4258</v>
      </c>
    </row>
    <row r="526" spans="1:11" x14ac:dyDescent="0.2">
      <c r="A526" s="1929" t="s">
        <v>4257</v>
      </c>
      <c r="B526" s="1929" t="s">
        <v>1228</v>
      </c>
      <c r="C526" s="1929" t="s">
        <v>1606</v>
      </c>
      <c r="D526" s="1929" t="s">
        <v>1013</v>
      </c>
      <c r="E526" s="1929" t="s">
        <v>91</v>
      </c>
      <c r="F526" s="1929">
        <v>5.0999999999999996</v>
      </c>
      <c r="G526" s="1929">
        <v>2.1</v>
      </c>
      <c r="H526" s="1929">
        <v>0.4</v>
      </c>
      <c r="I526" s="1929">
        <v>12.9</v>
      </c>
      <c r="J526" s="1929">
        <v>1959</v>
      </c>
      <c r="K526" s="1929" t="s">
        <v>4256</v>
      </c>
    </row>
    <row r="527" spans="1:11" x14ac:dyDescent="0.2">
      <c r="A527" s="1929" t="s">
        <v>4255</v>
      </c>
      <c r="B527" s="1929" t="s">
        <v>1245</v>
      </c>
      <c r="C527" s="1929" t="s">
        <v>1759</v>
      </c>
      <c r="D527" s="1929" t="s">
        <v>1013</v>
      </c>
      <c r="E527" s="1929" t="s">
        <v>91</v>
      </c>
      <c r="F527" s="1929">
        <v>0.4</v>
      </c>
      <c r="G527" s="1929">
        <v>12</v>
      </c>
      <c r="H527" s="1929">
        <v>0</v>
      </c>
      <c r="I527" s="1929">
        <v>6.3</v>
      </c>
      <c r="J527" s="1929">
        <v>1968</v>
      </c>
      <c r="K527" s="1929" t="s">
        <v>4254</v>
      </c>
    </row>
    <row r="528" spans="1:11" hidden="1" x14ac:dyDescent="0.2">
      <c r="A528" s="1929" t="s">
        <v>4253</v>
      </c>
      <c r="B528" s="1929" t="s">
        <v>1258</v>
      </c>
      <c r="C528" s="1929" t="s">
        <v>1263</v>
      </c>
      <c r="D528" s="1929" t="s">
        <v>303</v>
      </c>
      <c r="E528" s="1929" t="s">
        <v>41</v>
      </c>
      <c r="F528" s="1929">
        <v>5.6</v>
      </c>
      <c r="G528" s="1929">
        <v>24.2</v>
      </c>
      <c r="H528" s="1929">
        <v>0.1</v>
      </c>
      <c r="I528" s="1929">
        <v>21.5</v>
      </c>
      <c r="J528" s="1929">
        <v>1105</v>
      </c>
      <c r="K528" s="1929" t="s">
        <v>4252</v>
      </c>
    </row>
    <row r="529" spans="1:11" hidden="1" x14ac:dyDescent="0.2">
      <c r="A529" s="1929" t="s">
        <v>4251</v>
      </c>
      <c r="B529" s="1929" t="s">
        <v>1217</v>
      </c>
      <c r="C529" s="1929" t="s">
        <v>1216</v>
      </c>
      <c r="D529" s="1929" t="s">
        <v>303</v>
      </c>
      <c r="E529" s="1929" t="s">
        <v>41</v>
      </c>
      <c r="F529" s="1929">
        <v>5.3</v>
      </c>
      <c r="G529" s="1929">
        <v>6.2</v>
      </c>
      <c r="H529" s="1929">
        <v>0.3</v>
      </c>
      <c r="I529" s="1929">
        <v>48.2</v>
      </c>
      <c r="J529" s="1929">
        <v>1270</v>
      </c>
      <c r="K529" s="1929" t="s">
        <v>4250</v>
      </c>
    </row>
    <row r="530" spans="1:11" hidden="1" x14ac:dyDescent="0.2">
      <c r="A530" s="1929" t="s">
        <v>4249</v>
      </c>
      <c r="B530" s="1929" t="s">
        <v>1258</v>
      </c>
      <c r="C530" s="1929" t="s">
        <v>1263</v>
      </c>
      <c r="D530" s="1929" t="s">
        <v>1013</v>
      </c>
      <c r="E530" s="1929" t="s">
        <v>69</v>
      </c>
      <c r="F530" s="1929">
        <v>50.9</v>
      </c>
      <c r="G530" s="1929">
        <v>72.8</v>
      </c>
      <c r="H530" s="1929">
        <v>3.8</v>
      </c>
      <c r="I530" s="1929">
        <v>67.2</v>
      </c>
      <c r="J530" s="1929">
        <v>135</v>
      </c>
      <c r="K530" s="1929" t="s">
        <v>4248</v>
      </c>
    </row>
    <row r="531" spans="1:11" hidden="1" x14ac:dyDescent="0.2">
      <c r="A531" s="1929" t="s">
        <v>4247</v>
      </c>
      <c r="B531" s="1929" t="s">
        <v>1217</v>
      </c>
      <c r="C531" s="1929" t="s">
        <v>1216</v>
      </c>
      <c r="D531" s="1929" t="s">
        <v>1013</v>
      </c>
      <c r="E531" s="1929" t="s">
        <v>69</v>
      </c>
      <c r="F531" s="1929">
        <v>23.6</v>
      </c>
      <c r="G531" s="1929">
        <v>37.1</v>
      </c>
      <c r="H531" s="1929">
        <v>3.3</v>
      </c>
      <c r="I531" s="1929">
        <v>376.8</v>
      </c>
      <c r="J531" s="1929">
        <v>155</v>
      </c>
      <c r="K531" s="1929" t="s">
        <v>4246</v>
      </c>
    </row>
    <row r="532" spans="1:11" hidden="1" x14ac:dyDescent="0.2">
      <c r="A532" s="1929" t="s">
        <v>4245</v>
      </c>
      <c r="B532" s="1929" t="s">
        <v>1258</v>
      </c>
      <c r="C532" s="1929" t="s">
        <v>1263</v>
      </c>
      <c r="D532" s="1929" t="s">
        <v>1013</v>
      </c>
      <c r="E532" s="1929" t="s">
        <v>69</v>
      </c>
      <c r="F532" s="1929">
        <v>46.4</v>
      </c>
      <c r="G532" s="1929">
        <v>29.6</v>
      </c>
      <c r="H532" s="1929">
        <v>4.5</v>
      </c>
      <c r="I532" s="1929">
        <v>53.8</v>
      </c>
      <c r="J532" s="1929">
        <v>176</v>
      </c>
      <c r="K532" s="1929" t="s">
        <v>4244</v>
      </c>
    </row>
    <row r="533" spans="1:11" hidden="1" x14ac:dyDescent="0.2">
      <c r="A533" s="1929" t="s">
        <v>4243</v>
      </c>
      <c r="B533" s="1929" t="s">
        <v>1217</v>
      </c>
      <c r="C533" s="1929" t="s">
        <v>1216</v>
      </c>
      <c r="D533" s="1929" t="s">
        <v>1013</v>
      </c>
      <c r="E533" s="1929" t="s">
        <v>69</v>
      </c>
      <c r="F533" s="1929">
        <v>23.7</v>
      </c>
      <c r="G533" s="1929">
        <v>13.3</v>
      </c>
      <c r="H533" s="1929">
        <v>1.8</v>
      </c>
      <c r="I533" s="1929">
        <v>124.2</v>
      </c>
      <c r="J533" s="1929">
        <v>304</v>
      </c>
      <c r="K533" s="1929" t="s">
        <v>4242</v>
      </c>
    </row>
    <row r="534" spans="1:11" hidden="1" x14ac:dyDescent="0.2">
      <c r="A534" s="1929" t="s">
        <v>4241</v>
      </c>
      <c r="B534" s="1929" t="s">
        <v>1228</v>
      </c>
      <c r="C534" s="1929" t="s">
        <v>2392</v>
      </c>
      <c r="D534" s="1929" t="s">
        <v>1013</v>
      </c>
      <c r="E534" s="1929" t="s">
        <v>69</v>
      </c>
      <c r="F534" s="1929">
        <v>19.899999999999999</v>
      </c>
      <c r="G534" s="1929">
        <v>34.5</v>
      </c>
      <c r="H534" s="1929">
        <v>1.8</v>
      </c>
      <c r="I534" s="1929">
        <v>32.4</v>
      </c>
      <c r="J534" s="1929">
        <v>332</v>
      </c>
      <c r="K534" s="1929" t="s">
        <v>4240</v>
      </c>
    </row>
    <row r="535" spans="1:11" hidden="1" x14ac:dyDescent="0.2">
      <c r="A535" s="1929" t="s">
        <v>4239</v>
      </c>
      <c r="B535" s="1929" t="s">
        <v>1258</v>
      </c>
      <c r="C535" s="1929" t="s">
        <v>1263</v>
      </c>
      <c r="D535" s="1929" t="s">
        <v>1013</v>
      </c>
      <c r="E535" s="1929" t="s">
        <v>69</v>
      </c>
      <c r="F535" s="1929">
        <v>11.1</v>
      </c>
      <c r="G535" s="1929">
        <v>74.599999999999994</v>
      </c>
      <c r="H535" s="1929">
        <v>0.8</v>
      </c>
      <c r="I535" s="1929">
        <v>43.7</v>
      </c>
      <c r="J535" s="1929">
        <v>416</v>
      </c>
      <c r="K535" s="1929" t="s">
        <v>4238</v>
      </c>
    </row>
    <row r="536" spans="1:11" hidden="1" x14ac:dyDescent="0.2">
      <c r="A536" s="1929" t="s">
        <v>4237</v>
      </c>
      <c r="B536" s="1929" t="s">
        <v>1217</v>
      </c>
      <c r="C536" s="1929" t="s">
        <v>1216</v>
      </c>
      <c r="D536" s="1929" t="s">
        <v>1013</v>
      </c>
      <c r="E536" s="1929" t="s">
        <v>69</v>
      </c>
      <c r="F536" s="1929">
        <v>29.6</v>
      </c>
      <c r="G536" s="1929">
        <v>7.9</v>
      </c>
      <c r="H536" s="1929">
        <v>1.3</v>
      </c>
      <c r="I536" s="1929">
        <v>75</v>
      </c>
      <c r="J536" s="1929">
        <v>421</v>
      </c>
      <c r="K536" s="1929" t="s">
        <v>4236</v>
      </c>
    </row>
    <row r="537" spans="1:11" hidden="1" x14ac:dyDescent="0.2">
      <c r="A537" s="1929" t="s">
        <v>4235</v>
      </c>
      <c r="B537" s="1929" t="s">
        <v>1310</v>
      </c>
      <c r="C537" s="1929" t="s">
        <v>1309</v>
      </c>
      <c r="D537" s="1929" t="s">
        <v>1013</v>
      </c>
      <c r="E537" s="1929" t="s">
        <v>69</v>
      </c>
      <c r="F537" s="1929">
        <v>16.8</v>
      </c>
      <c r="G537" s="1929">
        <v>12.3</v>
      </c>
      <c r="H537" s="1929">
        <v>2.2999999999999998</v>
      </c>
      <c r="I537" s="1929">
        <v>35.5</v>
      </c>
      <c r="J537" s="1929">
        <v>424</v>
      </c>
      <c r="K537" s="1929" t="s">
        <v>4234</v>
      </c>
    </row>
    <row r="538" spans="1:11" hidden="1" x14ac:dyDescent="0.2">
      <c r="A538" s="1929" t="s">
        <v>4233</v>
      </c>
      <c r="B538" s="1929" t="s">
        <v>1234</v>
      </c>
      <c r="C538" s="1929" t="s">
        <v>1337</v>
      </c>
      <c r="D538" s="1929" t="s">
        <v>1013</v>
      </c>
      <c r="E538" s="1929" t="s">
        <v>69</v>
      </c>
      <c r="F538" s="1929">
        <v>30.6</v>
      </c>
      <c r="G538" s="1929">
        <v>12.6</v>
      </c>
      <c r="H538" s="1929">
        <v>3.2</v>
      </c>
      <c r="I538" s="1929">
        <v>18.399999999999999</v>
      </c>
      <c r="J538" s="1929">
        <v>428</v>
      </c>
      <c r="K538" s="1929" t="s">
        <v>4232</v>
      </c>
    </row>
    <row r="539" spans="1:11" hidden="1" x14ac:dyDescent="0.2">
      <c r="A539" s="1929" t="s">
        <v>4231</v>
      </c>
      <c r="B539" s="1929" t="s">
        <v>1238</v>
      </c>
      <c r="C539" s="1929" t="s">
        <v>1241</v>
      </c>
      <c r="D539" s="1929" t="s">
        <v>1013</v>
      </c>
      <c r="E539" s="1929" t="s">
        <v>69</v>
      </c>
      <c r="F539" s="1929">
        <v>19.8</v>
      </c>
      <c r="G539" s="1929">
        <v>13.5</v>
      </c>
      <c r="H539" s="1929">
        <v>1</v>
      </c>
      <c r="I539" s="1929">
        <v>26.7</v>
      </c>
      <c r="J539" s="1929">
        <v>500</v>
      </c>
      <c r="K539" s="1929" t="s">
        <v>4230</v>
      </c>
    </row>
    <row r="540" spans="1:11" hidden="1" x14ac:dyDescent="0.2">
      <c r="A540" s="1929" t="s">
        <v>4229</v>
      </c>
      <c r="B540" s="1929" t="s">
        <v>1217</v>
      </c>
      <c r="C540" s="1929" t="s">
        <v>1403</v>
      </c>
      <c r="D540" s="1929" t="s">
        <v>1013</v>
      </c>
      <c r="E540" s="1929" t="s">
        <v>69</v>
      </c>
      <c r="F540" s="1929">
        <v>23.2</v>
      </c>
      <c r="G540" s="1929">
        <v>6.6</v>
      </c>
      <c r="H540" s="1929">
        <v>1.2</v>
      </c>
      <c r="I540" s="1929">
        <v>43.5</v>
      </c>
      <c r="J540" s="1929">
        <v>535</v>
      </c>
      <c r="K540" s="1929" t="s">
        <v>4228</v>
      </c>
    </row>
    <row r="541" spans="1:11" hidden="1" x14ac:dyDescent="0.2">
      <c r="A541" s="1929" t="s">
        <v>4227</v>
      </c>
      <c r="B541" s="1929" t="s">
        <v>1245</v>
      </c>
      <c r="C541" s="1929" t="s">
        <v>1244</v>
      </c>
      <c r="D541" s="1929" t="s">
        <v>1013</v>
      </c>
      <c r="E541" s="1929" t="s">
        <v>69</v>
      </c>
      <c r="F541" s="1929">
        <v>71.2</v>
      </c>
      <c r="G541" s="1929">
        <v>13.1</v>
      </c>
      <c r="H541" s="1929">
        <v>3</v>
      </c>
      <c r="I541" s="1929">
        <v>9.1999999999999993</v>
      </c>
      <c r="J541" s="1929">
        <v>542</v>
      </c>
      <c r="K541" s="1929" t="s">
        <v>4226</v>
      </c>
    </row>
    <row r="542" spans="1:11" hidden="1" x14ac:dyDescent="0.2">
      <c r="A542" s="1929" t="s">
        <v>4225</v>
      </c>
      <c r="B542" s="1929" t="s">
        <v>1249</v>
      </c>
      <c r="C542" s="1929" t="s">
        <v>1248</v>
      </c>
      <c r="D542" s="1929" t="s">
        <v>1013</v>
      </c>
      <c r="E542" s="1929" t="s">
        <v>69</v>
      </c>
      <c r="F542" s="1929">
        <v>21.1</v>
      </c>
      <c r="G542" s="1929">
        <v>14.3</v>
      </c>
      <c r="H542" s="1929">
        <v>0.4</v>
      </c>
      <c r="I542" s="1929">
        <v>29.2</v>
      </c>
      <c r="J542" s="1929">
        <v>625</v>
      </c>
      <c r="K542" s="1929" t="s">
        <v>4224</v>
      </c>
    </row>
    <row r="543" spans="1:11" hidden="1" x14ac:dyDescent="0.2">
      <c r="A543" s="1929" t="s">
        <v>4223</v>
      </c>
      <c r="B543" s="1929" t="s">
        <v>1217</v>
      </c>
      <c r="C543" s="1929" t="s">
        <v>1216</v>
      </c>
      <c r="D543" s="1929" t="s">
        <v>1013</v>
      </c>
      <c r="E543" s="1929" t="s">
        <v>69</v>
      </c>
      <c r="F543" s="1929">
        <v>11.5</v>
      </c>
      <c r="G543" s="1929">
        <v>6.3</v>
      </c>
      <c r="H543" s="1929">
        <v>1</v>
      </c>
      <c r="I543" s="1929">
        <v>62.7</v>
      </c>
      <c r="J543" s="1929">
        <v>630</v>
      </c>
      <c r="K543" s="1929" t="s">
        <v>4222</v>
      </c>
    </row>
    <row r="544" spans="1:11" hidden="1" x14ac:dyDescent="0.2">
      <c r="A544" s="1929" t="s">
        <v>4221</v>
      </c>
      <c r="B544" s="1929" t="s">
        <v>1245</v>
      </c>
      <c r="C544" s="1929" t="s">
        <v>1244</v>
      </c>
      <c r="D544" s="1929" t="s">
        <v>1013</v>
      </c>
      <c r="E544" s="1929" t="s">
        <v>69</v>
      </c>
      <c r="F544" s="1929">
        <v>31.7</v>
      </c>
      <c r="G544" s="1929">
        <v>8.1</v>
      </c>
      <c r="H544" s="1929">
        <v>1.7</v>
      </c>
      <c r="I544" s="1929">
        <v>8.6999999999999993</v>
      </c>
      <c r="J544" s="1929">
        <v>726</v>
      </c>
      <c r="K544" s="1929" t="s">
        <v>4220</v>
      </c>
    </row>
    <row r="545" spans="1:11" hidden="1" x14ac:dyDescent="0.2">
      <c r="A545" s="1929" t="s">
        <v>4219</v>
      </c>
      <c r="B545" s="1929" t="s">
        <v>1217</v>
      </c>
      <c r="C545" s="1929" t="s">
        <v>1216</v>
      </c>
      <c r="D545" s="1929" t="s">
        <v>1013</v>
      </c>
      <c r="E545" s="1929" t="s">
        <v>69</v>
      </c>
      <c r="F545" s="1929">
        <v>4.5</v>
      </c>
      <c r="G545" s="1929">
        <v>8.6999999999999993</v>
      </c>
      <c r="H545" s="1929">
        <v>0.9</v>
      </c>
      <c r="I545" s="1929">
        <v>91.4</v>
      </c>
      <c r="J545" s="1929">
        <v>795</v>
      </c>
      <c r="K545" s="1929" t="s">
        <v>4218</v>
      </c>
    </row>
    <row r="546" spans="1:11" hidden="1" x14ac:dyDescent="0.2">
      <c r="A546" s="1929" t="s">
        <v>4217</v>
      </c>
      <c r="B546" s="1929" t="s">
        <v>1217</v>
      </c>
      <c r="C546" s="1929" t="s">
        <v>1216</v>
      </c>
      <c r="D546" s="1929" t="s">
        <v>1013</v>
      </c>
      <c r="E546" s="1929" t="s">
        <v>69</v>
      </c>
      <c r="F546" s="1929">
        <v>5.2</v>
      </c>
      <c r="G546" s="1929">
        <v>7.5</v>
      </c>
      <c r="H546" s="1929">
        <v>0.9</v>
      </c>
      <c r="I546" s="1929">
        <v>102.9</v>
      </c>
      <c r="J546" s="1929">
        <v>801</v>
      </c>
      <c r="K546" s="1929" t="s">
        <v>4216</v>
      </c>
    </row>
    <row r="547" spans="1:11" hidden="1" x14ac:dyDescent="0.2">
      <c r="A547" s="1929" t="s">
        <v>4215</v>
      </c>
      <c r="B547" s="1929" t="s">
        <v>1228</v>
      </c>
      <c r="C547" s="1929" t="s">
        <v>2392</v>
      </c>
      <c r="D547" s="1929" t="s">
        <v>1013</v>
      </c>
      <c r="E547" s="1929" t="s">
        <v>69</v>
      </c>
      <c r="F547" s="1929">
        <v>9.9</v>
      </c>
      <c r="G547" s="1929">
        <v>12.4</v>
      </c>
      <c r="H547" s="1929">
        <v>0.7</v>
      </c>
      <c r="I547" s="1929">
        <v>14.1</v>
      </c>
      <c r="J547" s="1929">
        <v>803</v>
      </c>
      <c r="K547" s="1929" t="s">
        <v>4214</v>
      </c>
    </row>
    <row r="548" spans="1:11" hidden="1" x14ac:dyDescent="0.2">
      <c r="A548" s="1929" t="s">
        <v>4213</v>
      </c>
      <c r="B548" s="1929" t="s">
        <v>1306</v>
      </c>
      <c r="C548" s="1929" t="s">
        <v>1819</v>
      </c>
      <c r="D548" s="1929" t="s">
        <v>1013</v>
      </c>
      <c r="E548" s="1929" t="s">
        <v>69</v>
      </c>
      <c r="F548" s="1929">
        <v>46.9</v>
      </c>
      <c r="G548" s="1929">
        <v>5.8</v>
      </c>
      <c r="H548" s="1929">
        <v>1.4</v>
      </c>
      <c r="I548" s="1929">
        <v>6.6</v>
      </c>
      <c r="J548" s="1929">
        <v>830</v>
      </c>
      <c r="K548" s="1929" t="s">
        <v>4212</v>
      </c>
    </row>
    <row r="549" spans="1:11" hidden="1" x14ac:dyDescent="0.2">
      <c r="A549" s="1929" t="s">
        <v>4211</v>
      </c>
      <c r="B549" s="1929" t="s">
        <v>1245</v>
      </c>
      <c r="C549" s="1929" t="s">
        <v>1244</v>
      </c>
      <c r="D549" s="1929" t="s">
        <v>1013</v>
      </c>
      <c r="E549" s="1929" t="s">
        <v>69</v>
      </c>
      <c r="F549" s="1929">
        <v>23.1</v>
      </c>
      <c r="G549" s="1929">
        <v>7.1</v>
      </c>
      <c r="H549" s="1929">
        <v>1.2</v>
      </c>
      <c r="I549" s="1929">
        <v>7.8</v>
      </c>
      <c r="J549" s="1929">
        <v>849</v>
      </c>
      <c r="K549" s="1929" t="s">
        <v>4210</v>
      </c>
    </row>
    <row r="550" spans="1:11" hidden="1" x14ac:dyDescent="0.2">
      <c r="A550" s="1929" t="s">
        <v>4209</v>
      </c>
      <c r="B550" s="1929" t="s">
        <v>1238</v>
      </c>
      <c r="C550" s="1929" t="s">
        <v>1584</v>
      </c>
      <c r="D550" s="1929" t="s">
        <v>1013</v>
      </c>
      <c r="E550" s="1929" t="s">
        <v>69</v>
      </c>
      <c r="F550" s="1929">
        <v>8</v>
      </c>
      <c r="G550" s="1929">
        <v>8.9</v>
      </c>
      <c r="H550" s="1929">
        <v>1.2</v>
      </c>
      <c r="I550" s="1929">
        <v>13.2</v>
      </c>
      <c r="J550" s="1929">
        <v>873</v>
      </c>
      <c r="K550" s="1929" t="s">
        <v>4208</v>
      </c>
    </row>
    <row r="551" spans="1:11" hidden="1" x14ac:dyDescent="0.2">
      <c r="A551" s="1929" t="s">
        <v>4207</v>
      </c>
      <c r="B551" s="1929" t="s">
        <v>1310</v>
      </c>
      <c r="C551" s="1929" t="s">
        <v>1379</v>
      </c>
      <c r="D551" s="1929" t="s">
        <v>1013</v>
      </c>
      <c r="E551" s="1929" t="s">
        <v>69</v>
      </c>
      <c r="F551" s="1929">
        <v>8</v>
      </c>
      <c r="G551" s="1929">
        <v>9.3000000000000007</v>
      </c>
      <c r="H551" s="1929">
        <v>0.8</v>
      </c>
      <c r="I551" s="1929">
        <v>12.2</v>
      </c>
      <c r="J551" s="1929">
        <v>955</v>
      </c>
      <c r="K551" s="1929" t="s">
        <v>4206</v>
      </c>
    </row>
    <row r="552" spans="1:11" hidden="1" x14ac:dyDescent="0.2">
      <c r="A552" s="1929" t="s">
        <v>4205</v>
      </c>
      <c r="B552" s="1929" t="s">
        <v>1234</v>
      </c>
      <c r="C552" s="1929" t="s">
        <v>1972</v>
      </c>
      <c r="D552" s="1929" t="s">
        <v>1013</v>
      </c>
      <c r="E552" s="1929" t="s">
        <v>69</v>
      </c>
      <c r="F552" s="1929">
        <v>4.8</v>
      </c>
      <c r="G552" s="1929">
        <v>14.6</v>
      </c>
      <c r="H552" s="1929">
        <v>0.6</v>
      </c>
      <c r="I552" s="1929">
        <v>22.7</v>
      </c>
      <c r="J552" s="1929">
        <v>957</v>
      </c>
      <c r="K552" s="1929" t="s">
        <v>4204</v>
      </c>
    </row>
    <row r="553" spans="1:11" hidden="1" x14ac:dyDescent="0.2">
      <c r="A553" s="1929" t="s">
        <v>4203</v>
      </c>
      <c r="B553" s="1929" t="s">
        <v>1217</v>
      </c>
      <c r="C553" s="1929" t="s">
        <v>2291</v>
      </c>
      <c r="D553" s="1929" t="s">
        <v>1013</v>
      </c>
      <c r="E553" s="1929" t="s">
        <v>69</v>
      </c>
      <c r="F553" s="1929">
        <v>2</v>
      </c>
      <c r="G553" s="1929">
        <v>6.9</v>
      </c>
      <c r="H553" s="1929">
        <v>0.5</v>
      </c>
      <c r="I553" s="1929">
        <v>77.2</v>
      </c>
      <c r="J553" s="1929">
        <v>966</v>
      </c>
      <c r="K553" s="1929" t="s">
        <v>4202</v>
      </c>
    </row>
    <row r="554" spans="1:11" hidden="1" x14ac:dyDescent="0.2">
      <c r="A554" s="1929" t="s">
        <v>4201</v>
      </c>
      <c r="B554" s="1929" t="s">
        <v>1217</v>
      </c>
      <c r="C554" s="1929" t="s">
        <v>1216</v>
      </c>
      <c r="D554" s="1929" t="s">
        <v>1013</v>
      </c>
      <c r="E554" s="1929" t="s">
        <v>69</v>
      </c>
      <c r="F554" s="1929">
        <v>2.4</v>
      </c>
      <c r="G554" s="1929">
        <v>6.6</v>
      </c>
      <c r="H554" s="1929">
        <v>0.5</v>
      </c>
      <c r="I554" s="1929">
        <v>84</v>
      </c>
      <c r="J554" s="1929">
        <v>976</v>
      </c>
      <c r="K554" s="1929" t="s">
        <v>4200</v>
      </c>
    </row>
    <row r="555" spans="1:11" hidden="1" x14ac:dyDescent="0.2">
      <c r="A555" s="1929" t="s">
        <v>4199</v>
      </c>
      <c r="B555" s="1929" t="s">
        <v>1234</v>
      </c>
      <c r="C555" s="1929" t="s">
        <v>1445</v>
      </c>
      <c r="D555" s="1929" t="s">
        <v>1013</v>
      </c>
      <c r="E555" s="1929" t="s">
        <v>69</v>
      </c>
      <c r="F555" s="1929">
        <v>6.5</v>
      </c>
      <c r="G555" s="1929">
        <v>23.8</v>
      </c>
      <c r="H555" s="1929">
        <v>-1.3</v>
      </c>
      <c r="I555" s="1929">
        <v>27.2</v>
      </c>
      <c r="J555" s="1929">
        <v>983</v>
      </c>
      <c r="K555" s="1929" t="s">
        <v>4198</v>
      </c>
    </row>
    <row r="556" spans="1:11" hidden="1" x14ac:dyDescent="0.2">
      <c r="A556" s="1929" t="s">
        <v>4197</v>
      </c>
      <c r="B556" s="1929" t="s">
        <v>1310</v>
      </c>
      <c r="C556" s="1929" t="s">
        <v>1309</v>
      </c>
      <c r="D556" s="1929" t="s">
        <v>1013</v>
      </c>
      <c r="E556" s="1929" t="s">
        <v>69</v>
      </c>
      <c r="F556" s="1929">
        <v>9.5</v>
      </c>
      <c r="G556" s="1929">
        <v>2.4</v>
      </c>
      <c r="H556" s="1929">
        <v>0.8</v>
      </c>
      <c r="I556" s="1929">
        <v>22</v>
      </c>
      <c r="J556" s="1929">
        <v>1011</v>
      </c>
      <c r="K556" s="1929" t="s">
        <v>4196</v>
      </c>
    </row>
    <row r="557" spans="1:11" hidden="1" x14ac:dyDescent="0.2">
      <c r="A557" s="1929" t="s">
        <v>4195</v>
      </c>
      <c r="B557" s="1929" t="s">
        <v>1258</v>
      </c>
      <c r="C557" s="1929" t="s">
        <v>1263</v>
      </c>
      <c r="D557" s="1929" t="s">
        <v>1013</v>
      </c>
      <c r="E557" s="1929" t="s">
        <v>69</v>
      </c>
      <c r="F557" s="1929">
        <v>5.4</v>
      </c>
      <c r="G557" s="1929">
        <v>40.299999999999997</v>
      </c>
      <c r="H557" s="1929">
        <v>0.3</v>
      </c>
      <c r="I557" s="1929">
        <v>14.9</v>
      </c>
      <c r="J557" s="1929">
        <v>1045</v>
      </c>
      <c r="K557" s="1929" t="s">
        <v>4194</v>
      </c>
    </row>
    <row r="558" spans="1:11" hidden="1" x14ac:dyDescent="0.2">
      <c r="A558" s="1929" t="s">
        <v>4193</v>
      </c>
      <c r="B558" s="1929" t="s">
        <v>1245</v>
      </c>
      <c r="C558" s="1929" t="s">
        <v>1286</v>
      </c>
      <c r="D558" s="1929" t="s">
        <v>1013</v>
      </c>
      <c r="E558" s="1929" t="s">
        <v>69</v>
      </c>
      <c r="F558" s="1929">
        <v>16.600000000000001</v>
      </c>
      <c r="G558" s="1929">
        <v>4.7</v>
      </c>
      <c r="H558" s="1929">
        <v>0.7</v>
      </c>
      <c r="I558" s="1929">
        <v>4.2</v>
      </c>
      <c r="J558" s="1929">
        <v>1153</v>
      </c>
      <c r="K558" s="1929" t="s">
        <v>4192</v>
      </c>
    </row>
    <row r="559" spans="1:11" hidden="1" x14ac:dyDescent="0.2">
      <c r="A559" s="1929" t="s">
        <v>4191</v>
      </c>
      <c r="B559" s="1929" t="s">
        <v>1258</v>
      </c>
      <c r="C559" s="1929" t="s">
        <v>1263</v>
      </c>
      <c r="D559" s="1929" t="s">
        <v>1013</v>
      </c>
      <c r="E559" s="1929" t="s">
        <v>69</v>
      </c>
      <c r="F559" s="1929">
        <v>1.7</v>
      </c>
      <c r="G559" s="1929">
        <v>35</v>
      </c>
      <c r="H559" s="1929">
        <v>0.1</v>
      </c>
      <c r="I559" s="1929">
        <v>17.100000000000001</v>
      </c>
      <c r="J559" s="1929">
        <v>1211</v>
      </c>
      <c r="K559" s="1929" t="s">
        <v>4190</v>
      </c>
    </row>
    <row r="560" spans="1:11" hidden="1" x14ac:dyDescent="0.2">
      <c r="A560" s="1929" t="s">
        <v>4189</v>
      </c>
      <c r="B560" s="1929" t="s">
        <v>1228</v>
      </c>
      <c r="C560" s="1929" t="s">
        <v>1227</v>
      </c>
      <c r="D560" s="1929" t="s">
        <v>1013</v>
      </c>
      <c r="E560" s="1929" t="s">
        <v>69</v>
      </c>
      <c r="F560" s="1929">
        <v>4.2</v>
      </c>
      <c r="G560" s="1929">
        <v>3.2</v>
      </c>
      <c r="H560" s="1929">
        <v>0.8</v>
      </c>
      <c r="I560" s="1929">
        <v>31.2</v>
      </c>
      <c r="J560" s="1929">
        <v>1226</v>
      </c>
      <c r="K560" s="1929" t="s">
        <v>4188</v>
      </c>
    </row>
    <row r="561" spans="1:11" hidden="1" x14ac:dyDescent="0.2">
      <c r="A561" s="1929" t="s">
        <v>4187</v>
      </c>
      <c r="B561" s="1929" t="s">
        <v>1217</v>
      </c>
      <c r="C561" s="1929" t="s">
        <v>1216</v>
      </c>
      <c r="D561" s="1929" t="s">
        <v>1013</v>
      </c>
      <c r="E561" s="1929" t="s">
        <v>69</v>
      </c>
      <c r="F561" s="1929">
        <v>1.4</v>
      </c>
      <c r="G561" s="1929">
        <v>5.2</v>
      </c>
      <c r="H561" s="1929">
        <v>0.4</v>
      </c>
      <c r="I561" s="1929">
        <v>57.6</v>
      </c>
      <c r="J561" s="1929">
        <v>1229</v>
      </c>
      <c r="K561" s="1929" t="s">
        <v>4186</v>
      </c>
    </row>
    <row r="562" spans="1:11" hidden="1" x14ac:dyDescent="0.2">
      <c r="A562" s="1929" t="s">
        <v>4185</v>
      </c>
      <c r="B562" s="1929" t="s">
        <v>1238</v>
      </c>
      <c r="C562" s="1929" t="s">
        <v>3030</v>
      </c>
      <c r="D562" s="1929" t="s">
        <v>1013</v>
      </c>
      <c r="E562" s="1929" t="s">
        <v>69</v>
      </c>
      <c r="F562" s="1929">
        <v>6.5</v>
      </c>
      <c r="G562" s="1929">
        <v>8.6</v>
      </c>
      <c r="H562" s="1929">
        <v>0.3</v>
      </c>
      <c r="I562" s="1929">
        <v>19.5</v>
      </c>
      <c r="J562" s="1929">
        <v>1233</v>
      </c>
      <c r="K562" s="1929" t="s">
        <v>4184</v>
      </c>
    </row>
    <row r="563" spans="1:11" hidden="1" x14ac:dyDescent="0.2">
      <c r="A563" s="1929" t="s">
        <v>4183</v>
      </c>
      <c r="B563" s="1929" t="s">
        <v>1217</v>
      </c>
      <c r="C563" s="1929" t="s">
        <v>1216</v>
      </c>
      <c r="D563" s="1929" t="s">
        <v>1013</v>
      </c>
      <c r="E563" s="1929" t="s">
        <v>69</v>
      </c>
      <c r="F563" s="1929">
        <v>9.9</v>
      </c>
      <c r="G563" s="1929">
        <v>2.9</v>
      </c>
      <c r="H563" s="1929">
        <v>0.4</v>
      </c>
      <c r="I563" s="1929">
        <v>18.3</v>
      </c>
      <c r="J563" s="1929">
        <v>1254</v>
      </c>
      <c r="K563" s="1929" t="s">
        <v>4182</v>
      </c>
    </row>
    <row r="564" spans="1:11" hidden="1" x14ac:dyDescent="0.2">
      <c r="A564" s="1929" t="s">
        <v>4181</v>
      </c>
      <c r="B564" s="1929" t="s">
        <v>1217</v>
      </c>
      <c r="C564" s="1929" t="s">
        <v>1216</v>
      </c>
      <c r="D564" s="1929" t="s">
        <v>1013</v>
      </c>
      <c r="E564" s="1929" t="s">
        <v>69</v>
      </c>
      <c r="F564" s="1929">
        <v>1.7</v>
      </c>
      <c r="G564" s="1929">
        <v>5.2</v>
      </c>
      <c r="H564" s="1929">
        <v>0.3</v>
      </c>
      <c r="I564" s="1929">
        <v>59.4</v>
      </c>
      <c r="J564" s="1929">
        <v>1290</v>
      </c>
      <c r="K564" s="1929" t="s">
        <v>4180</v>
      </c>
    </row>
    <row r="565" spans="1:11" hidden="1" x14ac:dyDescent="0.2">
      <c r="A565" s="1929" t="s">
        <v>4179</v>
      </c>
      <c r="B565" s="1929" t="s">
        <v>1269</v>
      </c>
      <c r="C565" s="1929" t="s">
        <v>1504</v>
      </c>
      <c r="D565" s="1929" t="s">
        <v>1013</v>
      </c>
      <c r="E565" s="1929" t="s">
        <v>69</v>
      </c>
      <c r="F565" s="1929">
        <v>19.899999999999999</v>
      </c>
      <c r="G565" s="1929">
        <v>2.1</v>
      </c>
      <c r="H565" s="1929">
        <v>0.5</v>
      </c>
      <c r="I565" s="1929">
        <v>4.0999999999999996</v>
      </c>
      <c r="J565" s="1929">
        <v>1293</v>
      </c>
      <c r="K565" s="1929" t="s">
        <v>4178</v>
      </c>
    </row>
    <row r="566" spans="1:11" hidden="1" x14ac:dyDescent="0.2">
      <c r="A566" s="1929" t="s">
        <v>4177</v>
      </c>
      <c r="B566" s="1929" t="s">
        <v>1234</v>
      </c>
      <c r="C566" s="1929" t="s">
        <v>1445</v>
      </c>
      <c r="D566" s="1929" t="s">
        <v>1013</v>
      </c>
      <c r="E566" s="1929" t="s">
        <v>69</v>
      </c>
      <c r="F566" s="1929">
        <v>4.9000000000000004</v>
      </c>
      <c r="G566" s="1929">
        <v>8.1999999999999993</v>
      </c>
      <c r="H566" s="1929">
        <v>0.4</v>
      </c>
      <c r="I566" s="1929">
        <v>15.9</v>
      </c>
      <c r="J566" s="1929">
        <v>1328</v>
      </c>
      <c r="K566" s="1929" t="s">
        <v>4176</v>
      </c>
    </row>
    <row r="567" spans="1:11" hidden="1" x14ac:dyDescent="0.2">
      <c r="A567" s="1929" t="s">
        <v>4175</v>
      </c>
      <c r="B567" s="1929" t="s">
        <v>1217</v>
      </c>
      <c r="C567" s="1929" t="s">
        <v>1368</v>
      </c>
      <c r="D567" s="1929" t="s">
        <v>1013</v>
      </c>
      <c r="E567" s="1929" t="s">
        <v>69</v>
      </c>
      <c r="F567" s="1929">
        <v>3.7</v>
      </c>
      <c r="G567" s="1929">
        <v>2.5</v>
      </c>
      <c r="H567" s="1929">
        <v>0.7</v>
      </c>
      <c r="I567" s="1929">
        <v>24</v>
      </c>
      <c r="J567" s="1929">
        <v>1338</v>
      </c>
      <c r="K567" s="1929" t="s">
        <v>4174</v>
      </c>
    </row>
    <row r="568" spans="1:11" hidden="1" x14ac:dyDescent="0.2">
      <c r="A568" s="1929" t="s">
        <v>4173</v>
      </c>
      <c r="B568" s="1929" t="s">
        <v>1234</v>
      </c>
      <c r="C568" s="1929" t="s">
        <v>1337</v>
      </c>
      <c r="D568" s="1929" t="s">
        <v>1013</v>
      </c>
      <c r="E568" s="1929" t="s">
        <v>69</v>
      </c>
      <c r="F568" s="1929">
        <v>9.1</v>
      </c>
      <c r="G568" s="1929">
        <v>1.9</v>
      </c>
      <c r="H568" s="1929">
        <v>1</v>
      </c>
      <c r="I568" s="1929">
        <v>5.4</v>
      </c>
      <c r="J568" s="1929">
        <v>1365</v>
      </c>
      <c r="K568" s="1929" t="s">
        <v>4172</v>
      </c>
    </row>
    <row r="569" spans="1:11" hidden="1" x14ac:dyDescent="0.2">
      <c r="A569" s="1929" t="s">
        <v>4171</v>
      </c>
      <c r="B569" s="1929" t="s">
        <v>1217</v>
      </c>
      <c r="C569" s="1929" t="s">
        <v>1216</v>
      </c>
      <c r="D569" s="1929" t="s">
        <v>1013</v>
      </c>
      <c r="E569" s="1929" t="s">
        <v>69</v>
      </c>
      <c r="F569" s="1929">
        <v>1</v>
      </c>
      <c r="G569" s="1929">
        <v>3.4</v>
      </c>
      <c r="H569" s="1929">
        <v>0.4</v>
      </c>
      <c r="I569" s="1929">
        <v>39.799999999999997</v>
      </c>
      <c r="J569" s="1929">
        <v>1438</v>
      </c>
      <c r="K569" s="1929" t="s">
        <v>4170</v>
      </c>
    </row>
    <row r="570" spans="1:11" hidden="1" x14ac:dyDescent="0.2">
      <c r="A570" s="1929" t="s">
        <v>4169</v>
      </c>
      <c r="B570" s="1929" t="s">
        <v>1228</v>
      </c>
      <c r="C570" s="1929" t="s">
        <v>1279</v>
      </c>
      <c r="D570" s="1929" t="s">
        <v>1013</v>
      </c>
      <c r="E570" s="1929" t="s">
        <v>69</v>
      </c>
      <c r="F570" s="1929">
        <v>10</v>
      </c>
      <c r="G570" s="1929">
        <v>3.6</v>
      </c>
      <c r="H570" s="1929">
        <v>0.6</v>
      </c>
      <c r="I570" s="1929">
        <v>2.4</v>
      </c>
      <c r="J570" s="1929">
        <v>1498</v>
      </c>
      <c r="K570" s="1929" t="s">
        <v>4168</v>
      </c>
    </row>
    <row r="571" spans="1:11" hidden="1" x14ac:dyDescent="0.2">
      <c r="A571" s="1929" t="s">
        <v>4167</v>
      </c>
      <c r="B571" s="1929" t="s">
        <v>1217</v>
      </c>
      <c r="C571" s="1929" t="s">
        <v>1216</v>
      </c>
      <c r="D571" s="1929" t="s">
        <v>1013</v>
      </c>
      <c r="E571" s="1929" t="s">
        <v>69</v>
      </c>
      <c r="F571" s="1929">
        <v>1.1000000000000001</v>
      </c>
      <c r="G571" s="1929">
        <v>4.3</v>
      </c>
      <c r="H571" s="1929">
        <v>0.2</v>
      </c>
      <c r="I571" s="1929">
        <v>49.5</v>
      </c>
      <c r="J571" s="1929">
        <v>1637</v>
      </c>
      <c r="K571" s="1929" t="s">
        <v>4166</v>
      </c>
    </row>
    <row r="572" spans="1:11" hidden="1" x14ac:dyDescent="0.2">
      <c r="A572" s="1929" t="s">
        <v>4165</v>
      </c>
      <c r="B572" s="1929" t="s">
        <v>1217</v>
      </c>
      <c r="C572" s="1929" t="s">
        <v>1216</v>
      </c>
      <c r="D572" s="1929" t="s">
        <v>1013</v>
      </c>
      <c r="E572" s="1929" t="s">
        <v>69</v>
      </c>
      <c r="F572" s="1929">
        <v>0.9</v>
      </c>
      <c r="G572" s="1929">
        <v>2.8</v>
      </c>
      <c r="H572" s="1929">
        <v>0.3</v>
      </c>
      <c r="I572" s="1929">
        <v>30</v>
      </c>
      <c r="J572" s="1929">
        <v>1734</v>
      </c>
      <c r="K572" s="1929" t="s">
        <v>4164</v>
      </c>
    </row>
    <row r="573" spans="1:11" hidden="1" x14ac:dyDescent="0.2">
      <c r="A573" s="1929" t="s">
        <v>4163</v>
      </c>
      <c r="B573" s="1929" t="s">
        <v>1217</v>
      </c>
      <c r="C573" s="1929" t="s">
        <v>1216</v>
      </c>
      <c r="D573" s="1929" t="s">
        <v>1013</v>
      </c>
      <c r="E573" s="1929" t="s">
        <v>69</v>
      </c>
      <c r="F573" s="1929">
        <v>1</v>
      </c>
      <c r="G573" s="1929">
        <v>4.0999999999999996</v>
      </c>
      <c r="H573" s="1929">
        <v>0.1</v>
      </c>
      <c r="I573" s="1929">
        <v>41.9</v>
      </c>
      <c r="J573" s="1929">
        <v>1748</v>
      </c>
      <c r="K573" s="1929" t="s">
        <v>4162</v>
      </c>
    </row>
    <row r="574" spans="1:11" hidden="1" x14ac:dyDescent="0.2">
      <c r="A574" s="1929" t="s">
        <v>4161</v>
      </c>
      <c r="B574" s="1929" t="s">
        <v>1217</v>
      </c>
      <c r="C574" s="1929" t="s">
        <v>1216</v>
      </c>
      <c r="D574" s="1929" t="s">
        <v>1013</v>
      </c>
      <c r="E574" s="1929" t="s">
        <v>69</v>
      </c>
      <c r="F574" s="1929">
        <v>0.8</v>
      </c>
      <c r="G574" s="1929">
        <v>3.1</v>
      </c>
      <c r="H574" s="1929">
        <v>0.3</v>
      </c>
      <c r="I574" s="1929">
        <v>35.6</v>
      </c>
      <c r="J574" s="1929">
        <v>1789</v>
      </c>
      <c r="K574" s="1929" t="s">
        <v>4160</v>
      </c>
    </row>
    <row r="575" spans="1:11" hidden="1" x14ac:dyDescent="0.2">
      <c r="A575" s="1929" t="s">
        <v>4159</v>
      </c>
      <c r="B575" s="1929" t="s">
        <v>1217</v>
      </c>
      <c r="C575" s="1929" t="s">
        <v>1216</v>
      </c>
      <c r="D575" s="1929" t="s">
        <v>1013</v>
      </c>
      <c r="E575" s="1929" t="s">
        <v>69</v>
      </c>
      <c r="F575" s="1929">
        <v>0.8</v>
      </c>
      <c r="G575" s="1929">
        <v>3.5</v>
      </c>
      <c r="H575" s="1929">
        <v>0.2</v>
      </c>
      <c r="I575" s="1929">
        <v>37.700000000000003</v>
      </c>
      <c r="J575" s="1929">
        <v>1810</v>
      </c>
      <c r="K575" s="1929" t="s">
        <v>4158</v>
      </c>
    </row>
    <row r="576" spans="1:11" hidden="1" x14ac:dyDescent="0.2">
      <c r="A576" s="1929" t="s">
        <v>4157</v>
      </c>
      <c r="B576" s="1929" t="s">
        <v>1217</v>
      </c>
      <c r="C576" s="1929" t="s">
        <v>1216</v>
      </c>
      <c r="D576" s="1929" t="s">
        <v>1013</v>
      </c>
      <c r="E576" s="1929" t="s">
        <v>69</v>
      </c>
      <c r="F576" s="1929">
        <v>1.2</v>
      </c>
      <c r="G576" s="1929">
        <v>3.2</v>
      </c>
      <c r="H576" s="1929">
        <v>0.1</v>
      </c>
      <c r="I576" s="1929">
        <v>33.9</v>
      </c>
      <c r="J576" s="1929">
        <v>1860</v>
      </c>
      <c r="K576" s="1929" t="s">
        <v>4156</v>
      </c>
    </row>
    <row r="577" spans="1:11" hidden="1" x14ac:dyDescent="0.2">
      <c r="A577" s="1929" t="s">
        <v>4155</v>
      </c>
      <c r="B577" s="1929" t="s">
        <v>1217</v>
      </c>
      <c r="C577" s="1929" t="s">
        <v>1216</v>
      </c>
      <c r="D577" s="1929" t="s">
        <v>1013</v>
      </c>
      <c r="E577" s="1929" t="s">
        <v>69</v>
      </c>
      <c r="F577" s="1929">
        <v>1.1000000000000001</v>
      </c>
      <c r="G577" s="1929">
        <v>3.5</v>
      </c>
      <c r="H577" s="1929">
        <v>0.2</v>
      </c>
      <c r="I577" s="1929">
        <v>32.200000000000003</v>
      </c>
      <c r="J577" s="1929">
        <v>1875</v>
      </c>
      <c r="K577" s="1929" t="s">
        <v>4154</v>
      </c>
    </row>
    <row r="578" spans="1:11" hidden="1" x14ac:dyDescent="0.2">
      <c r="A578" s="1929" t="s">
        <v>4153</v>
      </c>
      <c r="B578" s="1929" t="s">
        <v>1310</v>
      </c>
      <c r="C578" s="1929" t="s">
        <v>1309</v>
      </c>
      <c r="D578" s="1929" t="s">
        <v>1013</v>
      </c>
      <c r="E578" s="1929" t="s">
        <v>69</v>
      </c>
      <c r="F578" s="1929">
        <v>3.6</v>
      </c>
      <c r="G578" s="1929">
        <v>1.1000000000000001</v>
      </c>
      <c r="H578" s="1929">
        <v>0.5</v>
      </c>
      <c r="I578" s="1929">
        <v>12</v>
      </c>
      <c r="J578" s="1929">
        <v>1901</v>
      </c>
      <c r="K578" s="1929" t="s">
        <v>4152</v>
      </c>
    </row>
    <row r="579" spans="1:11" hidden="1" x14ac:dyDescent="0.2">
      <c r="A579" s="1929" t="s">
        <v>4151</v>
      </c>
      <c r="B579" s="1929" t="s">
        <v>1228</v>
      </c>
      <c r="C579" s="1929" t="s">
        <v>1279</v>
      </c>
      <c r="D579" s="1929" t="s">
        <v>1013</v>
      </c>
      <c r="E579" s="1929" t="s">
        <v>69</v>
      </c>
      <c r="F579" s="1929">
        <v>7.5</v>
      </c>
      <c r="G579" s="1929">
        <v>4.2</v>
      </c>
      <c r="H579" s="1929">
        <v>0.4</v>
      </c>
      <c r="I579" s="1929">
        <v>1.6</v>
      </c>
      <c r="J579" s="1929">
        <v>1910</v>
      </c>
      <c r="K579" s="1929" t="s">
        <v>4150</v>
      </c>
    </row>
    <row r="580" spans="1:11" hidden="1" x14ac:dyDescent="0.2">
      <c r="A580" s="1929" t="s">
        <v>4149</v>
      </c>
      <c r="B580" s="1929" t="s">
        <v>1234</v>
      </c>
      <c r="C580" s="1929" t="s">
        <v>1445</v>
      </c>
      <c r="D580" s="1929" t="s">
        <v>1013</v>
      </c>
      <c r="E580" s="1929" t="s">
        <v>69</v>
      </c>
      <c r="F580" s="1929">
        <v>4.5999999999999996</v>
      </c>
      <c r="G580" s="1929">
        <v>3.5</v>
      </c>
      <c r="H580" s="1929">
        <v>0.5</v>
      </c>
      <c r="I580" s="1929">
        <v>10.4</v>
      </c>
      <c r="J580" s="1929">
        <v>1953</v>
      </c>
      <c r="K580" s="1929" t="s">
        <v>4148</v>
      </c>
    </row>
    <row r="581" spans="1:11" hidden="1" x14ac:dyDescent="0.2">
      <c r="A581" s="1929" t="s">
        <v>4147</v>
      </c>
      <c r="B581" s="1929" t="s">
        <v>1217</v>
      </c>
      <c r="C581" s="1929" t="s">
        <v>1216</v>
      </c>
      <c r="D581" s="1929" t="s">
        <v>1013</v>
      </c>
      <c r="E581" s="1929" t="s">
        <v>69</v>
      </c>
      <c r="F581" s="1929">
        <v>0.6</v>
      </c>
      <c r="G581" s="1929">
        <v>2.7</v>
      </c>
      <c r="H581" s="1929">
        <v>0.2</v>
      </c>
      <c r="I581" s="1929">
        <v>27.2</v>
      </c>
      <c r="J581" s="1929">
        <v>1975</v>
      </c>
      <c r="K581" s="1929" t="s">
        <v>4146</v>
      </c>
    </row>
    <row r="582" spans="1:11" hidden="1" x14ac:dyDescent="0.2">
      <c r="A582" s="1929" t="s">
        <v>4145</v>
      </c>
      <c r="B582" s="1929" t="s">
        <v>1234</v>
      </c>
      <c r="C582" s="1929" t="s">
        <v>1476</v>
      </c>
      <c r="D582" s="1929" t="s">
        <v>1013</v>
      </c>
      <c r="E582" s="1929" t="s">
        <v>69</v>
      </c>
      <c r="F582" s="1929">
        <v>4.4000000000000004</v>
      </c>
      <c r="G582" s="1929">
        <v>5.0999999999999996</v>
      </c>
      <c r="H582" s="1929">
        <v>0.5</v>
      </c>
      <c r="I582" s="1929">
        <v>7.4</v>
      </c>
      <c r="J582" s="1929">
        <v>1978</v>
      </c>
      <c r="K582" s="1929" t="s">
        <v>4144</v>
      </c>
    </row>
    <row r="583" spans="1:11" hidden="1" x14ac:dyDescent="0.2">
      <c r="A583" s="1929" t="s">
        <v>4143</v>
      </c>
      <c r="B583" s="1929" t="s">
        <v>1234</v>
      </c>
      <c r="C583" s="1929" t="s">
        <v>1445</v>
      </c>
      <c r="D583" s="1929" t="s">
        <v>1013</v>
      </c>
      <c r="E583" s="1929" t="s">
        <v>69</v>
      </c>
      <c r="F583" s="1929">
        <v>4.0999999999999996</v>
      </c>
      <c r="G583" s="1929">
        <v>7</v>
      </c>
      <c r="H583" s="1929">
        <v>0.2</v>
      </c>
      <c r="I583" s="1929">
        <v>12.1</v>
      </c>
      <c r="J583" s="1929">
        <v>1989</v>
      </c>
      <c r="K583" s="1929" t="s">
        <v>4142</v>
      </c>
    </row>
    <row r="584" spans="1:11" hidden="1" x14ac:dyDescent="0.2">
      <c r="A584" s="1929" t="s">
        <v>4141</v>
      </c>
      <c r="B584" s="1929" t="s">
        <v>1217</v>
      </c>
      <c r="C584" s="1929" t="s">
        <v>1216</v>
      </c>
      <c r="D584" s="1929" t="s">
        <v>1013</v>
      </c>
      <c r="E584" s="1929" t="s">
        <v>292</v>
      </c>
      <c r="F584" s="1929">
        <v>20.5</v>
      </c>
      <c r="G584" s="1929">
        <v>6.6</v>
      </c>
      <c r="H584" s="1929">
        <v>1.7</v>
      </c>
      <c r="I584" s="1929">
        <v>60.2</v>
      </c>
      <c r="J584" s="1929">
        <v>478</v>
      </c>
      <c r="K584" s="1929" t="s">
        <v>4140</v>
      </c>
    </row>
    <row r="585" spans="1:11" hidden="1" x14ac:dyDescent="0.2">
      <c r="A585" s="1929" t="s">
        <v>4139</v>
      </c>
      <c r="B585" s="1929" t="s">
        <v>1217</v>
      </c>
      <c r="C585" s="1929" t="s">
        <v>1216</v>
      </c>
      <c r="D585" s="1929" t="s">
        <v>1013</v>
      </c>
      <c r="E585" s="1929" t="s">
        <v>292</v>
      </c>
      <c r="F585" s="1929">
        <v>21.8</v>
      </c>
      <c r="G585" s="1929">
        <v>6.3</v>
      </c>
      <c r="H585" s="1929">
        <v>2</v>
      </c>
      <c r="I585" s="1929">
        <v>51.5</v>
      </c>
      <c r="J585" s="1929">
        <v>484</v>
      </c>
      <c r="K585" s="1929" t="s">
        <v>4138</v>
      </c>
    </row>
    <row r="586" spans="1:11" hidden="1" x14ac:dyDescent="0.2">
      <c r="A586" s="1929" t="s">
        <v>4137</v>
      </c>
      <c r="B586" s="1929" t="s">
        <v>1217</v>
      </c>
      <c r="C586" s="1929" t="s">
        <v>1216</v>
      </c>
      <c r="D586" s="1929" t="s">
        <v>1013</v>
      </c>
      <c r="E586" s="1929" t="s">
        <v>292</v>
      </c>
      <c r="F586" s="1929">
        <v>23.9</v>
      </c>
      <c r="G586" s="1929">
        <v>4</v>
      </c>
      <c r="H586" s="1929">
        <v>1.4</v>
      </c>
      <c r="I586" s="1929">
        <v>40.799999999999997</v>
      </c>
      <c r="J586" s="1929">
        <v>661</v>
      </c>
      <c r="K586" s="1929" t="s">
        <v>4136</v>
      </c>
    </row>
    <row r="587" spans="1:11" hidden="1" x14ac:dyDescent="0.2">
      <c r="A587" s="1929" t="s">
        <v>4135</v>
      </c>
      <c r="B587" s="1929" t="s">
        <v>1249</v>
      </c>
      <c r="C587" s="1929" t="s">
        <v>1248</v>
      </c>
      <c r="D587" s="1929" t="s">
        <v>1013</v>
      </c>
      <c r="E587" s="1929" t="s">
        <v>292</v>
      </c>
      <c r="F587" s="1929">
        <v>19.399999999999999</v>
      </c>
      <c r="G587" s="1929">
        <v>7.9</v>
      </c>
      <c r="H587" s="1929">
        <v>1.4</v>
      </c>
      <c r="I587" s="1929">
        <v>10.5</v>
      </c>
      <c r="J587" s="1929">
        <v>768</v>
      </c>
      <c r="K587" s="1929" t="s">
        <v>4134</v>
      </c>
    </row>
    <row r="588" spans="1:11" hidden="1" x14ac:dyDescent="0.2">
      <c r="A588" s="1929" t="s">
        <v>4133</v>
      </c>
      <c r="B588" s="1929" t="s">
        <v>1217</v>
      </c>
      <c r="C588" s="1929" t="s">
        <v>1216</v>
      </c>
      <c r="D588" s="1929" t="s">
        <v>1013</v>
      </c>
      <c r="E588" s="1929" t="s">
        <v>292</v>
      </c>
      <c r="F588" s="1929">
        <v>8.5</v>
      </c>
      <c r="G588" s="1929">
        <v>3.4</v>
      </c>
      <c r="H588" s="1929">
        <v>0.9</v>
      </c>
      <c r="I588" s="1929">
        <v>31.8</v>
      </c>
      <c r="J588" s="1929">
        <v>965</v>
      </c>
      <c r="K588" s="1929" t="s">
        <v>4132</v>
      </c>
    </row>
    <row r="589" spans="1:11" hidden="1" x14ac:dyDescent="0.2">
      <c r="A589" s="1929" t="s">
        <v>4131</v>
      </c>
      <c r="B589" s="1929" t="s">
        <v>1310</v>
      </c>
      <c r="C589" s="1929" t="s">
        <v>1379</v>
      </c>
      <c r="D589" s="1929" t="s">
        <v>1013</v>
      </c>
      <c r="E589" s="1929" t="s">
        <v>292</v>
      </c>
      <c r="F589" s="1929">
        <v>11.2</v>
      </c>
      <c r="G589" s="1929">
        <v>3</v>
      </c>
      <c r="H589" s="1929">
        <v>0.9</v>
      </c>
      <c r="I589" s="1929">
        <v>4.4000000000000004</v>
      </c>
      <c r="J589" s="1929">
        <v>1311</v>
      </c>
      <c r="K589" s="1929" t="s">
        <v>4130</v>
      </c>
    </row>
    <row r="590" spans="1:11" hidden="1" x14ac:dyDescent="0.2">
      <c r="A590" s="1929" t="s">
        <v>4129</v>
      </c>
      <c r="B590" s="1929" t="s">
        <v>1306</v>
      </c>
      <c r="C590" s="1929" t="s">
        <v>1819</v>
      </c>
      <c r="D590" s="1929" t="s">
        <v>1013</v>
      </c>
      <c r="E590" s="1929" t="s">
        <v>292</v>
      </c>
      <c r="F590" s="1929">
        <v>8.6999999999999993</v>
      </c>
      <c r="G590" s="1929">
        <v>5.3</v>
      </c>
      <c r="H590" s="1929">
        <v>0.4</v>
      </c>
      <c r="I590" s="1929">
        <v>4.2</v>
      </c>
      <c r="J590" s="1929">
        <v>1547</v>
      </c>
      <c r="K590" s="1929" t="s">
        <v>4128</v>
      </c>
    </row>
    <row r="591" spans="1:11" hidden="1" x14ac:dyDescent="0.2">
      <c r="A591" s="1929" t="s">
        <v>4127</v>
      </c>
      <c r="B591" s="1929" t="s">
        <v>1234</v>
      </c>
      <c r="C591" s="1929" t="s">
        <v>1476</v>
      </c>
      <c r="D591" s="1929" t="s">
        <v>1013</v>
      </c>
      <c r="E591" s="1929" t="s">
        <v>292</v>
      </c>
      <c r="F591" s="1929">
        <v>8.6999999999999993</v>
      </c>
      <c r="G591" s="1929">
        <v>2.2999999999999998</v>
      </c>
      <c r="H591" s="1929">
        <v>0.5</v>
      </c>
      <c r="I591" s="1929">
        <v>2.5</v>
      </c>
      <c r="J591" s="1929">
        <v>1620</v>
      </c>
      <c r="K591" s="1929" t="s">
        <v>4126</v>
      </c>
    </row>
    <row r="592" spans="1:11" hidden="1" x14ac:dyDescent="0.2">
      <c r="A592" s="1929" t="s">
        <v>4125</v>
      </c>
      <c r="B592" s="1929" t="s">
        <v>1217</v>
      </c>
      <c r="C592" s="1929" t="s">
        <v>1216</v>
      </c>
      <c r="D592" s="1929" t="s">
        <v>1013</v>
      </c>
      <c r="E592" s="1929" t="s">
        <v>292</v>
      </c>
      <c r="F592" s="1929">
        <v>3.8</v>
      </c>
      <c r="G592" s="1929">
        <v>2.5</v>
      </c>
      <c r="H592" s="1929">
        <v>0.4</v>
      </c>
      <c r="I592" s="1929">
        <v>15.1</v>
      </c>
      <c r="J592" s="1929">
        <v>1898</v>
      </c>
      <c r="K592" s="1929" t="s">
        <v>4124</v>
      </c>
    </row>
    <row r="593" spans="1:11" x14ac:dyDescent="0.2">
      <c r="A593" s="1929" t="s">
        <v>4123</v>
      </c>
      <c r="B593" s="1929" t="s">
        <v>1238</v>
      </c>
      <c r="C593" s="1929" t="s">
        <v>1609</v>
      </c>
      <c r="D593" s="1929" t="s">
        <v>303</v>
      </c>
      <c r="E593" s="1929" t="s">
        <v>43</v>
      </c>
      <c r="F593" s="1929">
        <v>36.1</v>
      </c>
      <c r="G593" s="1929">
        <v>22</v>
      </c>
      <c r="H593" s="1929">
        <v>1.9</v>
      </c>
      <c r="I593" s="1929">
        <v>35.5</v>
      </c>
      <c r="J593" s="1929">
        <v>299</v>
      </c>
      <c r="K593" s="1929" t="s">
        <v>4122</v>
      </c>
    </row>
    <row r="594" spans="1:11" x14ac:dyDescent="0.2">
      <c r="A594" s="1929" t="s">
        <v>4121</v>
      </c>
      <c r="B594" s="1929" t="s">
        <v>1245</v>
      </c>
      <c r="C594" s="1929" t="s">
        <v>1244</v>
      </c>
      <c r="D594" s="1929" t="s">
        <v>303</v>
      </c>
      <c r="E594" s="1929" t="s">
        <v>43</v>
      </c>
      <c r="F594" s="1929">
        <v>52.7</v>
      </c>
      <c r="G594" s="1929">
        <v>30.6</v>
      </c>
      <c r="H594" s="1929">
        <v>2.9</v>
      </c>
      <c r="I594" s="1929">
        <v>16.399999999999999</v>
      </c>
      <c r="J594" s="1929">
        <v>339</v>
      </c>
      <c r="K594" s="1929" t="s">
        <v>4120</v>
      </c>
    </row>
    <row r="595" spans="1:11" x14ac:dyDescent="0.2">
      <c r="A595" s="1929" t="s">
        <v>4119</v>
      </c>
      <c r="B595" s="1929" t="s">
        <v>1269</v>
      </c>
      <c r="C595" s="1929" t="s">
        <v>1294</v>
      </c>
      <c r="D595" s="1929" t="s">
        <v>303</v>
      </c>
      <c r="E595" s="1929" t="s">
        <v>43</v>
      </c>
      <c r="F595" s="1929">
        <v>32.700000000000003</v>
      </c>
      <c r="G595" s="1929">
        <v>10.9</v>
      </c>
      <c r="H595" s="1929">
        <v>1.6</v>
      </c>
      <c r="I595" s="1929">
        <v>19.600000000000001</v>
      </c>
      <c r="J595" s="1929">
        <v>489</v>
      </c>
      <c r="K595" s="1929" t="s">
        <v>4118</v>
      </c>
    </row>
    <row r="596" spans="1:11" x14ac:dyDescent="0.2">
      <c r="A596" s="1929" t="s">
        <v>4117</v>
      </c>
      <c r="B596" s="1929" t="s">
        <v>1217</v>
      </c>
      <c r="C596" s="1929" t="s">
        <v>1252</v>
      </c>
      <c r="D596" s="1929" t="s">
        <v>303</v>
      </c>
      <c r="E596" s="1929" t="s">
        <v>43</v>
      </c>
      <c r="F596" s="1929">
        <v>8.6</v>
      </c>
      <c r="G596" s="1929">
        <v>7.5</v>
      </c>
      <c r="H596" s="1929">
        <v>1.1000000000000001</v>
      </c>
      <c r="I596" s="1929">
        <v>45.7</v>
      </c>
      <c r="J596" s="1929">
        <v>669</v>
      </c>
      <c r="K596" s="1929" t="s">
        <v>4116</v>
      </c>
    </row>
    <row r="597" spans="1:11" x14ac:dyDescent="0.2">
      <c r="A597" s="1929" t="s">
        <v>4115</v>
      </c>
      <c r="B597" s="1929" t="s">
        <v>1245</v>
      </c>
      <c r="C597" s="1929" t="s">
        <v>1759</v>
      </c>
      <c r="D597" s="1929" t="s">
        <v>303</v>
      </c>
      <c r="E597" s="1929" t="s">
        <v>43</v>
      </c>
      <c r="F597" s="1929">
        <v>18.7</v>
      </c>
      <c r="G597" s="1929">
        <v>14</v>
      </c>
      <c r="H597" s="1929">
        <v>1.6</v>
      </c>
      <c r="I597" s="1929">
        <v>8.9</v>
      </c>
      <c r="J597" s="1929">
        <v>682</v>
      </c>
      <c r="K597" s="1929" t="s">
        <v>4114</v>
      </c>
    </row>
    <row r="598" spans="1:11" x14ac:dyDescent="0.2">
      <c r="A598" s="1929" t="s">
        <v>4113</v>
      </c>
      <c r="B598" s="1929" t="s">
        <v>1238</v>
      </c>
      <c r="C598" s="1929" t="s">
        <v>1878</v>
      </c>
      <c r="D598" s="1929" t="s">
        <v>303</v>
      </c>
      <c r="E598" s="1929" t="s">
        <v>43</v>
      </c>
      <c r="F598" s="1929">
        <v>15.9</v>
      </c>
      <c r="G598" s="1929">
        <v>12.4</v>
      </c>
      <c r="H598" s="1929">
        <v>0.6</v>
      </c>
      <c r="I598" s="1929">
        <v>17.7</v>
      </c>
      <c r="J598" s="1929">
        <v>686</v>
      </c>
      <c r="K598" s="1929" t="s">
        <v>4112</v>
      </c>
    </row>
    <row r="599" spans="1:11" x14ac:dyDescent="0.2">
      <c r="A599" s="1929" t="s">
        <v>4111</v>
      </c>
      <c r="B599" s="1929" t="s">
        <v>1234</v>
      </c>
      <c r="C599" s="1929" t="s">
        <v>1476</v>
      </c>
      <c r="D599" s="1929" t="s">
        <v>303</v>
      </c>
      <c r="E599" s="1929" t="s">
        <v>43</v>
      </c>
      <c r="F599" s="1929">
        <v>21</v>
      </c>
      <c r="G599" s="1929">
        <v>23.9</v>
      </c>
      <c r="H599" s="1929">
        <v>-0.4</v>
      </c>
      <c r="I599" s="1929">
        <v>28.2</v>
      </c>
      <c r="J599" s="1929">
        <v>708</v>
      </c>
      <c r="K599" s="1929" t="s">
        <v>4110</v>
      </c>
    </row>
    <row r="600" spans="1:11" x14ac:dyDescent="0.2">
      <c r="A600" s="1929" t="s">
        <v>4109</v>
      </c>
      <c r="B600" s="1929" t="s">
        <v>1217</v>
      </c>
      <c r="C600" s="1929" t="s">
        <v>1216</v>
      </c>
      <c r="D600" s="1929" t="s">
        <v>303</v>
      </c>
      <c r="E600" s="1929" t="s">
        <v>43</v>
      </c>
      <c r="F600" s="1929">
        <v>105</v>
      </c>
      <c r="G600" s="1929">
        <v>5.2</v>
      </c>
      <c r="H600" s="1929">
        <v>-2.1</v>
      </c>
      <c r="I600" s="1929">
        <v>162.5</v>
      </c>
      <c r="J600" s="1929">
        <v>757</v>
      </c>
      <c r="K600" s="1929" t="s">
        <v>4108</v>
      </c>
    </row>
    <row r="601" spans="1:11" x14ac:dyDescent="0.2">
      <c r="A601" s="1929" t="s">
        <v>4107</v>
      </c>
      <c r="B601" s="1929" t="s">
        <v>1269</v>
      </c>
      <c r="C601" s="1929" t="s">
        <v>1504</v>
      </c>
      <c r="D601" s="1929" t="s">
        <v>303</v>
      </c>
      <c r="E601" s="1929" t="s">
        <v>43</v>
      </c>
      <c r="F601" s="1929">
        <v>36.5</v>
      </c>
      <c r="G601" s="1929">
        <v>8.6999999999999993</v>
      </c>
      <c r="H601" s="1929">
        <v>-0.8</v>
      </c>
      <c r="I601" s="1929">
        <v>22.7</v>
      </c>
      <c r="J601" s="1929">
        <v>858</v>
      </c>
      <c r="K601" s="1929" t="s">
        <v>4106</v>
      </c>
    </row>
    <row r="602" spans="1:11" x14ac:dyDescent="0.2">
      <c r="A602" s="1929" t="s">
        <v>4105</v>
      </c>
      <c r="B602" s="1929" t="s">
        <v>1217</v>
      </c>
      <c r="C602" s="1929" t="s">
        <v>2291</v>
      </c>
      <c r="D602" s="1929" t="s">
        <v>303</v>
      </c>
      <c r="E602" s="1929" t="s">
        <v>43</v>
      </c>
      <c r="F602" s="1929">
        <v>14.4</v>
      </c>
      <c r="G602" s="1929">
        <v>5.8</v>
      </c>
      <c r="H602" s="1929">
        <v>-0.6</v>
      </c>
      <c r="I602" s="1929">
        <v>182.1</v>
      </c>
      <c r="J602" s="1929">
        <v>891</v>
      </c>
      <c r="K602" s="1929" t="s">
        <v>4104</v>
      </c>
    </row>
    <row r="603" spans="1:11" x14ac:dyDescent="0.2">
      <c r="A603" s="1929" t="s">
        <v>4103</v>
      </c>
      <c r="B603" s="1929" t="s">
        <v>1238</v>
      </c>
      <c r="C603" s="1929" t="s">
        <v>1485</v>
      </c>
      <c r="D603" s="1929" t="s">
        <v>303</v>
      </c>
      <c r="E603" s="1929" t="s">
        <v>43</v>
      </c>
      <c r="F603" s="1929">
        <v>14.7</v>
      </c>
      <c r="G603" s="1929">
        <v>6.7</v>
      </c>
      <c r="H603" s="1929">
        <v>0.7</v>
      </c>
      <c r="I603" s="1929">
        <v>11.4</v>
      </c>
      <c r="J603" s="1929">
        <v>936</v>
      </c>
      <c r="K603" s="1929" t="s">
        <v>4102</v>
      </c>
    </row>
    <row r="604" spans="1:11" x14ac:dyDescent="0.2">
      <c r="A604" s="1929" t="s">
        <v>4101</v>
      </c>
      <c r="B604" s="1929" t="s">
        <v>1269</v>
      </c>
      <c r="C604" s="1929" t="s">
        <v>1504</v>
      </c>
      <c r="D604" s="1929" t="s">
        <v>303</v>
      </c>
      <c r="E604" s="1929" t="s">
        <v>43</v>
      </c>
      <c r="F604" s="1929">
        <v>29</v>
      </c>
      <c r="G604" s="1929">
        <v>5</v>
      </c>
      <c r="H604" s="1929">
        <v>0.7</v>
      </c>
      <c r="I604" s="1929">
        <v>8.3000000000000007</v>
      </c>
      <c r="J604" s="1929">
        <v>1041</v>
      </c>
      <c r="K604" s="1929" t="s">
        <v>4100</v>
      </c>
    </row>
    <row r="605" spans="1:11" x14ac:dyDescent="0.2">
      <c r="A605" s="1929" t="s">
        <v>4099</v>
      </c>
      <c r="B605" s="1929" t="s">
        <v>1228</v>
      </c>
      <c r="C605" s="1929" t="s">
        <v>1227</v>
      </c>
      <c r="D605" s="1929" t="s">
        <v>303</v>
      </c>
      <c r="E605" s="1929" t="s">
        <v>43</v>
      </c>
      <c r="F605" s="1929">
        <v>18</v>
      </c>
      <c r="G605" s="1929">
        <v>4.8</v>
      </c>
      <c r="H605" s="1929">
        <v>0.7</v>
      </c>
      <c r="I605" s="1929">
        <v>8.1999999999999993</v>
      </c>
      <c r="J605" s="1929">
        <v>1154</v>
      </c>
      <c r="K605" s="1929" t="s">
        <v>4098</v>
      </c>
    </row>
    <row r="606" spans="1:11" x14ac:dyDescent="0.2">
      <c r="A606" s="1929" t="s">
        <v>4097</v>
      </c>
      <c r="B606" s="1929" t="s">
        <v>1269</v>
      </c>
      <c r="C606" s="1929" t="s">
        <v>1504</v>
      </c>
      <c r="D606" s="1929" t="s">
        <v>303</v>
      </c>
      <c r="E606" s="1929" t="s">
        <v>43</v>
      </c>
      <c r="F606" s="1929">
        <v>20.8</v>
      </c>
      <c r="G606" s="1929">
        <v>3.8</v>
      </c>
      <c r="H606" s="1929">
        <v>0.3</v>
      </c>
      <c r="I606" s="1929">
        <v>13.7</v>
      </c>
      <c r="J606" s="1929">
        <v>1407</v>
      </c>
      <c r="K606" s="1929" t="s">
        <v>4096</v>
      </c>
    </row>
    <row r="607" spans="1:11" x14ac:dyDescent="0.2">
      <c r="A607" s="1929" t="s">
        <v>4095</v>
      </c>
      <c r="B607" s="1929" t="s">
        <v>1306</v>
      </c>
      <c r="C607" s="1929" t="s">
        <v>1305</v>
      </c>
      <c r="D607" s="1929" t="s">
        <v>303</v>
      </c>
      <c r="E607" s="1929" t="s">
        <v>43</v>
      </c>
      <c r="F607" s="1929">
        <v>13.5</v>
      </c>
      <c r="G607" s="1929">
        <v>7.7</v>
      </c>
      <c r="H607" s="1929">
        <v>0.1</v>
      </c>
      <c r="I607" s="1929">
        <v>7.2</v>
      </c>
      <c r="J607" s="1929">
        <v>1460</v>
      </c>
      <c r="K607" s="1929" t="s">
        <v>4094</v>
      </c>
    </row>
    <row r="608" spans="1:11" x14ac:dyDescent="0.2">
      <c r="A608" s="1929" t="s">
        <v>4093</v>
      </c>
      <c r="B608" s="1929" t="s">
        <v>1217</v>
      </c>
      <c r="C608" s="1929" t="s">
        <v>1368</v>
      </c>
      <c r="D608" s="1929" t="s">
        <v>303</v>
      </c>
      <c r="E608" s="1929" t="s">
        <v>43</v>
      </c>
      <c r="F608" s="1929">
        <v>5.8</v>
      </c>
      <c r="G608" s="1929">
        <v>1.4</v>
      </c>
      <c r="H608" s="1929">
        <v>-0.3</v>
      </c>
      <c r="I608" s="1929">
        <v>51.8</v>
      </c>
      <c r="J608" s="1929">
        <v>1540</v>
      </c>
      <c r="K608" s="1929" t="s">
        <v>4092</v>
      </c>
    </row>
    <row r="609" spans="1:11" x14ac:dyDescent="0.2">
      <c r="A609" s="1929" t="s">
        <v>4091</v>
      </c>
      <c r="B609" s="1929" t="s">
        <v>1234</v>
      </c>
      <c r="C609" s="1929" t="s">
        <v>1420</v>
      </c>
      <c r="D609" s="1929" t="s">
        <v>303</v>
      </c>
      <c r="E609" s="1929" t="s">
        <v>43</v>
      </c>
      <c r="F609" s="1929">
        <v>5.8</v>
      </c>
      <c r="G609" s="1929">
        <v>10.6</v>
      </c>
      <c r="H609" s="1929">
        <v>0.2</v>
      </c>
      <c r="I609" s="1929">
        <v>11.3</v>
      </c>
      <c r="J609" s="1929">
        <v>1569</v>
      </c>
      <c r="K609" s="1929" t="s">
        <v>4090</v>
      </c>
    </row>
    <row r="610" spans="1:11" x14ac:dyDescent="0.2">
      <c r="A610" s="1929" t="s">
        <v>4089</v>
      </c>
      <c r="B610" s="1929" t="s">
        <v>1238</v>
      </c>
      <c r="C610" s="1929" t="s">
        <v>1878</v>
      </c>
      <c r="D610" s="1929" t="s">
        <v>303</v>
      </c>
      <c r="E610" s="1929" t="s">
        <v>43</v>
      </c>
      <c r="F610" s="1929">
        <v>4.7</v>
      </c>
      <c r="G610" s="1929">
        <v>16.7</v>
      </c>
      <c r="H610" s="1929">
        <v>0.2</v>
      </c>
      <c r="I610" s="1929">
        <v>5</v>
      </c>
      <c r="J610" s="1929">
        <v>1781</v>
      </c>
      <c r="K610" s="1929" t="s">
        <v>4088</v>
      </c>
    </row>
    <row r="611" spans="1:11" x14ac:dyDescent="0.2">
      <c r="A611" s="1929" t="s">
        <v>4087</v>
      </c>
      <c r="D611" s="1929" t="s">
        <v>303</v>
      </c>
      <c r="E611" s="1929" t="s">
        <v>43</v>
      </c>
      <c r="F611" s="1929">
        <v>6.2</v>
      </c>
      <c r="G611" s="1929">
        <v>1.9</v>
      </c>
      <c r="H611" s="1929">
        <v>0.6</v>
      </c>
      <c r="I611" s="1929">
        <v>0.9</v>
      </c>
      <c r="J611" s="1929">
        <v>1858</v>
      </c>
      <c r="K611" s="1929" t="s">
        <v>4086</v>
      </c>
    </row>
    <row r="612" spans="1:11" hidden="1" x14ac:dyDescent="0.2">
      <c r="A612" s="1929" t="s">
        <v>4085</v>
      </c>
      <c r="B612" s="1929" t="s">
        <v>1269</v>
      </c>
      <c r="C612" s="1929" t="s">
        <v>1504</v>
      </c>
      <c r="D612" s="1929" t="s">
        <v>1013</v>
      </c>
      <c r="E612" s="1929" t="s">
        <v>44</v>
      </c>
      <c r="F612" s="1929">
        <v>44.6</v>
      </c>
      <c r="G612" s="1929">
        <v>20.3</v>
      </c>
      <c r="H612" s="1929">
        <v>1.3</v>
      </c>
      <c r="I612" s="1929">
        <v>47.5</v>
      </c>
      <c r="J612" s="1929">
        <v>294</v>
      </c>
      <c r="K612" s="1929" t="s">
        <v>4084</v>
      </c>
    </row>
    <row r="613" spans="1:11" hidden="1" x14ac:dyDescent="0.2">
      <c r="A613" s="1929" t="s">
        <v>4083</v>
      </c>
      <c r="B613" s="1929" t="s">
        <v>1217</v>
      </c>
      <c r="C613" s="1929" t="s">
        <v>2291</v>
      </c>
      <c r="D613" s="1929" t="s">
        <v>1013</v>
      </c>
      <c r="E613" s="1929" t="s">
        <v>44</v>
      </c>
      <c r="F613" s="1929">
        <v>7.6</v>
      </c>
      <c r="G613" s="1929">
        <v>5</v>
      </c>
      <c r="H613" s="1929">
        <v>0.7</v>
      </c>
      <c r="I613" s="1929">
        <v>109.5</v>
      </c>
      <c r="J613" s="1929">
        <v>822</v>
      </c>
      <c r="K613" s="1929" t="s">
        <v>4082</v>
      </c>
    </row>
    <row r="614" spans="1:11" hidden="1" x14ac:dyDescent="0.2">
      <c r="A614" s="1929" t="s">
        <v>4081</v>
      </c>
      <c r="B614" s="1929" t="s">
        <v>1217</v>
      </c>
      <c r="C614" s="1929" t="s">
        <v>2291</v>
      </c>
      <c r="D614" s="1929" t="s">
        <v>1013</v>
      </c>
      <c r="E614" s="1929" t="s">
        <v>44</v>
      </c>
      <c r="F614" s="1929">
        <v>5.8</v>
      </c>
      <c r="G614" s="1929">
        <v>4.5999999999999996</v>
      </c>
      <c r="H614" s="1929">
        <v>0.4</v>
      </c>
      <c r="I614" s="1929">
        <v>103.6</v>
      </c>
      <c r="J614" s="1929">
        <v>1143</v>
      </c>
      <c r="K614" s="1929" t="s">
        <v>4080</v>
      </c>
    </row>
    <row r="615" spans="1:11" hidden="1" x14ac:dyDescent="0.2">
      <c r="A615" s="1929" t="s">
        <v>4079</v>
      </c>
      <c r="B615" s="1929" t="s">
        <v>1217</v>
      </c>
      <c r="C615" s="1929" t="s">
        <v>1368</v>
      </c>
      <c r="D615" s="1929" t="s">
        <v>1013</v>
      </c>
      <c r="E615" s="1929" t="s">
        <v>44</v>
      </c>
      <c r="F615" s="1929">
        <v>4.7</v>
      </c>
      <c r="G615" s="1929">
        <v>10.7</v>
      </c>
      <c r="H615" s="1929">
        <v>0.2</v>
      </c>
      <c r="I615" s="1929">
        <v>35.6</v>
      </c>
      <c r="J615" s="1929">
        <v>1273</v>
      </c>
      <c r="K615" s="1929" t="s">
        <v>4078</v>
      </c>
    </row>
    <row r="616" spans="1:11" hidden="1" x14ac:dyDescent="0.2">
      <c r="A616" s="1929" t="s">
        <v>4077</v>
      </c>
      <c r="B616" s="1929" t="s">
        <v>1245</v>
      </c>
      <c r="C616" s="1929" t="s">
        <v>1286</v>
      </c>
      <c r="D616" s="1929" t="s">
        <v>1013</v>
      </c>
      <c r="E616" s="1929" t="s">
        <v>44</v>
      </c>
      <c r="F616" s="1929">
        <v>13.1</v>
      </c>
      <c r="G616" s="1929">
        <v>1.4</v>
      </c>
      <c r="H616" s="1929">
        <v>0.7</v>
      </c>
      <c r="I616" s="1929">
        <v>4.9000000000000004</v>
      </c>
      <c r="J616" s="1929">
        <v>1353</v>
      </c>
      <c r="K616" s="1929" t="s">
        <v>4076</v>
      </c>
    </row>
    <row r="617" spans="1:11" hidden="1" x14ac:dyDescent="0.2">
      <c r="A617" s="1929" t="s">
        <v>4075</v>
      </c>
      <c r="B617" s="1929" t="s">
        <v>1217</v>
      </c>
      <c r="C617" s="1929" t="s">
        <v>1368</v>
      </c>
      <c r="D617" s="1929" t="s">
        <v>1013</v>
      </c>
      <c r="E617" s="1929" t="s">
        <v>44</v>
      </c>
      <c r="F617" s="1929">
        <v>4.3</v>
      </c>
      <c r="G617" s="1929">
        <v>11</v>
      </c>
      <c r="H617" s="1929">
        <v>-0.5</v>
      </c>
      <c r="I617" s="1929">
        <v>15.7</v>
      </c>
      <c r="J617" s="1929">
        <v>1526</v>
      </c>
      <c r="K617" s="1929" t="s">
        <v>4074</v>
      </c>
    </row>
    <row r="618" spans="1:11" hidden="1" x14ac:dyDescent="0.2">
      <c r="A618" s="1929" t="s">
        <v>4073</v>
      </c>
      <c r="B618" s="1929" t="s">
        <v>1217</v>
      </c>
      <c r="C618" s="1929" t="s">
        <v>1216</v>
      </c>
      <c r="D618" s="1929" t="s">
        <v>1013</v>
      </c>
      <c r="E618" s="1929" t="s">
        <v>44</v>
      </c>
      <c r="F618" s="1929">
        <v>3.1</v>
      </c>
      <c r="G618" s="1929">
        <v>2.1</v>
      </c>
      <c r="H618" s="1929">
        <v>0.3</v>
      </c>
      <c r="I618" s="1929">
        <v>51.7</v>
      </c>
      <c r="J618" s="1929">
        <v>1546</v>
      </c>
      <c r="K618" s="1929" t="s">
        <v>4072</v>
      </c>
    </row>
    <row r="619" spans="1:11" hidden="1" x14ac:dyDescent="0.2">
      <c r="A619" s="1929" t="s">
        <v>4071</v>
      </c>
      <c r="B619" s="1929" t="s">
        <v>1217</v>
      </c>
      <c r="C619" s="1929" t="s">
        <v>1216</v>
      </c>
      <c r="D619" s="1929" t="s">
        <v>1013</v>
      </c>
      <c r="E619" s="1929" t="s">
        <v>44</v>
      </c>
      <c r="F619" s="1929">
        <v>2</v>
      </c>
      <c r="G619" s="1929">
        <v>2.7</v>
      </c>
      <c r="H619" s="1929">
        <v>0.2</v>
      </c>
      <c r="I619" s="1929">
        <v>57.8</v>
      </c>
      <c r="J619" s="1929">
        <v>1660</v>
      </c>
      <c r="K619" s="1929" t="s">
        <v>4070</v>
      </c>
    </row>
    <row r="620" spans="1:11" hidden="1" x14ac:dyDescent="0.2">
      <c r="A620" s="1929" t="s">
        <v>4069</v>
      </c>
      <c r="B620" s="1929" t="s">
        <v>1217</v>
      </c>
      <c r="C620" s="1929" t="s">
        <v>1368</v>
      </c>
      <c r="D620" s="1929" t="s">
        <v>1013</v>
      </c>
      <c r="E620" s="1929" t="s">
        <v>44</v>
      </c>
      <c r="F620" s="1929">
        <v>0</v>
      </c>
      <c r="G620" s="1929">
        <v>8.9</v>
      </c>
      <c r="H620" s="1929">
        <v>-0.1</v>
      </c>
      <c r="I620" s="1929">
        <v>13.4</v>
      </c>
      <c r="J620" s="1929">
        <v>1697</v>
      </c>
      <c r="K620" s="1929" t="s">
        <v>4068</v>
      </c>
    </row>
    <row r="621" spans="1:11" hidden="1" x14ac:dyDescent="0.2">
      <c r="A621" s="1929" t="s">
        <v>4067</v>
      </c>
      <c r="B621" s="1929" t="s">
        <v>1217</v>
      </c>
      <c r="C621" s="1929" t="s">
        <v>1216</v>
      </c>
      <c r="D621" s="1929" t="s">
        <v>1013</v>
      </c>
      <c r="E621" s="1929" t="s">
        <v>44</v>
      </c>
      <c r="F621" s="1929">
        <v>0.7</v>
      </c>
      <c r="G621" s="1929">
        <v>1.4</v>
      </c>
      <c r="H621" s="1929">
        <v>0.1</v>
      </c>
      <c r="I621" s="1929">
        <v>30.4</v>
      </c>
      <c r="J621" s="1929">
        <v>1904</v>
      </c>
      <c r="K621" s="1929" t="s">
        <v>4066</v>
      </c>
    </row>
    <row r="622" spans="1:11" hidden="1" x14ac:dyDescent="0.2">
      <c r="A622" s="1929" t="s">
        <v>4065</v>
      </c>
      <c r="B622" s="1929" t="s">
        <v>1258</v>
      </c>
      <c r="C622" s="1929" t="s">
        <v>1263</v>
      </c>
      <c r="D622" s="1929" t="s">
        <v>303</v>
      </c>
      <c r="E622" s="1929" t="s">
        <v>45</v>
      </c>
      <c r="F622" s="1929">
        <v>90.9</v>
      </c>
      <c r="G622" s="1929">
        <v>152.69999999999999</v>
      </c>
      <c r="H622" s="1929">
        <v>6.9</v>
      </c>
      <c r="I622" s="1929">
        <v>186.6</v>
      </c>
      <c r="J622" s="1929">
        <v>39</v>
      </c>
      <c r="K622" s="1929" t="s">
        <v>4064</v>
      </c>
    </row>
    <row r="623" spans="1:11" hidden="1" x14ac:dyDescent="0.2">
      <c r="A623" s="1929" t="s">
        <v>4063</v>
      </c>
      <c r="B623" s="1929" t="s">
        <v>1310</v>
      </c>
      <c r="C623" s="1929" t="s">
        <v>1309</v>
      </c>
      <c r="D623" s="1929" t="s">
        <v>303</v>
      </c>
      <c r="E623" s="1929" t="s">
        <v>45</v>
      </c>
      <c r="F623" s="1929">
        <v>53.2</v>
      </c>
      <c r="G623" s="1929">
        <v>106.3</v>
      </c>
      <c r="H623" s="1929">
        <v>4.3</v>
      </c>
      <c r="I623" s="1929">
        <v>226.2</v>
      </c>
      <c r="J623" s="1929">
        <v>71</v>
      </c>
      <c r="K623" s="1929" t="s">
        <v>4062</v>
      </c>
    </row>
    <row r="624" spans="1:11" hidden="1" x14ac:dyDescent="0.2">
      <c r="A624" s="1929" t="s">
        <v>4061</v>
      </c>
      <c r="B624" s="1929" t="s">
        <v>1217</v>
      </c>
      <c r="C624" s="1929" t="s">
        <v>1252</v>
      </c>
      <c r="D624" s="1929" t="s">
        <v>303</v>
      </c>
      <c r="E624" s="1929" t="s">
        <v>45</v>
      </c>
      <c r="F624" s="1929">
        <v>34.5</v>
      </c>
      <c r="G624" s="1929">
        <v>100.5</v>
      </c>
      <c r="H624" s="1929">
        <v>2.5</v>
      </c>
      <c r="I624" s="1929">
        <v>602.79999999999995</v>
      </c>
      <c r="J624" s="1929">
        <v>114</v>
      </c>
      <c r="K624" s="1929" t="s">
        <v>4060</v>
      </c>
    </row>
    <row r="625" spans="1:11" hidden="1" x14ac:dyDescent="0.2">
      <c r="A625" s="1929" t="s">
        <v>4059</v>
      </c>
      <c r="B625" s="1929" t="s">
        <v>1217</v>
      </c>
      <c r="C625" s="1929" t="s">
        <v>1368</v>
      </c>
      <c r="D625" s="1929" t="s">
        <v>303</v>
      </c>
      <c r="E625" s="1929" t="s">
        <v>45</v>
      </c>
      <c r="F625" s="1929">
        <v>10.1</v>
      </c>
      <c r="G625" s="1929">
        <v>143.69999999999999</v>
      </c>
      <c r="H625" s="1929">
        <v>2.4</v>
      </c>
      <c r="I625" s="1929">
        <v>170.7</v>
      </c>
      <c r="J625" s="1929">
        <v>256</v>
      </c>
      <c r="K625" s="1929" t="s">
        <v>4058</v>
      </c>
    </row>
    <row r="626" spans="1:11" hidden="1" x14ac:dyDescent="0.2">
      <c r="A626" s="1929" t="s">
        <v>4057</v>
      </c>
      <c r="B626" s="1929" t="s">
        <v>1217</v>
      </c>
      <c r="C626" s="1929" t="s">
        <v>2291</v>
      </c>
      <c r="D626" s="1929" t="s">
        <v>303</v>
      </c>
      <c r="E626" s="1929" t="s">
        <v>45</v>
      </c>
      <c r="F626" s="1929">
        <v>53.8</v>
      </c>
      <c r="G626" s="1929">
        <v>32.799999999999997</v>
      </c>
      <c r="H626" s="1929">
        <v>-7.9</v>
      </c>
      <c r="I626" s="1929">
        <v>1165.5</v>
      </c>
      <c r="J626" s="1929">
        <v>435</v>
      </c>
      <c r="K626" s="1929" t="s">
        <v>4056</v>
      </c>
    </row>
    <row r="627" spans="1:11" hidden="1" x14ac:dyDescent="0.2">
      <c r="A627" s="1929" t="s">
        <v>4055</v>
      </c>
      <c r="B627" s="1929" t="s">
        <v>1217</v>
      </c>
      <c r="C627" s="1929" t="s">
        <v>2291</v>
      </c>
      <c r="D627" s="1929" t="s">
        <v>303</v>
      </c>
      <c r="E627" s="1929" t="s">
        <v>45</v>
      </c>
      <c r="F627" s="1929">
        <v>57.4</v>
      </c>
      <c r="G627" s="1929">
        <v>24.5</v>
      </c>
      <c r="H627" s="1929">
        <v>-6</v>
      </c>
      <c r="I627" s="1929">
        <v>863</v>
      </c>
      <c r="J627" s="1929">
        <v>453</v>
      </c>
      <c r="K627" s="1929" t="s">
        <v>4054</v>
      </c>
    </row>
    <row r="628" spans="1:11" hidden="1" x14ac:dyDescent="0.2">
      <c r="A628" s="1929" t="s">
        <v>4053</v>
      </c>
      <c r="B628" s="1929" t="s">
        <v>1249</v>
      </c>
      <c r="C628" s="1929" t="s">
        <v>1248</v>
      </c>
      <c r="D628" s="1929" t="s">
        <v>303</v>
      </c>
      <c r="E628" s="1929" t="s">
        <v>45</v>
      </c>
      <c r="F628" s="1929">
        <v>22.8</v>
      </c>
      <c r="G628" s="1929">
        <v>31.1</v>
      </c>
      <c r="H628" s="1929">
        <v>-0.9</v>
      </c>
      <c r="I628" s="1929">
        <v>96.8</v>
      </c>
      <c r="J628" s="1929">
        <v>574</v>
      </c>
      <c r="K628" s="1929" t="s">
        <v>4052</v>
      </c>
    </row>
    <row r="629" spans="1:11" hidden="1" x14ac:dyDescent="0.2">
      <c r="A629" s="1929" t="s">
        <v>4051</v>
      </c>
      <c r="B629" s="1929" t="s">
        <v>1238</v>
      </c>
      <c r="C629" s="1929" t="s">
        <v>1700</v>
      </c>
      <c r="D629" s="1929" t="s">
        <v>303</v>
      </c>
      <c r="E629" s="1929" t="s">
        <v>45</v>
      </c>
      <c r="F629" s="1929">
        <v>21.6</v>
      </c>
      <c r="G629" s="1929">
        <v>4.8</v>
      </c>
      <c r="H629" s="1929">
        <v>0.8</v>
      </c>
      <c r="I629" s="1929">
        <v>40.700000000000003</v>
      </c>
      <c r="J629" s="1929">
        <v>676</v>
      </c>
      <c r="K629" s="1929" t="s">
        <v>4050</v>
      </c>
    </row>
    <row r="630" spans="1:11" hidden="1" x14ac:dyDescent="0.2">
      <c r="A630" s="1929" t="s">
        <v>4049</v>
      </c>
      <c r="B630" s="1929" t="s">
        <v>1228</v>
      </c>
      <c r="C630" s="1929" t="s">
        <v>1297</v>
      </c>
      <c r="D630" s="1929" t="s">
        <v>303</v>
      </c>
      <c r="E630" s="1929" t="s">
        <v>45</v>
      </c>
      <c r="F630" s="1929">
        <v>27.5</v>
      </c>
      <c r="G630" s="1929">
        <v>9.6999999999999993</v>
      </c>
      <c r="H630" s="1929">
        <v>0.7</v>
      </c>
      <c r="I630" s="1929">
        <v>11.1</v>
      </c>
      <c r="J630" s="1929">
        <v>742</v>
      </c>
      <c r="K630" s="1929" t="s">
        <v>4048</v>
      </c>
    </row>
    <row r="631" spans="1:11" hidden="1" x14ac:dyDescent="0.2">
      <c r="A631" s="1929" t="s">
        <v>4047</v>
      </c>
      <c r="B631" s="1929" t="s">
        <v>1217</v>
      </c>
      <c r="C631" s="1929" t="s">
        <v>1302</v>
      </c>
      <c r="D631" s="1929" t="s">
        <v>303</v>
      </c>
      <c r="E631" s="1929" t="s">
        <v>45</v>
      </c>
      <c r="F631" s="1929">
        <v>7.1</v>
      </c>
      <c r="G631" s="1929">
        <v>11.2</v>
      </c>
      <c r="H631" s="1929">
        <v>0.5</v>
      </c>
      <c r="I631" s="1929">
        <v>53.8</v>
      </c>
      <c r="J631" s="1929">
        <v>792</v>
      </c>
      <c r="K631" s="1929" t="s">
        <v>4046</v>
      </c>
    </row>
    <row r="632" spans="1:11" hidden="1" x14ac:dyDescent="0.2">
      <c r="A632" s="1929" t="s">
        <v>4045</v>
      </c>
      <c r="B632" s="1929" t="s">
        <v>1217</v>
      </c>
      <c r="C632" s="1929" t="s">
        <v>1216</v>
      </c>
      <c r="D632" s="1929" t="s">
        <v>303</v>
      </c>
      <c r="E632" s="1929" t="s">
        <v>45</v>
      </c>
      <c r="F632" s="1929">
        <v>8.9</v>
      </c>
      <c r="G632" s="1929">
        <v>6.8</v>
      </c>
      <c r="H632" s="1929">
        <v>0.3</v>
      </c>
      <c r="I632" s="1929">
        <v>171.2</v>
      </c>
      <c r="J632" s="1929">
        <v>853</v>
      </c>
      <c r="K632" s="1929" t="s">
        <v>4044</v>
      </c>
    </row>
    <row r="633" spans="1:11" hidden="1" x14ac:dyDescent="0.2">
      <c r="A633" s="1929" t="s">
        <v>4043</v>
      </c>
      <c r="B633" s="1929" t="s">
        <v>1217</v>
      </c>
      <c r="C633" s="1929" t="s">
        <v>1252</v>
      </c>
      <c r="D633" s="1929" t="s">
        <v>303</v>
      </c>
      <c r="E633" s="1929" t="s">
        <v>45</v>
      </c>
      <c r="F633" s="1929">
        <v>5.6</v>
      </c>
      <c r="G633" s="1929">
        <v>26.3</v>
      </c>
      <c r="H633" s="1929">
        <v>-0.1</v>
      </c>
      <c r="I633" s="1929">
        <v>111.2</v>
      </c>
      <c r="J633" s="1929">
        <v>874</v>
      </c>
      <c r="K633" s="1929" t="s">
        <v>4042</v>
      </c>
    </row>
    <row r="634" spans="1:11" hidden="1" x14ac:dyDescent="0.2">
      <c r="A634" s="1929" t="s">
        <v>4041</v>
      </c>
      <c r="B634" s="1929" t="s">
        <v>1238</v>
      </c>
      <c r="C634" s="1929" t="s">
        <v>1349</v>
      </c>
      <c r="D634" s="1929" t="s">
        <v>303</v>
      </c>
      <c r="E634" s="1929" t="s">
        <v>45</v>
      </c>
      <c r="F634" s="1929">
        <v>5.8</v>
      </c>
      <c r="G634" s="1929">
        <v>20.7</v>
      </c>
      <c r="H634" s="1929">
        <v>0</v>
      </c>
      <c r="I634" s="1929">
        <v>40.799999999999997</v>
      </c>
      <c r="J634" s="1929">
        <v>985</v>
      </c>
      <c r="K634" s="1929" t="s">
        <v>4040</v>
      </c>
    </row>
    <row r="635" spans="1:11" hidden="1" x14ac:dyDescent="0.2">
      <c r="A635" s="1929" t="s">
        <v>4039</v>
      </c>
      <c r="B635" s="1929" t="s">
        <v>1217</v>
      </c>
      <c r="C635" s="1929" t="s">
        <v>1216</v>
      </c>
      <c r="D635" s="1929" t="s">
        <v>303</v>
      </c>
      <c r="E635" s="1929" t="s">
        <v>45</v>
      </c>
      <c r="F635" s="1929">
        <v>7.3</v>
      </c>
      <c r="G635" s="1929">
        <v>7.2</v>
      </c>
      <c r="H635" s="1929">
        <v>-0.8</v>
      </c>
      <c r="I635" s="1929">
        <v>173.7</v>
      </c>
      <c r="J635" s="1929">
        <v>996</v>
      </c>
      <c r="K635" s="1929" t="s">
        <v>4038</v>
      </c>
    </row>
    <row r="636" spans="1:11" hidden="1" x14ac:dyDescent="0.2">
      <c r="A636" s="1929" t="s">
        <v>4037</v>
      </c>
      <c r="B636" s="1929" t="s">
        <v>1310</v>
      </c>
      <c r="C636" s="1929" t="s">
        <v>1309</v>
      </c>
      <c r="D636" s="1929" t="s">
        <v>303</v>
      </c>
      <c r="E636" s="1929" t="s">
        <v>45</v>
      </c>
      <c r="F636" s="1929">
        <v>10.9</v>
      </c>
      <c r="G636" s="1929">
        <v>2.5</v>
      </c>
      <c r="H636" s="1929">
        <v>0.7</v>
      </c>
      <c r="I636" s="1929">
        <v>20.2</v>
      </c>
      <c r="J636" s="1929">
        <v>1025</v>
      </c>
      <c r="K636" s="1929" t="s">
        <v>4036</v>
      </c>
    </row>
    <row r="637" spans="1:11" hidden="1" x14ac:dyDescent="0.2">
      <c r="A637" s="1929" t="s">
        <v>4035</v>
      </c>
      <c r="B637" s="1929" t="s">
        <v>1228</v>
      </c>
      <c r="C637" s="1929" t="s">
        <v>1276</v>
      </c>
      <c r="D637" s="1929" t="s">
        <v>303</v>
      </c>
      <c r="E637" s="1929" t="s">
        <v>45</v>
      </c>
      <c r="F637" s="1929">
        <v>20.8</v>
      </c>
      <c r="G637" s="1929">
        <v>4.7</v>
      </c>
      <c r="H637" s="1929">
        <v>0.9</v>
      </c>
      <c r="I637" s="1929">
        <v>5.0999999999999996</v>
      </c>
      <c r="J637" s="1929">
        <v>1073</v>
      </c>
      <c r="K637" s="1929" t="s">
        <v>4034</v>
      </c>
    </row>
    <row r="638" spans="1:11" hidden="1" x14ac:dyDescent="0.2">
      <c r="A638" s="1929" t="s">
        <v>4033</v>
      </c>
      <c r="B638" s="1929" t="s">
        <v>1217</v>
      </c>
      <c r="C638" s="1929" t="s">
        <v>1216</v>
      </c>
      <c r="D638" s="1929" t="s">
        <v>303</v>
      </c>
      <c r="E638" s="1929" t="s">
        <v>45</v>
      </c>
      <c r="F638" s="1929">
        <v>9.8000000000000007</v>
      </c>
      <c r="G638" s="1929">
        <v>4.4000000000000004</v>
      </c>
      <c r="H638" s="1929">
        <v>0</v>
      </c>
      <c r="I638" s="1929">
        <v>103.7</v>
      </c>
      <c r="J638" s="1929">
        <v>1127</v>
      </c>
      <c r="K638" s="1929" t="s">
        <v>4032</v>
      </c>
    </row>
    <row r="639" spans="1:11" hidden="1" x14ac:dyDescent="0.2">
      <c r="A639" s="1929" t="s">
        <v>4031</v>
      </c>
      <c r="B639" s="1929" t="s">
        <v>1217</v>
      </c>
      <c r="C639" s="1929" t="s">
        <v>2291</v>
      </c>
      <c r="D639" s="1929" t="s">
        <v>303</v>
      </c>
      <c r="E639" s="1929" t="s">
        <v>45</v>
      </c>
      <c r="F639" s="1929">
        <v>4.5</v>
      </c>
      <c r="G639" s="1929">
        <v>6.7</v>
      </c>
      <c r="H639" s="1929">
        <v>-1.9</v>
      </c>
      <c r="I639" s="1929">
        <v>274.39999999999998</v>
      </c>
      <c r="J639" s="1929">
        <v>1207</v>
      </c>
      <c r="K639" s="1929" t="s">
        <v>4030</v>
      </c>
    </row>
    <row r="640" spans="1:11" hidden="1" x14ac:dyDescent="0.2">
      <c r="A640" s="1929" t="s">
        <v>4029</v>
      </c>
      <c r="B640" s="1929" t="s">
        <v>1228</v>
      </c>
      <c r="C640" s="1929" t="s">
        <v>1334</v>
      </c>
      <c r="D640" s="1929" t="s">
        <v>303</v>
      </c>
      <c r="E640" s="1929" t="s">
        <v>45</v>
      </c>
      <c r="F640" s="1929">
        <v>7.7</v>
      </c>
      <c r="G640" s="1929">
        <v>8.1999999999999993</v>
      </c>
      <c r="H640" s="1929">
        <v>0.4</v>
      </c>
      <c r="I640" s="1929">
        <v>10</v>
      </c>
      <c r="J640" s="1929">
        <v>1298</v>
      </c>
      <c r="K640" s="1929" t="s">
        <v>4028</v>
      </c>
    </row>
    <row r="641" spans="1:11" hidden="1" x14ac:dyDescent="0.2">
      <c r="A641" s="1929" t="s">
        <v>4027</v>
      </c>
      <c r="B641" s="1929" t="s">
        <v>1217</v>
      </c>
      <c r="C641" s="1929" t="s">
        <v>1216</v>
      </c>
      <c r="D641" s="1929" t="s">
        <v>303</v>
      </c>
      <c r="E641" s="1929" t="s">
        <v>45</v>
      </c>
      <c r="F641" s="1929">
        <v>4.4000000000000004</v>
      </c>
      <c r="G641" s="1929">
        <v>4.3</v>
      </c>
      <c r="H641" s="1929">
        <v>0</v>
      </c>
      <c r="I641" s="1929">
        <v>85.1</v>
      </c>
      <c r="J641" s="1929">
        <v>1549</v>
      </c>
      <c r="K641" s="1929" t="s">
        <v>4026</v>
      </c>
    </row>
    <row r="642" spans="1:11" hidden="1" x14ac:dyDescent="0.2">
      <c r="A642" s="1929" t="s">
        <v>4025</v>
      </c>
      <c r="B642" s="1929" t="s">
        <v>1217</v>
      </c>
      <c r="C642" s="1929" t="s">
        <v>1252</v>
      </c>
      <c r="D642" s="1929" t="s">
        <v>303</v>
      </c>
      <c r="E642" s="1929" t="s">
        <v>45</v>
      </c>
      <c r="F642" s="1929">
        <v>1.5</v>
      </c>
      <c r="G642" s="1929">
        <v>6</v>
      </c>
      <c r="H642" s="1929">
        <v>0.1</v>
      </c>
      <c r="I642" s="1929">
        <v>24.5</v>
      </c>
      <c r="J642" s="1929">
        <v>1616</v>
      </c>
      <c r="K642" s="1929" t="s">
        <v>4024</v>
      </c>
    </row>
    <row r="643" spans="1:11" hidden="1" x14ac:dyDescent="0.2">
      <c r="A643" s="1929" t="s">
        <v>4023</v>
      </c>
      <c r="B643" s="1929" t="s">
        <v>1217</v>
      </c>
      <c r="C643" s="1929" t="s">
        <v>1216</v>
      </c>
      <c r="D643" s="1929" t="s">
        <v>303</v>
      </c>
      <c r="E643" s="1929" t="s">
        <v>45</v>
      </c>
      <c r="F643" s="1929">
        <v>3.2</v>
      </c>
      <c r="G643" s="1929">
        <v>2.9</v>
      </c>
      <c r="H643" s="1929">
        <v>0</v>
      </c>
      <c r="I643" s="1929">
        <v>68</v>
      </c>
      <c r="J643" s="1929">
        <v>1622</v>
      </c>
      <c r="K643" s="1929" t="s">
        <v>4022</v>
      </c>
    </row>
    <row r="644" spans="1:11" hidden="1" x14ac:dyDescent="0.2">
      <c r="A644" s="1929" t="s">
        <v>4021</v>
      </c>
      <c r="B644" s="1929" t="s">
        <v>1217</v>
      </c>
      <c r="C644" s="1929" t="s">
        <v>1323</v>
      </c>
      <c r="D644" s="1929" t="s">
        <v>303</v>
      </c>
      <c r="E644" s="1929" t="s">
        <v>45</v>
      </c>
      <c r="F644" s="1929">
        <v>2</v>
      </c>
      <c r="G644" s="1929">
        <v>1.8</v>
      </c>
      <c r="H644" s="1929">
        <v>-2</v>
      </c>
      <c r="I644" s="1929">
        <v>58.1</v>
      </c>
      <c r="J644" s="1929">
        <v>1657</v>
      </c>
      <c r="K644" s="1929" t="s">
        <v>4020</v>
      </c>
    </row>
    <row r="645" spans="1:11" hidden="1" x14ac:dyDescent="0.2">
      <c r="A645" s="1929" t="s">
        <v>4019</v>
      </c>
      <c r="B645" s="1929" t="s">
        <v>1310</v>
      </c>
      <c r="C645" s="1929" t="s">
        <v>1309</v>
      </c>
      <c r="D645" s="1929" t="s">
        <v>303</v>
      </c>
      <c r="E645" s="1929" t="s">
        <v>45</v>
      </c>
      <c r="F645" s="1929">
        <v>4.0999999999999996</v>
      </c>
      <c r="G645" s="1929">
        <v>7.1</v>
      </c>
      <c r="H645" s="1929">
        <v>0.1</v>
      </c>
      <c r="I645" s="1929">
        <v>17.600000000000001</v>
      </c>
      <c r="J645" s="1929">
        <v>1661</v>
      </c>
      <c r="K645" s="1929" t="s">
        <v>4018</v>
      </c>
    </row>
    <row r="646" spans="1:11" hidden="1" x14ac:dyDescent="0.2">
      <c r="A646" s="1929" t="s">
        <v>4017</v>
      </c>
      <c r="B646" s="1929" t="s">
        <v>1217</v>
      </c>
      <c r="C646" s="1929" t="s">
        <v>1216</v>
      </c>
      <c r="D646" s="1929" t="s">
        <v>303</v>
      </c>
      <c r="E646" s="1929" t="s">
        <v>45</v>
      </c>
      <c r="F646" s="1929">
        <v>2.2000000000000002</v>
      </c>
      <c r="G646" s="1929">
        <v>2.1</v>
      </c>
      <c r="H646" s="1929">
        <v>0.1</v>
      </c>
      <c r="I646" s="1929">
        <v>45.2</v>
      </c>
      <c r="J646" s="1929">
        <v>1733</v>
      </c>
      <c r="K646" s="1929" t="s">
        <v>4016</v>
      </c>
    </row>
    <row r="647" spans="1:11" hidden="1" x14ac:dyDescent="0.2">
      <c r="A647" s="1929" t="s">
        <v>4015</v>
      </c>
      <c r="B647" s="1929" t="s">
        <v>1217</v>
      </c>
      <c r="C647" s="1929" t="s">
        <v>1216</v>
      </c>
      <c r="D647" s="1929" t="s">
        <v>303</v>
      </c>
      <c r="E647" s="1929" t="s">
        <v>45</v>
      </c>
      <c r="F647" s="1929">
        <v>3.4</v>
      </c>
      <c r="G647" s="1929">
        <v>2</v>
      </c>
      <c r="H647" s="1929">
        <v>0.2</v>
      </c>
      <c r="I647" s="1929">
        <v>43.4</v>
      </c>
      <c r="J647" s="1929">
        <v>1755</v>
      </c>
      <c r="K647" s="1929" t="s">
        <v>4014</v>
      </c>
    </row>
    <row r="648" spans="1:11" hidden="1" x14ac:dyDescent="0.2">
      <c r="A648" s="1929" t="s">
        <v>4013</v>
      </c>
      <c r="B648" s="1929" t="s">
        <v>1217</v>
      </c>
      <c r="C648" s="1929" t="s">
        <v>1216</v>
      </c>
      <c r="D648" s="1929" t="s">
        <v>303</v>
      </c>
      <c r="E648" s="1929" t="s">
        <v>45</v>
      </c>
      <c r="F648" s="1929">
        <v>1.1000000000000001</v>
      </c>
      <c r="G648" s="1929">
        <v>1.1000000000000001</v>
      </c>
      <c r="H648" s="1929">
        <v>0</v>
      </c>
      <c r="I648" s="1929">
        <v>37.5</v>
      </c>
      <c r="J648" s="1929">
        <v>1816</v>
      </c>
      <c r="K648" s="1929" t="s">
        <v>4012</v>
      </c>
    </row>
    <row r="649" spans="1:11" hidden="1" x14ac:dyDescent="0.2">
      <c r="A649" s="1929" t="s">
        <v>4011</v>
      </c>
      <c r="B649" s="1929" t="s">
        <v>1258</v>
      </c>
      <c r="C649" s="1929" t="s">
        <v>1263</v>
      </c>
      <c r="D649" s="1929" t="s">
        <v>303</v>
      </c>
      <c r="E649" s="1929" t="s">
        <v>45</v>
      </c>
      <c r="F649" s="1929">
        <v>1.6</v>
      </c>
      <c r="G649" s="1929">
        <v>14.8</v>
      </c>
      <c r="H649" s="1929">
        <v>-0.4</v>
      </c>
      <c r="I649" s="1929">
        <v>5.3</v>
      </c>
      <c r="J649" s="1929">
        <v>1824</v>
      </c>
      <c r="K649" s="1929" t="s">
        <v>4010</v>
      </c>
    </row>
    <row r="650" spans="1:11" hidden="1" x14ac:dyDescent="0.2">
      <c r="A650" s="1929" t="s">
        <v>4009</v>
      </c>
      <c r="B650" s="1929" t="s">
        <v>1306</v>
      </c>
      <c r="C650" s="1929" t="s">
        <v>1305</v>
      </c>
      <c r="D650" s="1929" t="s">
        <v>303</v>
      </c>
      <c r="E650" s="1929" t="s">
        <v>45</v>
      </c>
      <c r="F650" s="1929">
        <v>6.3</v>
      </c>
      <c r="G650" s="1929">
        <v>7.1</v>
      </c>
      <c r="H650" s="1929">
        <v>0.3</v>
      </c>
      <c r="I650" s="1929">
        <v>6.1</v>
      </c>
      <c r="J650" s="1929">
        <v>1838</v>
      </c>
      <c r="K650" s="1929" t="s">
        <v>4008</v>
      </c>
    </row>
    <row r="651" spans="1:11" hidden="1" x14ac:dyDescent="0.2">
      <c r="A651" s="1929" t="s">
        <v>4007</v>
      </c>
      <c r="B651" s="1929" t="s">
        <v>1238</v>
      </c>
      <c r="C651" s="1929" t="s">
        <v>1584</v>
      </c>
      <c r="D651" s="1929" t="s">
        <v>303</v>
      </c>
      <c r="E651" s="1929" t="s">
        <v>45</v>
      </c>
      <c r="F651" s="1929">
        <v>5.4</v>
      </c>
      <c r="G651" s="1929">
        <v>9.6999999999999993</v>
      </c>
      <c r="H651" s="1929">
        <v>0.2</v>
      </c>
      <c r="I651" s="1929">
        <v>7.9</v>
      </c>
      <c r="J651" s="1929">
        <v>1988</v>
      </c>
      <c r="K651" s="1929" t="s">
        <v>4006</v>
      </c>
    </row>
    <row r="652" spans="1:11" hidden="1" x14ac:dyDescent="0.2">
      <c r="A652" s="1929" t="s">
        <v>4005</v>
      </c>
      <c r="B652" s="1929" t="s">
        <v>1228</v>
      </c>
      <c r="C652" s="1929" t="s">
        <v>2392</v>
      </c>
      <c r="D652" s="1929" t="s">
        <v>1013</v>
      </c>
      <c r="E652" s="1929" t="s">
        <v>46</v>
      </c>
      <c r="F652" s="1929">
        <v>193.5</v>
      </c>
      <c r="G652" s="1929">
        <v>255.6</v>
      </c>
      <c r="H652" s="1929">
        <v>18.8</v>
      </c>
      <c r="I652" s="1929">
        <v>385.5</v>
      </c>
      <c r="J652" s="1929">
        <v>12</v>
      </c>
      <c r="K652" s="1929" t="s">
        <v>4004</v>
      </c>
    </row>
    <row r="653" spans="1:11" hidden="1" x14ac:dyDescent="0.2">
      <c r="A653" s="1929" t="s">
        <v>4003</v>
      </c>
      <c r="B653" s="1929" t="s">
        <v>1217</v>
      </c>
      <c r="C653" s="1929" t="s">
        <v>2291</v>
      </c>
      <c r="D653" s="1929" t="s">
        <v>1013</v>
      </c>
      <c r="E653" s="1929" t="s">
        <v>46</v>
      </c>
      <c r="F653" s="1929">
        <v>77.7</v>
      </c>
      <c r="G653" s="1929">
        <v>48.6</v>
      </c>
      <c r="H653" s="1929">
        <v>11.3</v>
      </c>
      <c r="I653" s="1929">
        <v>2458.9</v>
      </c>
      <c r="J653" s="1929">
        <v>37</v>
      </c>
      <c r="K653" s="1929" t="s">
        <v>4002</v>
      </c>
    </row>
    <row r="654" spans="1:11" hidden="1" x14ac:dyDescent="0.2">
      <c r="A654" s="1929" t="s">
        <v>4001</v>
      </c>
      <c r="B654" s="1929" t="s">
        <v>1217</v>
      </c>
      <c r="C654" s="1929" t="s">
        <v>2291</v>
      </c>
      <c r="D654" s="1929" t="s">
        <v>1013</v>
      </c>
      <c r="E654" s="1929" t="s">
        <v>46</v>
      </c>
      <c r="F654" s="1929">
        <v>58.6</v>
      </c>
      <c r="G654" s="1929">
        <v>46.2</v>
      </c>
      <c r="H654" s="1929">
        <v>9.6999999999999993</v>
      </c>
      <c r="I654" s="1929">
        <v>1494.7</v>
      </c>
      <c r="J654" s="1929">
        <v>56</v>
      </c>
      <c r="K654" s="1929" t="s">
        <v>4000</v>
      </c>
    </row>
    <row r="655" spans="1:11" hidden="1" x14ac:dyDescent="0.2">
      <c r="A655" s="1929" t="s">
        <v>3999</v>
      </c>
      <c r="B655" s="1929" t="s">
        <v>1249</v>
      </c>
      <c r="C655" s="1929" t="s">
        <v>1248</v>
      </c>
      <c r="D655" s="1929" t="s">
        <v>1013</v>
      </c>
      <c r="E655" s="1929" t="s">
        <v>46</v>
      </c>
      <c r="F655" s="1929">
        <v>61</v>
      </c>
      <c r="G655" s="1929">
        <v>110.7</v>
      </c>
      <c r="H655" s="1929">
        <v>5.7</v>
      </c>
      <c r="I655" s="1929">
        <v>189.3</v>
      </c>
      <c r="J655" s="1929">
        <v>61</v>
      </c>
      <c r="K655" s="1929" t="s">
        <v>3998</v>
      </c>
    </row>
    <row r="656" spans="1:11" hidden="1" x14ac:dyDescent="0.2">
      <c r="A656" s="1929" t="s">
        <v>3997</v>
      </c>
      <c r="B656" s="1929" t="s">
        <v>1228</v>
      </c>
      <c r="C656" s="1929" t="s">
        <v>2392</v>
      </c>
      <c r="D656" s="1929" t="s">
        <v>1013</v>
      </c>
      <c r="E656" s="1929" t="s">
        <v>46</v>
      </c>
      <c r="F656" s="1929">
        <v>63</v>
      </c>
      <c r="G656" s="1929">
        <v>117.7</v>
      </c>
      <c r="H656" s="1929">
        <v>4.9000000000000004</v>
      </c>
      <c r="I656" s="1929">
        <v>147.9</v>
      </c>
      <c r="J656" s="1929">
        <v>70</v>
      </c>
      <c r="K656" s="1929" t="s">
        <v>3996</v>
      </c>
    </row>
    <row r="657" spans="1:11" hidden="1" x14ac:dyDescent="0.2">
      <c r="A657" s="1929" t="s">
        <v>3995</v>
      </c>
      <c r="B657" s="1929" t="s">
        <v>1249</v>
      </c>
      <c r="C657" s="1929" t="s">
        <v>1248</v>
      </c>
      <c r="D657" s="1929" t="s">
        <v>1013</v>
      </c>
      <c r="E657" s="1929" t="s">
        <v>46</v>
      </c>
      <c r="F657" s="1929">
        <v>91.2</v>
      </c>
      <c r="G657" s="1929">
        <v>55.6</v>
      </c>
      <c r="H657" s="1929">
        <v>5.8</v>
      </c>
      <c r="I657" s="1929">
        <v>156.6</v>
      </c>
      <c r="J657" s="1929">
        <v>73</v>
      </c>
      <c r="K657" s="1929" t="s">
        <v>3994</v>
      </c>
    </row>
    <row r="658" spans="1:11" hidden="1" x14ac:dyDescent="0.2">
      <c r="A658" s="1929" t="s">
        <v>3993</v>
      </c>
      <c r="B658" s="1929" t="s">
        <v>1217</v>
      </c>
      <c r="C658" s="1929" t="s">
        <v>2291</v>
      </c>
      <c r="D658" s="1929" t="s">
        <v>1013</v>
      </c>
      <c r="E658" s="1929" t="s">
        <v>46</v>
      </c>
      <c r="F658" s="1929">
        <v>48.7</v>
      </c>
      <c r="G658" s="1929">
        <v>28.5</v>
      </c>
      <c r="H658" s="1929">
        <v>7.5</v>
      </c>
      <c r="I658" s="1929">
        <v>1791.6</v>
      </c>
      <c r="J658" s="1929">
        <v>101</v>
      </c>
      <c r="K658" s="1929" t="s">
        <v>3992</v>
      </c>
    </row>
    <row r="659" spans="1:11" hidden="1" x14ac:dyDescent="0.2">
      <c r="A659" s="1929" t="s">
        <v>3991</v>
      </c>
      <c r="B659" s="1929" t="s">
        <v>1228</v>
      </c>
      <c r="C659" s="1929" t="s">
        <v>2392</v>
      </c>
      <c r="D659" s="1929" t="s">
        <v>1013</v>
      </c>
      <c r="E659" s="1929" t="s">
        <v>46</v>
      </c>
      <c r="F659" s="1929">
        <v>40.200000000000003</v>
      </c>
      <c r="G659" s="1929">
        <v>104</v>
      </c>
      <c r="H659" s="1929">
        <v>3.9</v>
      </c>
      <c r="I659" s="1929">
        <v>137.19999999999999</v>
      </c>
      <c r="J659" s="1929">
        <v>111</v>
      </c>
      <c r="K659" s="1929" t="s">
        <v>3990</v>
      </c>
    </row>
    <row r="660" spans="1:11" hidden="1" x14ac:dyDescent="0.2">
      <c r="A660" s="1929" t="s">
        <v>3989</v>
      </c>
      <c r="B660" s="1929" t="s">
        <v>1238</v>
      </c>
      <c r="C660" s="1929" t="s">
        <v>3030</v>
      </c>
      <c r="D660" s="1929" t="s">
        <v>1013</v>
      </c>
      <c r="E660" s="1929" t="s">
        <v>46</v>
      </c>
      <c r="F660" s="1929">
        <v>30.5</v>
      </c>
      <c r="G660" s="1929">
        <v>74.8</v>
      </c>
      <c r="H660" s="1929">
        <v>4.4000000000000004</v>
      </c>
      <c r="I660" s="1929">
        <v>146.5</v>
      </c>
      <c r="J660" s="1929">
        <v>126</v>
      </c>
      <c r="K660" s="1929" t="s">
        <v>3988</v>
      </c>
    </row>
    <row r="661" spans="1:11" hidden="1" x14ac:dyDescent="0.2">
      <c r="A661" s="1929" t="s">
        <v>3987</v>
      </c>
      <c r="B661" s="1929" t="s">
        <v>1245</v>
      </c>
      <c r="C661" s="1929" t="s">
        <v>1429</v>
      </c>
      <c r="D661" s="1929" t="s">
        <v>1013</v>
      </c>
      <c r="E661" s="1929" t="s">
        <v>46</v>
      </c>
      <c r="F661" s="1929">
        <v>36.200000000000003</v>
      </c>
      <c r="G661" s="1929">
        <v>95.7</v>
      </c>
      <c r="H661" s="1929">
        <v>2.6</v>
      </c>
      <c r="I661" s="1929">
        <v>104.7</v>
      </c>
      <c r="J661" s="1929">
        <v>138</v>
      </c>
      <c r="K661" s="1929" t="s">
        <v>3986</v>
      </c>
    </row>
    <row r="662" spans="1:11" hidden="1" x14ac:dyDescent="0.2">
      <c r="A662" s="1929" t="s">
        <v>3985</v>
      </c>
      <c r="B662" s="1929" t="s">
        <v>1238</v>
      </c>
      <c r="C662" s="1929" t="s">
        <v>3030</v>
      </c>
      <c r="D662" s="1929" t="s">
        <v>1013</v>
      </c>
      <c r="E662" s="1929" t="s">
        <v>46</v>
      </c>
      <c r="F662" s="1929">
        <v>25.6</v>
      </c>
      <c r="G662" s="1929">
        <v>58.1</v>
      </c>
      <c r="H662" s="1929">
        <v>3.6</v>
      </c>
      <c r="I662" s="1929">
        <v>106.7</v>
      </c>
      <c r="J662" s="1929">
        <v>153</v>
      </c>
      <c r="K662" s="1929" t="s">
        <v>3984</v>
      </c>
    </row>
    <row r="663" spans="1:11" hidden="1" x14ac:dyDescent="0.2">
      <c r="A663" s="1929" t="s">
        <v>3983</v>
      </c>
      <c r="B663" s="1929" t="s">
        <v>1249</v>
      </c>
      <c r="C663" s="1929" t="s">
        <v>1248</v>
      </c>
      <c r="D663" s="1929" t="s">
        <v>1013</v>
      </c>
      <c r="E663" s="1929" t="s">
        <v>46</v>
      </c>
      <c r="F663" s="1929">
        <v>46.9</v>
      </c>
      <c r="G663" s="1929">
        <v>42.3</v>
      </c>
      <c r="H663" s="1929">
        <v>3.4</v>
      </c>
      <c r="I663" s="1929">
        <v>46.1</v>
      </c>
      <c r="J663" s="1929">
        <v>178</v>
      </c>
      <c r="K663" s="1929" t="s">
        <v>3982</v>
      </c>
    </row>
    <row r="664" spans="1:11" hidden="1" x14ac:dyDescent="0.2">
      <c r="A664" s="1929" t="s">
        <v>3981</v>
      </c>
      <c r="B664" s="1929" t="s">
        <v>1217</v>
      </c>
      <c r="C664" s="1929" t="s">
        <v>1563</v>
      </c>
      <c r="D664" s="1929" t="s">
        <v>1013</v>
      </c>
      <c r="E664" s="1929" t="s">
        <v>46</v>
      </c>
      <c r="F664" s="1929">
        <v>23</v>
      </c>
      <c r="G664" s="1929">
        <v>42.7</v>
      </c>
      <c r="H664" s="1929">
        <v>2</v>
      </c>
      <c r="I664" s="1929">
        <v>181.2</v>
      </c>
      <c r="J664" s="1929">
        <v>189</v>
      </c>
      <c r="K664" s="1929" t="s">
        <v>3980</v>
      </c>
    </row>
    <row r="665" spans="1:11" hidden="1" x14ac:dyDescent="0.2">
      <c r="A665" s="1929" t="s">
        <v>3979</v>
      </c>
      <c r="B665" s="1929" t="s">
        <v>1228</v>
      </c>
      <c r="C665" s="1929" t="s">
        <v>1334</v>
      </c>
      <c r="D665" s="1929" t="s">
        <v>1013</v>
      </c>
      <c r="E665" s="1929" t="s">
        <v>46</v>
      </c>
      <c r="F665" s="1929">
        <v>42.4</v>
      </c>
      <c r="G665" s="1929">
        <v>41.3</v>
      </c>
      <c r="H665" s="1929">
        <v>2.8</v>
      </c>
      <c r="I665" s="1929">
        <v>41.3</v>
      </c>
      <c r="J665" s="1929">
        <v>202</v>
      </c>
      <c r="K665" s="1929" t="s">
        <v>3978</v>
      </c>
    </row>
    <row r="666" spans="1:11" hidden="1" x14ac:dyDescent="0.2">
      <c r="A666" s="1929" t="s">
        <v>3977</v>
      </c>
      <c r="B666" s="1929" t="s">
        <v>1217</v>
      </c>
      <c r="C666" s="1929" t="s">
        <v>1368</v>
      </c>
      <c r="D666" s="1929" t="s">
        <v>1013</v>
      </c>
      <c r="E666" s="1929" t="s">
        <v>46</v>
      </c>
      <c r="F666" s="1929">
        <v>23.7</v>
      </c>
      <c r="G666" s="1929">
        <v>21.5</v>
      </c>
      <c r="H666" s="1929">
        <v>2.4</v>
      </c>
      <c r="I666" s="1929">
        <v>415.2</v>
      </c>
      <c r="J666" s="1929">
        <v>203</v>
      </c>
      <c r="K666" s="1929" t="s">
        <v>3976</v>
      </c>
    </row>
    <row r="667" spans="1:11" hidden="1" x14ac:dyDescent="0.2">
      <c r="A667" s="1929" t="s">
        <v>3975</v>
      </c>
      <c r="B667" s="1929" t="s">
        <v>1234</v>
      </c>
      <c r="C667" s="1929" t="s">
        <v>1445</v>
      </c>
      <c r="D667" s="1929" t="s">
        <v>1013</v>
      </c>
      <c r="E667" s="1929" t="s">
        <v>46</v>
      </c>
      <c r="F667" s="1929">
        <v>25.3</v>
      </c>
      <c r="G667" s="1929">
        <v>54.8</v>
      </c>
      <c r="H667" s="1929">
        <v>2.2999999999999998</v>
      </c>
      <c r="I667" s="1929">
        <v>67.5</v>
      </c>
      <c r="J667" s="1929">
        <v>204</v>
      </c>
      <c r="K667" s="1929" t="s">
        <v>3974</v>
      </c>
    </row>
    <row r="668" spans="1:11" hidden="1" x14ac:dyDescent="0.2">
      <c r="A668" s="1929" t="s">
        <v>3973</v>
      </c>
      <c r="B668" s="1929" t="s">
        <v>1306</v>
      </c>
      <c r="C668" s="1929" t="s">
        <v>1819</v>
      </c>
      <c r="D668" s="1929" t="s">
        <v>1013</v>
      </c>
      <c r="E668" s="1929" t="s">
        <v>46</v>
      </c>
      <c r="F668" s="1929">
        <v>56.9</v>
      </c>
      <c r="G668" s="1929">
        <v>23.5</v>
      </c>
      <c r="H668" s="1929">
        <v>4.5</v>
      </c>
      <c r="I668" s="1929">
        <v>41.8</v>
      </c>
      <c r="J668" s="1929">
        <v>209</v>
      </c>
      <c r="K668" s="1929" t="s">
        <v>3972</v>
      </c>
    </row>
    <row r="669" spans="1:11" hidden="1" x14ac:dyDescent="0.2">
      <c r="A669" s="1929" t="s">
        <v>3971</v>
      </c>
      <c r="B669" s="1929" t="s">
        <v>1238</v>
      </c>
      <c r="C669" s="1929" t="s">
        <v>3030</v>
      </c>
      <c r="D669" s="1929" t="s">
        <v>1013</v>
      </c>
      <c r="E669" s="1929" t="s">
        <v>46</v>
      </c>
      <c r="F669" s="1929">
        <v>18.399999999999999</v>
      </c>
      <c r="G669" s="1929">
        <v>55</v>
      </c>
      <c r="H669" s="1929">
        <v>3.2</v>
      </c>
      <c r="I669" s="1929">
        <v>76.8</v>
      </c>
      <c r="J669" s="1929">
        <v>211</v>
      </c>
      <c r="K669" s="1929" t="s">
        <v>3970</v>
      </c>
    </row>
    <row r="670" spans="1:11" hidden="1" x14ac:dyDescent="0.2">
      <c r="A670" s="1929" t="s">
        <v>3969</v>
      </c>
      <c r="B670" s="1929" t="s">
        <v>1306</v>
      </c>
      <c r="C670" s="1929" t="s">
        <v>1392</v>
      </c>
      <c r="D670" s="1929" t="s">
        <v>1013</v>
      </c>
      <c r="E670" s="1929" t="s">
        <v>46</v>
      </c>
      <c r="F670" s="1929">
        <v>33.4</v>
      </c>
      <c r="G670" s="1929">
        <v>57.3</v>
      </c>
      <c r="H670" s="1929">
        <v>1.8</v>
      </c>
      <c r="I670" s="1929">
        <v>46.4</v>
      </c>
      <c r="J670" s="1929">
        <v>220</v>
      </c>
      <c r="K670" s="1929" t="s">
        <v>3968</v>
      </c>
    </row>
    <row r="671" spans="1:11" hidden="1" x14ac:dyDescent="0.2">
      <c r="A671" s="1929" t="s">
        <v>3967</v>
      </c>
      <c r="B671" s="1929" t="s">
        <v>1238</v>
      </c>
      <c r="C671" s="1929" t="s">
        <v>2119</v>
      </c>
      <c r="D671" s="1929" t="s">
        <v>1013</v>
      </c>
      <c r="E671" s="1929" t="s">
        <v>46</v>
      </c>
      <c r="F671" s="1929">
        <v>40.799999999999997</v>
      </c>
      <c r="G671" s="1929">
        <v>38.200000000000003</v>
      </c>
      <c r="H671" s="1929">
        <v>2.4</v>
      </c>
      <c r="I671" s="1929">
        <v>40.4</v>
      </c>
      <c r="J671" s="1929">
        <v>221</v>
      </c>
      <c r="K671" s="1929" t="s">
        <v>3966</v>
      </c>
    </row>
    <row r="672" spans="1:11" hidden="1" x14ac:dyDescent="0.2">
      <c r="A672" s="1929" t="s">
        <v>3965</v>
      </c>
      <c r="B672" s="1929" t="s">
        <v>1228</v>
      </c>
      <c r="C672" s="1929" t="s">
        <v>1498</v>
      </c>
      <c r="D672" s="1929" t="s">
        <v>1013</v>
      </c>
      <c r="E672" s="1929" t="s">
        <v>46</v>
      </c>
      <c r="F672" s="1929">
        <v>20.100000000000001</v>
      </c>
      <c r="G672" s="1929">
        <v>78.2</v>
      </c>
      <c r="H672" s="1929">
        <v>1.1000000000000001</v>
      </c>
      <c r="I672" s="1929">
        <v>148.9</v>
      </c>
      <c r="J672" s="1929">
        <v>233</v>
      </c>
      <c r="K672" s="1929" t="s">
        <v>3964</v>
      </c>
    </row>
    <row r="673" spans="1:11" hidden="1" x14ac:dyDescent="0.2">
      <c r="A673" s="1929" t="s">
        <v>3963</v>
      </c>
      <c r="B673" s="1929" t="s">
        <v>1238</v>
      </c>
      <c r="C673" s="1929" t="s">
        <v>1434</v>
      </c>
      <c r="D673" s="1929" t="s">
        <v>1013</v>
      </c>
      <c r="E673" s="1929" t="s">
        <v>46</v>
      </c>
      <c r="F673" s="1929">
        <v>28.7</v>
      </c>
      <c r="G673" s="1929">
        <v>27.7</v>
      </c>
      <c r="H673" s="1929">
        <v>1.9</v>
      </c>
      <c r="I673" s="1929">
        <v>68.8</v>
      </c>
      <c r="J673" s="1929">
        <v>237</v>
      </c>
      <c r="K673" s="1929" t="s">
        <v>3962</v>
      </c>
    </row>
    <row r="674" spans="1:11" hidden="1" x14ac:dyDescent="0.2">
      <c r="A674" s="1929" t="s">
        <v>3961</v>
      </c>
      <c r="B674" s="1929" t="s">
        <v>1228</v>
      </c>
      <c r="C674" s="1929" t="s">
        <v>1498</v>
      </c>
      <c r="D674" s="1929" t="s">
        <v>1013</v>
      </c>
      <c r="E674" s="1929" t="s">
        <v>46</v>
      </c>
      <c r="F674" s="1929">
        <v>28.4</v>
      </c>
      <c r="G674" s="1929">
        <v>77.3</v>
      </c>
      <c r="H674" s="1929">
        <v>1.2</v>
      </c>
      <c r="I674" s="1929">
        <v>52.1</v>
      </c>
      <c r="J674" s="1929">
        <v>246</v>
      </c>
      <c r="K674" s="1929" t="s">
        <v>3960</v>
      </c>
    </row>
    <row r="675" spans="1:11" hidden="1" x14ac:dyDescent="0.2">
      <c r="A675" s="1929" t="s">
        <v>3959</v>
      </c>
      <c r="B675" s="1929" t="s">
        <v>1238</v>
      </c>
      <c r="C675" s="1929" t="s">
        <v>3030</v>
      </c>
      <c r="D675" s="1929" t="s">
        <v>1013</v>
      </c>
      <c r="E675" s="1929" t="s">
        <v>46</v>
      </c>
      <c r="F675" s="1929">
        <v>16</v>
      </c>
      <c r="G675" s="1929">
        <v>33.200000000000003</v>
      </c>
      <c r="H675" s="1929">
        <v>2.2999999999999998</v>
      </c>
      <c r="I675" s="1929">
        <v>81.099999999999994</v>
      </c>
      <c r="J675" s="1929">
        <v>263</v>
      </c>
      <c r="K675" s="1929" t="s">
        <v>3958</v>
      </c>
    </row>
    <row r="676" spans="1:11" hidden="1" x14ac:dyDescent="0.2">
      <c r="A676" s="1929" t="s">
        <v>3957</v>
      </c>
      <c r="B676" s="1929" t="s">
        <v>1217</v>
      </c>
      <c r="C676" s="1929" t="s">
        <v>1563</v>
      </c>
      <c r="D676" s="1929" t="s">
        <v>1013</v>
      </c>
      <c r="E676" s="1929" t="s">
        <v>46</v>
      </c>
      <c r="F676" s="1929">
        <v>14.3</v>
      </c>
      <c r="G676" s="1929">
        <v>45.8</v>
      </c>
      <c r="H676" s="1929">
        <v>1.5</v>
      </c>
      <c r="I676" s="1929">
        <v>160.80000000000001</v>
      </c>
      <c r="J676" s="1929">
        <v>266</v>
      </c>
      <c r="K676" s="1929" t="s">
        <v>3956</v>
      </c>
    </row>
    <row r="677" spans="1:11" hidden="1" x14ac:dyDescent="0.2">
      <c r="A677" s="1929" t="s">
        <v>3955</v>
      </c>
      <c r="B677" s="1929" t="s">
        <v>1258</v>
      </c>
      <c r="C677" s="1929" t="s">
        <v>1263</v>
      </c>
      <c r="D677" s="1929" t="s">
        <v>1013</v>
      </c>
      <c r="E677" s="1929" t="s">
        <v>46</v>
      </c>
      <c r="F677" s="1929">
        <v>11.8</v>
      </c>
      <c r="G677" s="1929">
        <v>124.6</v>
      </c>
      <c r="H677" s="1929">
        <v>2</v>
      </c>
      <c r="I677" s="1929">
        <v>76.3</v>
      </c>
      <c r="J677" s="1929">
        <v>282</v>
      </c>
      <c r="K677" s="1929" t="s">
        <v>3954</v>
      </c>
    </row>
    <row r="678" spans="1:11" hidden="1" x14ac:dyDescent="0.2">
      <c r="A678" s="1929" t="s">
        <v>3953</v>
      </c>
      <c r="B678" s="1929" t="s">
        <v>1228</v>
      </c>
      <c r="C678" s="1929" t="s">
        <v>1334</v>
      </c>
      <c r="D678" s="1929" t="s">
        <v>1013</v>
      </c>
      <c r="E678" s="1929" t="s">
        <v>46</v>
      </c>
      <c r="F678" s="1929">
        <v>27.7</v>
      </c>
      <c r="G678" s="1929">
        <v>36.5</v>
      </c>
      <c r="H678" s="1929">
        <v>2.1</v>
      </c>
      <c r="I678" s="1929">
        <v>34</v>
      </c>
      <c r="J678" s="1929">
        <v>285</v>
      </c>
      <c r="K678" s="1929" t="s">
        <v>3952</v>
      </c>
    </row>
    <row r="679" spans="1:11" hidden="1" x14ac:dyDescent="0.2">
      <c r="A679" s="1929" t="s">
        <v>3951</v>
      </c>
      <c r="B679" s="1929" t="s">
        <v>1217</v>
      </c>
      <c r="C679" s="1929" t="s">
        <v>1302</v>
      </c>
      <c r="D679" s="1929" t="s">
        <v>1013</v>
      </c>
      <c r="E679" s="1929" t="s">
        <v>46</v>
      </c>
      <c r="F679" s="1929">
        <v>14.5</v>
      </c>
      <c r="G679" s="1929">
        <v>58.1</v>
      </c>
      <c r="H679" s="1929">
        <v>0.8</v>
      </c>
      <c r="I679" s="1929">
        <v>356.3</v>
      </c>
      <c r="J679" s="1929">
        <v>301</v>
      </c>
      <c r="K679" s="1929" t="s">
        <v>3950</v>
      </c>
    </row>
    <row r="680" spans="1:11" hidden="1" x14ac:dyDescent="0.2">
      <c r="A680" s="1929" t="s">
        <v>3949</v>
      </c>
      <c r="B680" s="1929" t="s">
        <v>1238</v>
      </c>
      <c r="C680" s="1929" t="s">
        <v>3030</v>
      </c>
      <c r="D680" s="1929" t="s">
        <v>1013</v>
      </c>
      <c r="E680" s="1929" t="s">
        <v>46</v>
      </c>
      <c r="F680" s="1929">
        <v>11.5</v>
      </c>
      <c r="G680" s="1929">
        <v>66</v>
      </c>
      <c r="H680" s="1929">
        <v>2.2000000000000002</v>
      </c>
      <c r="I680" s="1929">
        <v>68.400000000000006</v>
      </c>
      <c r="J680" s="1929">
        <v>302</v>
      </c>
      <c r="K680" s="1929" t="s">
        <v>3948</v>
      </c>
    </row>
    <row r="681" spans="1:11" hidden="1" x14ac:dyDescent="0.2">
      <c r="A681" s="1929" t="s">
        <v>3947</v>
      </c>
      <c r="B681" s="1929" t="s">
        <v>1238</v>
      </c>
      <c r="C681" s="1929" t="s">
        <v>1434</v>
      </c>
      <c r="D681" s="1929" t="s">
        <v>1013</v>
      </c>
      <c r="E681" s="1929" t="s">
        <v>46</v>
      </c>
      <c r="F681" s="1929">
        <v>22.8</v>
      </c>
      <c r="G681" s="1929">
        <v>16.7</v>
      </c>
      <c r="H681" s="1929">
        <v>2.6</v>
      </c>
      <c r="I681" s="1929">
        <v>50.6</v>
      </c>
      <c r="J681" s="1929">
        <v>308</v>
      </c>
      <c r="K681" s="1929" t="s">
        <v>3946</v>
      </c>
    </row>
    <row r="682" spans="1:11" hidden="1" x14ac:dyDescent="0.2">
      <c r="A682" s="1929" t="s">
        <v>3945</v>
      </c>
      <c r="B682" s="1929" t="s">
        <v>1238</v>
      </c>
      <c r="C682" s="1929" t="s">
        <v>1237</v>
      </c>
      <c r="D682" s="1929" t="s">
        <v>1013</v>
      </c>
      <c r="E682" s="1929" t="s">
        <v>46</v>
      </c>
      <c r="F682" s="1929">
        <v>19.399999999999999</v>
      </c>
      <c r="G682" s="1929">
        <v>31.8</v>
      </c>
      <c r="H682" s="1929">
        <v>1.3</v>
      </c>
      <c r="I682" s="1929">
        <v>41.9</v>
      </c>
      <c r="J682" s="1929">
        <v>337</v>
      </c>
      <c r="K682" s="1929" t="s">
        <v>3944</v>
      </c>
    </row>
    <row r="683" spans="1:11" hidden="1" x14ac:dyDescent="0.2">
      <c r="A683" s="1929" t="s">
        <v>3943</v>
      </c>
      <c r="B683" s="1929" t="s">
        <v>1238</v>
      </c>
      <c r="C683" s="1929" t="s">
        <v>1584</v>
      </c>
      <c r="D683" s="1929" t="s">
        <v>1013</v>
      </c>
      <c r="E683" s="1929" t="s">
        <v>46</v>
      </c>
      <c r="F683" s="1929">
        <v>24.7</v>
      </c>
      <c r="G683" s="1929">
        <v>38.799999999999997</v>
      </c>
      <c r="H683" s="1929">
        <v>1.2</v>
      </c>
      <c r="I683" s="1929">
        <v>32.5</v>
      </c>
      <c r="J683" s="1929">
        <v>339</v>
      </c>
      <c r="K683" s="1929" t="s">
        <v>3942</v>
      </c>
    </row>
    <row r="684" spans="1:11" hidden="1" x14ac:dyDescent="0.2">
      <c r="A684" s="1929" t="s">
        <v>3941</v>
      </c>
      <c r="B684" s="1929" t="s">
        <v>1269</v>
      </c>
      <c r="C684" s="1929" t="s">
        <v>1504</v>
      </c>
      <c r="D684" s="1929" t="s">
        <v>1013</v>
      </c>
      <c r="E684" s="1929" t="s">
        <v>46</v>
      </c>
      <c r="F684" s="1929">
        <v>37</v>
      </c>
      <c r="G684" s="1929">
        <v>17</v>
      </c>
      <c r="H684" s="1929">
        <v>1.1000000000000001</v>
      </c>
      <c r="I684" s="1929">
        <v>42.1</v>
      </c>
      <c r="J684" s="1929">
        <v>348</v>
      </c>
      <c r="K684" s="1929" t="s">
        <v>3940</v>
      </c>
    </row>
    <row r="685" spans="1:11" hidden="1" x14ac:dyDescent="0.2">
      <c r="A685" s="1929" t="s">
        <v>3939</v>
      </c>
      <c r="B685" s="1929" t="s">
        <v>1217</v>
      </c>
      <c r="C685" s="1929" t="s">
        <v>2291</v>
      </c>
      <c r="D685" s="1929" t="s">
        <v>1013</v>
      </c>
      <c r="E685" s="1929" t="s">
        <v>46</v>
      </c>
      <c r="F685" s="1929">
        <v>17.7</v>
      </c>
      <c r="G685" s="1929">
        <v>11.2</v>
      </c>
      <c r="H685" s="1929">
        <v>1.4</v>
      </c>
      <c r="I685" s="1929">
        <v>400.6</v>
      </c>
      <c r="J685" s="1929">
        <v>353</v>
      </c>
      <c r="K685" s="1929" t="s">
        <v>3938</v>
      </c>
    </row>
    <row r="686" spans="1:11" hidden="1" x14ac:dyDescent="0.2">
      <c r="A686" s="1929" t="s">
        <v>3937</v>
      </c>
      <c r="B686" s="1929" t="s">
        <v>1245</v>
      </c>
      <c r="C686" s="1929" t="s">
        <v>1429</v>
      </c>
      <c r="D686" s="1929" t="s">
        <v>1013</v>
      </c>
      <c r="E686" s="1929" t="s">
        <v>46</v>
      </c>
      <c r="F686" s="1929">
        <v>17.899999999999999</v>
      </c>
      <c r="G686" s="1929">
        <v>65</v>
      </c>
      <c r="H686" s="1929">
        <v>0.6</v>
      </c>
      <c r="I686" s="1929">
        <v>61.6</v>
      </c>
      <c r="J686" s="1929">
        <v>369</v>
      </c>
      <c r="K686" s="1929" t="s">
        <v>3936</v>
      </c>
    </row>
    <row r="687" spans="1:11" hidden="1" x14ac:dyDescent="0.2">
      <c r="A687" s="1929" t="s">
        <v>3935</v>
      </c>
      <c r="B687" s="1929" t="s">
        <v>1217</v>
      </c>
      <c r="C687" s="1929" t="s">
        <v>1403</v>
      </c>
      <c r="D687" s="1929" t="s">
        <v>1013</v>
      </c>
      <c r="E687" s="1929" t="s">
        <v>46</v>
      </c>
      <c r="F687" s="1929">
        <v>18.399999999999999</v>
      </c>
      <c r="G687" s="1929">
        <v>12</v>
      </c>
      <c r="H687" s="1929">
        <v>1.4</v>
      </c>
      <c r="I687" s="1929">
        <v>82.5</v>
      </c>
      <c r="J687" s="1929">
        <v>388</v>
      </c>
      <c r="K687" s="1929" t="s">
        <v>3934</v>
      </c>
    </row>
    <row r="688" spans="1:11" hidden="1" x14ac:dyDescent="0.2">
      <c r="A688" s="1929" t="s">
        <v>3933</v>
      </c>
      <c r="B688" s="1929" t="s">
        <v>1217</v>
      </c>
      <c r="C688" s="1929" t="s">
        <v>1563</v>
      </c>
      <c r="D688" s="1929" t="s">
        <v>1013</v>
      </c>
      <c r="E688" s="1929" t="s">
        <v>46</v>
      </c>
      <c r="F688" s="1929">
        <v>10.6</v>
      </c>
      <c r="G688" s="1929">
        <v>30.1</v>
      </c>
      <c r="H688" s="1929">
        <v>0.9</v>
      </c>
      <c r="I688" s="1929">
        <v>90.4</v>
      </c>
      <c r="J688" s="1929">
        <v>404</v>
      </c>
      <c r="K688" s="1929" t="s">
        <v>3932</v>
      </c>
    </row>
    <row r="689" spans="1:11" hidden="1" x14ac:dyDescent="0.2">
      <c r="A689" s="1929" t="s">
        <v>3931</v>
      </c>
      <c r="B689" s="1929" t="s">
        <v>1238</v>
      </c>
      <c r="C689" s="1929" t="s">
        <v>1237</v>
      </c>
      <c r="D689" s="1929" t="s">
        <v>1013</v>
      </c>
      <c r="E689" s="1929" t="s">
        <v>46</v>
      </c>
      <c r="F689" s="1929">
        <v>19.7</v>
      </c>
      <c r="G689" s="1929">
        <v>19.7</v>
      </c>
      <c r="H689" s="1929">
        <v>1.5</v>
      </c>
      <c r="I689" s="1929">
        <v>25.9</v>
      </c>
      <c r="J689" s="1929">
        <v>410</v>
      </c>
      <c r="K689" s="1929" t="s">
        <v>3930</v>
      </c>
    </row>
    <row r="690" spans="1:11" hidden="1" x14ac:dyDescent="0.2">
      <c r="A690" s="1929" t="s">
        <v>3929</v>
      </c>
      <c r="B690" s="1929" t="s">
        <v>1258</v>
      </c>
      <c r="C690" s="1929" t="s">
        <v>1263</v>
      </c>
      <c r="D690" s="1929" t="s">
        <v>1013</v>
      </c>
      <c r="E690" s="1929" t="s">
        <v>46</v>
      </c>
      <c r="F690" s="1929">
        <v>19.100000000000001</v>
      </c>
      <c r="G690" s="1929">
        <v>13.6</v>
      </c>
      <c r="H690" s="1929">
        <v>1.6</v>
      </c>
      <c r="I690" s="1929">
        <v>37.700000000000003</v>
      </c>
      <c r="J690" s="1929">
        <v>411</v>
      </c>
      <c r="K690" s="1929" t="s">
        <v>3928</v>
      </c>
    </row>
    <row r="691" spans="1:11" hidden="1" x14ac:dyDescent="0.2">
      <c r="A691" s="1929" t="s">
        <v>3927</v>
      </c>
      <c r="B691" s="1929" t="s">
        <v>1217</v>
      </c>
      <c r="C691" s="1929" t="s">
        <v>1456</v>
      </c>
      <c r="D691" s="1929" t="s">
        <v>1013</v>
      </c>
      <c r="E691" s="1929" t="s">
        <v>46</v>
      </c>
      <c r="F691" s="1929">
        <v>26.8</v>
      </c>
      <c r="G691" s="1929">
        <v>15.3</v>
      </c>
      <c r="H691" s="1929">
        <v>0.8</v>
      </c>
      <c r="I691" s="1929">
        <v>43</v>
      </c>
      <c r="J691" s="1929">
        <v>417</v>
      </c>
      <c r="K691" s="1929" t="s">
        <v>3926</v>
      </c>
    </row>
    <row r="692" spans="1:11" hidden="1" x14ac:dyDescent="0.2">
      <c r="A692" s="1929" t="s">
        <v>3925</v>
      </c>
      <c r="B692" s="1929" t="s">
        <v>1228</v>
      </c>
      <c r="C692" s="1929" t="s">
        <v>2392</v>
      </c>
      <c r="D692" s="1929" t="s">
        <v>1013</v>
      </c>
      <c r="E692" s="1929" t="s">
        <v>46</v>
      </c>
      <c r="F692" s="1929">
        <v>21.3</v>
      </c>
      <c r="G692" s="1929">
        <v>23.1</v>
      </c>
      <c r="H692" s="1929">
        <v>2.5</v>
      </c>
      <c r="I692" s="1929">
        <v>17</v>
      </c>
      <c r="J692" s="1929">
        <v>419</v>
      </c>
      <c r="K692" s="1929" t="s">
        <v>3924</v>
      </c>
    </row>
    <row r="693" spans="1:11" hidden="1" x14ac:dyDescent="0.2">
      <c r="A693" s="1929" t="s">
        <v>3923</v>
      </c>
      <c r="B693" s="1929" t="s">
        <v>1228</v>
      </c>
      <c r="C693" s="1929" t="s">
        <v>2392</v>
      </c>
      <c r="D693" s="1929" t="s">
        <v>1013</v>
      </c>
      <c r="E693" s="1929" t="s">
        <v>46</v>
      </c>
      <c r="F693" s="1929">
        <v>14.6</v>
      </c>
      <c r="G693" s="1929">
        <v>29</v>
      </c>
      <c r="H693" s="1929">
        <v>1.2</v>
      </c>
      <c r="I693" s="1929">
        <v>26.4</v>
      </c>
      <c r="J693" s="1929">
        <v>436</v>
      </c>
      <c r="K693" s="1929" t="s">
        <v>3922</v>
      </c>
    </row>
    <row r="694" spans="1:11" hidden="1" x14ac:dyDescent="0.2">
      <c r="A694" s="1929" t="s">
        <v>3921</v>
      </c>
      <c r="B694" s="1929" t="s">
        <v>1234</v>
      </c>
      <c r="C694" s="1929" t="s">
        <v>1445</v>
      </c>
      <c r="D694" s="1929" t="s">
        <v>1013</v>
      </c>
      <c r="E694" s="1929" t="s">
        <v>46</v>
      </c>
      <c r="F694" s="1929">
        <v>10.9</v>
      </c>
      <c r="G694" s="1929">
        <v>36.1</v>
      </c>
      <c r="H694" s="1929">
        <v>1</v>
      </c>
      <c r="I694" s="1929">
        <v>40.1</v>
      </c>
      <c r="J694" s="1929">
        <v>441</v>
      </c>
      <c r="K694" s="1929" t="s">
        <v>3920</v>
      </c>
    </row>
    <row r="695" spans="1:11" hidden="1" x14ac:dyDescent="0.2">
      <c r="A695" s="1929" t="s">
        <v>3919</v>
      </c>
      <c r="B695" s="1929" t="s">
        <v>1217</v>
      </c>
      <c r="C695" s="1929" t="s">
        <v>1216</v>
      </c>
      <c r="D695" s="1929" t="s">
        <v>1013</v>
      </c>
      <c r="E695" s="1929" t="s">
        <v>46</v>
      </c>
      <c r="F695" s="1929">
        <v>10.9</v>
      </c>
      <c r="G695" s="1929">
        <v>7.9</v>
      </c>
      <c r="H695" s="1929">
        <v>2.2000000000000002</v>
      </c>
      <c r="I695" s="1929">
        <v>420.3</v>
      </c>
      <c r="J695" s="1929">
        <v>444</v>
      </c>
      <c r="K695" s="1929" t="s">
        <v>3918</v>
      </c>
    </row>
    <row r="696" spans="1:11" hidden="1" x14ac:dyDescent="0.2">
      <c r="A696" s="1929" t="s">
        <v>3917</v>
      </c>
      <c r="B696" s="1929" t="s">
        <v>1228</v>
      </c>
      <c r="C696" s="1929" t="s">
        <v>1334</v>
      </c>
      <c r="D696" s="1929" t="s">
        <v>1013</v>
      </c>
      <c r="E696" s="1929" t="s">
        <v>46</v>
      </c>
      <c r="F696" s="1929">
        <v>14.8</v>
      </c>
      <c r="G696" s="1929">
        <v>20</v>
      </c>
      <c r="H696" s="1929">
        <v>0.9</v>
      </c>
      <c r="I696" s="1929">
        <v>38.1</v>
      </c>
      <c r="J696" s="1929">
        <v>445</v>
      </c>
      <c r="K696" s="1929" t="s">
        <v>3916</v>
      </c>
    </row>
    <row r="697" spans="1:11" hidden="1" x14ac:dyDescent="0.2">
      <c r="A697" s="1929" t="s">
        <v>3915</v>
      </c>
      <c r="B697" s="1929" t="s">
        <v>1217</v>
      </c>
      <c r="C697" s="1929" t="s">
        <v>1368</v>
      </c>
      <c r="D697" s="1929" t="s">
        <v>1013</v>
      </c>
      <c r="E697" s="1929" t="s">
        <v>46</v>
      </c>
      <c r="F697" s="1929">
        <v>14.9</v>
      </c>
      <c r="G697" s="1929">
        <v>6.8</v>
      </c>
      <c r="H697" s="1929">
        <v>1.9</v>
      </c>
      <c r="I697" s="1929">
        <v>199.3</v>
      </c>
      <c r="J697" s="1929">
        <v>446</v>
      </c>
      <c r="K697" s="1929" t="s">
        <v>3914</v>
      </c>
    </row>
    <row r="698" spans="1:11" hidden="1" x14ac:dyDescent="0.2">
      <c r="A698" s="1929" t="s">
        <v>3913</v>
      </c>
      <c r="B698" s="1929" t="s">
        <v>1310</v>
      </c>
      <c r="C698" s="1929" t="s">
        <v>1309</v>
      </c>
      <c r="D698" s="1929" t="s">
        <v>1013</v>
      </c>
      <c r="E698" s="1929" t="s">
        <v>46</v>
      </c>
      <c r="F698" s="1929">
        <v>6.3</v>
      </c>
      <c r="G698" s="1929">
        <v>66</v>
      </c>
      <c r="H698" s="1929">
        <v>0.9</v>
      </c>
      <c r="I698" s="1929">
        <v>145.6</v>
      </c>
      <c r="J698" s="1929">
        <v>460</v>
      </c>
      <c r="K698" s="1929" t="s">
        <v>3912</v>
      </c>
    </row>
    <row r="699" spans="1:11" hidden="1" x14ac:dyDescent="0.2">
      <c r="A699" s="1929" t="s">
        <v>3911</v>
      </c>
      <c r="B699" s="1929" t="s">
        <v>1217</v>
      </c>
      <c r="C699" s="1929" t="s">
        <v>1456</v>
      </c>
      <c r="D699" s="1929" t="s">
        <v>1013</v>
      </c>
      <c r="E699" s="1929" t="s">
        <v>46</v>
      </c>
      <c r="F699" s="1929">
        <v>32.799999999999997</v>
      </c>
      <c r="G699" s="1929">
        <v>10.199999999999999</v>
      </c>
      <c r="H699" s="1929">
        <v>0.7</v>
      </c>
      <c r="I699" s="1929">
        <v>45.1</v>
      </c>
      <c r="J699" s="1929">
        <v>468</v>
      </c>
      <c r="K699" s="1929" t="s">
        <v>3910</v>
      </c>
    </row>
    <row r="700" spans="1:11" hidden="1" x14ac:dyDescent="0.2">
      <c r="A700" s="1929" t="s">
        <v>3909</v>
      </c>
      <c r="B700" s="1929" t="s">
        <v>1217</v>
      </c>
      <c r="C700" s="1929" t="s">
        <v>1302</v>
      </c>
      <c r="D700" s="1929" t="s">
        <v>1013</v>
      </c>
      <c r="E700" s="1929" t="s">
        <v>46</v>
      </c>
      <c r="F700" s="1929">
        <v>8</v>
      </c>
      <c r="G700" s="1929">
        <v>21.6</v>
      </c>
      <c r="H700" s="1929">
        <v>0.9</v>
      </c>
      <c r="I700" s="1929">
        <v>134.30000000000001</v>
      </c>
      <c r="J700" s="1929">
        <v>473</v>
      </c>
      <c r="K700" s="1929" t="s">
        <v>3908</v>
      </c>
    </row>
    <row r="701" spans="1:11" hidden="1" x14ac:dyDescent="0.2">
      <c r="A701" s="1929" t="s">
        <v>3907</v>
      </c>
      <c r="B701" s="1929" t="s">
        <v>1228</v>
      </c>
      <c r="C701" s="1929" t="s">
        <v>1639</v>
      </c>
      <c r="D701" s="1929" t="s">
        <v>1013</v>
      </c>
      <c r="E701" s="1929" t="s">
        <v>46</v>
      </c>
      <c r="F701" s="1929">
        <v>9.3000000000000007</v>
      </c>
      <c r="G701" s="1929">
        <v>64.400000000000006</v>
      </c>
      <c r="H701" s="1929">
        <v>0.6</v>
      </c>
      <c r="I701" s="1929">
        <v>67.3</v>
      </c>
      <c r="J701" s="1929">
        <v>476</v>
      </c>
      <c r="K701" s="1929" t="s">
        <v>3906</v>
      </c>
    </row>
    <row r="702" spans="1:11" hidden="1" x14ac:dyDescent="0.2">
      <c r="A702" s="1929" t="s">
        <v>3905</v>
      </c>
      <c r="B702" s="1929" t="s">
        <v>1228</v>
      </c>
      <c r="C702" s="1929" t="s">
        <v>1498</v>
      </c>
      <c r="D702" s="1929" t="s">
        <v>1013</v>
      </c>
      <c r="E702" s="1929" t="s">
        <v>46</v>
      </c>
      <c r="F702" s="1929">
        <v>13</v>
      </c>
      <c r="G702" s="1929">
        <v>24.4</v>
      </c>
      <c r="H702" s="1929">
        <v>0.9</v>
      </c>
      <c r="I702" s="1929">
        <v>30.8</v>
      </c>
      <c r="J702" s="1929">
        <v>483</v>
      </c>
      <c r="K702" s="1929" t="s">
        <v>3904</v>
      </c>
    </row>
    <row r="703" spans="1:11" hidden="1" x14ac:dyDescent="0.2">
      <c r="A703" s="1929" t="s">
        <v>3903</v>
      </c>
      <c r="B703" s="1929" t="s">
        <v>1306</v>
      </c>
      <c r="C703" s="1929" t="s">
        <v>1413</v>
      </c>
      <c r="D703" s="1929" t="s">
        <v>1013</v>
      </c>
      <c r="E703" s="1929" t="s">
        <v>46</v>
      </c>
      <c r="F703" s="1929">
        <v>12.6</v>
      </c>
      <c r="G703" s="1929">
        <v>23.1</v>
      </c>
      <c r="H703" s="1929">
        <v>0.9</v>
      </c>
      <c r="I703" s="1929">
        <v>27.6</v>
      </c>
      <c r="J703" s="1929">
        <v>509</v>
      </c>
      <c r="K703" s="1929" t="s">
        <v>3902</v>
      </c>
    </row>
    <row r="704" spans="1:11" hidden="1" x14ac:dyDescent="0.2">
      <c r="A704" s="1929" t="s">
        <v>3901</v>
      </c>
      <c r="B704" s="1929" t="s">
        <v>1238</v>
      </c>
      <c r="C704" s="1929" t="s">
        <v>3030</v>
      </c>
      <c r="D704" s="1929" t="s">
        <v>1013</v>
      </c>
      <c r="E704" s="1929" t="s">
        <v>46</v>
      </c>
      <c r="F704" s="1929">
        <v>8.9</v>
      </c>
      <c r="G704" s="1929">
        <v>74.8</v>
      </c>
      <c r="H704" s="1929">
        <v>0.7</v>
      </c>
      <c r="I704" s="1929">
        <v>37.700000000000003</v>
      </c>
      <c r="J704" s="1929">
        <v>516</v>
      </c>
      <c r="K704" s="1929" t="s">
        <v>3900</v>
      </c>
    </row>
    <row r="705" spans="1:11" hidden="1" x14ac:dyDescent="0.2">
      <c r="A705" s="1929" t="s">
        <v>3899</v>
      </c>
      <c r="B705" s="1929" t="s">
        <v>1269</v>
      </c>
      <c r="C705" s="1929" t="s">
        <v>1504</v>
      </c>
      <c r="D705" s="1929" t="s">
        <v>1013</v>
      </c>
      <c r="E705" s="1929" t="s">
        <v>46</v>
      </c>
      <c r="F705" s="1929">
        <v>16.100000000000001</v>
      </c>
      <c r="G705" s="1929">
        <v>14.4</v>
      </c>
      <c r="H705" s="1929">
        <v>1.8</v>
      </c>
      <c r="I705" s="1929">
        <v>17.899999999999999</v>
      </c>
      <c r="J705" s="1929">
        <v>527</v>
      </c>
      <c r="K705" s="1929" t="s">
        <v>3898</v>
      </c>
    </row>
    <row r="706" spans="1:11" hidden="1" x14ac:dyDescent="0.2">
      <c r="A706" s="1929" t="s">
        <v>3897</v>
      </c>
      <c r="B706" s="1929" t="s">
        <v>1245</v>
      </c>
      <c r="C706" s="1929" t="s">
        <v>1429</v>
      </c>
      <c r="D706" s="1929" t="s">
        <v>1013</v>
      </c>
      <c r="E706" s="1929" t="s">
        <v>46</v>
      </c>
      <c r="F706" s="1929">
        <v>16.2</v>
      </c>
      <c r="G706" s="1929">
        <v>14.6</v>
      </c>
      <c r="H706" s="1929">
        <v>0.9</v>
      </c>
      <c r="I706" s="1929">
        <v>25.7</v>
      </c>
      <c r="J706" s="1929">
        <v>531</v>
      </c>
      <c r="K706" s="1929" t="s">
        <v>3896</v>
      </c>
    </row>
    <row r="707" spans="1:11" hidden="1" x14ac:dyDescent="0.2">
      <c r="A707" s="1929" t="s">
        <v>3895</v>
      </c>
      <c r="B707" s="1929" t="s">
        <v>1234</v>
      </c>
      <c r="C707" s="1929" t="s">
        <v>1461</v>
      </c>
      <c r="D707" s="1929" t="s">
        <v>1013</v>
      </c>
      <c r="E707" s="1929" t="s">
        <v>46</v>
      </c>
      <c r="F707" s="1929">
        <v>24.2</v>
      </c>
      <c r="G707" s="1929">
        <v>11.4</v>
      </c>
      <c r="H707" s="1929">
        <v>1.2</v>
      </c>
      <c r="I707" s="1929">
        <v>19.899999999999999</v>
      </c>
      <c r="J707" s="1929">
        <v>537</v>
      </c>
      <c r="K707" s="1929" t="s">
        <v>3894</v>
      </c>
    </row>
    <row r="708" spans="1:11" hidden="1" x14ac:dyDescent="0.2">
      <c r="A708" s="1929" t="s">
        <v>3893</v>
      </c>
      <c r="B708" s="1929" t="s">
        <v>1238</v>
      </c>
      <c r="C708" s="1929" t="s">
        <v>1237</v>
      </c>
      <c r="D708" s="1929" t="s">
        <v>1013</v>
      </c>
      <c r="E708" s="1929" t="s">
        <v>46</v>
      </c>
      <c r="F708" s="1929">
        <v>16.600000000000001</v>
      </c>
      <c r="G708" s="1929">
        <v>14.6</v>
      </c>
      <c r="H708" s="1929">
        <v>1.2</v>
      </c>
      <c r="I708" s="1929">
        <v>19.899999999999999</v>
      </c>
      <c r="J708" s="1929">
        <v>539</v>
      </c>
      <c r="K708" s="1929" t="s">
        <v>3892</v>
      </c>
    </row>
    <row r="709" spans="1:11" hidden="1" x14ac:dyDescent="0.2">
      <c r="A709" s="1929" t="s">
        <v>3891</v>
      </c>
      <c r="B709" s="1929" t="s">
        <v>1228</v>
      </c>
      <c r="C709" s="1929" t="s">
        <v>1334</v>
      </c>
      <c r="D709" s="1929" t="s">
        <v>1013</v>
      </c>
      <c r="E709" s="1929" t="s">
        <v>46</v>
      </c>
      <c r="F709" s="1929">
        <v>10.199999999999999</v>
      </c>
      <c r="G709" s="1929">
        <v>28.1</v>
      </c>
      <c r="H709" s="1929">
        <v>1</v>
      </c>
      <c r="I709" s="1929">
        <v>24</v>
      </c>
      <c r="J709" s="1929">
        <v>545</v>
      </c>
      <c r="K709" s="1929" t="s">
        <v>3890</v>
      </c>
    </row>
    <row r="710" spans="1:11" hidden="1" x14ac:dyDescent="0.2">
      <c r="A710" s="1929" t="s">
        <v>3889</v>
      </c>
      <c r="B710" s="1929" t="s">
        <v>1234</v>
      </c>
      <c r="C710" s="1929" t="s">
        <v>1476</v>
      </c>
      <c r="D710" s="1929" t="s">
        <v>1013</v>
      </c>
      <c r="E710" s="1929" t="s">
        <v>46</v>
      </c>
      <c r="F710" s="1929">
        <v>16.7</v>
      </c>
      <c r="G710" s="1929">
        <v>17.3</v>
      </c>
      <c r="H710" s="1929">
        <v>1</v>
      </c>
      <c r="I710" s="1929">
        <v>19.3</v>
      </c>
      <c r="J710" s="1929">
        <v>545</v>
      </c>
      <c r="K710" s="1929" t="s">
        <v>3888</v>
      </c>
    </row>
    <row r="711" spans="1:11" hidden="1" x14ac:dyDescent="0.2">
      <c r="A711" s="1929" t="s">
        <v>3887</v>
      </c>
      <c r="B711" s="1929" t="s">
        <v>1228</v>
      </c>
      <c r="C711" s="1929" t="s">
        <v>2392</v>
      </c>
      <c r="D711" s="1929" t="s">
        <v>1013</v>
      </c>
      <c r="E711" s="1929" t="s">
        <v>46</v>
      </c>
      <c r="F711" s="1929">
        <v>13.4</v>
      </c>
      <c r="G711" s="1929">
        <v>26.7</v>
      </c>
      <c r="H711" s="1929">
        <v>0.9</v>
      </c>
      <c r="I711" s="1929">
        <v>19.7</v>
      </c>
      <c r="J711" s="1929">
        <v>550</v>
      </c>
      <c r="K711" s="1929" t="s">
        <v>3886</v>
      </c>
    </row>
    <row r="712" spans="1:11" hidden="1" x14ac:dyDescent="0.2">
      <c r="A712" s="1929" t="s">
        <v>3885</v>
      </c>
      <c r="B712" s="1929" t="s">
        <v>1238</v>
      </c>
      <c r="C712" s="1929" t="s">
        <v>1241</v>
      </c>
      <c r="D712" s="1929" t="s">
        <v>1013</v>
      </c>
      <c r="E712" s="1929" t="s">
        <v>46</v>
      </c>
      <c r="F712" s="1929">
        <v>11.1</v>
      </c>
      <c r="G712" s="1929">
        <v>25.4</v>
      </c>
      <c r="H712" s="1929">
        <v>0.8</v>
      </c>
      <c r="I712" s="1929">
        <v>24.7</v>
      </c>
      <c r="J712" s="1929">
        <v>562</v>
      </c>
      <c r="K712" s="1929" t="s">
        <v>3884</v>
      </c>
    </row>
    <row r="713" spans="1:11" hidden="1" x14ac:dyDescent="0.2">
      <c r="A713" s="1929" t="s">
        <v>3883</v>
      </c>
      <c r="B713" s="1929" t="s">
        <v>1310</v>
      </c>
      <c r="C713" s="1929" t="s">
        <v>1379</v>
      </c>
      <c r="D713" s="1929" t="s">
        <v>1013</v>
      </c>
      <c r="E713" s="1929" t="s">
        <v>46</v>
      </c>
      <c r="F713" s="1929">
        <v>12.5</v>
      </c>
      <c r="G713" s="1929">
        <v>20.6</v>
      </c>
      <c r="H713" s="1929">
        <v>1</v>
      </c>
      <c r="I713" s="1929">
        <v>19.600000000000001</v>
      </c>
      <c r="J713" s="1929">
        <v>577</v>
      </c>
      <c r="K713" s="1929" t="s">
        <v>3882</v>
      </c>
    </row>
    <row r="714" spans="1:11" hidden="1" x14ac:dyDescent="0.2">
      <c r="A714" s="1929" t="s">
        <v>3881</v>
      </c>
      <c r="B714" s="1929" t="s">
        <v>1228</v>
      </c>
      <c r="C714" s="1929" t="s">
        <v>1334</v>
      </c>
      <c r="D714" s="1929" t="s">
        <v>1013</v>
      </c>
      <c r="E714" s="1929" t="s">
        <v>46</v>
      </c>
      <c r="F714" s="1929">
        <v>12</v>
      </c>
      <c r="G714" s="1929">
        <v>25.2</v>
      </c>
      <c r="H714" s="1929">
        <v>0.6</v>
      </c>
      <c r="I714" s="1929">
        <v>24.2</v>
      </c>
      <c r="J714" s="1929">
        <v>584</v>
      </c>
      <c r="K714" s="1929" t="s">
        <v>3880</v>
      </c>
    </row>
    <row r="715" spans="1:11" hidden="1" x14ac:dyDescent="0.2">
      <c r="A715" s="1929" t="s">
        <v>3879</v>
      </c>
      <c r="B715" s="1929" t="s">
        <v>1217</v>
      </c>
      <c r="C715" s="1929" t="s">
        <v>1456</v>
      </c>
      <c r="D715" s="1929" t="s">
        <v>1013</v>
      </c>
      <c r="E715" s="1929" t="s">
        <v>46</v>
      </c>
      <c r="F715" s="1929">
        <v>18.600000000000001</v>
      </c>
      <c r="G715" s="1929">
        <v>8.3000000000000007</v>
      </c>
      <c r="H715" s="1929">
        <v>0.7</v>
      </c>
      <c r="I715" s="1929">
        <v>39.200000000000003</v>
      </c>
      <c r="J715" s="1929">
        <v>588</v>
      </c>
      <c r="K715" s="1929" t="s">
        <v>3878</v>
      </c>
    </row>
    <row r="716" spans="1:11" hidden="1" x14ac:dyDescent="0.2">
      <c r="A716" s="1929" t="s">
        <v>3877</v>
      </c>
      <c r="B716" s="1929" t="s">
        <v>1269</v>
      </c>
      <c r="C716" s="1929" t="s">
        <v>1504</v>
      </c>
      <c r="D716" s="1929" t="s">
        <v>1013</v>
      </c>
      <c r="E716" s="1929" t="s">
        <v>46</v>
      </c>
      <c r="F716" s="1929">
        <v>26.1</v>
      </c>
      <c r="G716" s="1929">
        <v>11.7</v>
      </c>
      <c r="H716" s="1929">
        <v>0.8</v>
      </c>
      <c r="I716" s="1929">
        <v>14.9</v>
      </c>
      <c r="J716" s="1929">
        <v>615</v>
      </c>
      <c r="K716" s="1929" t="s">
        <v>3876</v>
      </c>
    </row>
    <row r="717" spans="1:11" hidden="1" x14ac:dyDescent="0.2">
      <c r="A717" s="1929" t="s">
        <v>3875</v>
      </c>
      <c r="B717" s="1929" t="s">
        <v>1228</v>
      </c>
      <c r="C717" s="1929" t="s">
        <v>2392</v>
      </c>
      <c r="D717" s="1929" t="s">
        <v>1013</v>
      </c>
      <c r="E717" s="1929" t="s">
        <v>46</v>
      </c>
      <c r="F717" s="1929">
        <v>10.3</v>
      </c>
      <c r="G717" s="1929">
        <v>21</v>
      </c>
      <c r="H717" s="1929">
        <v>1.1000000000000001</v>
      </c>
      <c r="I717" s="1929">
        <v>14.3</v>
      </c>
      <c r="J717" s="1929">
        <v>636</v>
      </c>
      <c r="K717" s="1929" t="s">
        <v>3874</v>
      </c>
    </row>
    <row r="718" spans="1:11" hidden="1" x14ac:dyDescent="0.2">
      <c r="A718" s="1929" t="s">
        <v>3873</v>
      </c>
      <c r="B718" s="1929" t="s">
        <v>1234</v>
      </c>
      <c r="C718" s="1929" t="s">
        <v>1461</v>
      </c>
      <c r="D718" s="1929" t="s">
        <v>1013</v>
      </c>
      <c r="E718" s="1929" t="s">
        <v>46</v>
      </c>
      <c r="F718" s="1929">
        <v>9.4</v>
      </c>
      <c r="G718" s="1929">
        <v>19</v>
      </c>
      <c r="H718" s="1929">
        <v>0.9</v>
      </c>
      <c r="I718" s="1929">
        <v>18.600000000000001</v>
      </c>
      <c r="J718" s="1929">
        <v>646</v>
      </c>
      <c r="K718" s="1929" t="s">
        <v>3872</v>
      </c>
    </row>
    <row r="719" spans="1:11" hidden="1" x14ac:dyDescent="0.2">
      <c r="A719" s="1929" t="s">
        <v>3871</v>
      </c>
      <c r="B719" s="1929" t="s">
        <v>1228</v>
      </c>
      <c r="C719" s="1929" t="s">
        <v>1539</v>
      </c>
      <c r="D719" s="1929" t="s">
        <v>1013</v>
      </c>
      <c r="E719" s="1929" t="s">
        <v>46</v>
      </c>
      <c r="F719" s="1929">
        <v>36.4</v>
      </c>
      <c r="G719" s="1929">
        <v>12.6</v>
      </c>
      <c r="H719" s="1929">
        <v>1</v>
      </c>
      <c r="I719" s="1929">
        <v>10</v>
      </c>
      <c r="J719" s="1929">
        <v>647</v>
      </c>
      <c r="K719" s="1929" t="s">
        <v>3870</v>
      </c>
    </row>
    <row r="720" spans="1:11" hidden="1" x14ac:dyDescent="0.2">
      <c r="A720" s="1929" t="s">
        <v>3869</v>
      </c>
      <c r="B720" s="1929" t="s">
        <v>1306</v>
      </c>
      <c r="C720" s="1929" t="s">
        <v>1413</v>
      </c>
      <c r="D720" s="1929" t="s">
        <v>1013</v>
      </c>
      <c r="E720" s="1929" t="s">
        <v>46</v>
      </c>
      <c r="F720" s="1929">
        <v>12.8</v>
      </c>
      <c r="G720" s="1929">
        <v>17.600000000000001</v>
      </c>
      <c r="H720" s="1929">
        <v>0.6</v>
      </c>
      <c r="I720" s="1929">
        <v>17</v>
      </c>
      <c r="J720" s="1929">
        <v>663</v>
      </c>
      <c r="K720" s="1929" t="s">
        <v>3868</v>
      </c>
    </row>
    <row r="721" spans="1:11" hidden="1" x14ac:dyDescent="0.2">
      <c r="A721" s="1929" t="s">
        <v>3867</v>
      </c>
      <c r="B721" s="1929" t="s">
        <v>1228</v>
      </c>
      <c r="C721" s="1929" t="s">
        <v>2392</v>
      </c>
      <c r="D721" s="1929" t="s">
        <v>1013</v>
      </c>
      <c r="E721" s="1929" t="s">
        <v>46</v>
      </c>
      <c r="F721" s="1929">
        <v>9.6999999999999993</v>
      </c>
      <c r="G721" s="1929">
        <v>18</v>
      </c>
      <c r="H721" s="1929">
        <v>1.2</v>
      </c>
      <c r="I721" s="1929">
        <v>13.5</v>
      </c>
      <c r="J721" s="1929">
        <v>670</v>
      </c>
      <c r="K721" s="1929" t="s">
        <v>3866</v>
      </c>
    </row>
    <row r="722" spans="1:11" hidden="1" x14ac:dyDescent="0.2">
      <c r="A722" s="1929" t="s">
        <v>3865</v>
      </c>
      <c r="B722" s="1929" t="s">
        <v>1238</v>
      </c>
      <c r="C722" s="1929" t="s">
        <v>2119</v>
      </c>
      <c r="D722" s="1929" t="s">
        <v>1013</v>
      </c>
      <c r="E722" s="1929" t="s">
        <v>46</v>
      </c>
      <c r="F722" s="1929">
        <v>8.4</v>
      </c>
      <c r="G722" s="1929">
        <v>22</v>
      </c>
      <c r="H722" s="1929">
        <v>0.6</v>
      </c>
      <c r="I722" s="1929">
        <v>24.4</v>
      </c>
      <c r="J722" s="1929">
        <v>674</v>
      </c>
      <c r="K722" s="1929" t="s">
        <v>3864</v>
      </c>
    </row>
    <row r="723" spans="1:11" hidden="1" x14ac:dyDescent="0.2">
      <c r="A723" s="1929" t="s">
        <v>3863</v>
      </c>
      <c r="B723" s="1929" t="s">
        <v>1234</v>
      </c>
      <c r="C723" s="1929" t="s">
        <v>1461</v>
      </c>
      <c r="D723" s="1929" t="s">
        <v>1013</v>
      </c>
      <c r="E723" s="1929" t="s">
        <v>46</v>
      </c>
      <c r="F723" s="1929">
        <v>10.8</v>
      </c>
      <c r="G723" s="1929">
        <v>18.100000000000001</v>
      </c>
      <c r="H723" s="1929">
        <v>0.6</v>
      </c>
      <c r="I723" s="1929">
        <v>18.399999999999999</v>
      </c>
      <c r="J723" s="1929">
        <v>679</v>
      </c>
      <c r="K723" s="1929" t="s">
        <v>3862</v>
      </c>
    </row>
    <row r="724" spans="1:11" hidden="1" x14ac:dyDescent="0.2">
      <c r="A724" s="1929" t="s">
        <v>3861</v>
      </c>
      <c r="B724" s="1929" t="s">
        <v>1238</v>
      </c>
      <c r="C724" s="1929" t="s">
        <v>1241</v>
      </c>
      <c r="D724" s="1929" t="s">
        <v>1013</v>
      </c>
      <c r="E724" s="1929" t="s">
        <v>46</v>
      </c>
      <c r="F724" s="1929">
        <v>8.6</v>
      </c>
      <c r="G724" s="1929">
        <v>18.3</v>
      </c>
      <c r="H724" s="1929">
        <v>0.8</v>
      </c>
      <c r="I724" s="1929">
        <v>17.3</v>
      </c>
      <c r="J724" s="1929">
        <v>706</v>
      </c>
      <c r="K724" s="1929" t="s">
        <v>3860</v>
      </c>
    </row>
    <row r="725" spans="1:11" hidden="1" x14ac:dyDescent="0.2">
      <c r="A725" s="1929" t="s">
        <v>3859</v>
      </c>
      <c r="B725" s="1929" t="s">
        <v>1269</v>
      </c>
      <c r="C725" s="1929" t="s">
        <v>1504</v>
      </c>
      <c r="D725" s="1929" t="s">
        <v>1013</v>
      </c>
      <c r="E725" s="1929" t="s">
        <v>46</v>
      </c>
      <c r="F725" s="1929">
        <v>11.6</v>
      </c>
      <c r="G725" s="1929">
        <v>10.9</v>
      </c>
      <c r="H725" s="1929">
        <v>0.9</v>
      </c>
      <c r="I725" s="1929">
        <v>17.3</v>
      </c>
      <c r="J725" s="1929">
        <v>707</v>
      </c>
      <c r="K725" s="1929" t="s">
        <v>3858</v>
      </c>
    </row>
    <row r="726" spans="1:11" hidden="1" x14ac:dyDescent="0.2">
      <c r="A726" s="1929" t="s">
        <v>3857</v>
      </c>
      <c r="B726" s="1929" t="s">
        <v>1258</v>
      </c>
      <c r="C726" s="1929" t="s">
        <v>1263</v>
      </c>
      <c r="D726" s="1929" t="s">
        <v>1013</v>
      </c>
      <c r="E726" s="1929" t="s">
        <v>46</v>
      </c>
      <c r="F726" s="1929">
        <v>3.2</v>
      </c>
      <c r="G726" s="1929">
        <v>49.9</v>
      </c>
      <c r="H726" s="1929">
        <v>0.8</v>
      </c>
      <c r="I726" s="1929">
        <v>29.1</v>
      </c>
      <c r="J726" s="1929">
        <v>708</v>
      </c>
      <c r="K726" s="1929" t="s">
        <v>3856</v>
      </c>
    </row>
    <row r="727" spans="1:11" hidden="1" x14ac:dyDescent="0.2">
      <c r="A727" s="1929" t="s">
        <v>3855</v>
      </c>
      <c r="B727" s="1929" t="s">
        <v>1310</v>
      </c>
      <c r="C727" s="1929" t="s">
        <v>1309</v>
      </c>
      <c r="D727" s="1929" t="s">
        <v>1013</v>
      </c>
      <c r="E727" s="1929" t="s">
        <v>46</v>
      </c>
      <c r="F727" s="1929">
        <v>9.3000000000000007</v>
      </c>
      <c r="G727" s="1929">
        <v>32.5</v>
      </c>
      <c r="H727" s="1929">
        <v>-1.3</v>
      </c>
      <c r="I727" s="1929">
        <v>72</v>
      </c>
      <c r="J727" s="1929">
        <v>716</v>
      </c>
      <c r="K727" s="1929" t="s">
        <v>3854</v>
      </c>
    </row>
    <row r="728" spans="1:11" hidden="1" x14ac:dyDescent="0.2">
      <c r="A728" s="1929" t="s">
        <v>3853</v>
      </c>
      <c r="B728" s="1929" t="s">
        <v>1245</v>
      </c>
      <c r="C728" s="1929" t="s">
        <v>1479</v>
      </c>
      <c r="D728" s="1929" t="s">
        <v>1013</v>
      </c>
      <c r="E728" s="1929" t="s">
        <v>46</v>
      </c>
      <c r="F728" s="1929">
        <v>12.6</v>
      </c>
      <c r="G728" s="1929">
        <v>47.3</v>
      </c>
      <c r="H728" s="1929">
        <v>0.2</v>
      </c>
      <c r="I728" s="1929">
        <v>30.5</v>
      </c>
      <c r="J728" s="1929">
        <v>728</v>
      </c>
      <c r="K728" s="1929" t="s">
        <v>3852</v>
      </c>
    </row>
    <row r="729" spans="1:11" hidden="1" x14ac:dyDescent="0.2">
      <c r="A729" s="1929" t="s">
        <v>3851</v>
      </c>
      <c r="B729" s="1929" t="s">
        <v>1228</v>
      </c>
      <c r="C729" s="1929" t="s">
        <v>1568</v>
      </c>
      <c r="D729" s="1929" t="s">
        <v>1013</v>
      </c>
      <c r="E729" s="1929" t="s">
        <v>46</v>
      </c>
      <c r="F729" s="1929">
        <v>10.8</v>
      </c>
      <c r="G729" s="1929">
        <v>22.4</v>
      </c>
      <c r="H729" s="1929">
        <v>0.4</v>
      </c>
      <c r="I729" s="1929">
        <v>22.2</v>
      </c>
      <c r="J729" s="1929">
        <v>730</v>
      </c>
      <c r="K729" s="1929" t="s">
        <v>3850</v>
      </c>
    </row>
    <row r="730" spans="1:11" hidden="1" x14ac:dyDescent="0.2">
      <c r="A730" s="1929" t="s">
        <v>3849</v>
      </c>
      <c r="B730" s="1929" t="s">
        <v>1234</v>
      </c>
      <c r="C730" s="1929" t="s">
        <v>1461</v>
      </c>
      <c r="D730" s="1929" t="s">
        <v>1013</v>
      </c>
      <c r="E730" s="1929" t="s">
        <v>46</v>
      </c>
      <c r="F730" s="1929">
        <v>6</v>
      </c>
      <c r="G730" s="1929">
        <v>33.4</v>
      </c>
      <c r="H730" s="1929">
        <v>0.5</v>
      </c>
      <c r="I730" s="1929">
        <v>33.4</v>
      </c>
      <c r="J730" s="1929">
        <v>736</v>
      </c>
      <c r="K730" s="1929" t="s">
        <v>3848</v>
      </c>
    </row>
    <row r="731" spans="1:11" hidden="1" x14ac:dyDescent="0.2">
      <c r="A731" s="1929" t="s">
        <v>3847</v>
      </c>
      <c r="B731" s="1929" t="s">
        <v>1238</v>
      </c>
      <c r="C731" s="1929" t="s">
        <v>1485</v>
      </c>
      <c r="D731" s="1929" t="s">
        <v>1013</v>
      </c>
      <c r="E731" s="1929" t="s">
        <v>46</v>
      </c>
      <c r="F731" s="1929">
        <v>9</v>
      </c>
      <c r="G731" s="1929">
        <v>13.2</v>
      </c>
      <c r="H731" s="1929">
        <v>1.6</v>
      </c>
      <c r="I731" s="1929">
        <v>12.4</v>
      </c>
      <c r="J731" s="1929">
        <v>738</v>
      </c>
      <c r="K731" s="1929" t="s">
        <v>3846</v>
      </c>
    </row>
    <row r="732" spans="1:11" hidden="1" x14ac:dyDescent="0.2">
      <c r="A732" s="1929" t="s">
        <v>3845</v>
      </c>
      <c r="B732" s="1929" t="s">
        <v>1238</v>
      </c>
      <c r="C732" s="1929" t="s">
        <v>1434</v>
      </c>
      <c r="D732" s="1929" t="s">
        <v>1013</v>
      </c>
      <c r="E732" s="1929" t="s">
        <v>46</v>
      </c>
      <c r="F732" s="1929">
        <v>7.8</v>
      </c>
      <c r="G732" s="1929">
        <v>13.5</v>
      </c>
      <c r="H732" s="1929">
        <v>0.6</v>
      </c>
      <c r="I732" s="1929">
        <v>24.8</v>
      </c>
      <c r="J732" s="1929">
        <v>749</v>
      </c>
      <c r="K732" s="1929" t="s">
        <v>3844</v>
      </c>
    </row>
    <row r="733" spans="1:11" hidden="1" x14ac:dyDescent="0.2">
      <c r="A733" s="1929" t="s">
        <v>3843</v>
      </c>
      <c r="B733" s="1929" t="s">
        <v>1306</v>
      </c>
      <c r="C733" s="1929" t="s">
        <v>1389</v>
      </c>
      <c r="D733" s="1929" t="s">
        <v>1013</v>
      </c>
      <c r="E733" s="1929" t="s">
        <v>46</v>
      </c>
      <c r="F733" s="1929">
        <v>18.2</v>
      </c>
      <c r="G733" s="1929">
        <v>13.5</v>
      </c>
      <c r="H733" s="1929">
        <v>0.7</v>
      </c>
      <c r="I733" s="1929">
        <v>10.8</v>
      </c>
      <c r="J733" s="1929">
        <v>761</v>
      </c>
      <c r="K733" s="1929" t="s">
        <v>3842</v>
      </c>
    </row>
    <row r="734" spans="1:11" hidden="1" x14ac:dyDescent="0.2">
      <c r="A734" s="1929" t="s">
        <v>3841</v>
      </c>
      <c r="B734" s="1929" t="s">
        <v>1245</v>
      </c>
      <c r="C734" s="1929" t="s">
        <v>1429</v>
      </c>
      <c r="D734" s="1929" t="s">
        <v>1013</v>
      </c>
      <c r="E734" s="1929" t="s">
        <v>46</v>
      </c>
      <c r="F734" s="1929">
        <v>21.3</v>
      </c>
      <c r="G734" s="1929">
        <v>8.4</v>
      </c>
      <c r="H734" s="1929">
        <v>0.9</v>
      </c>
      <c r="I734" s="1929">
        <v>11.6</v>
      </c>
      <c r="J734" s="1929">
        <v>776</v>
      </c>
      <c r="K734" s="1929" t="s">
        <v>3840</v>
      </c>
    </row>
    <row r="735" spans="1:11" hidden="1" x14ac:dyDescent="0.2">
      <c r="A735" s="1929" t="s">
        <v>3839</v>
      </c>
      <c r="B735" s="1929" t="s">
        <v>1310</v>
      </c>
      <c r="C735" s="1929" t="s">
        <v>1309</v>
      </c>
      <c r="D735" s="1929" t="s">
        <v>1013</v>
      </c>
      <c r="E735" s="1929" t="s">
        <v>46</v>
      </c>
      <c r="F735" s="1929">
        <v>8.8000000000000007</v>
      </c>
      <c r="G735" s="1929">
        <v>28.1</v>
      </c>
      <c r="H735" s="1929">
        <v>-0.6</v>
      </c>
      <c r="I735" s="1929">
        <v>54.9</v>
      </c>
      <c r="J735" s="1929">
        <v>779</v>
      </c>
      <c r="K735" s="1929" t="s">
        <v>3838</v>
      </c>
    </row>
    <row r="736" spans="1:11" hidden="1" x14ac:dyDescent="0.2">
      <c r="A736" s="1929" t="s">
        <v>3837</v>
      </c>
      <c r="B736" s="1929" t="s">
        <v>1234</v>
      </c>
      <c r="C736" s="1929" t="s">
        <v>1476</v>
      </c>
      <c r="D736" s="1929" t="s">
        <v>1013</v>
      </c>
      <c r="E736" s="1929" t="s">
        <v>46</v>
      </c>
      <c r="F736" s="1929">
        <v>8.5</v>
      </c>
      <c r="G736" s="1929">
        <v>15.8</v>
      </c>
      <c r="H736" s="1929">
        <v>0.5</v>
      </c>
      <c r="I736" s="1929">
        <v>16.2</v>
      </c>
      <c r="J736" s="1929">
        <v>839</v>
      </c>
      <c r="K736" s="1929" t="s">
        <v>3836</v>
      </c>
    </row>
    <row r="737" spans="1:11" hidden="1" x14ac:dyDescent="0.2">
      <c r="A737" s="1929" t="s">
        <v>3835</v>
      </c>
      <c r="B737" s="1929" t="s">
        <v>1228</v>
      </c>
      <c r="C737" s="1929" t="s">
        <v>1469</v>
      </c>
      <c r="D737" s="1929" t="s">
        <v>1013</v>
      </c>
      <c r="E737" s="1929" t="s">
        <v>46</v>
      </c>
      <c r="F737" s="1929">
        <v>17.600000000000001</v>
      </c>
      <c r="G737" s="1929">
        <v>5.3</v>
      </c>
      <c r="H737" s="1929">
        <v>0.4</v>
      </c>
      <c r="I737" s="1929">
        <v>30.5</v>
      </c>
      <c r="J737" s="1929">
        <v>854</v>
      </c>
      <c r="K737" s="1929" t="s">
        <v>3834</v>
      </c>
    </row>
    <row r="738" spans="1:11" hidden="1" x14ac:dyDescent="0.2">
      <c r="A738" s="1929" t="s">
        <v>3833</v>
      </c>
      <c r="B738" s="1929" t="s">
        <v>1238</v>
      </c>
      <c r="C738" s="1929" t="s">
        <v>1609</v>
      </c>
      <c r="D738" s="1929" t="s">
        <v>1013</v>
      </c>
      <c r="E738" s="1929" t="s">
        <v>46</v>
      </c>
      <c r="F738" s="1929">
        <v>34.4</v>
      </c>
      <c r="G738" s="1929">
        <v>4.5</v>
      </c>
      <c r="H738" s="1929">
        <v>1</v>
      </c>
      <c r="I738" s="1929">
        <v>12.3</v>
      </c>
      <c r="J738" s="1929">
        <v>855</v>
      </c>
      <c r="K738" s="1929" t="s">
        <v>3832</v>
      </c>
    </row>
    <row r="739" spans="1:11" hidden="1" x14ac:dyDescent="0.2">
      <c r="A739" s="1929" t="s">
        <v>3831</v>
      </c>
      <c r="B739" s="1929" t="s">
        <v>1238</v>
      </c>
      <c r="C739" s="1929" t="s">
        <v>1434</v>
      </c>
      <c r="D739" s="1929" t="s">
        <v>1013</v>
      </c>
      <c r="E739" s="1929" t="s">
        <v>46</v>
      </c>
      <c r="F739" s="1929">
        <v>7.7</v>
      </c>
      <c r="G739" s="1929">
        <v>11.2</v>
      </c>
      <c r="H739" s="1929">
        <v>0.6</v>
      </c>
      <c r="I739" s="1929">
        <v>19</v>
      </c>
      <c r="J739" s="1929">
        <v>859</v>
      </c>
      <c r="K739" s="1929" t="s">
        <v>3830</v>
      </c>
    </row>
    <row r="740" spans="1:11" hidden="1" x14ac:dyDescent="0.2">
      <c r="A740" s="1929" t="s">
        <v>3829</v>
      </c>
      <c r="B740" s="1929" t="s">
        <v>1238</v>
      </c>
      <c r="C740" s="1929" t="s">
        <v>2461</v>
      </c>
      <c r="D740" s="1929" t="s">
        <v>1013</v>
      </c>
      <c r="E740" s="1929" t="s">
        <v>46</v>
      </c>
      <c r="F740" s="1929">
        <v>13.2</v>
      </c>
      <c r="G740" s="1929">
        <v>8.3000000000000007</v>
      </c>
      <c r="H740" s="1929">
        <v>0.7</v>
      </c>
      <c r="I740" s="1929">
        <v>12.1</v>
      </c>
      <c r="J740" s="1929">
        <v>879</v>
      </c>
      <c r="K740" s="1929" t="s">
        <v>3828</v>
      </c>
    </row>
    <row r="741" spans="1:11" hidden="1" x14ac:dyDescent="0.2">
      <c r="A741" s="1929" t="s">
        <v>3827</v>
      </c>
      <c r="B741" s="1929" t="s">
        <v>1234</v>
      </c>
      <c r="C741" s="1929" t="s">
        <v>1445</v>
      </c>
      <c r="D741" s="1929" t="s">
        <v>1013</v>
      </c>
      <c r="E741" s="1929" t="s">
        <v>46</v>
      </c>
      <c r="F741" s="1929">
        <v>4.8</v>
      </c>
      <c r="G741" s="1929">
        <v>18.100000000000001</v>
      </c>
      <c r="H741" s="1929">
        <v>0.6</v>
      </c>
      <c r="I741" s="1929">
        <v>21.2</v>
      </c>
      <c r="J741" s="1929">
        <v>913</v>
      </c>
      <c r="K741" s="1929" t="s">
        <v>3826</v>
      </c>
    </row>
    <row r="742" spans="1:11" hidden="1" x14ac:dyDescent="0.2">
      <c r="A742" s="1929" t="s">
        <v>3825</v>
      </c>
      <c r="B742" s="1929" t="s">
        <v>1245</v>
      </c>
      <c r="C742" s="1929" t="s">
        <v>1429</v>
      </c>
      <c r="D742" s="1929" t="s">
        <v>1013</v>
      </c>
      <c r="E742" s="1929" t="s">
        <v>46</v>
      </c>
      <c r="F742" s="1929">
        <v>8</v>
      </c>
      <c r="G742" s="1929">
        <v>30.6</v>
      </c>
      <c r="H742" s="1929">
        <v>0</v>
      </c>
      <c r="I742" s="1929">
        <v>24.2</v>
      </c>
      <c r="J742" s="1929">
        <v>920</v>
      </c>
      <c r="K742" s="1929" t="s">
        <v>3824</v>
      </c>
    </row>
    <row r="743" spans="1:11" hidden="1" x14ac:dyDescent="0.2">
      <c r="A743" s="1929" t="s">
        <v>3823</v>
      </c>
      <c r="B743" s="1929" t="s">
        <v>1238</v>
      </c>
      <c r="C743" s="1929" t="s">
        <v>1700</v>
      </c>
      <c r="D743" s="1929" t="s">
        <v>1013</v>
      </c>
      <c r="E743" s="1929" t="s">
        <v>46</v>
      </c>
      <c r="F743" s="1929">
        <v>4.9000000000000004</v>
      </c>
      <c r="G743" s="1929">
        <v>22</v>
      </c>
      <c r="H743" s="1929">
        <v>0.5</v>
      </c>
      <c r="I743" s="1929">
        <v>25.1</v>
      </c>
      <c r="J743" s="1929">
        <v>926</v>
      </c>
      <c r="K743" s="1929" t="s">
        <v>3822</v>
      </c>
    </row>
    <row r="744" spans="1:11" hidden="1" x14ac:dyDescent="0.2">
      <c r="A744" s="1929" t="s">
        <v>3821</v>
      </c>
      <c r="B744" s="1929" t="s">
        <v>1234</v>
      </c>
      <c r="C744" s="1929" t="s">
        <v>1337</v>
      </c>
      <c r="D744" s="1929" t="s">
        <v>1013</v>
      </c>
      <c r="E744" s="1929" t="s">
        <v>46</v>
      </c>
      <c r="F744" s="1929">
        <v>6.8</v>
      </c>
      <c r="G744" s="1929">
        <v>8.5</v>
      </c>
      <c r="H744" s="1929">
        <v>0.9</v>
      </c>
      <c r="I744" s="1929">
        <v>14.4</v>
      </c>
      <c r="J744" s="1929">
        <v>949</v>
      </c>
      <c r="K744" s="1929" t="s">
        <v>3820</v>
      </c>
    </row>
    <row r="745" spans="1:11" hidden="1" x14ac:dyDescent="0.2">
      <c r="A745" s="1929" t="s">
        <v>3819</v>
      </c>
      <c r="B745" s="1929" t="s">
        <v>1258</v>
      </c>
      <c r="C745" s="1929" t="s">
        <v>1263</v>
      </c>
      <c r="D745" s="1929" t="s">
        <v>1013</v>
      </c>
      <c r="E745" s="1929" t="s">
        <v>46</v>
      </c>
      <c r="F745" s="1929">
        <v>3.3</v>
      </c>
      <c r="G745" s="1929">
        <v>30.3</v>
      </c>
      <c r="H745" s="1929">
        <v>0.6</v>
      </c>
      <c r="I745" s="1929">
        <v>12.3</v>
      </c>
      <c r="J745" s="1929">
        <v>990</v>
      </c>
      <c r="K745" s="1929" t="s">
        <v>3818</v>
      </c>
    </row>
    <row r="746" spans="1:11" hidden="1" x14ac:dyDescent="0.2">
      <c r="A746" s="1929" t="s">
        <v>3817</v>
      </c>
      <c r="B746" s="1929" t="s">
        <v>1217</v>
      </c>
      <c r="C746" s="1929" t="s">
        <v>2291</v>
      </c>
      <c r="D746" s="1929" t="s">
        <v>1013</v>
      </c>
      <c r="E746" s="1929" t="s">
        <v>46</v>
      </c>
      <c r="F746" s="1929">
        <v>6.3</v>
      </c>
      <c r="G746" s="1929">
        <v>2.9</v>
      </c>
      <c r="H746" s="1929">
        <v>0.6</v>
      </c>
      <c r="I746" s="1929">
        <v>128.4</v>
      </c>
      <c r="J746" s="1929">
        <v>993</v>
      </c>
      <c r="K746" s="1929" t="s">
        <v>3816</v>
      </c>
    </row>
    <row r="747" spans="1:11" hidden="1" x14ac:dyDescent="0.2">
      <c r="A747" s="1929" t="s">
        <v>3815</v>
      </c>
      <c r="B747" s="1929" t="s">
        <v>1238</v>
      </c>
      <c r="C747" s="1929" t="s">
        <v>1434</v>
      </c>
      <c r="D747" s="1929" t="s">
        <v>1013</v>
      </c>
      <c r="E747" s="1929" t="s">
        <v>46</v>
      </c>
      <c r="F747" s="1929">
        <v>6.8</v>
      </c>
      <c r="G747" s="1929">
        <v>7.1</v>
      </c>
      <c r="H747" s="1929">
        <v>0.5</v>
      </c>
      <c r="I747" s="1929">
        <v>21.6</v>
      </c>
      <c r="J747" s="1929">
        <v>1008</v>
      </c>
      <c r="K747" s="1929" t="s">
        <v>3814</v>
      </c>
    </row>
    <row r="748" spans="1:11" hidden="1" x14ac:dyDescent="0.2">
      <c r="A748" s="1929" t="s">
        <v>3813</v>
      </c>
      <c r="B748" s="1929" t="s">
        <v>1310</v>
      </c>
      <c r="C748" s="1929" t="s">
        <v>1309</v>
      </c>
      <c r="D748" s="1929" t="s">
        <v>1013</v>
      </c>
      <c r="E748" s="1929" t="s">
        <v>46</v>
      </c>
      <c r="F748" s="1929">
        <v>5.5</v>
      </c>
      <c r="G748" s="1929">
        <v>17.600000000000001</v>
      </c>
      <c r="H748" s="1929">
        <v>-1.6</v>
      </c>
      <c r="I748" s="1929">
        <v>42.4</v>
      </c>
      <c r="J748" s="1929">
        <v>1024</v>
      </c>
      <c r="K748" s="1929" t="s">
        <v>3812</v>
      </c>
    </row>
    <row r="749" spans="1:11" hidden="1" x14ac:dyDescent="0.2">
      <c r="A749" s="1929" t="s">
        <v>3811</v>
      </c>
      <c r="B749" s="1929" t="s">
        <v>1234</v>
      </c>
      <c r="C749" s="1929" t="s">
        <v>1461</v>
      </c>
      <c r="D749" s="1929" t="s">
        <v>1013</v>
      </c>
      <c r="E749" s="1929" t="s">
        <v>46</v>
      </c>
      <c r="F749" s="1929">
        <v>6</v>
      </c>
      <c r="G749" s="1929">
        <v>21.9</v>
      </c>
      <c r="H749" s="1929">
        <v>0.1</v>
      </c>
      <c r="I749" s="1929">
        <v>26.9</v>
      </c>
      <c r="J749" s="1929">
        <v>1035</v>
      </c>
      <c r="K749" s="1929" t="s">
        <v>3810</v>
      </c>
    </row>
    <row r="750" spans="1:11" hidden="1" x14ac:dyDescent="0.2">
      <c r="A750" s="1929" t="s">
        <v>3809</v>
      </c>
      <c r="B750" s="1929" t="s">
        <v>1238</v>
      </c>
      <c r="C750" s="1929" t="s">
        <v>1237</v>
      </c>
      <c r="D750" s="1929" t="s">
        <v>1013</v>
      </c>
      <c r="E750" s="1929" t="s">
        <v>46</v>
      </c>
      <c r="F750" s="1929">
        <v>6.2</v>
      </c>
      <c r="G750" s="1929">
        <v>12.9</v>
      </c>
      <c r="H750" s="1929">
        <v>0.5</v>
      </c>
      <c r="I750" s="1929">
        <v>14.2</v>
      </c>
      <c r="J750" s="1929">
        <v>1047</v>
      </c>
      <c r="K750" s="1929" t="s">
        <v>3808</v>
      </c>
    </row>
    <row r="751" spans="1:11" hidden="1" x14ac:dyDescent="0.2">
      <c r="A751" s="1929" t="s">
        <v>3807</v>
      </c>
      <c r="B751" s="1929" t="s">
        <v>1238</v>
      </c>
      <c r="C751" s="1929" t="s">
        <v>1485</v>
      </c>
      <c r="D751" s="1929" t="s">
        <v>1013</v>
      </c>
      <c r="E751" s="1929" t="s">
        <v>46</v>
      </c>
      <c r="F751" s="1929">
        <v>7.6</v>
      </c>
      <c r="G751" s="1929">
        <v>16</v>
      </c>
      <c r="H751" s="1929">
        <v>0.2</v>
      </c>
      <c r="I751" s="1929">
        <v>20.5</v>
      </c>
      <c r="J751" s="1929">
        <v>1052</v>
      </c>
      <c r="K751" s="1929" t="s">
        <v>3806</v>
      </c>
    </row>
    <row r="752" spans="1:11" hidden="1" x14ac:dyDescent="0.2">
      <c r="A752" s="1929" t="s">
        <v>3805</v>
      </c>
      <c r="B752" s="1929" t="s">
        <v>1234</v>
      </c>
      <c r="C752" s="1929" t="s">
        <v>1337</v>
      </c>
      <c r="D752" s="1929" t="s">
        <v>1013</v>
      </c>
      <c r="E752" s="1929" t="s">
        <v>46</v>
      </c>
      <c r="F752" s="1929">
        <v>3.7</v>
      </c>
      <c r="G752" s="1929">
        <v>14.1</v>
      </c>
      <c r="H752" s="1929">
        <v>0.5</v>
      </c>
      <c r="I752" s="1929">
        <v>17.2</v>
      </c>
      <c r="J752" s="1929">
        <v>1070</v>
      </c>
      <c r="K752" s="1929" t="s">
        <v>3804</v>
      </c>
    </row>
    <row r="753" spans="1:11" hidden="1" x14ac:dyDescent="0.2">
      <c r="A753" s="1929" t="s">
        <v>3803</v>
      </c>
      <c r="B753" s="1929" t="s">
        <v>1310</v>
      </c>
      <c r="C753" s="1929" t="s">
        <v>1309</v>
      </c>
      <c r="D753" s="1929" t="s">
        <v>1013</v>
      </c>
      <c r="E753" s="1929" t="s">
        <v>46</v>
      </c>
      <c r="F753" s="1929">
        <v>4.9000000000000004</v>
      </c>
      <c r="G753" s="1929">
        <v>19.899999999999999</v>
      </c>
      <c r="H753" s="1929">
        <v>-0.4</v>
      </c>
      <c r="I753" s="1929">
        <v>39.5</v>
      </c>
      <c r="J753" s="1929">
        <v>1075</v>
      </c>
      <c r="K753" s="1929" t="s">
        <v>3802</v>
      </c>
    </row>
    <row r="754" spans="1:11" hidden="1" x14ac:dyDescent="0.2">
      <c r="A754" s="1929" t="s">
        <v>3801</v>
      </c>
      <c r="B754" s="1929" t="s">
        <v>1217</v>
      </c>
      <c r="C754" s="1929" t="s">
        <v>1216</v>
      </c>
      <c r="D754" s="1929" t="s">
        <v>1013</v>
      </c>
      <c r="E754" s="1929" t="s">
        <v>46</v>
      </c>
      <c r="F754" s="1929">
        <v>6.1</v>
      </c>
      <c r="G754" s="1929">
        <v>2.2000000000000002</v>
      </c>
      <c r="H754" s="1929">
        <v>0.5</v>
      </c>
      <c r="I754" s="1929">
        <v>103.3</v>
      </c>
      <c r="J754" s="1929">
        <v>1080</v>
      </c>
      <c r="K754" s="1929" t="s">
        <v>3800</v>
      </c>
    </row>
    <row r="755" spans="1:11" hidden="1" x14ac:dyDescent="0.2">
      <c r="A755" s="1929" t="s">
        <v>3799</v>
      </c>
      <c r="D755" s="1929" t="s">
        <v>1013</v>
      </c>
      <c r="E755" s="1929" t="s">
        <v>46</v>
      </c>
      <c r="F755" s="1929">
        <v>10.5</v>
      </c>
      <c r="G755" s="1929">
        <v>11.5</v>
      </c>
      <c r="H755" s="1929">
        <v>0.3</v>
      </c>
      <c r="I755" s="1929">
        <v>12</v>
      </c>
      <c r="J755" s="1929">
        <v>1083</v>
      </c>
      <c r="K755" s="1929" t="s">
        <v>3798</v>
      </c>
    </row>
    <row r="756" spans="1:11" hidden="1" x14ac:dyDescent="0.2">
      <c r="A756" s="1929" t="s">
        <v>3797</v>
      </c>
      <c r="B756" s="1929" t="s">
        <v>1238</v>
      </c>
      <c r="C756" s="1929" t="s">
        <v>1241</v>
      </c>
      <c r="D756" s="1929" t="s">
        <v>1013</v>
      </c>
      <c r="E756" s="1929" t="s">
        <v>46</v>
      </c>
      <c r="F756" s="1929">
        <v>7.2</v>
      </c>
      <c r="G756" s="1929">
        <v>12.8</v>
      </c>
      <c r="H756" s="1929">
        <v>0.7</v>
      </c>
      <c r="I756" s="1929">
        <v>5.5</v>
      </c>
      <c r="J756" s="1929">
        <v>1085</v>
      </c>
      <c r="K756" s="1929" t="s">
        <v>3796</v>
      </c>
    </row>
    <row r="757" spans="1:11" hidden="1" x14ac:dyDescent="0.2">
      <c r="A757" s="1929" t="s">
        <v>3795</v>
      </c>
      <c r="B757" s="1929" t="s">
        <v>1238</v>
      </c>
      <c r="C757" s="1929" t="s">
        <v>1482</v>
      </c>
      <c r="D757" s="1929" t="s">
        <v>1013</v>
      </c>
      <c r="E757" s="1929" t="s">
        <v>46</v>
      </c>
      <c r="F757" s="1929">
        <v>9.8000000000000007</v>
      </c>
      <c r="G757" s="1929">
        <v>13.8</v>
      </c>
      <c r="H757" s="1929">
        <v>0.3</v>
      </c>
      <c r="I757" s="1929">
        <v>10.1</v>
      </c>
      <c r="J757" s="1929">
        <v>1093</v>
      </c>
      <c r="K757" s="1929" t="s">
        <v>3794</v>
      </c>
    </row>
    <row r="758" spans="1:11" hidden="1" x14ac:dyDescent="0.2">
      <c r="A758" s="1929" t="s">
        <v>3793</v>
      </c>
      <c r="B758" s="1929" t="s">
        <v>1238</v>
      </c>
      <c r="C758" s="1929" t="s">
        <v>1237</v>
      </c>
      <c r="D758" s="1929" t="s">
        <v>1013</v>
      </c>
      <c r="E758" s="1929" t="s">
        <v>46</v>
      </c>
      <c r="F758" s="1929">
        <v>6.3</v>
      </c>
      <c r="G758" s="1929">
        <v>13.6</v>
      </c>
      <c r="H758" s="1929">
        <v>0.4</v>
      </c>
      <c r="I758" s="1929">
        <v>15.9</v>
      </c>
      <c r="J758" s="1929">
        <v>1095</v>
      </c>
      <c r="K758" s="1929" t="s">
        <v>3792</v>
      </c>
    </row>
    <row r="759" spans="1:11" hidden="1" x14ac:dyDescent="0.2">
      <c r="A759" s="1929" t="s">
        <v>3791</v>
      </c>
      <c r="B759" s="1929" t="s">
        <v>1245</v>
      </c>
      <c r="C759" s="1929" t="s">
        <v>1429</v>
      </c>
      <c r="D759" s="1929" t="s">
        <v>1013</v>
      </c>
      <c r="E759" s="1929" t="s">
        <v>46</v>
      </c>
      <c r="F759" s="1929">
        <v>25.5</v>
      </c>
      <c r="G759" s="1929">
        <v>2.6</v>
      </c>
      <c r="H759" s="1929">
        <v>0.8</v>
      </c>
      <c r="I759" s="1929">
        <v>7.8</v>
      </c>
      <c r="J759" s="1929">
        <v>1111</v>
      </c>
      <c r="K759" s="1929" t="s">
        <v>3790</v>
      </c>
    </row>
    <row r="760" spans="1:11" hidden="1" x14ac:dyDescent="0.2">
      <c r="A760" s="1929" t="s">
        <v>3789</v>
      </c>
      <c r="B760" s="1929" t="s">
        <v>1228</v>
      </c>
      <c r="C760" s="1929" t="s">
        <v>1498</v>
      </c>
      <c r="D760" s="1929" t="s">
        <v>1013</v>
      </c>
      <c r="E760" s="1929" t="s">
        <v>46</v>
      </c>
      <c r="F760" s="1929">
        <v>5.0999999999999996</v>
      </c>
      <c r="G760" s="1929">
        <v>29.2</v>
      </c>
      <c r="H760" s="1929">
        <v>-1.1000000000000001</v>
      </c>
      <c r="I760" s="1929">
        <v>22.9</v>
      </c>
      <c r="J760" s="1929">
        <v>1115</v>
      </c>
      <c r="K760" s="1929" t="s">
        <v>3788</v>
      </c>
    </row>
    <row r="761" spans="1:11" hidden="1" x14ac:dyDescent="0.2">
      <c r="A761" s="1929" t="s">
        <v>3787</v>
      </c>
      <c r="B761" s="1929" t="s">
        <v>1238</v>
      </c>
      <c r="C761" s="1929" t="s">
        <v>1609</v>
      </c>
      <c r="D761" s="1929" t="s">
        <v>1013</v>
      </c>
      <c r="E761" s="1929" t="s">
        <v>46</v>
      </c>
      <c r="F761" s="1929">
        <v>18.2</v>
      </c>
      <c r="G761" s="1929">
        <v>3.9</v>
      </c>
      <c r="H761" s="1929">
        <v>0.9</v>
      </c>
      <c r="I761" s="1929">
        <v>9</v>
      </c>
      <c r="J761" s="1929">
        <v>1119</v>
      </c>
      <c r="K761" s="1929" t="s">
        <v>3786</v>
      </c>
    </row>
    <row r="762" spans="1:11" hidden="1" x14ac:dyDescent="0.2">
      <c r="A762" s="1929" t="s">
        <v>3785</v>
      </c>
      <c r="B762" s="1929" t="s">
        <v>1310</v>
      </c>
      <c r="C762" s="1929" t="s">
        <v>1379</v>
      </c>
      <c r="D762" s="1929" t="s">
        <v>1013</v>
      </c>
      <c r="E762" s="1929" t="s">
        <v>46</v>
      </c>
      <c r="F762" s="1929">
        <v>7.8</v>
      </c>
      <c r="G762" s="1929">
        <v>14.9</v>
      </c>
      <c r="H762" s="1929">
        <v>0.2</v>
      </c>
      <c r="I762" s="1929">
        <v>16</v>
      </c>
      <c r="J762" s="1929">
        <v>1129</v>
      </c>
      <c r="K762" s="1929" t="s">
        <v>3784</v>
      </c>
    </row>
    <row r="763" spans="1:11" hidden="1" x14ac:dyDescent="0.2">
      <c r="A763" s="1929" t="s">
        <v>3783</v>
      </c>
      <c r="B763" s="1929" t="s">
        <v>1234</v>
      </c>
      <c r="C763" s="1929" t="s">
        <v>1476</v>
      </c>
      <c r="D763" s="1929" t="s">
        <v>1013</v>
      </c>
      <c r="E763" s="1929" t="s">
        <v>46</v>
      </c>
      <c r="F763" s="1929">
        <v>6.7</v>
      </c>
      <c r="G763" s="1929">
        <v>13.5</v>
      </c>
      <c r="H763" s="1929">
        <v>0.2</v>
      </c>
      <c r="I763" s="1929">
        <v>20.8</v>
      </c>
      <c r="J763" s="1929">
        <v>1131</v>
      </c>
      <c r="K763" s="1929" t="s">
        <v>3782</v>
      </c>
    </row>
    <row r="764" spans="1:11" hidden="1" x14ac:dyDescent="0.2">
      <c r="A764" s="1929" t="s">
        <v>3781</v>
      </c>
      <c r="B764" s="1929" t="s">
        <v>1238</v>
      </c>
      <c r="C764" s="1929" t="s">
        <v>1434</v>
      </c>
      <c r="D764" s="1929" t="s">
        <v>1013</v>
      </c>
      <c r="E764" s="1929" t="s">
        <v>46</v>
      </c>
      <c r="F764" s="1929">
        <v>6.7</v>
      </c>
      <c r="G764" s="1929">
        <v>11.9</v>
      </c>
      <c r="H764" s="1929">
        <v>0.3</v>
      </c>
      <c r="I764" s="1929">
        <v>18.7</v>
      </c>
      <c r="J764" s="1929">
        <v>1151</v>
      </c>
      <c r="K764" s="1929" t="s">
        <v>3780</v>
      </c>
    </row>
    <row r="765" spans="1:11" hidden="1" x14ac:dyDescent="0.2">
      <c r="A765" s="1929" t="s">
        <v>3779</v>
      </c>
      <c r="B765" s="1929" t="s">
        <v>1228</v>
      </c>
      <c r="C765" s="1929" t="s">
        <v>1408</v>
      </c>
      <c r="D765" s="1929" t="s">
        <v>1013</v>
      </c>
      <c r="E765" s="1929" t="s">
        <v>46</v>
      </c>
      <c r="F765" s="1929">
        <v>6.1</v>
      </c>
      <c r="G765" s="1929">
        <v>14.7</v>
      </c>
      <c r="H765" s="1929">
        <v>0.3</v>
      </c>
      <c r="I765" s="1929">
        <v>14.7</v>
      </c>
      <c r="J765" s="1929">
        <v>1160</v>
      </c>
      <c r="K765" s="1929" t="s">
        <v>3778</v>
      </c>
    </row>
    <row r="766" spans="1:11" hidden="1" x14ac:dyDescent="0.2">
      <c r="A766" s="1929" t="s">
        <v>3777</v>
      </c>
      <c r="B766" s="1929" t="s">
        <v>1217</v>
      </c>
      <c r="C766" s="1929" t="s">
        <v>1517</v>
      </c>
      <c r="D766" s="1929" t="s">
        <v>1013</v>
      </c>
      <c r="E766" s="1929" t="s">
        <v>46</v>
      </c>
      <c r="F766" s="1929">
        <v>4.3</v>
      </c>
      <c r="G766" s="1929">
        <v>7.2</v>
      </c>
      <c r="H766" s="1929">
        <v>0.4</v>
      </c>
      <c r="I766" s="1929">
        <v>41.3</v>
      </c>
      <c r="J766" s="1929">
        <v>1163</v>
      </c>
      <c r="K766" s="1929" t="s">
        <v>3776</v>
      </c>
    </row>
    <row r="767" spans="1:11" hidden="1" x14ac:dyDescent="0.2">
      <c r="A767" s="1929" t="s">
        <v>3775</v>
      </c>
      <c r="B767" s="1929" t="s">
        <v>1217</v>
      </c>
      <c r="C767" s="1929" t="s">
        <v>2291</v>
      </c>
      <c r="D767" s="1929" t="s">
        <v>1013</v>
      </c>
      <c r="E767" s="1929" t="s">
        <v>46</v>
      </c>
      <c r="F767" s="1929">
        <v>5.2</v>
      </c>
      <c r="G767" s="1929">
        <v>2.2000000000000002</v>
      </c>
      <c r="H767" s="1929">
        <v>0.5</v>
      </c>
      <c r="I767" s="1929">
        <v>112.3</v>
      </c>
      <c r="J767" s="1929">
        <v>1167</v>
      </c>
      <c r="K767" s="1929" t="s">
        <v>3774</v>
      </c>
    </row>
    <row r="768" spans="1:11" hidden="1" x14ac:dyDescent="0.2">
      <c r="A768" s="1929" t="s">
        <v>3773</v>
      </c>
      <c r="B768" s="1929" t="s">
        <v>1238</v>
      </c>
      <c r="C768" s="1929" t="s">
        <v>3030</v>
      </c>
      <c r="D768" s="1929" t="s">
        <v>1013</v>
      </c>
      <c r="E768" s="1929" t="s">
        <v>46</v>
      </c>
      <c r="F768" s="1929">
        <v>2.1</v>
      </c>
      <c r="G768" s="1929">
        <v>24.3</v>
      </c>
      <c r="H768" s="1929">
        <v>0.2</v>
      </c>
      <c r="I768" s="1929">
        <v>21.2</v>
      </c>
      <c r="J768" s="1929">
        <v>1182</v>
      </c>
      <c r="K768" s="1929" t="s">
        <v>3772</v>
      </c>
    </row>
    <row r="769" spans="1:11" hidden="1" x14ac:dyDescent="0.2">
      <c r="A769" s="1929" t="s">
        <v>3771</v>
      </c>
      <c r="B769" s="1929" t="s">
        <v>1238</v>
      </c>
      <c r="C769" s="1929" t="s">
        <v>1584</v>
      </c>
      <c r="D769" s="1929" t="s">
        <v>1013</v>
      </c>
      <c r="E769" s="1929" t="s">
        <v>46</v>
      </c>
      <c r="F769" s="1929">
        <v>18</v>
      </c>
      <c r="G769" s="1929">
        <v>8.5</v>
      </c>
      <c r="H769" s="1929">
        <v>0.2</v>
      </c>
      <c r="I769" s="1929">
        <v>10.8</v>
      </c>
      <c r="J769" s="1929">
        <v>1187</v>
      </c>
      <c r="K769" s="1929" t="s">
        <v>3770</v>
      </c>
    </row>
    <row r="770" spans="1:11" hidden="1" x14ac:dyDescent="0.2">
      <c r="A770" s="1929" t="s">
        <v>3769</v>
      </c>
      <c r="B770" s="1929" t="s">
        <v>1228</v>
      </c>
      <c r="C770" s="1929" t="s">
        <v>1279</v>
      </c>
      <c r="D770" s="1929" t="s">
        <v>1013</v>
      </c>
      <c r="E770" s="1929" t="s">
        <v>46</v>
      </c>
      <c r="F770" s="1929">
        <v>5.4</v>
      </c>
      <c r="G770" s="1929">
        <v>14.4</v>
      </c>
      <c r="H770" s="1929">
        <v>0.5</v>
      </c>
      <c r="I770" s="1929">
        <v>10.9</v>
      </c>
      <c r="J770" s="1929">
        <v>1201</v>
      </c>
      <c r="K770" s="1929" t="s">
        <v>3768</v>
      </c>
    </row>
    <row r="771" spans="1:11" hidden="1" x14ac:dyDescent="0.2">
      <c r="A771" s="1929" t="s">
        <v>3767</v>
      </c>
      <c r="B771" s="1929" t="s">
        <v>1228</v>
      </c>
      <c r="C771" s="1929" t="s">
        <v>1498</v>
      </c>
      <c r="D771" s="1929" t="s">
        <v>1013</v>
      </c>
      <c r="E771" s="1929" t="s">
        <v>46</v>
      </c>
      <c r="F771" s="1929">
        <v>16.600000000000001</v>
      </c>
      <c r="G771" s="1929">
        <v>6.1</v>
      </c>
      <c r="H771" s="1929">
        <v>0</v>
      </c>
      <c r="I771" s="1929">
        <v>15.1</v>
      </c>
      <c r="J771" s="1929">
        <v>1207</v>
      </c>
      <c r="K771" s="1929" t="s">
        <v>3766</v>
      </c>
    </row>
    <row r="772" spans="1:11" hidden="1" x14ac:dyDescent="0.2">
      <c r="A772" s="1929" t="s">
        <v>3765</v>
      </c>
      <c r="B772" s="1929" t="s">
        <v>1258</v>
      </c>
      <c r="C772" s="1929" t="s">
        <v>1263</v>
      </c>
      <c r="D772" s="1929" t="s">
        <v>1013</v>
      </c>
      <c r="E772" s="1929" t="s">
        <v>46</v>
      </c>
      <c r="F772" s="1929">
        <v>1.5</v>
      </c>
      <c r="G772" s="1929">
        <v>35.4</v>
      </c>
      <c r="H772" s="1929">
        <v>0</v>
      </c>
      <c r="I772" s="1929">
        <v>16.899999999999999</v>
      </c>
      <c r="J772" s="1929">
        <v>1218</v>
      </c>
      <c r="K772" s="1929" t="s">
        <v>3764</v>
      </c>
    </row>
    <row r="773" spans="1:11" hidden="1" x14ac:dyDescent="0.2">
      <c r="A773" s="1929" t="s">
        <v>3763</v>
      </c>
      <c r="B773" s="1929" t="s">
        <v>1228</v>
      </c>
      <c r="C773" s="1929" t="s">
        <v>1606</v>
      </c>
      <c r="D773" s="1929" t="s">
        <v>1013</v>
      </c>
      <c r="E773" s="1929" t="s">
        <v>46</v>
      </c>
      <c r="F773" s="1929">
        <v>13.7</v>
      </c>
      <c r="G773" s="1929">
        <v>4.7</v>
      </c>
      <c r="H773" s="1929">
        <v>0.7</v>
      </c>
      <c r="I773" s="1929">
        <v>6.4</v>
      </c>
      <c r="J773" s="1929">
        <v>1224</v>
      </c>
      <c r="K773" s="1929" t="s">
        <v>3762</v>
      </c>
    </row>
    <row r="774" spans="1:11" hidden="1" x14ac:dyDescent="0.2">
      <c r="A774" s="1929" t="s">
        <v>3761</v>
      </c>
      <c r="B774" s="1929" t="s">
        <v>1306</v>
      </c>
      <c r="C774" s="1929" t="s">
        <v>1305</v>
      </c>
      <c r="D774" s="1929" t="s">
        <v>1013</v>
      </c>
      <c r="E774" s="1929" t="s">
        <v>46</v>
      </c>
      <c r="F774" s="1929">
        <v>8.9</v>
      </c>
      <c r="G774" s="1929">
        <v>10.5</v>
      </c>
      <c r="H774" s="1929">
        <v>0.3</v>
      </c>
      <c r="I774" s="1929">
        <v>10.6</v>
      </c>
      <c r="J774" s="1929">
        <v>1231</v>
      </c>
      <c r="K774" s="1929" t="s">
        <v>3760</v>
      </c>
    </row>
    <row r="775" spans="1:11" hidden="1" x14ac:dyDescent="0.2">
      <c r="A775" s="1929" t="s">
        <v>3759</v>
      </c>
      <c r="B775" s="1929" t="s">
        <v>1234</v>
      </c>
      <c r="C775" s="1929" t="s">
        <v>1420</v>
      </c>
      <c r="D775" s="1929" t="s">
        <v>1013</v>
      </c>
      <c r="E775" s="1929" t="s">
        <v>46</v>
      </c>
      <c r="F775" s="1929">
        <v>4.5999999999999996</v>
      </c>
      <c r="G775" s="1929">
        <v>13.3</v>
      </c>
      <c r="H775" s="1929">
        <v>0.3</v>
      </c>
      <c r="I775" s="1929">
        <v>18.3</v>
      </c>
      <c r="J775" s="1929">
        <v>1232</v>
      </c>
      <c r="K775" s="1929" t="s">
        <v>3758</v>
      </c>
    </row>
    <row r="776" spans="1:11" hidden="1" x14ac:dyDescent="0.2">
      <c r="A776" s="1929" t="s">
        <v>3757</v>
      </c>
      <c r="B776" s="1929" t="s">
        <v>1217</v>
      </c>
      <c r="C776" s="1929" t="s">
        <v>1517</v>
      </c>
      <c r="D776" s="1929" t="s">
        <v>1013</v>
      </c>
      <c r="E776" s="1929" t="s">
        <v>46</v>
      </c>
      <c r="F776" s="1929">
        <v>3</v>
      </c>
      <c r="G776" s="1929">
        <v>8</v>
      </c>
      <c r="H776" s="1929">
        <v>0.4</v>
      </c>
      <c r="I776" s="1929">
        <v>26.6</v>
      </c>
      <c r="J776" s="1929">
        <v>1244</v>
      </c>
      <c r="K776" s="1929" t="s">
        <v>3756</v>
      </c>
    </row>
    <row r="777" spans="1:11" hidden="1" x14ac:dyDescent="0.2">
      <c r="A777" s="1929" t="s">
        <v>3755</v>
      </c>
      <c r="B777" s="1929" t="s">
        <v>1238</v>
      </c>
      <c r="C777" s="1929" t="s">
        <v>1700</v>
      </c>
      <c r="D777" s="1929" t="s">
        <v>1013</v>
      </c>
      <c r="E777" s="1929" t="s">
        <v>46</v>
      </c>
      <c r="F777" s="1929">
        <v>4.7</v>
      </c>
      <c r="G777" s="1929">
        <v>17.100000000000001</v>
      </c>
      <c r="H777" s="1929">
        <v>-0.9</v>
      </c>
      <c r="I777" s="1929">
        <v>21.7</v>
      </c>
      <c r="J777" s="1929">
        <v>1251</v>
      </c>
      <c r="K777" s="1929" t="s">
        <v>3754</v>
      </c>
    </row>
    <row r="778" spans="1:11" hidden="1" x14ac:dyDescent="0.2">
      <c r="A778" s="1929" t="s">
        <v>3753</v>
      </c>
      <c r="B778" s="1929" t="s">
        <v>1310</v>
      </c>
      <c r="C778" s="1929" t="s">
        <v>1309</v>
      </c>
      <c r="D778" s="1929" t="s">
        <v>1013</v>
      </c>
      <c r="E778" s="1929" t="s">
        <v>46</v>
      </c>
      <c r="F778" s="1929">
        <v>4.9000000000000004</v>
      </c>
      <c r="G778" s="1929">
        <v>12.5</v>
      </c>
      <c r="H778" s="1929">
        <v>-0.2</v>
      </c>
      <c r="I778" s="1929">
        <v>27.3</v>
      </c>
      <c r="J778" s="1929">
        <v>1266</v>
      </c>
      <c r="K778" s="1929" t="s">
        <v>3752</v>
      </c>
    </row>
    <row r="779" spans="1:11" hidden="1" x14ac:dyDescent="0.2">
      <c r="A779" s="1929" t="s">
        <v>3751</v>
      </c>
      <c r="B779" s="1929" t="s">
        <v>1217</v>
      </c>
      <c r="C779" s="1929" t="s">
        <v>1216</v>
      </c>
      <c r="D779" s="1929" t="s">
        <v>1013</v>
      </c>
      <c r="E779" s="1929" t="s">
        <v>46</v>
      </c>
      <c r="F779" s="1929">
        <v>5.0999999999999996</v>
      </c>
      <c r="G779" s="1929">
        <v>3.5</v>
      </c>
      <c r="H779" s="1929">
        <v>0.4</v>
      </c>
      <c r="I779" s="1929">
        <v>87.1</v>
      </c>
      <c r="J779" s="1929">
        <v>1267</v>
      </c>
      <c r="K779" s="1929" t="s">
        <v>3750</v>
      </c>
    </row>
    <row r="780" spans="1:11" hidden="1" x14ac:dyDescent="0.2">
      <c r="A780" s="1929" t="s">
        <v>3749</v>
      </c>
      <c r="B780" s="1929" t="s">
        <v>1269</v>
      </c>
      <c r="C780" s="1929" t="s">
        <v>1504</v>
      </c>
      <c r="D780" s="1929" t="s">
        <v>1013</v>
      </c>
      <c r="E780" s="1929" t="s">
        <v>46</v>
      </c>
      <c r="F780" s="1929">
        <v>10.8</v>
      </c>
      <c r="G780" s="1929">
        <v>6</v>
      </c>
      <c r="H780" s="1929">
        <v>0.4</v>
      </c>
      <c r="I780" s="1929">
        <v>9.3000000000000007</v>
      </c>
      <c r="J780" s="1929">
        <v>1275</v>
      </c>
      <c r="K780" s="1929" t="s">
        <v>3748</v>
      </c>
    </row>
    <row r="781" spans="1:11" hidden="1" x14ac:dyDescent="0.2">
      <c r="A781" s="1929" t="s">
        <v>3747</v>
      </c>
      <c r="B781" s="1929" t="s">
        <v>1228</v>
      </c>
      <c r="C781" s="1929" t="s">
        <v>1498</v>
      </c>
      <c r="D781" s="1929" t="s">
        <v>1013</v>
      </c>
      <c r="E781" s="1929" t="s">
        <v>46</v>
      </c>
      <c r="F781" s="1929">
        <v>6.4</v>
      </c>
      <c r="G781" s="1929">
        <v>10</v>
      </c>
      <c r="H781" s="1929">
        <v>0.5</v>
      </c>
      <c r="I781" s="1929">
        <v>9.1</v>
      </c>
      <c r="J781" s="1929">
        <v>1283</v>
      </c>
      <c r="K781" s="1929" t="s">
        <v>3746</v>
      </c>
    </row>
    <row r="782" spans="1:11" hidden="1" x14ac:dyDescent="0.2">
      <c r="A782" s="1929" t="s">
        <v>3745</v>
      </c>
      <c r="B782" s="1929" t="s">
        <v>1238</v>
      </c>
      <c r="C782" s="1929" t="s">
        <v>1241</v>
      </c>
      <c r="D782" s="1929" t="s">
        <v>1013</v>
      </c>
      <c r="E782" s="1929" t="s">
        <v>46</v>
      </c>
      <c r="F782" s="1929">
        <v>5.2</v>
      </c>
      <c r="G782" s="1929">
        <v>15.1</v>
      </c>
      <c r="H782" s="1929">
        <v>0.3</v>
      </c>
      <c r="I782" s="1929">
        <v>14.5</v>
      </c>
      <c r="J782" s="1929">
        <v>1285</v>
      </c>
      <c r="K782" s="1929" t="s">
        <v>3744</v>
      </c>
    </row>
    <row r="783" spans="1:11" hidden="1" x14ac:dyDescent="0.2">
      <c r="A783" s="1929" t="s">
        <v>3743</v>
      </c>
      <c r="B783" s="1929" t="s">
        <v>1245</v>
      </c>
      <c r="C783" s="1929" t="s">
        <v>1429</v>
      </c>
      <c r="D783" s="1929" t="s">
        <v>1013</v>
      </c>
      <c r="E783" s="1929" t="s">
        <v>46</v>
      </c>
      <c r="F783" s="1929">
        <v>9.1999999999999993</v>
      </c>
      <c r="G783" s="1929">
        <v>7.6</v>
      </c>
      <c r="H783" s="1929">
        <v>0.4</v>
      </c>
      <c r="I783" s="1929">
        <v>6.1</v>
      </c>
      <c r="J783" s="1929">
        <v>1299</v>
      </c>
      <c r="K783" s="1929" t="s">
        <v>3742</v>
      </c>
    </row>
    <row r="784" spans="1:11" hidden="1" x14ac:dyDescent="0.2">
      <c r="A784" s="1929" t="s">
        <v>3741</v>
      </c>
      <c r="B784" s="1929" t="s">
        <v>1238</v>
      </c>
      <c r="C784" s="1929" t="s">
        <v>2119</v>
      </c>
      <c r="D784" s="1929" t="s">
        <v>1013</v>
      </c>
      <c r="E784" s="1929" t="s">
        <v>46</v>
      </c>
      <c r="F784" s="1929">
        <v>6.2</v>
      </c>
      <c r="G784" s="1929">
        <v>10</v>
      </c>
      <c r="H784" s="1929">
        <v>0.5</v>
      </c>
      <c r="I784" s="1929">
        <v>8.5</v>
      </c>
      <c r="J784" s="1929">
        <v>1300</v>
      </c>
      <c r="K784" s="1929" t="s">
        <v>3740</v>
      </c>
    </row>
    <row r="785" spans="1:11" hidden="1" x14ac:dyDescent="0.2">
      <c r="A785" s="1929" t="s">
        <v>3739</v>
      </c>
      <c r="B785" s="1929" t="s">
        <v>1245</v>
      </c>
      <c r="C785" s="1929" t="s">
        <v>1429</v>
      </c>
      <c r="D785" s="1929" t="s">
        <v>1013</v>
      </c>
      <c r="E785" s="1929" t="s">
        <v>46</v>
      </c>
      <c r="F785" s="1929">
        <v>13.3</v>
      </c>
      <c r="G785" s="1929">
        <v>4.2</v>
      </c>
      <c r="H785" s="1929">
        <v>0.7</v>
      </c>
      <c r="I785" s="1929">
        <v>6.5</v>
      </c>
      <c r="J785" s="1929">
        <v>1302</v>
      </c>
      <c r="K785" s="1929" t="s">
        <v>3738</v>
      </c>
    </row>
    <row r="786" spans="1:11" hidden="1" x14ac:dyDescent="0.2">
      <c r="A786" s="1929" t="s">
        <v>3737</v>
      </c>
      <c r="B786" s="1929" t="s">
        <v>1234</v>
      </c>
      <c r="C786" s="1929" t="s">
        <v>1461</v>
      </c>
      <c r="D786" s="1929" t="s">
        <v>1013</v>
      </c>
      <c r="E786" s="1929" t="s">
        <v>46</v>
      </c>
      <c r="F786" s="1929">
        <v>8.1999999999999993</v>
      </c>
      <c r="G786" s="1929">
        <v>7.5</v>
      </c>
      <c r="H786" s="1929">
        <v>0.5</v>
      </c>
      <c r="I786" s="1929">
        <v>7.6</v>
      </c>
      <c r="J786" s="1929">
        <v>1312</v>
      </c>
      <c r="K786" s="1929" t="s">
        <v>3736</v>
      </c>
    </row>
    <row r="787" spans="1:11" hidden="1" x14ac:dyDescent="0.2">
      <c r="A787" s="1929" t="s">
        <v>3735</v>
      </c>
      <c r="B787" s="1929" t="s">
        <v>1238</v>
      </c>
      <c r="C787" s="1929" t="s">
        <v>1241</v>
      </c>
      <c r="D787" s="1929" t="s">
        <v>1013</v>
      </c>
      <c r="E787" s="1929" t="s">
        <v>46</v>
      </c>
      <c r="F787" s="1929">
        <v>4.2</v>
      </c>
      <c r="G787" s="1929">
        <v>16</v>
      </c>
      <c r="H787" s="1929">
        <v>0.1</v>
      </c>
      <c r="I787" s="1929">
        <v>17.8</v>
      </c>
      <c r="J787" s="1929">
        <v>1327</v>
      </c>
      <c r="K787" s="1929" t="s">
        <v>3734</v>
      </c>
    </row>
    <row r="788" spans="1:11" hidden="1" x14ac:dyDescent="0.2">
      <c r="A788" s="1929" t="s">
        <v>3733</v>
      </c>
      <c r="B788" s="1929" t="s">
        <v>1238</v>
      </c>
      <c r="C788" s="1929" t="s">
        <v>1241</v>
      </c>
      <c r="D788" s="1929" t="s">
        <v>1013</v>
      </c>
      <c r="E788" s="1929" t="s">
        <v>46</v>
      </c>
      <c r="F788" s="1929">
        <v>8.6999999999999993</v>
      </c>
      <c r="G788" s="1929">
        <v>6.9</v>
      </c>
      <c r="H788" s="1929">
        <v>0.5</v>
      </c>
      <c r="I788" s="1929">
        <v>6.9</v>
      </c>
      <c r="J788" s="1929">
        <v>1328</v>
      </c>
      <c r="K788" s="1929" t="s">
        <v>3732</v>
      </c>
    </row>
    <row r="789" spans="1:11" hidden="1" x14ac:dyDescent="0.2">
      <c r="A789" s="1929" t="s">
        <v>3731</v>
      </c>
      <c r="B789" s="1929" t="s">
        <v>1269</v>
      </c>
      <c r="C789" s="1929" t="s">
        <v>1504</v>
      </c>
      <c r="D789" s="1929" t="s">
        <v>1013</v>
      </c>
      <c r="E789" s="1929" t="s">
        <v>46</v>
      </c>
      <c r="F789" s="1929">
        <v>3.6</v>
      </c>
      <c r="G789" s="1929">
        <v>29.5</v>
      </c>
      <c r="H789" s="1929">
        <v>0.2</v>
      </c>
      <c r="I789" s="1929">
        <v>13.4</v>
      </c>
      <c r="J789" s="1929">
        <v>1332</v>
      </c>
      <c r="K789" s="1929" t="s">
        <v>3730</v>
      </c>
    </row>
    <row r="790" spans="1:11" hidden="1" x14ac:dyDescent="0.2">
      <c r="A790" s="1929" t="s">
        <v>3729</v>
      </c>
      <c r="B790" s="1929" t="s">
        <v>1217</v>
      </c>
      <c r="C790" s="1929" t="s">
        <v>2291</v>
      </c>
      <c r="D790" s="1929" t="s">
        <v>1013</v>
      </c>
      <c r="E790" s="1929" t="s">
        <v>46</v>
      </c>
      <c r="F790" s="1929">
        <v>4.7</v>
      </c>
      <c r="G790" s="1929">
        <v>1.2</v>
      </c>
      <c r="H790" s="1929">
        <v>0.5</v>
      </c>
      <c r="I790" s="1929">
        <v>46.2</v>
      </c>
      <c r="J790" s="1929">
        <v>1349</v>
      </c>
      <c r="K790" s="1929" t="s">
        <v>3728</v>
      </c>
    </row>
    <row r="791" spans="1:11" hidden="1" x14ac:dyDescent="0.2">
      <c r="A791" s="1929" t="s">
        <v>3727</v>
      </c>
      <c r="B791" s="1929" t="s">
        <v>1238</v>
      </c>
      <c r="C791" s="1929" t="s">
        <v>1241</v>
      </c>
      <c r="D791" s="1929" t="s">
        <v>1013</v>
      </c>
      <c r="E791" s="1929" t="s">
        <v>46</v>
      </c>
      <c r="F791" s="1929">
        <v>3.8</v>
      </c>
      <c r="G791" s="1929">
        <v>15.3</v>
      </c>
      <c r="H791" s="1929">
        <v>0.2</v>
      </c>
      <c r="I791" s="1929">
        <v>17.399999999999999</v>
      </c>
      <c r="J791" s="1929">
        <v>1358</v>
      </c>
      <c r="K791" s="1929" t="s">
        <v>3726</v>
      </c>
    </row>
    <row r="792" spans="1:11" hidden="1" x14ac:dyDescent="0.2">
      <c r="A792" s="1929" t="s">
        <v>3725</v>
      </c>
      <c r="B792" s="1929" t="s">
        <v>1306</v>
      </c>
      <c r="C792" s="1929" t="s">
        <v>1389</v>
      </c>
      <c r="D792" s="1929" t="s">
        <v>1013</v>
      </c>
      <c r="E792" s="1929" t="s">
        <v>46</v>
      </c>
      <c r="F792" s="1929">
        <v>10.7</v>
      </c>
      <c r="G792" s="1929">
        <v>5.8</v>
      </c>
      <c r="H792" s="1929">
        <v>0.4</v>
      </c>
      <c r="I792" s="1929">
        <v>5.7</v>
      </c>
      <c r="J792" s="1929">
        <v>1368</v>
      </c>
      <c r="K792" s="1929" t="s">
        <v>3724</v>
      </c>
    </row>
    <row r="793" spans="1:11" hidden="1" x14ac:dyDescent="0.2">
      <c r="A793" s="1929" t="s">
        <v>3723</v>
      </c>
      <c r="B793" s="1929" t="s">
        <v>1228</v>
      </c>
      <c r="C793" s="1929" t="s">
        <v>1408</v>
      </c>
      <c r="D793" s="1929" t="s">
        <v>1013</v>
      </c>
      <c r="E793" s="1929" t="s">
        <v>46</v>
      </c>
      <c r="F793" s="1929">
        <v>4.9000000000000004</v>
      </c>
      <c r="G793" s="1929">
        <v>15.6</v>
      </c>
      <c r="H793" s="1929">
        <v>0.2</v>
      </c>
      <c r="I793" s="1929">
        <v>16.100000000000001</v>
      </c>
      <c r="J793" s="1929">
        <v>1378</v>
      </c>
      <c r="K793" s="1929" t="s">
        <v>3722</v>
      </c>
    </row>
    <row r="794" spans="1:11" hidden="1" x14ac:dyDescent="0.2">
      <c r="A794" s="1929" t="s">
        <v>3721</v>
      </c>
      <c r="B794" s="1929" t="s">
        <v>1238</v>
      </c>
      <c r="C794" s="1929" t="s">
        <v>1241</v>
      </c>
      <c r="D794" s="1929" t="s">
        <v>1013</v>
      </c>
      <c r="E794" s="1929" t="s">
        <v>46</v>
      </c>
      <c r="F794" s="1929">
        <v>5.3</v>
      </c>
      <c r="G794" s="1929">
        <v>11.1</v>
      </c>
      <c r="H794" s="1929">
        <v>0.5</v>
      </c>
      <c r="I794" s="1929">
        <v>9.4</v>
      </c>
      <c r="J794" s="1929">
        <v>1380</v>
      </c>
      <c r="K794" s="1929" t="s">
        <v>3720</v>
      </c>
    </row>
    <row r="795" spans="1:11" hidden="1" x14ac:dyDescent="0.2">
      <c r="A795" s="1929" t="s">
        <v>3719</v>
      </c>
      <c r="B795" s="1929" t="s">
        <v>1217</v>
      </c>
      <c r="C795" s="1929" t="s">
        <v>1216</v>
      </c>
      <c r="D795" s="1929" t="s">
        <v>1013</v>
      </c>
      <c r="E795" s="1929" t="s">
        <v>46</v>
      </c>
      <c r="F795" s="1929">
        <v>2.2999999999999998</v>
      </c>
      <c r="G795" s="1929">
        <v>1.6</v>
      </c>
      <c r="H795" s="1929">
        <v>0.3</v>
      </c>
      <c r="I795" s="1929">
        <v>88.2</v>
      </c>
      <c r="J795" s="1929">
        <v>1393</v>
      </c>
      <c r="K795" s="1929" t="s">
        <v>3718</v>
      </c>
    </row>
    <row r="796" spans="1:11" hidden="1" x14ac:dyDescent="0.2">
      <c r="A796" s="1929" t="s">
        <v>3717</v>
      </c>
      <c r="B796" s="1929" t="s">
        <v>1238</v>
      </c>
      <c r="C796" s="1929" t="s">
        <v>1482</v>
      </c>
      <c r="D796" s="1929" t="s">
        <v>1013</v>
      </c>
      <c r="E796" s="1929" t="s">
        <v>46</v>
      </c>
      <c r="F796" s="1929">
        <v>5</v>
      </c>
      <c r="G796" s="1929">
        <v>17.3</v>
      </c>
      <c r="H796" s="1929">
        <v>0.3</v>
      </c>
      <c r="I796" s="1929">
        <v>12.8</v>
      </c>
      <c r="J796" s="1929">
        <v>1403</v>
      </c>
      <c r="K796" s="1929" t="s">
        <v>3716</v>
      </c>
    </row>
    <row r="797" spans="1:11" hidden="1" x14ac:dyDescent="0.2">
      <c r="A797" s="1929" t="s">
        <v>3715</v>
      </c>
      <c r="B797" s="1929" t="s">
        <v>1238</v>
      </c>
      <c r="C797" s="1929" t="s">
        <v>1241</v>
      </c>
      <c r="D797" s="1929" t="s">
        <v>1013</v>
      </c>
      <c r="E797" s="1929" t="s">
        <v>46</v>
      </c>
      <c r="F797" s="1929">
        <v>4.0999999999999996</v>
      </c>
      <c r="G797" s="1929">
        <v>15.2</v>
      </c>
      <c r="H797" s="1929">
        <v>0.1</v>
      </c>
      <c r="I797" s="1929">
        <v>14.5</v>
      </c>
      <c r="J797" s="1929">
        <v>1434</v>
      </c>
      <c r="K797" s="1929" t="s">
        <v>3714</v>
      </c>
    </row>
    <row r="798" spans="1:11" hidden="1" x14ac:dyDescent="0.2">
      <c r="A798" s="1929" t="s">
        <v>3713</v>
      </c>
      <c r="B798" s="1929" t="s">
        <v>1269</v>
      </c>
      <c r="C798" s="1929" t="s">
        <v>1504</v>
      </c>
      <c r="D798" s="1929" t="s">
        <v>1013</v>
      </c>
      <c r="E798" s="1929" t="s">
        <v>46</v>
      </c>
      <c r="F798" s="1929">
        <v>3.8</v>
      </c>
      <c r="G798" s="1929">
        <v>25.2</v>
      </c>
      <c r="H798" s="1929">
        <v>0.2</v>
      </c>
      <c r="I798" s="1929">
        <v>11.6</v>
      </c>
      <c r="J798" s="1929">
        <v>1434</v>
      </c>
      <c r="K798" s="1929" t="s">
        <v>3712</v>
      </c>
    </row>
    <row r="799" spans="1:11" hidden="1" x14ac:dyDescent="0.2">
      <c r="A799" s="1929" t="s">
        <v>3711</v>
      </c>
      <c r="B799" s="1929" t="s">
        <v>1217</v>
      </c>
      <c r="C799" s="1929" t="s">
        <v>1216</v>
      </c>
      <c r="D799" s="1929" t="s">
        <v>1013</v>
      </c>
      <c r="E799" s="1929" t="s">
        <v>46</v>
      </c>
      <c r="F799" s="1929">
        <v>3.6</v>
      </c>
      <c r="G799" s="1929">
        <v>2.4</v>
      </c>
      <c r="H799" s="1929">
        <v>0.3</v>
      </c>
      <c r="I799" s="1929">
        <v>130.80000000000001</v>
      </c>
      <c r="J799" s="1929">
        <v>1437</v>
      </c>
      <c r="K799" s="1929" t="s">
        <v>3710</v>
      </c>
    </row>
    <row r="800" spans="1:11" hidden="1" x14ac:dyDescent="0.2">
      <c r="A800" s="1929" t="s">
        <v>3709</v>
      </c>
      <c r="B800" s="1929" t="s">
        <v>1245</v>
      </c>
      <c r="C800" s="1929" t="s">
        <v>1320</v>
      </c>
      <c r="D800" s="1929" t="s">
        <v>1013</v>
      </c>
      <c r="E800" s="1929" t="s">
        <v>46</v>
      </c>
      <c r="F800" s="1929">
        <v>12.6</v>
      </c>
      <c r="G800" s="1929">
        <v>8.4</v>
      </c>
      <c r="H800" s="1929">
        <v>0</v>
      </c>
      <c r="I800" s="1929">
        <v>7.6</v>
      </c>
      <c r="J800" s="1929">
        <v>1447</v>
      </c>
      <c r="K800" s="1929" t="s">
        <v>3708</v>
      </c>
    </row>
    <row r="801" spans="1:11" hidden="1" x14ac:dyDescent="0.2">
      <c r="A801" s="1929" t="s">
        <v>3707</v>
      </c>
      <c r="B801" s="1929" t="s">
        <v>1234</v>
      </c>
      <c r="C801" s="1929" t="s">
        <v>1233</v>
      </c>
      <c r="D801" s="1929" t="s">
        <v>1013</v>
      </c>
      <c r="E801" s="1929" t="s">
        <v>46</v>
      </c>
      <c r="F801" s="1929">
        <v>2.5</v>
      </c>
      <c r="G801" s="1929">
        <v>15.4</v>
      </c>
      <c r="H801" s="1929">
        <v>-0.2</v>
      </c>
      <c r="I801" s="1929">
        <v>13.7</v>
      </c>
      <c r="J801" s="1929">
        <v>1454</v>
      </c>
      <c r="K801" s="1929" t="s">
        <v>3706</v>
      </c>
    </row>
    <row r="802" spans="1:11" hidden="1" x14ac:dyDescent="0.2">
      <c r="A802" s="1929" t="s">
        <v>3705</v>
      </c>
      <c r="B802" s="1929" t="s">
        <v>1228</v>
      </c>
      <c r="C802" s="1929" t="s">
        <v>1498</v>
      </c>
      <c r="D802" s="1929" t="s">
        <v>1013</v>
      </c>
      <c r="E802" s="1929" t="s">
        <v>46</v>
      </c>
      <c r="F802" s="1929">
        <v>10.8</v>
      </c>
      <c r="G802" s="1929">
        <v>7.1</v>
      </c>
      <c r="H802" s="1929">
        <v>0.1</v>
      </c>
      <c r="I802" s="1929">
        <v>9.8000000000000007</v>
      </c>
      <c r="J802" s="1929">
        <v>1470</v>
      </c>
      <c r="K802" s="1929" t="s">
        <v>3704</v>
      </c>
    </row>
    <row r="803" spans="1:11" hidden="1" x14ac:dyDescent="0.2">
      <c r="A803" s="1929" t="s">
        <v>3703</v>
      </c>
      <c r="B803" s="1929" t="s">
        <v>1310</v>
      </c>
      <c r="C803" s="1929" t="s">
        <v>1309</v>
      </c>
      <c r="D803" s="1929" t="s">
        <v>1013</v>
      </c>
      <c r="E803" s="1929" t="s">
        <v>46</v>
      </c>
      <c r="F803" s="1929">
        <v>4.7</v>
      </c>
      <c r="G803" s="1929">
        <v>7</v>
      </c>
      <c r="H803" s="1929">
        <v>0.3</v>
      </c>
      <c r="I803" s="1929">
        <v>22.2</v>
      </c>
      <c r="J803" s="1929">
        <v>1477</v>
      </c>
      <c r="K803" s="1929" t="s">
        <v>3702</v>
      </c>
    </row>
    <row r="804" spans="1:11" hidden="1" x14ac:dyDescent="0.2">
      <c r="A804" s="1929" t="s">
        <v>3701</v>
      </c>
      <c r="B804" s="1929" t="s">
        <v>1245</v>
      </c>
      <c r="C804" s="1929" t="s">
        <v>1384</v>
      </c>
      <c r="D804" s="1929" t="s">
        <v>1013</v>
      </c>
      <c r="E804" s="1929" t="s">
        <v>46</v>
      </c>
      <c r="F804" s="1929">
        <v>2.9</v>
      </c>
      <c r="G804" s="1929">
        <v>18.7</v>
      </c>
      <c r="H804" s="1929">
        <v>0</v>
      </c>
      <c r="I804" s="1929">
        <v>11.8</v>
      </c>
      <c r="J804" s="1929">
        <v>1487</v>
      </c>
      <c r="K804" s="1929" t="s">
        <v>3700</v>
      </c>
    </row>
    <row r="805" spans="1:11" hidden="1" x14ac:dyDescent="0.2">
      <c r="A805" s="1929" t="s">
        <v>3699</v>
      </c>
      <c r="B805" s="1929" t="s">
        <v>1269</v>
      </c>
      <c r="C805" s="1929" t="s">
        <v>1294</v>
      </c>
      <c r="D805" s="1929" t="s">
        <v>1013</v>
      </c>
      <c r="E805" s="1929" t="s">
        <v>46</v>
      </c>
      <c r="F805" s="1929">
        <v>8.1</v>
      </c>
      <c r="G805" s="1929">
        <v>4.5999999999999996</v>
      </c>
      <c r="H805" s="1929">
        <v>0.6</v>
      </c>
      <c r="I805" s="1929">
        <v>8.1999999999999993</v>
      </c>
      <c r="J805" s="1929">
        <v>1502</v>
      </c>
      <c r="K805" s="1929" t="s">
        <v>3698</v>
      </c>
    </row>
    <row r="806" spans="1:11" hidden="1" x14ac:dyDescent="0.2">
      <c r="A806" s="1929" t="s">
        <v>3697</v>
      </c>
      <c r="B806" s="1929" t="s">
        <v>1228</v>
      </c>
      <c r="C806" s="1929" t="s">
        <v>1466</v>
      </c>
      <c r="D806" s="1929" t="s">
        <v>1013</v>
      </c>
      <c r="E806" s="1929" t="s">
        <v>46</v>
      </c>
      <c r="F806" s="1929">
        <v>4.9000000000000004</v>
      </c>
      <c r="G806" s="1929">
        <v>13.1</v>
      </c>
      <c r="H806" s="1929">
        <v>0.3</v>
      </c>
      <c r="I806" s="1929">
        <v>12.2</v>
      </c>
      <c r="J806" s="1929">
        <v>1506</v>
      </c>
      <c r="K806" s="1929" t="s">
        <v>3696</v>
      </c>
    </row>
    <row r="807" spans="1:11" hidden="1" x14ac:dyDescent="0.2">
      <c r="A807" s="1929" t="s">
        <v>3695</v>
      </c>
      <c r="B807" s="1929" t="s">
        <v>1217</v>
      </c>
      <c r="C807" s="1929" t="s">
        <v>1216</v>
      </c>
      <c r="D807" s="1929" t="s">
        <v>1013</v>
      </c>
      <c r="E807" s="1929" t="s">
        <v>46</v>
      </c>
      <c r="F807" s="1929">
        <v>2.9</v>
      </c>
      <c r="G807" s="1929">
        <v>1.7</v>
      </c>
      <c r="H807" s="1929">
        <v>0.3</v>
      </c>
      <c r="I807" s="1929">
        <v>71.5</v>
      </c>
      <c r="J807" s="1929">
        <v>1517</v>
      </c>
      <c r="K807" s="1929" t="s">
        <v>3694</v>
      </c>
    </row>
    <row r="808" spans="1:11" hidden="1" x14ac:dyDescent="0.2">
      <c r="A808" s="1929" t="s">
        <v>3693</v>
      </c>
      <c r="D808" s="1929" t="s">
        <v>1013</v>
      </c>
      <c r="E808" s="1929" t="s">
        <v>46</v>
      </c>
      <c r="F808" s="1929">
        <v>2.2000000000000002</v>
      </c>
      <c r="G808" s="1929">
        <v>12.4</v>
      </c>
      <c r="H808" s="1929">
        <v>0.1</v>
      </c>
      <c r="I808" s="1929">
        <v>14.3</v>
      </c>
      <c r="J808" s="1929">
        <v>1520</v>
      </c>
      <c r="K808" s="1929" t="s">
        <v>3692</v>
      </c>
    </row>
    <row r="809" spans="1:11" hidden="1" x14ac:dyDescent="0.2">
      <c r="A809" s="1929" t="s">
        <v>3691</v>
      </c>
      <c r="B809" s="1929" t="s">
        <v>1269</v>
      </c>
      <c r="C809" s="1929" t="s">
        <v>1504</v>
      </c>
      <c r="D809" s="1929" t="s">
        <v>1013</v>
      </c>
      <c r="E809" s="1929" t="s">
        <v>46</v>
      </c>
      <c r="F809" s="1929">
        <v>3.5</v>
      </c>
      <c r="G809" s="1929">
        <v>20</v>
      </c>
      <c r="H809" s="1929">
        <v>0.2</v>
      </c>
      <c r="I809" s="1929">
        <v>10.3</v>
      </c>
      <c r="J809" s="1929">
        <v>1534</v>
      </c>
      <c r="K809" s="1929" t="s">
        <v>3690</v>
      </c>
    </row>
    <row r="810" spans="1:11" hidden="1" x14ac:dyDescent="0.2">
      <c r="A810" s="1929" t="s">
        <v>3689</v>
      </c>
      <c r="B810" s="1929" t="s">
        <v>1217</v>
      </c>
      <c r="C810" s="1929" t="s">
        <v>1216</v>
      </c>
      <c r="D810" s="1929" t="s">
        <v>1013</v>
      </c>
      <c r="E810" s="1929" t="s">
        <v>46</v>
      </c>
      <c r="F810" s="1929">
        <v>3.9</v>
      </c>
      <c r="G810" s="1929">
        <v>1.6</v>
      </c>
      <c r="H810" s="1929">
        <v>0.3</v>
      </c>
      <c r="I810" s="1929">
        <v>81.900000000000006</v>
      </c>
      <c r="J810" s="1929">
        <v>1536</v>
      </c>
      <c r="K810" s="1929" t="s">
        <v>3688</v>
      </c>
    </row>
    <row r="811" spans="1:11" hidden="1" x14ac:dyDescent="0.2">
      <c r="A811" s="1929" t="s">
        <v>3687</v>
      </c>
      <c r="B811" s="1929" t="s">
        <v>1217</v>
      </c>
      <c r="C811" s="1929" t="s">
        <v>1216</v>
      </c>
      <c r="D811" s="1929" t="s">
        <v>1013</v>
      </c>
      <c r="E811" s="1929" t="s">
        <v>46</v>
      </c>
      <c r="F811" s="1929">
        <v>2.5</v>
      </c>
      <c r="G811" s="1929">
        <v>1.9</v>
      </c>
      <c r="H811" s="1929">
        <v>0.2</v>
      </c>
      <c r="I811" s="1929">
        <v>107.1</v>
      </c>
      <c r="J811" s="1929">
        <v>1556</v>
      </c>
      <c r="K811" s="1929" t="s">
        <v>3686</v>
      </c>
    </row>
    <row r="812" spans="1:11" hidden="1" x14ac:dyDescent="0.2">
      <c r="A812" s="1929" t="s">
        <v>3685</v>
      </c>
      <c r="B812" s="1929" t="s">
        <v>1217</v>
      </c>
      <c r="C812" s="1929" t="s">
        <v>1216</v>
      </c>
      <c r="D812" s="1929" t="s">
        <v>1013</v>
      </c>
      <c r="E812" s="1929" t="s">
        <v>46</v>
      </c>
      <c r="F812" s="1929">
        <v>3</v>
      </c>
      <c r="G812" s="1929">
        <v>1.2</v>
      </c>
      <c r="H812" s="1929">
        <v>0.3</v>
      </c>
      <c r="I812" s="1929">
        <v>58.4</v>
      </c>
      <c r="J812" s="1929">
        <v>1560</v>
      </c>
      <c r="K812" s="1929" t="s">
        <v>3684</v>
      </c>
    </row>
    <row r="813" spans="1:11" hidden="1" x14ac:dyDescent="0.2">
      <c r="A813" s="1929" t="s">
        <v>3683</v>
      </c>
      <c r="B813" s="1929" t="s">
        <v>1238</v>
      </c>
      <c r="C813" s="1929" t="s">
        <v>1700</v>
      </c>
      <c r="D813" s="1929" t="s">
        <v>1013</v>
      </c>
      <c r="E813" s="1929" t="s">
        <v>46</v>
      </c>
      <c r="F813" s="1929">
        <v>2</v>
      </c>
      <c r="G813" s="1929">
        <v>12.8</v>
      </c>
      <c r="H813" s="1929">
        <v>0.2</v>
      </c>
      <c r="I813" s="1929">
        <v>12.2</v>
      </c>
      <c r="J813" s="1929">
        <v>1580</v>
      </c>
      <c r="K813" s="1929" t="s">
        <v>3682</v>
      </c>
    </row>
    <row r="814" spans="1:11" hidden="1" x14ac:dyDescent="0.2">
      <c r="A814" s="1929" t="s">
        <v>3681</v>
      </c>
      <c r="B814" s="1929" t="s">
        <v>1228</v>
      </c>
      <c r="C814" s="1929" t="s">
        <v>1466</v>
      </c>
      <c r="D814" s="1929" t="s">
        <v>1013</v>
      </c>
      <c r="E814" s="1929" t="s">
        <v>46</v>
      </c>
      <c r="F814" s="1929">
        <v>3.6</v>
      </c>
      <c r="G814" s="1929">
        <v>12.2</v>
      </c>
      <c r="H814" s="1929">
        <v>0.3</v>
      </c>
      <c r="I814" s="1929">
        <v>10</v>
      </c>
      <c r="J814" s="1929">
        <v>1584</v>
      </c>
      <c r="K814" s="1929" t="s">
        <v>3680</v>
      </c>
    </row>
    <row r="815" spans="1:11" hidden="1" x14ac:dyDescent="0.2">
      <c r="A815" s="1929" t="s">
        <v>3679</v>
      </c>
      <c r="B815" s="1929" t="s">
        <v>1245</v>
      </c>
      <c r="C815" s="1929" t="s">
        <v>1429</v>
      </c>
      <c r="D815" s="1929" t="s">
        <v>1013</v>
      </c>
      <c r="E815" s="1929" t="s">
        <v>46</v>
      </c>
      <c r="F815" s="1929">
        <v>5.4</v>
      </c>
      <c r="G815" s="1929">
        <v>9.9</v>
      </c>
      <c r="H815" s="1929">
        <v>0.1</v>
      </c>
      <c r="I815" s="1929">
        <v>12.5</v>
      </c>
      <c r="J815" s="1929">
        <v>1591</v>
      </c>
      <c r="K815" s="1929" t="s">
        <v>3678</v>
      </c>
    </row>
    <row r="816" spans="1:11" hidden="1" x14ac:dyDescent="0.2">
      <c r="A816" s="1929" t="s">
        <v>3677</v>
      </c>
      <c r="B816" s="1929" t="s">
        <v>1217</v>
      </c>
      <c r="C816" s="1929" t="s">
        <v>1216</v>
      </c>
      <c r="D816" s="1929" t="s">
        <v>1013</v>
      </c>
      <c r="E816" s="1929" t="s">
        <v>46</v>
      </c>
      <c r="F816" s="1929">
        <v>1.8</v>
      </c>
      <c r="G816" s="1929">
        <v>1.8</v>
      </c>
      <c r="H816" s="1929">
        <v>0.2</v>
      </c>
      <c r="I816" s="1929">
        <v>77.3</v>
      </c>
      <c r="J816" s="1929">
        <v>1597</v>
      </c>
      <c r="K816" s="1929" t="s">
        <v>3676</v>
      </c>
    </row>
    <row r="817" spans="1:11" hidden="1" x14ac:dyDescent="0.2">
      <c r="A817" s="1929" t="s">
        <v>3675</v>
      </c>
      <c r="B817" s="1929" t="s">
        <v>1217</v>
      </c>
      <c r="C817" s="1929" t="s">
        <v>1216</v>
      </c>
      <c r="D817" s="1929" t="s">
        <v>1013</v>
      </c>
      <c r="E817" s="1929" t="s">
        <v>46</v>
      </c>
      <c r="F817" s="1929">
        <v>1.7</v>
      </c>
      <c r="G817" s="1929">
        <v>1.1000000000000001</v>
      </c>
      <c r="H817" s="1929">
        <v>0.1</v>
      </c>
      <c r="I817" s="1929">
        <v>76.599999999999994</v>
      </c>
      <c r="J817" s="1929">
        <v>1602</v>
      </c>
      <c r="K817" s="1929" t="s">
        <v>3674</v>
      </c>
    </row>
    <row r="818" spans="1:11" hidden="1" x14ac:dyDescent="0.2">
      <c r="A818" s="1929" t="s">
        <v>3673</v>
      </c>
      <c r="B818" s="1929" t="s">
        <v>1217</v>
      </c>
      <c r="C818" s="1929" t="s">
        <v>1216</v>
      </c>
      <c r="D818" s="1929" t="s">
        <v>1013</v>
      </c>
      <c r="E818" s="1929" t="s">
        <v>46</v>
      </c>
      <c r="F818" s="1929">
        <v>2.6</v>
      </c>
      <c r="G818" s="1929">
        <v>1.2</v>
      </c>
      <c r="H818" s="1929">
        <v>0.3</v>
      </c>
      <c r="I818" s="1929">
        <v>66</v>
      </c>
      <c r="J818" s="1929">
        <v>1605</v>
      </c>
      <c r="K818" s="1929" t="s">
        <v>3672</v>
      </c>
    </row>
    <row r="819" spans="1:11" hidden="1" x14ac:dyDescent="0.2">
      <c r="A819" s="1929" t="s">
        <v>3671</v>
      </c>
      <c r="B819" s="1929" t="s">
        <v>1217</v>
      </c>
      <c r="C819" s="1929" t="s">
        <v>1216</v>
      </c>
      <c r="D819" s="1929" t="s">
        <v>1013</v>
      </c>
      <c r="E819" s="1929" t="s">
        <v>46</v>
      </c>
      <c r="F819" s="1929">
        <v>1.7</v>
      </c>
      <c r="G819" s="1929">
        <v>1.9</v>
      </c>
      <c r="H819" s="1929">
        <v>0.2</v>
      </c>
      <c r="I819" s="1929">
        <v>74.599999999999994</v>
      </c>
      <c r="J819" s="1929">
        <v>1606</v>
      </c>
      <c r="K819" s="1929" t="s">
        <v>3670</v>
      </c>
    </row>
    <row r="820" spans="1:11" hidden="1" x14ac:dyDescent="0.2">
      <c r="A820" s="1929" t="s">
        <v>3669</v>
      </c>
      <c r="B820" s="1929" t="s">
        <v>1217</v>
      </c>
      <c r="C820" s="1929" t="s">
        <v>1216</v>
      </c>
      <c r="D820" s="1929" t="s">
        <v>1013</v>
      </c>
      <c r="E820" s="1929" t="s">
        <v>46</v>
      </c>
      <c r="F820" s="1929">
        <v>3.1</v>
      </c>
      <c r="G820" s="1929">
        <v>1.1000000000000001</v>
      </c>
      <c r="H820" s="1929">
        <v>0.2</v>
      </c>
      <c r="I820" s="1929">
        <v>73.599999999999994</v>
      </c>
      <c r="J820" s="1929">
        <v>1612</v>
      </c>
      <c r="K820" s="1929" t="s">
        <v>3668</v>
      </c>
    </row>
    <row r="821" spans="1:11" hidden="1" x14ac:dyDescent="0.2">
      <c r="A821" s="1929" t="s">
        <v>3667</v>
      </c>
      <c r="B821" s="1929" t="s">
        <v>1217</v>
      </c>
      <c r="C821" s="1929" t="s">
        <v>1216</v>
      </c>
      <c r="D821" s="1929" t="s">
        <v>1013</v>
      </c>
      <c r="E821" s="1929" t="s">
        <v>46</v>
      </c>
      <c r="F821" s="1929">
        <v>2.6</v>
      </c>
      <c r="G821" s="1929">
        <v>1.3</v>
      </c>
      <c r="H821" s="1929">
        <v>0.2</v>
      </c>
      <c r="I821" s="1929">
        <v>69.400000000000006</v>
      </c>
      <c r="J821" s="1929">
        <v>1619</v>
      </c>
      <c r="K821" s="1929" t="s">
        <v>3666</v>
      </c>
    </row>
    <row r="822" spans="1:11" hidden="1" x14ac:dyDescent="0.2">
      <c r="A822" s="1929" t="s">
        <v>3665</v>
      </c>
      <c r="B822" s="1929" t="s">
        <v>1238</v>
      </c>
      <c r="C822" s="1929" t="s">
        <v>1434</v>
      </c>
      <c r="D822" s="1929" t="s">
        <v>1013</v>
      </c>
      <c r="E822" s="1929" t="s">
        <v>46</v>
      </c>
      <c r="F822" s="1929">
        <v>5.0999999999999996</v>
      </c>
      <c r="G822" s="1929">
        <v>6</v>
      </c>
      <c r="H822" s="1929">
        <v>0.3</v>
      </c>
      <c r="I822" s="1929">
        <v>14.1</v>
      </c>
      <c r="J822" s="1929">
        <v>1621</v>
      </c>
      <c r="K822" s="1929" t="s">
        <v>3664</v>
      </c>
    </row>
    <row r="823" spans="1:11" hidden="1" x14ac:dyDescent="0.2">
      <c r="A823" s="1929" t="s">
        <v>3663</v>
      </c>
      <c r="B823" s="1929" t="s">
        <v>1217</v>
      </c>
      <c r="C823" s="1929" t="s">
        <v>1216</v>
      </c>
      <c r="D823" s="1929" t="s">
        <v>1013</v>
      </c>
      <c r="E823" s="1929" t="s">
        <v>46</v>
      </c>
      <c r="F823" s="1929">
        <v>2.5</v>
      </c>
      <c r="G823" s="1929">
        <v>1.3</v>
      </c>
      <c r="H823" s="1929">
        <v>0.2</v>
      </c>
      <c r="I823" s="1929">
        <v>67.8</v>
      </c>
      <c r="J823" s="1929">
        <v>1624</v>
      </c>
      <c r="K823" s="1929" t="s">
        <v>3662</v>
      </c>
    </row>
    <row r="824" spans="1:11" hidden="1" x14ac:dyDescent="0.2">
      <c r="A824" s="1929" t="s">
        <v>3661</v>
      </c>
      <c r="B824" s="1929" t="s">
        <v>1228</v>
      </c>
      <c r="C824" s="1929" t="s">
        <v>1334</v>
      </c>
      <c r="D824" s="1929" t="s">
        <v>1013</v>
      </c>
      <c r="E824" s="1929" t="s">
        <v>46</v>
      </c>
      <c r="F824" s="1929">
        <v>3.3</v>
      </c>
      <c r="G824" s="1929">
        <v>8</v>
      </c>
      <c r="H824" s="1929">
        <v>0.5</v>
      </c>
      <c r="I824" s="1929">
        <v>8.3000000000000007</v>
      </c>
      <c r="J824" s="1929">
        <v>1651</v>
      </c>
      <c r="K824" s="1929" t="s">
        <v>3660</v>
      </c>
    </row>
    <row r="825" spans="1:11" hidden="1" x14ac:dyDescent="0.2">
      <c r="A825" s="1929" t="s">
        <v>3659</v>
      </c>
      <c r="B825" s="1929" t="s">
        <v>1228</v>
      </c>
      <c r="C825" s="1929" t="s">
        <v>1334</v>
      </c>
      <c r="D825" s="1929" t="s">
        <v>1013</v>
      </c>
      <c r="E825" s="1929" t="s">
        <v>46</v>
      </c>
      <c r="F825" s="1929">
        <v>5.0999999999999996</v>
      </c>
      <c r="G825" s="1929">
        <v>12.5</v>
      </c>
      <c r="H825" s="1929">
        <v>0.2</v>
      </c>
      <c r="I825" s="1929">
        <v>10.6</v>
      </c>
      <c r="J825" s="1929">
        <v>1664</v>
      </c>
      <c r="K825" s="1929" t="s">
        <v>3658</v>
      </c>
    </row>
    <row r="826" spans="1:11" hidden="1" x14ac:dyDescent="0.2">
      <c r="A826" s="1929" t="s">
        <v>3657</v>
      </c>
      <c r="B826" s="1929" t="s">
        <v>1217</v>
      </c>
      <c r="C826" s="1929" t="s">
        <v>1216</v>
      </c>
      <c r="D826" s="1929" t="s">
        <v>1013</v>
      </c>
      <c r="E826" s="1929" t="s">
        <v>46</v>
      </c>
      <c r="F826" s="1929">
        <v>1.3</v>
      </c>
      <c r="G826" s="1929">
        <v>1.1000000000000001</v>
      </c>
      <c r="H826" s="1929">
        <v>0.1</v>
      </c>
      <c r="I826" s="1929">
        <v>54.2</v>
      </c>
      <c r="J826" s="1929">
        <v>1672</v>
      </c>
      <c r="K826" s="1929" t="s">
        <v>3656</v>
      </c>
    </row>
    <row r="827" spans="1:11" hidden="1" x14ac:dyDescent="0.2">
      <c r="A827" s="1929" t="s">
        <v>3655</v>
      </c>
      <c r="B827" s="1929" t="s">
        <v>1217</v>
      </c>
      <c r="C827" s="1929" t="s">
        <v>1216</v>
      </c>
      <c r="D827" s="1929" t="s">
        <v>1013</v>
      </c>
      <c r="E827" s="1929" t="s">
        <v>46</v>
      </c>
      <c r="F827" s="1929">
        <v>1.5</v>
      </c>
      <c r="G827" s="1929">
        <v>1.1000000000000001</v>
      </c>
      <c r="H827" s="1929">
        <v>0.2</v>
      </c>
      <c r="I827" s="1929">
        <v>53.9</v>
      </c>
      <c r="J827" s="1929">
        <v>1676</v>
      </c>
      <c r="K827" s="1929" t="s">
        <v>3654</v>
      </c>
    </row>
    <row r="828" spans="1:11" hidden="1" x14ac:dyDescent="0.2">
      <c r="A828" s="1929" t="s">
        <v>3653</v>
      </c>
      <c r="B828" s="1929" t="s">
        <v>1269</v>
      </c>
      <c r="C828" s="1929" t="s">
        <v>1504</v>
      </c>
      <c r="D828" s="1929" t="s">
        <v>1013</v>
      </c>
      <c r="E828" s="1929" t="s">
        <v>46</v>
      </c>
      <c r="F828" s="1929">
        <v>6.1</v>
      </c>
      <c r="G828" s="1929">
        <v>3</v>
      </c>
      <c r="H828" s="1929">
        <v>0.8</v>
      </c>
      <c r="I828" s="1929">
        <v>5.9</v>
      </c>
      <c r="J828" s="1929">
        <v>1684</v>
      </c>
      <c r="K828" s="1929" t="s">
        <v>3652</v>
      </c>
    </row>
    <row r="829" spans="1:11" hidden="1" x14ac:dyDescent="0.2">
      <c r="A829" s="1929" t="s">
        <v>3651</v>
      </c>
      <c r="B829" s="1929" t="s">
        <v>1228</v>
      </c>
      <c r="C829" s="1929" t="s">
        <v>1279</v>
      </c>
      <c r="D829" s="1929" t="s">
        <v>1013</v>
      </c>
      <c r="E829" s="1929" t="s">
        <v>46</v>
      </c>
      <c r="F829" s="1929">
        <v>5.8</v>
      </c>
      <c r="G829" s="1929">
        <v>4.3</v>
      </c>
      <c r="H829" s="1929">
        <v>0.8</v>
      </c>
      <c r="I829" s="1929">
        <v>5.5</v>
      </c>
      <c r="J829" s="1929">
        <v>1686</v>
      </c>
      <c r="K829" s="1929" t="s">
        <v>3650</v>
      </c>
    </row>
    <row r="830" spans="1:11" hidden="1" x14ac:dyDescent="0.2">
      <c r="A830" s="1929" t="s">
        <v>3649</v>
      </c>
      <c r="B830" s="1929" t="s">
        <v>1217</v>
      </c>
      <c r="C830" s="1929" t="s">
        <v>1216</v>
      </c>
      <c r="D830" s="1929" t="s">
        <v>1013</v>
      </c>
      <c r="E830" s="1929" t="s">
        <v>46</v>
      </c>
      <c r="F830" s="1929">
        <v>1.1000000000000001</v>
      </c>
      <c r="G830" s="1929">
        <v>1</v>
      </c>
      <c r="H830" s="1929">
        <v>0.1</v>
      </c>
      <c r="I830" s="1929">
        <v>50.7</v>
      </c>
      <c r="J830" s="1929">
        <v>1687</v>
      </c>
      <c r="K830" s="1929" t="s">
        <v>3648</v>
      </c>
    </row>
    <row r="831" spans="1:11" hidden="1" x14ac:dyDescent="0.2">
      <c r="A831" s="1929" t="s">
        <v>3647</v>
      </c>
      <c r="B831" s="1929" t="s">
        <v>1217</v>
      </c>
      <c r="C831" s="1929" t="s">
        <v>1216</v>
      </c>
      <c r="D831" s="1929" t="s">
        <v>1013</v>
      </c>
      <c r="E831" s="1929" t="s">
        <v>46</v>
      </c>
      <c r="F831" s="1929">
        <v>1</v>
      </c>
      <c r="G831" s="1929">
        <v>0.8</v>
      </c>
      <c r="H831" s="1929">
        <v>0.1</v>
      </c>
      <c r="I831" s="1929">
        <v>49.7</v>
      </c>
      <c r="J831" s="1929">
        <v>1692</v>
      </c>
      <c r="K831" s="1929" t="s">
        <v>3646</v>
      </c>
    </row>
    <row r="832" spans="1:11" hidden="1" x14ac:dyDescent="0.2">
      <c r="A832" s="1929" t="s">
        <v>3645</v>
      </c>
      <c r="B832" s="1929" t="s">
        <v>1217</v>
      </c>
      <c r="C832" s="1929" t="s">
        <v>1216</v>
      </c>
      <c r="D832" s="1929" t="s">
        <v>1013</v>
      </c>
      <c r="E832" s="1929" t="s">
        <v>46</v>
      </c>
      <c r="F832" s="1929">
        <v>1</v>
      </c>
      <c r="G832" s="1929">
        <v>0.8</v>
      </c>
      <c r="H832" s="1929">
        <v>0.1</v>
      </c>
      <c r="I832" s="1929">
        <v>48.1</v>
      </c>
      <c r="J832" s="1929">
        <v>1702</v>
      </c>
      <c r="K832" s="1929" t="s">
        <v>3644</v>
      </c>
    </row>
    <row r="833" spans="1:11" hidden="1" x14ac:dyDescent="0.2">
      <c r="A833" s="1929" t="s">
        <v>3643</v>
      </c>
      <c r="B833" s="1929" t="s">
        <v>1217</v>
      </c>
      <c r="C833" s="1929" t="s">
        <v>1216</v>
      </c>
      <c r="D833" s="1929" t="s">
        <v>1013</v>
      </c>
      <c r="E833" s="1929" t="s">
        <v>46</v>
      </c>
      <c r="F833" s="1929">
        <v>1</v>
      </c>
      <c r="G833" s="1929">
        <v>1</v>
      </c>
      <c r="H833" s="1929">
        <v>0.1</v>
      </c>
      <c r="I833" s="1929">
        <v>46.3</v>
      </c>
      <c r="J833" s="1929">
        <v>1713</v>
      </c>
      <c r="K833" s="1929" t="s">
        <v>3642</v>
      </c>
    </row>
    <row r="834" spans="1:11" hidden="1" x14ac:dyDescent="0.2">
      <c r="A834" s="1929" t="s">
        <v>3641</v>
      </c>
      <c r="B834" s="1929" t="s">
        <v>1217</v>
      </c>
      <c r="C834" s="1929" t="s">
        <v>1216</v>
      </c>
      <c r="D834" s="1929" t="s">
        <v>1013</v>
      </c>
      <c r="E834" s="1929" t="s">
        <v>46</v>
      </c>
      <c r="F834" s="1929">
        <v>1.3</v>
      </c>
      <c r="G834" s="1929">
        <v>0.9</v>
      </c>
      <c r="H834" s="1929">
        <v>0.1</v>
      </c>
      <c r="I834" s="1929">
        <v>46.1</v>
      </c>
      <c r="J834" s="1929">
        <v>1717</v>
      </c>
      <c r="K834" s="1929" t="s">
        <v>3640</v>
      </c>
    </row>
    <row r="835" spans="1:11" hidden="1" x14ac:dyDescent="0.2">
      <c r="A835" s="1929" t="s">
        <v>3639</v>
      </c>
      <c r="B835" s="1929" t="s">
        <v>1217</v>
      </c>
      <c r="C835" s="1929" t="s">
        <v>1216</v>
      </c>
      <c r="D835" s="1929" t="s">
        <v>1013</v>
      </c>
      <c r="E835" s="1929" t="s">
        <v>46</v>
      </c>
      <c r="F835" s="1929">
        <v>1.4</v>
      </c>
      <c r="G835" s="1929">
        <v>0.9</v>
      </c>
      <c r="H835" s="1929">
        <v>0.1</v>
      </c>
      <c r="I835" s="1929">
        <v>45.8</v>
      </c>
      <c r="J835" s="1929">
        <v>1719</v>
      </c>
      <c r="K835" s="1929" t="s">
        <v>3638</v>
      </c>
    </row>
    <row r="836" spans="1:11" hidden="1" x14ac:dyDescent="0.2">
      <c r="A836" s="1929" t="s">
        <v>3637</v>
      </c>
      <c r="B836" s="1929" t="s">
        <v>1217</v>
      </c>
      <c r="C836" s="1929" t="s">
        <v>1216</v>
      </c>
      <c r="D836" s="1929" t="s">
        <v>1013</v>
      </c>
      <c r="E836" s="1929" t="s">
        <v>46</v>
      </c>
      <c r="F836" s="1929">
        <v>4.5</v>
      </c>
      <c r="G836" s="1929">
        <v>1.2</v>
      </c>
      <c r="H836" s="1929">
        <v>0.3</v>
      </c>
      <c r="I836" s="1929">
        <v>37.200000000000003</v>
      </c>
      <c r="J836" s="1929">
        <v>1719</v>
      </c>
      <c r="K836" s="1929" t="s">
        <v>3636</v>
      </c>
    </row>
    <row r="837" spans="1:11" hidden="1" x14ac:dyDescent="0.2">
      <c r="A837" s="1929" t="s">
        <v>3635</v>
      </c>
      <c r="B837" s="1929" t="s">
        <v>1217</v>
      </c>
      <c r="C837" s="1929" t="s">
        <v>1216</v>
      </c>
      <c r="D837" s="1929" t="s">
        <v>1013</v>
      </c>
      <c r="E837" s="1929" t="s">
        <v>46</v>
      </c>
      <c r="F837" s="1929">
        <v>0.9</v>
      </c>
      <c r="G837" s="1929">
        <v>0.6</v>
      </c>
      <c r="H837" s="1929">
        <v>0.1</v>
      </c>
      <c r="I837" s="1929">
        <v>45.8</v>
      </c>
      <c r="J837" s="1929">
        <v>1722</v>
      </c>
      <c r="K837" s="1929" t="s">
        <v>3634</v>
      </c>
    </row>
    <row r="838" spans="1:11" hidden="1" x14ac:dyDescent="0.2">
      <c r="A838" s="1929" t="s">
        <v>3633</v>
      </c>
      <c r="B838" s="1929" t="s">
        <v>1217</v>
      </c>
      <c r="C838" s="1929" t="s">
        <v>1403</v>
      </c>
      <c r="D838" s="1929" t="s">
        <v>1013</v>
      </c>
      <c r="E838" s="1929" t="s">
        <v>46</v>
      </c>
      <c r="F838" s="1929">
        <v>1.6</v>
      </c>
      <c r="G838" s="1929">
        <v>2.1</v>
      </c>
      <c r="H838" s="1929">
        <v>0.1</v>
      </c>
      <c r="I838" s="1929">
        <v>45.1</v>
      </c>
      <c r="J838" s="1929">
        <v>1738</v>
      </c>
      <c r="K838" s="1929" t="s">
        <v>3632</v>
      </c>
    </row>
    <row r="839" spans="1:11" hidden="1" x14ac:dyDescent="0.2">
      <c r="A839" s="1929" t="s">
        <v>3631</v>
      </c>
      <c r="B839" s="1929" t="s">
        <v>1217</v>
      </c>
      <c r="C839" s="1929" t="s">
        <v>1403</v>
      </c>
      <c r="D839" s="1929" t="s">
        <v>1013</v>
      </c>
      <c r="E839" s="1929" t="s">
        <v>46</v>
      </c>
      <c r="F839" s="1929">
        <v>3.6</v>
      </c>
      <c r="G839" s="1929">
        <v>3.2</v>
      </c>
      <c r="H839" s="1929">
        <v>0.4</v>
      </c>
      <c r="I839" s="1929">
        <v>21.2</v>
      </c>
      <c r="J839" s="1929">
        <v>1761</v>
      </c>
      <c r="K839" s="1929" t="s">
        <v>3630</v>
      </c>
    </row>
    <row r="840" spans="1:11" hidden="1" x14ac:dyDescent="0.2">
      <c r="A840" s="1929" t="s">
        <v>3629</v>
      </c>
      <c r="B840" s="1929" t="s">
        <v>1245</v>
      </c>
      <c r="C840" s="1929" t="s">
        <v>1320</v>
      </c>
      <c r="D840" s="1929" t="s">
        <v>1013</v>
      </c>
      <c r="E840" s="1929" t="s">
        <v>46</v>
      </c>
      <c r="F840" s="1929">
        <v>11</v>
      </c>
      <c r="G840" s="1929">
        <v>5.4</v>
      </c>
      <c r="H840" s="1929">
        <v>-0.3</v>
      </c>
      <c r="I840" s="1929">
        <v>7.6</v>
      </c>
      <c r="J840" s="1929">
        <v>1772</v>
      </c>
      <c r="K840" s="1929" t="s">
        <v>3628</v>
      </c>
    </row>
    <row r="841" spans="1:11" hidden="1" x14ac:dyDescent="0.2">
      <c r="A841" s="1929" t="s">
        <v>3627</v>
      </c>
      <c r="B841" s="1929" t="s">
        <v>1217</v>
      </c>
      <c r="C841" s="1929" t="s">
        <v>1216</v>
      </c>
      <c r="D841" s="1929" t="s">
        <v>1013</v>
      </c>
      <c r="E841" s="1929" t="s">
        <v>46</v>
      </c>
      <c r="F841" s="1929">
        <v>1.2</v>
      </c>
      <c r="G841" s="1929">
        <v>0.9</v>
      </c>
      <c r="H841" s="1929">
        <v>0.1</v>
      </c>
      <c r="I841" s="1929">
        <v>41.5</v>
      </c>
      <c r="J841" s="1929">
        <v>1775</v>
      </c>
      <c r="K841" s="1929" t="s">
        <v>3626</v>
      </c>
    </row>
    <row r="842" spans="1:11" hidden="1" x14ac:dyDescent="0.2">
      <c r="A842" s="1929" t="s">
        <v>3625</v>
      </c>
      <c r="B842" s="1929" t="s">
        <v>1234</v>
      </c>
      <c r="C842" s="1929" t="s">
        <v>1337</v>
      </c>
      <c r="D842" s="1929" t="s">
        <v>1013</v>
      </c>
      <c r="E842" s="1929" t="s">
        <v>46</v>
      </c>
      <c r="F842" s="1929">
        <v>0.8</v>
      </c>
      <c r="G842" s="1929">
        <v>16.600000000000001</v>
      </c>
      <c r="H842" s="1929">
        <v>0.1</v>
      </c>
      <c r="I842" s="1929">
        <v>5.8</v>
      </c>
      <c r="J842" s="1929">
        <v>1783</v>
      </c>
      <c r="K842" s="1929" t="s">
        <v>3624</v>
      </c>
    </row>
    <row r="843" spans="1:11" hidden="1" x14ac:dyDescent="0.2">
      <c r="A843" s="1929" t="s">
        <v>3623</v>
      </c>
      <c r="B843" s="1929" t="s">
        <v>1217</v>
      </c>
      <c r="C843" s="1929" t="s">
        <v>1216</v>
      </c>
      <c r="D843" s="1929" t="s">
        <v>1013</v>
      </c>
      <c r="E843" s="1929" t="s">
        <v>46</v>
      </c>
      <c r="F843" s="1929">
        <v>1.1000000000000001</v>
      </c>
      <c r="G843" s="1929">
        <v>0.9</v>
      </c>
      <c r="H843" s="1929">
        <v>0.1</v>
      </c>
      <c r="I843" s="1929">
        <v>41.3</v>
      </c>
      <c r="J843" s="1929">
        <v>1784</v>
      </c>
      <c r="K843" s="1929" t="s">
        <v>3622</v>
      </c>
    </row>
    <row r="844" spans="1:11" hidden="1" x14ac:dyDescent="0.2">
      <c r="A844" s="1929" t="s">
        <v>3621</v>
      </c>
      <c r="B844" s="1929" t="s">
        <v>1217</v>
      </c>
      <c r="C844" s="1929" t="s">
        <v>1216</v>
      </c>
      <c r="D844" s="1929" t="s">
        <v>1013</v>
      </c>
      <c r="E844" s="1929" t="s">
        <v>46</v>
      </c>
      <c r="F844" s="1929">
        <v>1.1000000000000001</v>
      </c>
      <c r="G844" s="1929">
        <v>0.7</v>
      </c>
      <c r="H844" s="1929">
        <v>0.1</v>
      </c>
      <c r="I844" s="1929">
        <v>41</v>
      </c>
      <c r="J844" s="1929">
        <v>1788</v>
      </c>
      <c r="K844" s="1929" t="s">
        <v>3620</v>
      </c>
    </row>
    <row r="845" spans="1:11" hidden="1" x14ac:dyDescent="0.2">
      <c r="A845" s="1929" t="s">
        <v>3619</v>
      </c>
      <c r="B845" s="1929" t="s">
        <v>1217</v>
      </c>
      <c r="C845" s="1929" t="s">
        <v>1216</v>
      </c>
      <c r="D845" s="1929" t="s">
        <v>1013</v>
      </c>
      <c r="E845" s="1929" t="s">
        <v>46</v>
      </c>
      <c r="F845" s="1929">
        <v>1.2</v>
      </c>
      <c r="G845" s="1929">
        <v>0.7</v>
      </c>
      <c r="H845" s="1929">
        <v>0.2</v>
      </c>
      <c r="I845" s="1929">
        <v>39.799999999999997</v>
      </c>
      <c r="J845" s="1929">
        <v>1791</v>
      </c>
      <c r="K845" s="1929" t="s">
        <v>3618</v>
      </c>
    </row>
    <row r="846" spans="1:11" hidden="1" x14ac:dyDescent="0.2">
      <c r="A846" s="1929" t="s">
        <v>3617</v>
      </c>
      <c r="B846" s="1929" t="s">
        <v>1217</v>
      </c>
      <c r="C846" s="1929" t="s">
        <v>1216</v>
      </c>
      <c r="D846" s="1929" t="s">
        <v>1013</v>
      </c>
      <c r="E846" s="1929" t="s">
        <v>46</v>
      </c>
      <c r="F846" s="1929">
        <v>1.1000000000000001</v>
      </c>
      <c r="G846" s="1929">
        <v>0.7</v>
      </c>
      <c r="H846" s="1929">
        <v>0.1</v>
      </c>
      <c r="I846" s="1929">
        <v>38.799999999999997</v>
      </c>
      <c r="J846" s="1929">
        <v>1799</v>
      </c>
      <c r="K846" s="1929" t="s">
        <v>3616</v>
      </c>
    </row>
    <row r="847" spans="1:11" hidden="1" x14ac:dyDescent="0.2">
      <c r="A847" s="1929" t="s">
        <v>3615</v>
      </c>
      <c r="B847" s="1929" t="s">
        <v>1310</v>
      </c>
      <c r="C847" s="1929" t="s">
        <v>1309</v>
      </c>
      <c r="D847" s="1929" t="s">
        <v>1013</v>
      </c>
      <c r="E847" s="1929" t="s">
        <v>46</v>
      </c>
      <c r="F847" s="1929">
        <v>1.6</v>
      </c>
      <c r="G847" s="1929">
        <v>6.2</v>
      </c>
      <c r="H847" s="1929">
        <v>-0.8</v>
      </c>
      <c r="I847" s="1929">
        <v>16.8</v>
      </c>
      <c r="J847" s="1929">
        <v>1802</v>
      </c>
      <c r="K847" s="1929" t="s">
        <v>3614</v>
      </c>
    </row>
    <row r="848" spans="1:11" hidden="1" x14ac:dyDescent="0.2">
      <c r="A848" s="1929" t="s">
        <v>3613</v>
      </c>
      <c r="B848" s="1929" t="s">
        <v>1217</v>
      </c>
      <c r="C848" s="1929" t="s">
        <v>1216</v>
      </c>
      <c r="D848" s="1929" t="s">
        <v>1013</v>
      </c>
      <c r="E848" s="1929" t="s">
        <v>46</v>
      </c>
      <c r="F848" s="1929">
        <v>1.4</v>
      </c>
      <c r="G848" s="1929">
        <v>0.8</v>
      </c>
      <c r="H848" s="1929">
        <v>0.1</v>
      </c>
      <c r="I848" s="1929">
        <v>37.6</v>
      </c>
      <c r="J848" s="1929">
        <v>1811</v>
      </c>
      <c r="K848" s="1929" t="s">
        <v>3612</v>
      </c>
    </row>
    <row r="849" spans="1:11" hidden="1" x14ac:dyDescent="0.2">
      <c r="A849" s="1929" t="s">
        <v>3611</v>
      </c>
      <c r="B849" s="1929" t="s">
        <v>1217</v>
      </c>
      <c r="C849" s="1929" t="s">
        <v>1368</v>
      </c>
      <c r="D849" s="1929" t="s">
        <v>1013</v>
      </c>
      <c r="E849" s="1929" t="s">
        <v>46</v>
      </c>
      <c r="F849" s="1929">
        <v>6.6</v>
      </c>
      <c r="G849" s="1929">
        <v>1.2</v>
      </c>
      <c r="H849" s="1929">
        <v>0.3</v>
      </c>
      <c r="I849" s="1929">
        <v>15.6</v>
      </c>
      <c r="J849" s="1929">
        <v>1826</v>
      </c>
      <c r="K849" s="1929" t="s">
        <v>3610</v>
      </c>
    </row>
    <row r="850" spans="1:11" hidden="1" x14ac:dyDescent="0.2">
      <c r="A850" s="1929" t="s">
        <v>3609</v>
      </c>
      <c r="B850" s="1929" t="s">
        <v>1306</v>
      </c>
      <c r="C850" s="1929" t="s">
        <v>1392</v>
      </c>
      <c r="D850" s="1929" t="s">
        <v>1013</v>
      </c>
      <c r="E850" s="1929" t="s">
        <v>46</v>
      </c>
      <c r="F850" s="1929">
        <v>6.9</v>
      </c>
      <c r="G850" s="1929">
        <v>5.0999999999999996</v>
      </c>
      <c r="H850" s="1929">
        <v>0.4</v>
      </c>
      <c r="I850" s="1929">
        <v>6</v>
      </c>
      <c r="J850" s="1929">
        <v>1846</v>
      </c>
      <c r="K850" s="1929" t="s">
        <v>3608</v>
      </c>
    </row>
    <row r="851" spans="1:11" hidden="1" x14ac:dyDescent="0.2">
      <c r="A851" s="1929" t="s">
        <v>3607</v>
      </c>
      <c r="B851" s="1929" t="s">
        <v>1228</v>
      </c>
      <c r="C851" s="1929" t="s">
        <v>1279</v>
      </c>
      <c r="D851" s="1929" t="s">
        <v>1013</v>
      </c>
      <c r="E851" s="1929" t="s">
        <v>46</v>
      </c>
      <c r="F851" s="1929">
        <v>9.3000000000000007</v>
      </c>
      <c r="G851" s="1929">
        <v>2.8</v>
      </c>
      <c r="H851" s="1929">
        <v>0.4</v>
      </c>
      <c r="I851" s="1929">
        <v>3</v>
      </c>
      <c r="J851" s="1929">
        <v>1849</v>
      </c>
      <c r="K851" s="1929" t="s">
        <v>3606</v>
      </c>
    </row>
    <row r="852" spans="1:11" hidden="1" x14ac:dyDescent="0.2">
      <c r="A852" s="1929" t="s">
        <v>3605</v>
      </c>
      <c r="B852" s="1929" t="s">
        <v>1217</v>
      </c>
      <c r="C852" s="1929" t="s">
        <v>1368</v>
      </c>
      <c r="D852" s="1929" t="s">
        <v>1013</v>
      </c>
      <c r="E852" s="1929" t="s">
        <v>46</v>
      </c>
      <c r="F852" s="1929">
        <v>0.6</v>
      </c>
      <c r="G852" s="1929">
        <v>0.2</v>
      </c>
      <c r="H852" s="1929">
        <v>0.1</v>
      </c>
      <c r="I852" s="1929">
        <v>35.1</v>
      </c>
      <c r="J852" s="1929">
        <v>1850</v>
      </c>
      <c r="K852" s="1929" t="s">
        <v>3604</v>
      </c>
    </row>
    <row r="853" spans="1:11" hidden="1" x14ac:dyDescent="0.2">
      <c r="A853" s="1929" t="s">
        <v>3603</v>
      </c>
      <c r="D853" s="1929" t="s">
        <v>1013</v>
      </c>
      <c r="E853" s="1929" t="s">
        <v>46</v>
      </c>
      <c r="F853" s="1929">
        <v>6.3</v>
      </c>
      <c r="G853" s="1929">
        <v>1.7</v>
      </c>
      <c r="H853" s="1929">
        <v>0.6</v>
      </c>
      <c r="I853" s="1929">
        <v>1.2</v>
      </c>
      <c r="J853" s="1929">
        <v>1861</v>
      </c>
      <c r="K853" s="1929" t="s">
        <v>3602</v>
      </c>
    </row>
    <row r="854" spans="1:11" hidden="1" x14ac:dyDescent="0.2">
      <c r="A854" s="1929" t="s">
        <v>3601</v>
      </c>
      <c r="B854" s="1929" t="s">
        <v>1306</v>
      </c>
      <c r="C854" s="1929" t="s">
        <v>1389</v>
      </c>
      <c r="D854" s="1929" t="s">
        <v>1013</v>
      </c>
      <c r="E854" s="1929" t="s">
        <v>46</v>
      </c>
      <c r="F854" s="1929">
        <v>6.9</v>
      </c>
      <c r="G854" s="1929">
        <v>7.5</v>
      </c>
      <c r="H854" s="1929">
        <v>0</v>
      </c>
      <c r="I854" s="1929">
        <v>7</v>
      </c>
      <c r="J854" s="1929">
        <v>1868</v>
      </c>
      <c r="K854" s="1929" t="s">
        <v>3600</v>
      </c>
    </row>
    <row r="855" spans="1:11" hidden="1" x14ac:dyDescent="0.2">
      <c r="A855" s="1929" t="s">
        <v>3599</v>
      </c>
      <c r="B855" s="1929" t="s">
        <v>1217</v>
      </c>
      <c r="C855" s="1929" t="s">
        <v>1216</v>
      </c>
      <c r="D855" s="1929" t="s">
        <v>1013</v>
      </c>
      <c r="E855" s="1929" t="s">
        <v>46</v>
      </c>
      <c r="F855" s="1929">
        <v>1.1000000000000001</v>
      </c>
      <c r="G855" s="1929">
        <v>0.6</v>
      </c>
      <c r="H855" s="1929">
        <v>0.1</v>
      </c>
      <c r="I855" s="1929">
        <v>32.799999999999997</v>
      </c>
      <c r="J855" s="1929">
        <v>1871</v>
      </c>
      <c r="K855" s="1929" t="s">
        <v>3598</v>
      </c>
    </row>
    <row r="856" spans="1:11" hidden="1" x14ac:dyDescent="0.2">
      <c r="A856" s="1929" t="s">
        <v>3597</v>
      </c>
      <c r="B856" s="1929" t="s">
        <v>1217</v>
      </c>
      <c r="C856" s="1929" t="s">
        <v>1216</v>
      </c>
      <c r="D856" s="1929" t="s">
        <v>1013</v>
      </c>
      <c r="E856" s="1929" t="s">
        <v>46</v>
      </c>
      <c r="F856" s="1929">
        <v>0.8</v>
      </c>
      <c r="G856" s="1929">
        <v>0.6</v>
      </c>
      <c r="H856" s="1929">
        <v>0.1</v>
      </c>
      <c r="I856" s="1929">
        <v>32.1</v>
      </c>
      <c r="J856" s="1929">
        <v>1876</v>
      </c>
      <c r="K856" s="1929" t="s">
        <v>3596</v>
      </c>
    </row>
    <row r="857" spans="1:11" hidden="1" x14ac:dyDescent="0.2">
      <c r="A857" s="1929" t="s">
        <v>3595</v>
      </c>
      <c r="B857" s="1929" t="s">
        <v>1234</v>
      </c>
      <c r="C857" s="1929" t="s">
        <v>1476</v>
      </c>
      <c r="D857" s="1929" t="s">
        <v>1013</v>
      </c>
      <c r="E857" s="1929" t="s">
        <v>46</v>
      </c>
      <c r="F857" s="1929">
        <v>4.5</v>
      </c>
      <c r="G857" s="1929">
        <v>8.4</v>
      </c>
      <c r="H857" s="1929">
        <v>0.3</v>
      </c>
      <c r="I857" s="1929">
        <v>9.9</v>
      </c>
      <c r="J857" s="1929">
        <v>1878</v>
      </c>
      <c r="K857" s="1929" t="s">
        <v>3594</v>
      </c>
    </row>
    <row r="858" spans="1:11" hidden="1" x14ac:dyDescent="0.2">
      <c r="A858" s="1929" t="s">
        <v>3593</v>
      </c>
      <c r="B858" s="1929" t="s">
        <v>1217</v>
      </c>
      <c r="C858" s="1929" t="s">
        <v>1216</v>
      </c>
      <c r="D858" s="1929" t="s">
        <v>1013</v>
      </c>
      <c r="E858" s="1929" t="s">
        <v>46</v>
      </c>
      <c r="F858" s="1929">
        <v>0.9</v>
      </c>
      <c r="G858" s="1929">
        <v>0.5</v>
      </c>
      <c r="H858" s="1929">
        <v>0.1</v>
      </c>
      <c r="I858" s="1929">
        <v>31.2</v>
      </c>
      <c r="J858" s="1929">
        <v>1890</v>
      </c>
      <c r="K858" s="1929" t="s">
        <v>3592</v>
      </c>
    </row>
    <row r="859" spans="1:11" hidden="1" x14ac:dyDescent="0.2">
      <c r="A859" s="1929" t="s">
        <v>3591</v>
      </c>
      <c r="B859" s="1929" t="s">
        <v>1238</v>
      </c>
      <c r="C859" s="1929" t="s">
        <v>1609</v>
      </c>
      <c r="D859" s="1929" t="s">
        <v>1013</v>
      </c>
      <c r="E859" s="1929" t="s">
        <v>46</v>
      </c>
      <c r="F859" s="1929">
        <v>5.5</v>
      </c>
      <c r="G859" s="1929">
        <v>8.5</v>
      </c>
      <c r="H859" s="1929">
        <v>0.2</v>
      </c>
      <c r="I859" s="1929">
        <v>9.5</v>
      </c>
      <c r="J859" s="1929">
        <v>1896</v>
      </c>
      <c r="K859" s="1929" t="s">
        <v>3590</v>
      </c>
    </row>
    <row r="860" spans="1:11" hidden="1" x14ac:dyDescent="0.2">
      <c r="A860" s="1929" t="s">
        <v>3589</v>
      </c>
      <c r="B860" s="1929" t="s">
        <v>1234</v>
      </c>
      <c r="C860" s="1929" t="s">
        <v>1461</v>
      </c>
      <c r="D860" s="1929" t="s">
        <v>1013</v>
      </c>
      <c r="E860" s="1929" t="s">
        <v>46</v>
      </c>
      <c r="F860" s="1929">
        <v>2.2999999999999998</v>
      </c>
      <c r="G860" s="1929">
        <v>7.7</v>
      </c>
      <c r="H860" s="1929">
        <v>0.3</v>
      </c>
      <c r="I860" s="1929">
        <v>7.1</v>
      </c>
      <c r="J860" s="1929">
        <v>1901</v>
      </c>
      <c r="K860" s="1929" t="s">
        <v>3588</v>
      </c>
    </row>
    <row r="861" spans="1:11" hidden="1" x14ac:dyDescent="0.2">
      <c r="A861" s="1929" t="s">
        <v>3587</v>
      </c>
      <c r="B861" s="1929" t="s">
        <v>1217</v>
      </c>
      <c r="C861" s="1929" t="s">
        <v>1368</v>
      </c>
      <c r="D861" s="1929" t="s">
        <v>1013</v>
      </c>
      <c r="E861" s="1929" t="s">
        <v>46</v>
      </c>
      <c r="F861" s="1929">
        <v>2.6</v>
      </c>
      <c r="G861" s="1929">
        <v>2.2999999999999998</v>
      </c>
      <c r="H861" s="1929">
        <v>0.2</v>
      </c>
      <c r="I861" s="1929">
        <v>30.4</v>
      </c>
      <c r="J861" s="1929">
        <v>1905</v>
      </c>
      <c r="K861" s="1929" t="s">
        <v>3586</v>
      </c>
    </row>
    <row r="862" spans="1:11" hidden="1" x14ac:dyDescent="0.2">
      <c r="A862" s="1929" t="s">
        <v>3585</v>
      </c>
      <c r="B862" s="1929" t="s">
        <v>1217</v>
      </c>
      <c r="C862" s="1929" t="s">
        <v>1216</v>
      </c>
      <c r="D862" s="1929" t="s">
        <v>1013</v>
      </c>
      <c r="E862" s="1929" t="s">
        <v>46</v>
      </c>
      <c r="F862" s="1929">
        <v>0.8</v>
      </c>
      <c r="G862" s="1929">
        <v>0.5</v>
      </c>
      <c r="H862" s="1929">
        <v>0.1</v>
      </c>
      <c r="I862" s="1929">
        <v>28.8</v>
      </c>
      <c r="J862" s="1929">
        <v>1923</v>
      </c>
      <c r="K862" s="1929" t="s">
        <v>3584</v>
      </c>
    </row>
    <row r="863" spans="1:11" hidden="1" x14ac:dyDescent="0.2">
      <c r="A863" s="1929" t="s">
        <v>3583</v>
      </c>
      <c r="B863" s="1929" t="s">
        <v>1217</v>
      </c>
      <c r="C863" s="1929" t="s">
        <v>1216</v>
      </c>
      <c r="D863" s="1929" t="s">
        <v>1013</v>
      </c>
      <c r="E863" s="1929" t="s">
        <v>46</v>
      </c>
      <c r="F863" s="1929">
        <v>0.6</v>
      </c>
      <c r="G863" s="1929">
        <v>0.5</v>
      </c>
      <c r="H863" s="1929">
        <v>0.1</v>
      </c>
      <c r="I863" s="1929">
        <v>28.7</v>
      </c>
      <c r="J863" s="1929">
        <v>1927</v>
      </c>
      <c r="K863" s="1929" t="s">
        <v>3582</v>
      </c>
    </row>
    <row r="864" spans="1:11" hidden="1" x14ac:dyDescent="0.2">
      <c r="A864" s="1929" t="s">
        <v>3581</v>
      </c>
      <c r="B864" s="1929" t="s">
        <v>1217</v>
      </c>
      <c r="C864" s="1929" t="s">
        <v>1216</v>
      </c>
      <c r="D864" s="1929" t="s">
        <v>1013</v>
      </c>
      <c r="E864" s="1929" t="s">
        <v>46</v>
      </c>
      <c r="F864" s="1929">
        <v>1.2</v>
      </c>
      <c r="G864" s="1929">
        <v>0.7</v>
      </c>
      <c r="H864" s="1929">
        <v>0.1</v>
      </c>
      <c r="I864" s="1929">
        <v>28</v>
      </c>
      <c r="J864" s="1929">
        <v>1941</v>
      </c>
      <c r="K864" s="1929" t="s">
        <v>3580</v>
      </c>
    </row>
    <row r="865" spans="1:11" hidden="1" x14ac:dyDescent="0.2">
      <c r="A865" s="1929" t="s">
        <v>3579</v>
      </c>
      <c r="B865" s="1929" t="s">
        <v>1217</v>
      </c>
      <c r="C865" s="1929" t="s">
        <v>1216</v>
      </c>
      <c r="D865" s="1929" t="s">
        <v>1013</v>
      </c>
      <c r="E865" s="1929" t="s">
        <v>46</v>
      </c>
      <c r="F865" s="1929">
        <v>0.6</v>
      </c>
      <c r="G865" s="1929">
        <v>0.5</v>
      </c>
      <c r="H865" s="1929">
        <v>0</v>
      </c>
      <c r="I865" s="1929">
        <v>27.8</v>
      </c>
      <c r="J865" s="1929">
        <v>1949</v>
      </c>
      <c r="K865" s="1929" t="s">
        <v>3578</v>
      </c>
    </row>
    <row r="866" spans="1:11" hidden="1" x14ac:dyDescent="0.2">
      <c r="A866" s="1929" t="s">
        <v>3577</v>
      </c>
      <c r="B866" s="1929" t="s">
        <v>1306</v>
      </c>
      <c r="C866" s="1929" t="s">
        <v>1389</v>
      </c>
      <c r="D866" s="1929" t="s">
        <v>1013</v>
      </c>
      <c r="E866" s="1929" t="s">
        <v>46</v>
      </c>
      <c r="F866" s="1929">
        <v>7.5</v>
      </c>
      <c r="G866" s="1929">
        <v>3.8</v>
      </c>
      <c r="H866" s="1929">
        <v>0.4</v>
      </c>
      <c r="I866" s="1929">
        <v>4.9000000000000004</v>
      </c>
      <c r="J866" s="1929">
        <v>1951</v>
      </c>
      <c r="K866" s="1929" t="s">
        <v>3576</v>
      </c>
    </row>
    <row r="867" spans="1:11" hidden="1" x14ac:dyDescent="0.2">
      <c r="A867" s="1929" t="s">
        <v>3575</v>
      </c>
      <c r="B867" s="1929" t="s">
        <v>1234</v>
      </c>
      <c r="C867" s="1929" t="s">
        <v>1337</v>
      </c>
      <c r="D867" s="1929" t="s">
        <v>1013</v>
      </c>
      <c r="E867" s="1929" t="s">
        <v>46</v>
      </c>
      <c r="F867" s="1929">
        <v>1</v>
      </c>
      <c r="G867" s="1929">
        <v>12.1</v>
      </c>
      <c r="H867" s="1929">
        <v>0.2</v>
      </c>
      <c r="I867" s="1929">
        <v>6.3</v>
      </c>
      <c r="J867" s="1929">
        <v>1953</v>
      </c>
      <c r="K867" s="1929" t="s">
        <v>3574</v>
      </c>
    </row>
    <row r="868" spans="1:11" hidden="1" x14ac:dyDescent="0.2">
      <c r="A868" s="1929" t="s">
        <v>3573</v>
      </c>
      <c r="B868" s="1929" t="s">
        <v>1269</v>
      </c>
      <c r="C868" s="1929" t="s">
        <v>1504</v>
      </c>
      <c r="D868" s="1929" t="s">
        <v>1013</v>
      </c>
      <c r="E868" s="1929" t="s">
        <v>46</v>
      </c>
      <c r="F868" s="1929">
        <v>1.6</v>
      </c>
      <c r="G868" s="1929">
        <v>12.1</v>
      </c>
      <c r="H868" s="1929">
        <v>0.1</v>
      </c>
      <c r="I868" s="1929">
        <v>5.9</v>
      </c>
      <c r="J868" s="1929">
        <v>1955</v>
      </c>
      <c r="K868" s="1929" t="s">
        <v>3572</v>
      </c>
    </row>
    <row r="869" spans="1:11" hidden="1" x14ac:dyDescent="0.2">
      <c r="A869" s="1929" t="s">
        <v>3571</v>
      </c>
      <c r="B869" s="1929" t="s">
        <v>1228</v>
      </c>
      <c r="C869" s="1929" t="s">
        <v>1334</v>
      </c>
      <c r="D869" s="1929" t="s">
        <v>1013</v>
      </c>
      <c r="E869" s="1929" t="s">
        <v>46</v>
      </c>
      <c r="F869" s="1929">
        <v>1.9</v>
      </c>
      <c r="G869" s="1929">
        <v>12</v>
      </c>
      <c r="H869" s="1929">
        <v>0.1</v>
      </c>
      <c r="I869" s="1929">
        <v>6.1</v>
      </c>
      <c r="J869" s="1929">
        <v>1965</v>
      </c>
      <c r="K869" s="1929" t="s">
        <v>3570</v>
      </c>
    </row>
    <row r="870" spans="1:11" hidden="1" x14ac:dyDescent="0.2">
      <c r="A870" s="1929" t="s">
        <v>3569</v>
      </c>
      <c r="B870" s="1929" t="s">
        <v>1228</v>
      </c>
      <c r="C870" s="1929" t="s">
        <v>1498</v>
      </c>
      <c r="D870" s="1929" t="s">
        <v>1013</v>
      </c>
      <c r="E870" s="1929" t="s">
        <v>46</v>
      </c>
      <c r="F870" s="1929">
        <v>5</v>
      </c>
      <c r="G870" s="1929">
        <v>9.4</v>
      </c>
      <c r="H870" s="1929">
        <v>0.2</v>
      </c>
      <c r="I870" s="1929">
        <v>9.5</v>
      </c>
      <c r="J870" s="1929">
        <v>1972</v>
      </c>
      <c r="K870" s="1929" t="s">
        <v>3568</v>
      </c>
    </row>
    <row r="871" spans="1:11" hidden="1" x14ac:dyDescent="0.2">
      <c r="A871" s="1929" t="s">
        <v>3567</v>
      </c>
      <c r="B871" s="1929" t="s">
        <v>1217</v>
      </c>
      <c r="C871" s="1929" t="s">
        <v>1403</v>
      </c>
      <c r="D871" s="1929" t="s">
        <v>1013</v>
      </c>
      <c r="E871" s="1929" t="s">
        <v>46</v>
      </c>
      <c r="F871" s="1929">
        <v>0.7</v>
      </c>
      <c r="G871" s="1929">
        <v>1.1000000000000001</v>
      </c>
      <c r="H871" s="1929">
        <v>0.1</v>
      </c>
      <c r="I871" s="1929">
        <v>27.2</v>
      </c>
      <c r="J871" s="1929">
        <v>1973</v>
      </c>
      <c r="K871" s="1929" t="s">
        <v>3566</v>
      </c>
    </row>
    <row r="872" spans="1:11" hidden="1" x14ac:dyDescent="0.2">
      <c r="A872" s="1929" t="s">
        <v>3565</v>
      </c>
      <c r="B872" s="1929" t="s">
        <v>1217</v>
      </c>
      <c r="C872" s="1929" t="s">
        <v>1216</v>
      </c>
      <c r="D872" s="1929" t="s">
        <v>1013</v>
      </c>
      <c r="E872" s="1929" t="s">
        <v>46</v>
      </c>
      <c r="F872" s="1929">
        <v>0.6</v>
      </c>
      <c r="G872" s="1929">
        <v>0.6</v>
      </c>
      <c r="H872" s="1929">
        <v>0.1</v>
      </c>
      <c r="I872" s="1929">
        <v>27.1</v>
      </c>
      <c r="J872" s="1929">
        <v>1980</v>
      </c>
      <c r="K872" s="1929" t="s">
        <v>3564</v>
      </c>
    </row>
    <row r="873" spans="1:11" hidden="1" x14ac:dyDescent="0.2">
      <c r="A873" s="1929" t="s">
        <v>3563</v>
      </c>
      <c r="B873" s="1929" t="s">
        <v>1238</v>
      </c>
      <c r="C873" s="1929" t="s">
        <v>1584</v>
      </c>
      <c r="D873" s="1929" t="s">
        <v>1013</v>
      </c>
      <c r="E873" s="1929" t="s">
        <v>46</v>
      </c>
      <c r="F873" s="1929">
        <v>3.2</v>
      </c>
      <c r="G873" s="1929">
        <v>7.7</v>
      </c>
      <c r="H873" s="1929">
        <v>0.3</v>
      </c>
      <c r="I873" s="1929">
        <v>7.5</v>
      </c>
      <c r="J873" s="1929">
        <v>1982</v>
      </c>
      <c r="K873" s="1929" t="s">
        <v>3562</v>
      </c>
    </row>
    <row r="874" spans="1:11" hidden="1" x14ac:dyDescent="0.2">
      <c r="A874" s="1929" t="s">
        <v>3561</v>
      </c>
      <c r="B874" s="1929" t="s">
        <v>1306</v>
      </c>
      <c r="C874" s="1929" t="s">
        <v>1305</v>
      </c>
      <c r="D874" s="1929" t="s">
        <v>1013</v>
      </c>
      <c r="E874" s="1929" t="s">
        <v>46</v>
      </c>
      <c r="F874" s="1929">
        <v>4.5</v>
      </c>
      <c r="G874" s="1929">
        <v>11.6</v>
      </c>
      <c r="H874" s="1929">
        <v>0.2</v>
      </c>
      <c r="I874" s="1929">
        <v>7.8</v>
      </c>
      <c r="J874" s="1929">
        <v>1991</v>
      </c>
      <c r="K874" s="1929" t="s">
        <v>3560</v>
      </c>
    </row>
    <row r="875" spans="1:11" hidden="1" x14ac:dyDescent="0.2">
      <c r="A875" s="1929" t="s">
        <v>3559</v>
      </c>
      <c r="B875" s="1929" t="s">
        <v>1238</v>
      </c>
      <c r="C875" s="1929" t="s">
        <v>1434</v>
      </c>
      <c r="D875" s="1929" t="s">
        <v>1013</v>
      </c>
      <c r="E875" s="1929" t="s">
        <v>46</v>
      </c>
      <c r="F875" s="1929">
        <v>6.1</v>
      </c>
      <c r="G875" s="1929">
        <v>5.3</v>
      </c>
      <c r="H875" s="1929">
        <v>0.2</v>
      </c>
      <c r="I875" s="1929">
        <v>12</v>
      </c>
      <c r="J875" s="1929">
        <v>1991</v>
      </c>
      <c r="K875" s="1929" t="s">
        <v>3558</v>
      </c>
    </row>
    <row r="876" spans="1:11" hidden="1" x14ac:dyDescent="0.2">
      <c r="A876" s="1929" t="s">
        <v>3557</v>
      </c>
      <c r="B876" s="1929" t="s">
        <v>1217</v>
      </c>
      <c r="C876" s="1929" t="s">
        <v>1216</v>
      </c>
      <c r="D876" s="1929" t="s">
        <v>1013</v>
      </c>
      <c r="E876" s="1929" t="s">
        <v>46</v>
      </c>
      <c r="F876" s="1929">
        <v>0.4</v>
      </c>
      <c r="G876" s="1929">
        <v>0.4</v>
      </c>
      <c r="H876" s="1929">
        <v>0.1</v>
      </c>
      <c r="I876" s="1929">
        <v>26.5</v>
      </c>
      <c r="J876" s="1929">
        <v>1994</v>
      </c>
      <c r="K876" s="1929" t="s">
        <v>3556</v>
      </c>
    </row>
    <row r="877" spans="1:11" hidden="1" x14ac:dyDescent="0.2">
      <c r="A877" s="1929" t="s">
        <v>3555</v>
      </c>
      <c r="B877" s="1929" t="s">
        <v>1228</v>
      </c>
      <c r="C877" s="1929" t="s">
        <v>1297</v>
      </c>
      <c r="D877" s="1929" t="s">
        <v>1013</v>
      </c>
      <c r="E877" s="1929" t="s">
        <v>46</v>
      </c>
      <c r="F877" s="1929">
        <v>1.4</v>
      </c>
      <c r="G877" s="1929">
        <v>10.7</v>
      </c>
      <c r="H877" s="1929">
        <v>0.1</v>
      </c>
      <c r="I877" s="1929">
        <v>8.8000000000000007</v>
      </c>
      <c r="J877" s="1929">
        <v>1999</v>
      </c>
      <c r="K877" s="1929" t="s">
        <v>3554</v>
      </c>
    </row>
    <row r="878" spans="1:11" hidden="1" x14ac:dyDescent="0.2">
      <c r="A878" s="1929" t="s">
        <v>3553</v>
      </c>
      <c r="B878" s="1929" t="s">
        <v>1217</v>
      </c>
      <c r="C878" s="1929" t="s">
        <v>1216</v>
      </c>
      <c r="D878" s="1929" t="s">
        <v>1013</v>
      </c>
      <c r="E878" s="1929" t="s">
        <v>501</v>
      </c>
      <c r="F878" s="1929">
        <v>7</v>
      </c>
      <c r="G878" s="1929">
        <v>2.2000000000000002</v>
      </c>
      <c r="H878" s="1929">
        <v>0.5</v>
      </c>
      <c r="I878" s="1929">
        <v>46.4</v>
      </c>
      <c r="J878" s="1929">
        <v>1092</v>
      </c>
      <c r="K878" s="1929" t="s">
        <v>3552</v>
      </c>
    </row>
    <row r="879" spans="1:11" hidden="1" x14ac:dyDescent="0.2">
      <c r="A879" s="1929" t="s">
        <v>3551</v>
      </c>
      <c r="B879" s="1929" t="s">
        <v>1258</v>
      </c>
      <c r="C879" s="1929" t="s">
        <v>1263</v>
      </c>
      <c r="D879" s="1929" t="s">
        <v>1013</v>
      </c>
      <c r="E879" s="1929" t="s">
        <v>502</v>
      </c>
      <c r="F879" s="1929">
        <v>5.8</v>
      </c>
      <c r="G879" s="1929">
        <v>5.4</v>
      </c>
      <c r="H879" s="1929">
        <v>0.9</v>
      </c>
      <c r="I879" s="1929">
        <v>10.3</v>
      </c>
      <c r="J879" s="1929">
        <v>1321</v>
      </c>
      <c r="K879" s="1929" t="s">
        <v>3550</v>
      </c>
    </row>
    <row r="880" spans="1:11" hidden="1" x14ac:dyDescent="0.2">
      <c r="A880" s="1929" t="s">
        <v>3549</v>
      </c>
      <c r="B880" s="1929" t="s">
        <v>1217</v>
      </c>
      <c r="C880" s="1929" t="s">
        <v>1216</v>
      </c>
      <c r="D880" s="1929" t="s">
        <v>1013</v>
      </c>
      <c r="E880" s="1929" t="s">
        <v>502</v>
      </c>
      <c r="F880" s="1929">
        <v>0.8</v>
      </c>
      <c r="G880" s="1929">
        <v>1.2</v>
      </c>
      <c r="H880" s="1929">
        <v>2.5</v>
      </c>
      <c r="I880" s="1929">
        <v>10.6</v>
      </c>
      <c r="J880" s="1929">
        <v>1421</v>
      </c>
      <c r="K880" s="1929" t="s">
        <v>3548</v>
      </c>
    </row>
    <row r="881" spans="1:11" hidden="1" x14ac:dyDescent="0.2">
      <c r="A881" s="1929" t="s">
        <v>3547</v>
      </c>
      <c r="B881" s="1929" t="s">
        <v>1217</v>
      </c>
      <c r="C881" s="1929" t="s">
        <v>1216</v>
      </c>
      <c r="D881" s="1929" t="s">
        <v>1013</v>
      </c>
      <c r="E881" s="1929" t="s">
        <v>502</v>
      </c>
      <c r="F881" s="1929">
        <v>2.2000000000000002</v>
      </c>
      <c r="G881" s="1929">
        <v>1.7</v>
      </c>
      <c r="H881" s="1929">
        <v>0.5</v>
      </c>
      <c r="I881" s="1929">
        <v>16.3</v>
      </c>
      <c r="J881" s="1929">
        <v>1681</v>
      </c>
      <c r="K881" s="1929" t="s">
        <v>3546</v>
      </c>
    </row>
    <row r="882" spans="1:11" hidden="1" x14ac:dyDescent="0.2">
      <c r="A882" s="1929" t="s">
        <v>3545</v>
      </c>
      <c r="B882" s="1929" t="s">
        <v>1217</v>
      </c>
      <c r="C882" s="1929" t="s">
        <v>1216</v>
      </c>
      <c r="D882" s="1929" t="s">
        <v>1013</v>
      </c>
      <c r="E882" s="1929" t="s">
        <v>506</v>
      </c>
      <c r="F882" s="1929">
        <v>16.7</v>
      </c>
      <c r="G882" s="1929">
        <v>2.5</v>
      </c>
      <c r="H882" s="1929">
        <v>0.8</v>
      </c>
      <c r="I882" s="1929">
        <v>65.900000000000006</v>
      </c>
      <c r="J882" s="1929">
        <v>717</v>
      </c>
      <c r="K882" s="1929" t="s">
        <v>3544</v>
      </c>
    </row>
    <row r="883" spans="1:11" hidden="1" x14ac:dyDescent="0.2">
      <c r="A883" s="1929" t="s">
        <v>3543</v>
      </c>
      <c r="B883" s="1929" t="s">
        <v>1217</v>
      </c>
      <c r="C883" s="1929" t="s">
        <v>1216</v>
      </c>
      <c r="D883" s="1929" t="s">
        <v>1013</v>
      </c>
      <c r="E883" s="1929" t="s">
        <v>506</v>
      </c>
      <c r="F883" s="1929">
        <v>12.6</v>
      </c>
      <c r="G883" s="1929">
        <v>2.8</v>
      </c>
      <c r="H883" s="1929">
        <v>0.4</v>
      </c>
      <c r="I883" s="1929">
        <v>54.8</v>
      </c>
      <c r="J883" s="1929">
        <v>966</v>
      </c>
      <c r="K883" s="1929" t="s">
        <v>3542</v>
      </c>
    </row>
    <row r="884" spans="1:11" hidden="1" x14ac:dyDescent="0.2">
      <c r="A884" s="1929" t="s">
        <v>3541</v>
      </c>
      <c r="B884" s="1929" t="s">
        <v>1249</v>
      </c>
      <c r="C884" s="1929" t="s">
        <v>1248</v>
      </c>
      <c r="D884" s="1929" t="s">
        <v>1013</v>
      </c>
      <c r="E884" s="1929" t="s">
        <v>506</v>
      </c>
      <c r="F884" s="1929">
        <v>9.6999999999999993</v>
      </c>
      <c r="G884" s="1929">
        <v>4.4000000000000004</v>
      </c>
      <c r="H884" s="1929">
        <v>0.8</v>
      </c>
      <c r="I884" s="1929">
        <v>11</v>
      </c>
      <c r="J884" s="1929">
        <v>1219</v>
      </c>
      <c r="K884" s="1929" t="s">
        <v>3540</v>
      </c>
    </row>
    <row r="885" spans="1:11" hidden="1" x14ac:dyDescent="0.2">
      <c r="A885" s="1929" t="s">
        <v>3539</v>
      </c>
      <c r="B885" s="1929" t="s">
        <v>1217</v>
      </c>
      <c r="C885" s="1929" t="s">
        <v>1368</v>
      </c>
      <c r="D885" s="1929" t="s">
        <v>1013</v>
      </c>
      <c r="E885" s="1929" t="s">
        <v>506</v>
      </c>
      <c r="F885" s="1929">
        <v>3.9</v>
      </c>
      <c r="G885" s="1929">
        <v>1.6</v>
      </c>
      <c r="H885" s="1929">
        <v>0.1</v>
      </c>
      <c r="I885" s="1929">
        <v>28.6</v>
      </c>
      <c r="J885" s="1929">
        <v>1928</v>
      </c>
      <c r="K885" s="1929" t="s">
        <v>3538</v>
      </c>
    </row>
    <row r="886" spans="1:11" hidden="1" x14ac:dyDescent="0.2">
      <c r="A886" s="1929" t="s">
        <v>3537</v>
      </c>
      <c r="B886" s="1929" t="s">
        <v>1217</v>
      </c>
      <c r="C886" s="1929" t="s">
        <v>1216</v>
      </c>
      <c r="D886" s="1929" t="s">
        <v>1013</v>
      </c>
      <c r="E886" s="1929" t="s">
        <v>93</v>
      </c>
      <c r="F886" s="1929">
        <v>2.2000000000000002</v>
      </c>
      <c r="G886" s="1929">
        <v>2.2999999999999998</v>
      </c>
      <c r="H886" s="1929">
        <v>0.3</v>
      </c>
      <c r="I886" s="1929">
        <v>36.200000000000003</v>
      </c>
      <c r="J886" s="1929">
        <v>1636</v>
      </c>
      <c r="K886" s="1929" t="s">
        <v>3536</v>
      </c>
    </row>
    <row r="887" spans="1:11" hidden="1" x14ac:dyDescent="0.2">
      <c r="A887" s="1929" t="s">
        <v>3535</v>
      </c>
      <c r="B887" s="1929" t="s">
        <v>1217</v>
      </c>
      <c r="C887" s="1929" t="s">
        <v>1216</v>
      </c>
      <c r="D887" s="1929" t="s">
        <v>1013</v>
      </c>
      <c r="E887" s="1929" t="s">
        <v>93</v>
      </c>
      <c r="F887" s="1929">
        <v>1.9</v>
      </c>
      <c r="G887" s="1929">
        <v>1.6</v>
      </c>
      <c r="H887" s="1929">
        <v>0.3</v>
      </c>
      <c r="I887" s="1929">
        <v>26.2</v>
      </c>
      <c r="J887" s="1929">
        <v>1661</v>
      </c>
      <c r="K887" s="1929" t="s">
        <v>3534</v>
      </c>
    </row>
    <row r="888" spans="1:11" x14ac:dyDescent="0.2">
      <c r="A888" s="1929" t="s">
        <v>3533</v>
      </c>
      <c r="B888" s="1929" t="s">
        <v>1234</v>
      </c>
      <c r="C888" s="1929" t="s">
        <v>1445</v>
      </c>
      <c r="D888" s="1929" t="s">
        <v>303</v>
      </c>
      <c r="E888" s="1929" t="s">
        <v>49</v>
      </c>
      <c r="F888" s="1929">
        <v>26.8</v>
      </c>
      <c r="G888" s="1929">
        <v>79.400000000000006</v>
      </c>
      <c r="H888" s="1929">
        <v>-2.5</v>
      </c>
      <c r="I888" s="1929">
        <v>112.3</v>
      </c>
      <c r="J888" s="1929">
        <v>491</v>
      </c>
      <c r="K888" s="1929" t="s">
        <v>3532</v>
      </c>
    </row>
    <row r="889" spans="1:11" x14ac:dyDescent="0.2">
      <c r="A889" s="1929" t="s">
        <v>3531</v>
      </c>
      <c r="B889" s="1929" t="s">
        <v>1258</v>
      </c>
      <c r="C889" s="1929" t="s">
        <v>1257</v>
      </c>
      <c r="D889" s="1929" t="s">
        <v>303</v>
      </c>
      <c r="E889" s="1929" t="s">
        <v>49</v>
      </c>
      <c r="F889" s="1929">
        <v>26.2</v>
      </c>
      <c r="G889" s="1929">
        <v>10.6</v>
      </c>
      <c r="H889" s="1929">
        <v>1.6</v>
      </c>
      <c r="I889" s="1929">
        <v>15.9</v>
      </c>
      <c r="J889" s="1929">
        <v>572</v>
      </c>
      <c r="K889" s="1929" t="s">
        <v>3530</v>
      </c>
    </row>
    <row r="890" spans="1:11" x14ac:dyDescent="0.2">
      <c r="A890" s="1929" t="s">
        <v>3529</v>
      </c>
      <c r="B890" s="1929" t="s">
        <v>1228</v>
      </c>
      <c r="C890" s="1929" t="s">
        <v>1315</v>
      </c>
      <c r="D890" s="1929" t="s">
        <v>303</v>
      </c>
      <c r="E890" s="1929" t="s">
        <v>49</v>
      </c>
      <c r="F890" s="1929">
        <v>17.7</v>
      </c>
      <c r="G890" s="1929">
        <v>7.8</v>
      </c>
      <c r="H890" s="1929">
        <v>1.2</v>
      </c>
      <c r="I890" s="1929">
        <v>10.4</v>
      </c>
      <c r="J890" s="1929">
        <v>805</v>
      </c>
      <c r="K890" s="1929" t="s">
        <v>3528</v>
      </c>
    </row>
    <row r="891" spans="1:11" x14ac:dyDescent="0.2">
      <c r="A891" s="1929" t="s">
        <v>3527</v>
      </c>
      <c r="B891" s="1929" t="s">
        <v>1228</v>
      </c>
      <c r="C891" s="1929" t="s">
        <v>1315</v>
      </c>
      <c r="D891" s="1929" t="s">
        <v>303</v>
      </c>
      <c r="E891" s="1929" t="s">
        <v>49</v>
      </c>
      <c r="F891" s="1929">
        <v>15</v>
      </c>
      <c r="G891" s="1929">
        <v>2.5</v>
      </c>
      <c r="H891" s="1929">
        <v>0.8</v>
      </c>
      <c r="I891" s="1929">
        <v>12.5</v>
      </c>
      <c r="J891" s="1929">
        <v>1074</v>
      </c>
      <c r="K891" s="1929" t="s">
        <v>3526</v>
      </c>
    </row>
    <row r="892" spans="1:11" x14ac:dyDescent="0.2">
      <c r="A892" s="1929" t="s">
        <v>3525</v>
      </c>
      <c r="B892" s="1929" t="s">
        <v>1217</v>
      </c>
      <c r="C892" s="1929" t="s">
        <v>1216</v>
      </c>
      <c r="D892" s="1929" t="s">
        <v>303</v>
      </c>
      <c r="E892" s="1929" t="s">
        <v>49</v>
      </c>
      <c r="F892" s="1929">
        <v>1.3</v>
      </c>
      <c r="G892" s="1929">
        <v>7.8</v>
      </c>
      <c r="H892" s="1929">
        <v>-0.1</v>
      </c>
      <c r="I892" s="1929">
        <v>113.6</v>
      </c>
      <c r="J892" s="1929">
        <v>1194</v>
      </c>
      <c r="K892" s="1929" t="s">
        <v>3524</v>
      </c>
    </row>
    <row r="893" spans="1:11" x14ac:dyDescent="0.2">
      <c r="A893" s="1929" t="s">
        <v>3523</v>
      </c>
      <c r="B893" s="1929" t="s">
        <v>1234</v>
      </c>
      <c r="C893" s="1929" t="s">
        <v>1445</v>
      </c>
      <c r="D893" s="1929" t="s">
        <v>303</v>
      </c>
      <c r="E893" s="1929" t="s">
        <v>49</v>
      </c>
      <c r="F893" s="1929">
        <v>5.9</v>
      </c>
      <c r="G893" s="1929">
        <v>8.5</v>
      </c>
      <c r="H893" s="1929">
        <v>0.5</v>
      </c>
      <c r="I893" s="1929">
        <v>10.5</v>
      </c>
      <c r="J893" s="1929">
        <v>1345</v>
      </c>
      <c r="K893" s="1929" t="s">
        <v>3522</v>
      </c>
    </row>
    <row r="894" spans="1:11" x14ac:dyDescent="0.2">
      <c r="A894" s="1929" t="s">
        <v>3521</v>
      </c>
      <c r="B894" s="1929" t="s">
        <v>1249</v>
      </c>
      <c r="C894" s="1929" t="s">
        <v>1248</v>
      </c>
      <c r="D894" s="1929" t="s">
        <v>303</v>
      </c>
      <c r="E894" s="1929" t="s">
        <v>49</v>
      </c>
      <c r="F894" s="1929">
        <v>10.199999999999999</v>
      </c>
      <c r="G894" s="1929">
        <v>5.2</v>
      </c>
      <c r="H894" s="1929">
        <v>0.2</v>
      </c>
      <c r="I894" s="1929">
        <v>9.1</v>
      </c>
      <c r="J894" s="1929">
        <v>1779</v>
      </c>
      <c r="K894" s="1929" t="s">
        <v>3520</v>
      </c>
    </row>
    <row r="895" spans="1:11" hidden="1" x14ac:dyDescent="0.2">
      <c r="A895" s="1929" t="s">
        <v>3519</v>
      </c>
      <c r="B895" s="1929" t="s">
        <v>1217</v>
      </c>
      <c r="C895" s="1929" t="s">
        <v>1216</v>
      </c>
      <c r="D895" s="1929" t="s">
        <v>1013</v>
      </c>
      <c r="E895" s="1929" t="s">
        <v>293</v>
      </c>
      <c r="F895" s="1929">
        <v>26.3</v>
      </c>
      <c r="G895" s="1929">
        <v>9.6999999999999993</v>
      </c>
      <c r="H895" s="1929">
        <v>2.1</v>
      </c>
      <c r="I895" s="1929">
        <v>171.1</v>
      </c>
      <c r="J895" s="1929">
        <v>326</v>
      </c>
      <c r="K895" s="1929" t="s">
        <v>3518</v>
      </c>
    </row>
    <row r="896" spans="1:11" hidden="1" x14ac:dyDescent="0.2">
      <c r="A896" s="1929" t="s">
        <v>3517</v>
      </c>
      <c r="B896" s="1929" t="s">
        <v>1310</v>
      </c>
      <c r="C896" s="1929" t="s">
        <v>1309</v>
      </c>
      <c r="D896" s="1929" t="s">
        <v>1013</v>
      </c>
      <c r="E896" s="1929" t="s">
        <v>293</v>
      </c>
      <c r="F896" s="1929">
        <v>20.7</v>
      </c>
      <c r="G896" s="1929">
        <v>12</v>
      </c>
      <c r="H896" s="1929">
        <v>1.6</v>
      </c>
      <c r="I896" s="1929">
        <v>31.3</v>
      </c>
      <c r="J896" s="1929">
        <v>443</v>
      </c>
      <c r="K896" s="1929" t="s">
        <v>3516</v>
      </c>
    </row>
    <row r="897" spans="1:11" hidden="1" x14ac:dyDescent="0.2">
      <c r="A897" s="1929" t="s">
        <v>3515</v>
      </c>
      <c r="B897" s="1929" t="s">
        <v>1217</v>
      </c>
      <c r="C897" s="1929" t="s">
        <v>1216</v>
      </c>
      <c r="D897" s="1929" t="s">
        <v>1013</v>
      </c>
      <c r="E897" s="1929" t="s">
        <v>293</v>
      </c>
      <c r="F897" s="1929">
        <v>18.100000000000001</v>
      </c>
      <c r="G897" s="1929">
        <v>6.8</v>
      </c>
      <c r="H897" s="1929">
        <v>1.4</v>
      </c>
      <c r="I897" s="1929">
        <v>113.2</v>
      </c>
      <c r="J897" s="1929">
        <v>460</v>
      </c>
      <c r="K897" s="1929" t="s">
        <v>3514</v>
      </c>
    </row>
    <row r="898" spans="1:11" hidden="1" x14ac:dyDescent="0.2">
      <c r="A898" s="1929" t="s">
        <v>3513</v>
      </c>
      <c r="B898" s="1929" t="s">
        <v>1217</v>
      </c>
      <c r="C898" s="1929" t="s">
        <v>1216</v>
      </c>
      <c r="D898" s="1929" t="s">
        <v>1013</v>
      </c>
      <c r="E898" s="1929" t="s">
        <v>293</v>
      </c>
      <c r="F898" s="1929">
        <v>20.6</v>
      </c>
      <c r="G898" s="1929">
        <v>4.5999999999999996</v>
      </c>
      <c r="H898" s="1929">
        <v>1.3</v>
      </c>
      <c r="I898" s="1929">
        <v>93.3</v>
      </c>
      <c r="J898" s="1929">
        <v>585</v>
      </c>
      <c r="K898" s="1929" t="s">
        <v>3512</v>
      </c>
    </row>
    <row r="899" spans="1:11" hidden="1" x14ac:dyDescent="0.2">
      <c r="A899" s="1929" t="s">
        <v>3511</v>
      </c>
      <c r="B899" s="1929" t="s">
        <v>1238</v>
      </c>
      <c r="C899" s="1929" t="s">
        <v>1878</v>
      </c>
      <c r="D899" s="1929" t="s">
        <v>1013</v>
      </c>
      <c r="E899" s="1929" t="s">
        <v>293</v>
      </c>
      <c r="F899" s="1929">
        <v>17.100000000000001</v>
      </c>
      <c r="G899" s="1929">
        <v>14.4</v>
      </c>
      <c r="H899" s="1929">
        <v>1.1000000000000001</v>
      </c>
      <c r="I899" s="1929">
        <v>15.2</v>
      </c>
      <c r="J899" s="1929">
        <v>598</v>
      </c>
      <c r="K899" s="1929" t="s">
        <v>3510</v>
      </c>
    </row>
    <row r="900" spans="1:11" hidden="1" x14ac:dyDescent="0.2">
      <c r="A900" s="1929" t="s">
        <v>3509</v>
      </c>
      <c r="B900" s="1929" t="s">
        <v>1245</v>
      </c>
      <c r="C900" s="1929" t="s">
        <v>1507</v>
      </c>
      <c r="D900" s="1929" t="s">
        <v>1013</v>
      </c>
      <c r="E900" s="1929" t="s">
        <v>293</v>
      </c>
      <c r="F900" s="1929">
        <v>17.7</v>
      </c>
      <c r="G900" s="1929">
        <v>5.8</v>
      </c>
      <c r="H900" s="1929">
        <v>0.8</v>
      </c>
      <c r="I900" s="1929">
        <v>13.3</v>
      </c>
      <c r="J900" s="1929">
        <v>861</v>
      </c>
      <c r="K900" s="1929" t="s">
        <v>3508</v>
      </c>
    </row>
    <row r="901" spans="1:11" hidden="1" x14ac:dyDescent="0.2">
      <c r="A901" s="1929" t="s">
        <v>3507</v>
      </c>
      <c r="B901" s="1929" t="s">
        <v>1228</v>
      </c>
      <c r="C901" s="1929" t="s">
        <v>1589</v>
      </c>
      <c r="D901" s="1929" t="s">
        <v>1013</v>
      </c>
      <c r="E901" s="1929" t="s">
        <v>293</v>
      </c>
      <c r="F901" s="1929">
        <v>11.4</v>
      </c>
      <c r="G901" s="1929">
        <v>5.6</v>
      </c>
      <c r="H901" s="1929">
        <v>0.6</v>
      </c>
      <c r="I901" s="1929">
        <v>21.8</v>
      </c>
      <c r="J901" s="1929">
        <v>915</v>
      </c>
      <c r="K901" s="1929" t="s">
        <v>3506</v>
      </c>
    </row>
    <row r="902" spans="1:11" hidden="1" x14ac:dyDescent="0.2">
      <c r="A902" s="1929" t="s">
        <v>3505</v>
      </c>
      <c r="B902" s="1929" t="s">
        <v>1217</v>
      </c>
      <c r="C902" s="1929" t="s">
        <v>1216</v>
      </c>
      <c r="D902" s="1929" t="s">
        <v>1013</v>
      </c>
      <c r="E902" s="1929" t="s">
        <v>293</v>
      </c>
      <c r="F902" s="1929">
        <v>6.6</v>
      </c>
      <c r="G902" s="1929">
        <v>3</v>
      </c>
      <c r="H902" s="1929">
        <v>0.6</v>
      </c>
      <c r="I902" s="1929">
        <v>58.3</v>
      </c>
      <c r="J902" s="1929">
        <v>1052</v>
      </c>
      <c r="K902" s="1929" t="s">
        <v>3504</v>
      </c>
    </row>
    <row r="903" spans="1:11" hidden="1" x14ac:dyDescent="0.2">
      <c r="A903" s="1929" t="s">
        <v>3503</v>
      </c>
      <c r="B903" s="1929" t="s">
        <v>1234</v>
      </c>
      <c r="C903" s="1929" t="s">
        <v>1233</v>
      </c>
      <c r="D903" s="1929" t="s">
        <v>1013</v>
      </c>
      <c r="E903" s="1929" t="s">
        <v>293</v>
      </c>
      <c r="F903" s="1929">
        <v>16.7</v>
      </c>
      <c r="G903" s="1929">
        <v>4.8</v>
      </c>
      <c r="H903" s="1929">
        <v>1</v>
      </c>
      <c r="I903" s="1929">
        <v>8.5</v>
      </c>
      <c r="J903" s="1929">
        <v>1062</v>
      </c>
      <c r="K903" s="1929" t="s">
        <v>3502</v>
      </c>
    </row>
    <row r="904" spans="1:11" hidden="1" x14ac:dyDescent="0.2">
      <c r="A904" s="1929" t="s">
        <v>3501</v>
      </c>
      <c r="B904" s="1929" t="s">
        <v>1217</v>
      </c>
      <c r="C904" s="1929" t="s">
        <v>1216</v>
      </c>
      <c r="D904" s="1929" t="s">
        <v>1013</v>
      </c>
      <c r="E904" s="1929" t="s">
        <v>293</v>
      </c>
      <c r="F904" s="1929">
        <v>6.6</v>
      </c>
      <c r="G904" s="1929">
        <v>2.6</v>
      </c>
      <c r="H904" s="1929">
        <v>0.5</v>
      </c>
      <c r="I904" s="1929">
        <v>40</v>
      </c>
      <c r="J904" s="1929">
        <v>1121</v>
      </c>
      <c r="K904" s="1929" t="s">
        <v>3500</v>
      </c>
    </row>
    <row r="905" spans="1:11" hidden="1" x14ac:dyDescent="0.2">
      <c r="A905" s="1929" t="s">
        <v>3499</v>
      </c>
      <c r="B905" s="1929" t="s">
        <v>1217</v>
      </c>
      <c r="C905" s="1929" t="s">
        <v>1368</v>
      </c>
      <c r="D905" s="1929" t="s">
        <v>1013</v>
      </c>
      <c r="E905" s="1929" t="s">
        <v>293</v>
      </c>
      <c r="F905" s="1929">
        <v>5.0999999999999996</v>
      </c>
      <c r="G905" s="1929">
        <v>2.5</v>
      </c>
      <c r="H905" s="1929">
        <v>0.5</v>
      </c>
      <c r="I905" s="1929">
        <v>56</v>
      </c>
      <c r="J905" s="1929">
        <v>1246</v>
      </c>
      <c r="K905" s="1929" t="s">
        <v>3498</v>
      </c>
    </row>
    <row r="906" spans="1:11" hidden="1" x14ac:dyDescent="0.2">
      <c r="A906" s="1929" t="s">
        <v>3497</v>
      </c>
      <c r="B906" s="1929" t="s">
        <v>1238</v>
      </c>
      <c r="C906" s="1929" t="s">
        <v>1700</v>
      </c>
      <c r="D906" s="1929" t="s">
        <v>1013</v>
      </c>
      <c r="E906" s="1929" t="s">
        <v>293</v>
      </c>
      <c r="F906" s="1929">
        <v>9.4</v>
      </c>
      <c r="G906" s="1929">
        <v>2.8</v>
      </c>
      <c r="H906" s="1929">
        <v>0.7</v>
      </c>
      <c r="I906" s="1929">
        <v>12.3</v>
      </c>
      <c r="J906" s="1929">
        <v>1276</v>
      </c>
      <c r="K906" s="1929" t="s">
        <v>3496</v>
      </c>
    </row>
    <row r="907" spans="1:11" hidden="1" x14ac:dyDescent="0.2">
      <c r="A907" s="1929" t="s">
        <v>3495</v>
      </c>
      <c r="B907" s="1929" t="s">
        <v>1310</v>
      </c>
      <c r="C907" s="1929" t="s">
        <v>1379</v>
      </c>
      <c r="D907" s="1929" t="s">
        <v>1013</v>
      </c>
      <c r="E907" s="1929" t="s">
        <v>293</v>
      </c>
      <c r="F907" s="1929">
        <v>14.7</v>
      </c>
      <c r="G907" s="1929">
        <v>1.2</v>
      </c>
      <c r="H907" s="1929">
        <v>0.7</v>
      </c>
      <c r="I907" s="1929">
        <v>4</v>
      </c>
      <c r="J907" s="1929">
        <v>1308</v>
      </c>
      <c r="K907" s="1929" t="s">
        <v>3494</v>
      </c>
    </row>
    <row r="908" spans="1:11" hidden="1" x14ac:dyDescent="0.2">
      <c r="A908" s="1929" t="s">
        <v>3493</v>
      </c>
      <c r="B908" s="1929" t="s">
        <v>1310</v>
      </c>
      <c r="C908" s="1929" t="s">
        <v>1552</v>
      </c>
      <c r="D908" s="1929" t="s">
        <v>1013</v>
      </c>
      <c r="E908" s="1929" t="s">
        <v>293</v>
      </c>
      <c r="F908" s="1929">
        <v>4.9000000000000004</v>
      </c>
      <c r="G908" s="1929">
        <v>6.3</v>
      </c>
      <c r="H908" s="1929">
        <v>0.5</v>
      </c>
      <c r="I908" s="1929">
        <v>18.5</v>
      </c>
      <c r="J908" s="1929">
        <v>1333</v>
      </c>
      <c r="K908" s="1929" t="s">
        <v>3492</v>
      </c>
    </row>
    <row r="909" spans="1:11" hidden="1" x14ac:dyDescent="0.2">
      <c r="A909" s="1929" t="s">
        <v>3491</v>
      </c>
      <c r="B909" s="1929" t="s">
        <v>1249</v>
      </c>
      <c r="C909" s="1929" t="s">
        <v>1248</v>
      </c>
      <c r="D909" s="1929" t="s">
        <v>1013</v>
      </c>
      <c r="E909" s="1929" t="s">
        <v>293</v>
      </c>
      <c r="F909" s="1929">
        <v>16</v>
      </c>
      <c r="G909" s="1929">
        <v>2.9</v>
      </c>
      <c r="H909" s="1929">
        <v>0.6</v>
      </c>
      <c r="I909" s="1929">
        <v>5.3</v>
      </c>
      <c r="J909" s="1929">
        <v>1344</v>
      </c>
      <c r="K909" s="1929" t="s">
        <v>3490</v>
      </c>
    </row>
    <row r="910" spans="1:11" hidden="1" x14ac:dyDescent="0.2">
      <c r="A910" s="1929" t="s">
        <v>3489</v>
      </c>
      <c r="B910" s="1929" t="s">
        <v>1258</v>
      </c>
      <c r="C910" s="1929" t="s">
        <v>1263</v>
      </c>
      <c r="D910" s="1929" t="s">
        <v>1013</v>
      </c>
      <c r="E910" s="1929" t="s">
        <v>293</v>
      </c>
      <c r="F910" s="1929">
        <v>9.3000000000000007</v>
      </c>
      <c r="G910" s="1929">
        <v>10.3</v>
      </c>
      <c r="H910" s="1929">
        <v>0.3</v>
      </c>
      <c r="I910" s="1929">
        <v>3.1</v>
      </c>
      <c r="J910" s="1929">
        <v>1481</v>
      </c>
      <c r="K910" s="1929" t="s">
        <v>3488</v>
      </c>
    </row>
    <row r="911" spans="1:11" hidden="1" x14ac:dyDescent="0.2">
      <c r="A911" s="1929" t="s">
        <v>3487</v>
      </c>
      <c r="B911" s="1929" t="s">
        <v>1306</v>
      </c>
      <c r="C911" s="1929" t="s">
        <v>1305</v>
      </c>
      <c r="D911" s="1929" t="s">
        <v>1013</v>
      </c>
      <c r="E911" s="1929" t="s">
        <v>293</v>
      </c>
      <c r="F911" s="1929">
        <v>9.3000000000000007</v>
      </c>
      <c r="G911" s="1929">
        <v>3.9</v>
      </c>
      <c r="H911" s="1929">
        <v>0.5</v>
      </c>
      <c r="I911" s="1929">
        <v>7.8</v>
      </c>
      <c r="J911" s="1929">
        <v>1567</v>
      </c>
      <c r="K911" s="1929" t="s">
        <v>3486</v>
      </c>
    </row>
    <row r="912" spans="1:11" x14ac:dyDescent="0.2">
      <c r="A912" s="1929" t="s">
        <v>3485</v>
      </c>
      <c r="B912" s="1929" t="s">
        <v>1258</v>
      </c>
      <c r="C912" s="1929" t="s">
        <v>1263</v>
      </c>
      <c r="D912" s="1929" t="s">
        <v>305</v>
      </c>
      <c r="E912" s="1929" t="s">
        <v>100</v>
      </c>
      <c r="F912" s="1929">
        <v>1.5</v>
      </c>
      <c r="G912" s="1929">
        <v>27.8</v>
      </c>
      <c r="H912" s="1929">
        <v>-0.3</v>
      </c>
      <c r="I912" s="1929">
        <v>16.100000000000001</v>
      </c>
      <c r="J912" s="1929">
        <v>1278</v>
      </c>
      <c r="K912" s="1929" t="s">
        <v>3484</v>
      </c>
    </row>
    <row r="913" spans="1:11" hidden="1" x14ac:dyDescent="0.2">
      <c r="A913" s="1929" t="s">
        <v>3483</v>
      </c>
      <c r="B913" s="1929" t="s">
        <v>1249</v>
      </c>
      <c r="C913" s="1929" t="s">
        <v>1248</v>
      </c>
      <c r="D913" s="1929" t="s">
        <v>1226</v>
      </c>
      <c r="E913" s="1929" t="s">
        <v>50</v>
      </c>
      <c r="F913" s="1929">
        <v>70.900000000000006</v>
      </c>
      <c r="G913" s="1929">
        <v>61.6</v>
      </c>
      <c r="H913" s="1929">
        <v>5.8</v>
      </c>
      <c r="I913" s="1929">
        <v>79</v>
      </c>
      <c r="J913" s="1929">
        <v>115</v>
      </c>
      <c r="K913" s="1929" t="s">
        <v>3482</v>
      </c>
    </row>
    <row r="914" spans="1:11" hidden="1" x14ac:dyDescent="0.2">
      <c r="A914" s="1929" t="s">
        <v>3481</v>
      </c>
      <c r="B914" s="1929" t="s">
        <v>1306</v>
      </c>
      <c r="C914" s="1929" t="s">
        <v>1413</v>
      </c>
      <c r="D914" s="1929" t="s">
        <v>1226</v>
      </c>
      <c r="E914" s="1929" t="s">
        <v>50</v>
      </c>
      <c r="F914" s="1929">
        <v>33.299999999999997</v>
      </c>
      <c r="G914" s="1929">
        <v>20</v>
      </c>
      <c r="H914" s="1929">
        <v>1.2</v>
      </c>
      <c r="I914" s="1929">
        <v>27.4</v>
      </c>
      <c r="J914" s="1929">
        <v>373</v>
      </c>
      <c r="K914" s="1929" t="s">
        <v>3480</v>
      </c>
    </row>
    <row r="915" spans="1:11" hidden="1" x14ac:dyDescent="0.2">
      <c r="A915" s="1929" t="s">
        <v>3479</v>
      </c>
      <c r="B915" s="1929" t="s">
        <v>1217</v>
      </c>
      <c r="C915" s="1929" t="s">
        <v>1216</v>
      </c>
      <c r="D915" s="1929" t="s">
        <v>1226</v>
      </c>
      <c r="E915" s="1929" t="s">
        <v>50</v>
      </c>
      <c r="F915" s="1929">
        <v>18.2</v>
      </c>
      <c r="G915" s="1929">
        <v>8.4</v>
      </c>
      <c r="H915" s="1929">
        <v>1.1000000000000001</v>
      </c>
      <c r="I915" s="1929">
        <v>76.900000000000006</v>
      </c>
      <c r="J915" s="1929">
        <v>469</v>
      </c>
      <c r="K915" s="1929" t="s">
        <v>3478</v>
      </c>
    </row>
    <row r="916" spans="1:11" hidden="1" x14ac:dyDescent="0.2">
      <c r="A916" s="1929" t="s">
        <v>3477</v>
      </c>
      <c r="B916" s="1929" t="s">
        <v>1234</v>
      </c>
      <c r="C916" s="1929" t="s">
        <v>1337</v>
      </c>
      <c r="D916" s="1929" t="s">
        <v>1226</v>
      </c>
      <c r="E916" s="1929" t="s">
        <v>50</v>
      </c>
      <c r="F916" s="1929">
        <v>24.4</v>
      </c>
      <c r="G916" s="1929">
        <v>9.4</v>
      </c>
      <c r="H916" s="1929">
        <v>1.8</v>
      </c>
      <c r="I916" s="1929">
        <v>20.2</v>
      </c>
      <c r="J916" s="1929">
        <v>529</v>
      </c>
      <c r="K916" s="1929" t="s">
        <v>3476</v>
      </c>
    </row>
    <row r="917" spans="1:11" hidden="1" x14ac:dyDescent="0.2">
      <c r="A917" s="1929" t="s">
        <v>3475</v>
      </c>
      <c r="B917" s="1929" t="s">
        <v>1306</v>
      </c>
      <c r="C917" s="1929" t="s">
        <v>1413</v>
      </c>
      <c r="D917" s="1929" t="s">
        <v>1226</v>
      </c>
      <c r="E917" s="1929" t="s">
        <v>50</v>
      </c>
      <c r="F917" s="1929">
        <v>41.1</v>
      </c>
      <c r="G917" s="1929">
        <v>6.9</v>
      </c>
      <c r="H917" s="1929">
        <v>3.8</v>
      </c>
      <c r="I917" s="1929">
        <v>15</v>
      </c>
      <c r="J917" s="1929">
        <v>564</v>
      </c>
      <c r="K917" s="1929" t="s">
        <v>3474</v>
      </c>
    </row>
    <row r="918" spans="1:11" hidden="1" x14ac:dyDescent="0.2">
      <c r="A918" s="1929" t="s">
        <v>3473</v>
      </c>
      <c r="B918" s="1929" t="s">
        <v>1217</v>
      </c>
      <c r="C918" s="1929" t="s">
        <v>1216</v>
      </c>
      <c r="D918" s="1929" t="s">
        <v>1226</v>
      </c>
      <c r="E918" s="1929" t="s">
        <v>50</v>
      </c>
      <c r="F918" s="1929">
        <v>16.899999999999999</v>
      </c>
      <c r="G918" s="1929">
        <v>4.4000000000000004</v>
      </c>
      <c r="H918" s="1929">
        <v>1.3</v>
      </c>
      <c r="I918" s="1929">
        <v>27.5</v>
      </c>
      <c r="J918" s="1929">
        <v>744</v>
      </c>
      <c r="K918" s="1929" t="s">
        <v>3472</v>
      </c>
    </row>
    <row r="919" spans="1:11" hidden="1" x14ac:dyDescent="0.2">
      <c r="A919" s="1929" t="s">
        <v>3471</v>
      </c>
      <c r="B919" s="1929" t="s">
        <v>1234</v>
      </c>
      <c r="C919" s="1929" t="s">
        <v>1476</v>
      </c>
      <c r="D919" s="1929" t="s">
        <v>1226</v>
      </c>
      <c r="E919" s="1929" t="s">
        <v>50</v>
      </c>
      <c r="F919" s="1929">
        <v>14.5</v>
      </c>
      <c r="G919" s="1929">
        <v>15.3</v>
      </c>
      <c r="H919" s="1929">
        <v>-0.8</v>
      </c>
      <c r="I919" s="1929">
        <v>37.9</v>
      </c>
      <c r="J919" s="1929">
        <v>788</v>
      </c>
      <c r="K919" s="1929" t="s">
        <v>3470</v>
      </c>
    </row>
    <row r="920" spans="1:11" hidden="1" x14ac:dyDescent="0.2">
      <c r="A920" s="1929" t="s">
        <v>3469</v>
      </c>
      <c r="B920" s="1929" t="s">
        <v>1238</v>
      </c>
      <c r="C920" s="1929" t="s">
        <v>1878</v>
      </c>
      <c r="D920" s="1929" t="s">
        <v>1226</v>
      </c>
      <c r="E920" s="1929" t="s">
        <v>50</v>
      </c>
      <c r="F920" s="1929">
        <v>13.2</v>
      </c>
      <c r="G920" s="1929">
        <v>15.9</v>
      </c>
      <c r="H920" s="1929">
        <v>0.5</v>
      </c>
      <c r="I920" s="1929">
        <v>12.6</v>
      </c>
      <c r="J920" s="1929">
        <v>826</v>
      </c>
      <c r="K920" s="1929" t="s">
        <v>3468</v>
      </c>
    </row>
    <row r="921" spans="1:11" hidden="1" x14ac:dyDescent="0.2">
      <c r="A921" s="1929" t="s">
        <v>3467</v>
      </c>
      <c r="B921" s="1929" t="s">
        <v>1228</v>
      </c>
      <c r="C921" s="1929" t="s">
        <v>1315</v>
      </c>
      <c r="D921" s="1929" t="s">
        <v>1226</v>
      </c>
      <c r="E921" s="1929" t="s">
        <v>50</v>
      </c>
      <c r="F921" s="1929">
        <v>19.399999999999999</v>
      </c>
      <c r="G921" s="1929">
        <v>5.8</v>
      </c>
      <c r="H921" s="1929">
        <v>0.6</v>
      </c>
      <c r="I921" s="1929">
        <v>15</v>
      </c>
      <c r="J921" s="1929">
        <v>877</v>
      </c>
      <c r="K921" s="1929" t="s">
        <v>3466</v>
      </c>
    </row>
    <row r="922" spans="1:11" hidden="1" x14ac:dyDescent="0.2">
      <c r="A922" s="1929" t="s">
        <v>3465</v>
      </c>
      <c r="B922" s="1929" t="s">
        <v>1238</v>
      </c>
      <c r="C922" s="1929" t="s">
        <v>1878</v>
      </c>
      <c r="D922" s="1929" t="s">
        <v>1226</v>
      </c>
      <c r="E922" s="1929" t="s">
        <v>50</v>
      </c>
      <c r="F922" s="1929">
        <v>12.1</v>
      </c>
      <c r="G922" s="1929">
        <v>6.7</v>
      </c>
      <c r="H922" s="1929">
        <v>1.1000000000000001</v>
      </c>
      <c r="I922" s="1929">
        <v>6.6</v>
      </c>
      <c r="J922" s="1929">
        <v>995</v>
      </c>
      <c r="K922" s="1929" t="s">
        <v>3464</v>
      </c>
    </row>
    <row r="923" spans="1:11" hidden="1" x14ac:dyDescent="0.2">
      <c r="A923" s="1929" t="s">
        <v>3463</v>
      </c>
      <c r="B923" s="1929" t="s">
        <v>1306</v>
      </c>
      <c r="C923" s="1929" t="s">
        <v>1305</v>
      </c>
      <c r="D923" s="1929" t="s">
        <v>1226</v>
      </c>
      <c r="E923" s="1929" t="s">
        <v>50</v>
      </c>
      <c r="F923" s="1929">
        <v>12.8</v>
      </c>
      <c r="G923" s="1929">
        <v>13.8</v>
      </c>
      <c r="H923" s="1929">
        <v>0.3</v>
      </c>
      <c r="I923" s="1929">
        <v>10.3</v>
      </c>
      <c r="J923" s="1929">
        <v>1027</v>
      </c>
      <c r="K923" s="1929" t="s">
        <v>3462</v>
      </c>
    </row>
    <row r="924" spans="1:11" hidden="1" x14ac:dyDescent="0.2">
      <c r="A924" s="1929" t="s">
        <v>3461</v>
      </c>
      <c r="B924" s="1929" t="s">
        <v>1228</v>
      </c>
      <c r="C924" s="1929" t="s">
        <v>1466</v>
      </c>
      <c r="D924" s="1929" t="s">
        <v>1226</v>
      </c>
      <c r="E924" s="1929" t="s">
        <v>50</v>
      </c>
      <c r="F924" s="1929">
        <v>14.3</v>
      </c>
      <c r="G924" s="1929">
        <v>5.8</v>
      </c>
      <c r="H924" s="1929">
        <v>0.6</v>
      </c>
      <c r="I924" s="1929">
        <v>7.4</v>
      </c>
      <c r="J924" s="1929">
        <v>1147</v>
      </c>
      <c r="K924" s="1929" t="s">
        <v>3460</v>
      </c>
    </row>
    <row r="925" spans="1:11" hidden="1" x14ac:dyDescent="0.2">
      <c r="A925" s="1929" t="s">
        <v>3459</v>
      </c>
      <c r="B925" s="1929" t="s">
        <v>1306</v>
      </c>
      <c r="C925" s="1929" t="s">
        <v>1413</v>
      </c>
      <c r="D925" s="1929" t="s">
        <v>1226</v>
      </c>
      <c r="E925" s="1929" t="s">
        <v>50</v>
      </c>
      <c r="F925" s="1929">
        <v>9.4</v>
      </c>
      <c r="G925" s="1929">
        <v>4.7</v>
      </c>
      <c r="H925" s="1929">
        <v>0.5</v>
      </c>
      <c r="I925" s="1929">
        <v>5.0999999999999996</v>
      </c>
      <c r="J925" s="1929">
        <v>1513</v>
      </c>
      <c r="K925" s="1929" t="s">
        <v>3458</v>
      </c>
    </row>
    <row r="926" spans="1:11" hidden="1" x14ac:dyDescent="0.2">
      <c r="A926" s="1929" t="s">
        <v>3457</v>
      </c>
      <c r="B926" s="1929" t="s">
        <v>1234</v>
      </c>
      <c r="C926" s="1929" t="s">
        <v>1337</v>
      </c>
      <c r="D926" s="1929" t="s">
        <v>1226</v>
      </c>
      <c r="E926" s="1929" t="s">
        <v>50</v>
      </c>
      <c r="F926" s="1929">
        <v>9.9</v>
      </c>
      <c r="G926" s="1929">
        <v>5.2</v>
      </c>
      <c r="H926" s="1929">
        <v>0.4</v>
      </c>
      <c r="I926" s="1929">
        <v>7</v>
      </c>
      <c r="J926" s="1929">
        <v>1541</v>
      </c>
      <c r="K926" s="1929" t="s">
        <v>3456</v>
      </c>
    </row>
    <row r="927" spans="1:11" hidden="1" x14ac:dyDescent="0.2">
      <c r="A927" s="1929" t="s">
        <v>3455</v>
      </c>
      <c r="B927" s="1929" t="s">
        <v>1245</v>
      </c>
      <c r="C927" s="1929" t="s">
        <v>1384</v>
      </c>
      <c r="D927" s="1929" t="s">
        <v>1226</v>
      </c>
      <c r="E927" s="1929" t="s">
        <v>50</v>
      </c>
      <c r="F927" s="1929">
        <v>7.3</v>
      </c>
      <c r="G927" s="1929">
        <v>5.6</v>
      </c>
      <c r="H927" s="1929">
        <v>0.1</v>
      </c>
      <c r="I927" s="1929">
        <v>13.4</v>
      </c>
      <c r="J927" s="1929">
        <v>1647</v>
      </c>
      <c r="K927" s="1929" t="s">
        <v>3454</v>
      </c>
    </row>
    <row r="928" spans="1:11" hidden="1" x14ac:dyDescent="0.2">
      <c r="A928" s="1929" t="s">
        <v>3453</v>
      </c>
      <c r="B928" s="1929" t="s">
        <v>1306</v>
      </c>
      <c r="C928" s="1929" t="s">
        <v>1389</v>
      </c>
      <c r="D928" s="1929" t="s">
        <v>1226</v>
      </c>
      <c r="E928" s="1929" t="s">
        <v>50</v>
      </c>
      <c r="F928" s="1929">
        <v>8.4</v>
      </c>
      <c r="G928" s="1929">
        <v>2.2999999999999998</v>
      </c>
      <c r="H928" s="1929">
        <v>0.4</v>
      </c>
      <c r="I928" s="1929">
        <v>2.2999999999999998</v>
      </c>
      <c r="J928" s="1929">
        <v>1928</v>
      </c>
      <c r="K928" s="1929" t="s">
        <v>3452</v>
      </c>
    </row>
    <row r="929" spans="1:11" hidden="1" x14ac:dyDescent="0.2">
      <c r="A929" s="1929" t="s">
        <v>3451</v>
      </c>
      <c r="B929" s="1929" t="s">
        <v>1217</v>
      </c>
      <c r="C929" s="1929" t="s">
        <v>1216</v>
      </c>
      <c r="D929" s="1929" t="s">
        <v>305</v>
      </c>
      <c r="E929" s="1929" t="s">
        <v>530</v>
      </c>
      <c r="F929" s="1929">
        <v>7.9</v>
      </c>
      <c r="G929" s="1929">
        <v>2.8</v>
      </c>
      <c r="H929" s="1929">
        <v>0.5</v>
      </c>
      <c r="I929" s="1929">
        <v>44.9</v>
      </c>
      <c r="J929" s="1929">
        <v>1065</v>
      </c>
      <c r="K929" s="1929" t="s">
        <v>3450</v>
      </c>
    </row>
    <row r="930" spans="1:11" hidden="1" x14ac:dyDescent="0.2">
      <c r="A930" s="1929" t="s">
        <v>3449</v>
      </c>
      <c r="B930" s="1929" t="s">
        <v>1217</v>
      </c>
      <c r="C930" s="1929" t="s">
        <v>1216</v>
      </c>
      <c r="D930" s="1929" t="s">
        <v>305</v>
      </c>
      <c r="E930" s="1929" t="s">
        <v>530</v>
      </c>
      <c r="F930" s="1929">
        <v>4.0999999999999996</v>
      </c>
      <c r="G930" s="1929">
        <v>2.2000000000000002</v>
      </c>
      <c r="H930" s="1929">
        <v>0.2</v>
      </c>
      <c r="I930" s="1929">
        <v>35.6</v>
      </c>
      <c r="J930" s="1929">
        <v>1842</v>
      </c>
      <c r="K930" s="1929" t="s">
        <v>3448</v>
      </c>
    </row>
    <row r="931" spans="1:11" hidden="1" x14ac:dyDescent="0.2">
      <c r="A931" s="1929" t="s">
        <v>3447</v>
      </c>
      <c r="B931" s="1929" t="s">
        <v>1217</v>
      </c>
      <c r="C931" s="1929" t="s">
        <v>1216</v>
      </c>
      <c r="D931" s="1929" t="s">
        <v>305</v>
      </c>
      <c r="E931" s="1929" t="s">
        <v>530</v>
      </c>
      <c r="F931" s="1929">
        <v>4.5999999999999996</v>
      </c>
      <c r="G931" s="1929">
        <v>1.5</v>
      </c>
      <c r="H931" s="1929">
        <v>0.1</v>
      </c>
      <c r="I931" s="1929">
        <v>26.3</v>
      </c>
      <c r="J931" s="1929">
        <v>1997</v>
      </c>
      <c r="K931" s="1929" t="s">
        <v>3446</v>
      </c>
    </row>
    <row r="932" spans="1:11" x14ac:dyDescent="0.2">
      <c r="A932" s="1929" t="s">
        <v>3445</v>
      </c>
      <c r="B932" s="1929" t="s">
        <v>1258</v>
      </c>
      <c r="C932" s="1929" t="s">
        <v>1263</v>
      </c>
      <c r="D932" s="1929" t="s">
        <v>303</v>
      </c>
      <c r="E932" s="1929" t="s">
        <v>51</v>
      </c>
      <c r="F932" s="1929">
        <v>234.1</v>
      </c>
      <c r="G932" s="1929">
        <v>451.4</v>
      </c>
      <c r="H932" s="1929">
        <v>16.399999999999999</v>
      </c>
      <c r="I932" s="1929">
        <v>357.5</v>
      </c>
      <c r="J932" s="1929">
        <v>11</v>
      </c>
      <c r="K932" s="1929" t="s">
        <v>3444</v>
      </c>
    </row>
    <row r="933" spans="1:11" x14ac:dyDescent="0.2">
      <c r="A933" s="1929" t="s">
        <v>3443</v>
      </c>
      <c r="B933" s="1929" t="s">
        <v>1217</v>
      </c>
      <c r="C933" s="1929" t="s">
        <v>1302</v>
      </c>
      <c r="D933" s="1929" t="s">
        <v>303</v>
      </c>
      <c r="E933" s="1929" t="s">
        <v>51</v>
      </c>
      <c r="F933" s="1929">
        <v>56.1</v>
      </c>
      <c r="G933" s="1929">
        <v>34.5</v>
      </c>
      <c r="H933" s="1929">
        <v>4.4000000000000004</v>
      </c>
      <c r="I933" s="1929">
        <v>1488.7</v>
      </c>
      <c r="J933" s="1929">
        <v>97</v>
      </c>
      <c r="K933" s="1929" t="s">
        <v>3442</v>
      </c>
    </row>
    <row r="934" spans="1:11" x14ac:dyDescent="0.2">
      <c r="A934" s="1929" t="s">
        <v>3441</v>
      </c>
      <c r="B934" s="1929" t="s">
        <v>1306</v>
      </c>
      <c r="C934" s="1929" t="s">
        <v>1305</v>
      </c>
      <c r="D934" s="1929" t="s">
        <v>303</v>
      </c>
      <c r="E934" s="1929" t="s">
        <v>51</v>
      </c>
      <c r="F934" s="1929">
        <v>124.5</v>
      </c>
      <c r="G934" s="1929">
        <v>66.099999999999994</v>
      </c>
      <c r="H934" s="1929">
        <v>6.4</v>
      </c>
      <c r="I934" s="1929">
        <v>62.7</v>
      </c>
      <c r="J934" s="1929">
        <v>110</v>
      </c>
      <c r="K934" s="1929" t="s">
        <v>3440</v>
      </c>
    </row>
    <row r="935" spans="1:11" x14ac:dyDescent="0.2">
      <c r="A935" s="1929" t="s">
        <v>3439</v>
      </c>
      <c r="B935" s="1929" t="s">
        <v>1234</v>
      </c>
      <c r="C935" s="1929" t="s">
        <v>1461</v>
      </c>
      <c r="D935" s="1929" t="s">
        <v>303</v>
      </c>
      <c r="E935" s="1929" t="s">
        <v>51</v>
      </c>
      <c r="F935" s="1929">
        <v>48.2</v>
      </c>
      <c r="G935" s="1929">
        <v>44.1</v>
      </c>
      <c r="H935" s="1929">
        <v>3.8</v>
      </c>
      <c r="I935" s="1929">
        <v>27.3</v>
      </c>
      <c r="J935" s="1929">
        <v>226</v>
      </c>
      <c r="K935" s="1929" t="s">
        <v>3438</v>
      </c>
    </row>
    <row r="936" spans="1:11" x14ac:dyDescent="0.2">
      <c r="A936" s="1929" t="s">
        <v>3437</v>
      </c>
      <c r="B936" s="1929" t="s">
        <v>1217</v>
      </c>
      <c r="C936" s="1929" t="s">
        <v>1252</v>
      </c>
      <c r="D936" s="1929" t="s">
        <v>303</v>
      </c>
      <c r="E936" s="1929" t="s">
        <v>51</v>
      </c>
      <c r="F936" s="1929">
        <v>19.8</v>
      </c>
      <c r="G936" s="1929">
        <v>40.200000000000003</v>
      </c>
      <c r="H936" s="1929">
        <v>1.1000000000000001</v>
      </c>
      <c r="I936" s="1929">
        <v>473</v>
      </c>
      <c r="J936" s="1929">
        <v>234</v>
      </c>
      <c r="K936" s="1929" t="s">
        <v>3436</v>
      </c>
    </row>
    <row r="937" spans="1:11" x14ac:dyDescent="0.2">
      <c r="A937" s="1929" t="s">
        <v>3435</v>
      </c>
      <c r="B937" s="1929" t="s">
        <v>1306</v>
      </c>
      <c r="C937" s="1929" t="s">
        <v>1413</v>
      </c>
      <c r="D937" s="1929" t="s">
        <v>303</v>
      </c>
      <c r="E937" s="1929" t="s">
        <v>51</v>
      </c>
      <c r="F937" s="1929">
        <v>40.299999999999997</v>
      </c>
      <c r="G937" s="1929">
        <v>25.5</v>
      </c>
      <c r="H937" s="1929">
        <v>1.8</v>
      </c>
      <c r="I937" s="1929">
        <v>45.9</v>
      </c>
      <c r="J937" s="1929">
        <v>245</v>
      </c>
      <c r="K937" s="1929" t="s">
        <v>3434</v>
      </c>
    </row>
    <row r="938" spans="1:11" x14ac:dyDescent="0.2">
      <c r="A938" s="1929" t="s">
        <v>3433</v>
      </c>
      <c r="B938" s="1929" t="s">
        <v>1238</v>
      </c>
      <c r="C938" s="1929" t="s">
        <v>1878</v>
      </c>
      <c r="D938" s="1929" t="s">
        <v>303</v>
      </c>
      <c r="E938" s="1929" t="s">
        <v>51</v>
      </c>
      <c r="F938" s="1929">
        <v>32.200000000000003</v>
      </c>
      <c r="G938" s="1929">
        <v>31</v>
      </c>
      <c r="H938" s="1929">
        <v>1.6</v>
      </c>
      <c r="I938" s="1929">
        <v>36.6</v>
      </c>
      <c r="J938" s="1929">
        <v>296</v>
      </c>
      <c r="K938" s="1929" t="s">
        <v>3432</v>
      </c>
    </row>
    <row r="939" spans="1:11" x14ac:dyDescent="0.2">
      <c r="A939" s="1929" t="s">
        <v>3431</v>
      </c>
      <c r="B939" s="1929" t="s">
        <v>1306</v>
      </c>
      <c r="C939" s="1929" t="s">
        <v>1392</v>
      </c>
      <c r="D939" s="1929" t="s">
        <v>303</v>
      </c>
      <c r="E939" s="1929" t="s">
        <v>51</v>
      </c>
      <c r="F939" s="1929">
        <v>19.600000000000001</v>
      </c>
      <c r="G939" s="1929">
        <v>43.4</v>
      </c>
      <c r="H939" s="1929">
        <v>1.2</v>
      </c>
      <c r="I939" s="1929">
        <v>20.9</v>
      </c>
      <c r="J939" s="1929">
        <v>402</v>
      </c>
      <c r="K939" s="1929" t="s">
        <v>3430</v>
      </c>
    </row>
    <row r="940" spans="1:11" x14ac:dyDescent="0.2">
      <c r="A940" s="1929" t="s">
        <v>3429</v>
      </c>
      <c r="B940" s="1929" t="s">
        <v>1217</v>
      </c>
      <c r="C940" s="1929" t="s">
        <v>1252</v>
      </c>
      <c r="D940" s="1929" t="s">
        <v>303</v>
      </c>
      <c r="E940" s="1929" t="s">
        <v>51</v>
      </c>
      <c r="F940" s="1929">
        <v>10.199999999999999</v>
      </c>
      <c r="G940" s="1929">
        <v>15.8</v>
      </c>
      <c r="H940" s="1929">
        <v>0.8</v>
      </c>
      <c r="I940" s="1929">
        <v>129</v>
      </c>
      <c r="J940" s="1929">
        <v>470</v>
      </c>
      <c r="K940" s="1929" t="s">
        <v>3428</v>
      </c>
    </row>
    <row r="941" spans="1:11" x14ac:dyDescent="0.2">
      <c r="A941" s="1929" t="s">
        <v>3427</v>
      </c>
      <c r="B941" s="1929" t="s">
        <v>1234</v>
      </c>
      <c r="C941" s="1929" t="s">
        <v>1461</v>
      </c>
      <c r="D941" s="1929" t="s">
        <v>303</v>
      </c>
      <c r="E941" s="1929" t="s">
        <v>51</v>
      </c>
      <c r="F941" s="1929">
        <v>19.8</v>
      </c>
      <c r="G941" s="1929">
        <v>19.399999999999999</v>
      </c>
      <c r="H941" s="1929">
        <v>1</v>
      </c>
      <c r="I941" s="1929">
        <v>22.1</v>
      </c>
      <c r="J941" s="1929">
        <v>477</v>
      </c>
      <c r="K941" s="1929" t="s">
        <v>3426</v>
      </c>
    </row>
    <row r="942" spans="1:11" x14ac:dyDescent="0.2">
      <c r="A942" s="1929" t="s">
        <v>3425</v>
      </c>
      <c r="B942" s="1929" t="s">
        <v>1245</v>
      </c>
      <c r="C942" s="1929" t="s">
        <v>1320</v>
      </c>
      <c r="D942" s="1929" t="s">
        <v>303</v>
      </c>
      <c r="E942" s="1929" t="s">
        <v>51</v>
      </c>
      <c r="F942" s="1929">
        <v>41.2</v>
      </c>
      <c r="G942" s="1929">
        <v>7</v>
      </c>
      <c r="H942" s="1929">
        <v>1.6</v>
      </c>
      <c r="I942" s="1929">
        <v>16.8</v>
      </c>
      <c r="J942" s="1929">
        <v>591</v>
      </c>
      <c r="K942" s="1929" t="s">
        <v>3424</v>
      </c>
    </row>
    <row r="943" spans="1:11" x14ac:dyDescent="0.2">
      <c r="A943" s="1929" t="s">
        <v>3423</v>
      </c>
      <c r="B943" s="1929" t="s">
        <v>1249</v>
      </c>
      <c r="C943" s="1929" t="s">
        <v>1248</v>
      </c>
      <c r="D943" s="1929" t="s">
        <v>303</v>
      </c>
      <c r="E943" s="1929" t="s">
        <v>51</v>
      </c>
      <c r="F943" s="1929">
        <v>15.9</v>
      </c>
      <c r="G943" s="1929">
        <v>21.9</v>
      </c>
      <c r="H943" s="1929">
        <v>-1.4</v>
      </c>
      <c r="I943" s="1929">
        <v>50.4</v>
      </c>
      <c r="J943" s="1929">
        <v>682</v>
      </c>
      <c r="K943" s="1929" t="s">
        <v>3422</v>
      </c>
    </row>
    <row r="944" spans="1:11" x14ac:dyDescent="0.2">
      <c r="A944" s="1929" t="s">
        <v>3421</v>
      </c>
      <c r="B944" s="1929" t="s">
        <v>1249</v>
      </c>
      <c r="C944" s="1929" t="s">
        <v>1248</v>
      </c>
      <c r="D944" s="1929" t="s">
        <v>303</v>
      </c>
      <c r="E944" s="1929" t="s">
        <v>51</v>
      </c>
      <c r="F944" s="1929">
        <v>15.2</v>
      </c>
      <c r="G944" s="1929">
        <v>13.2</v>
      </c>
      <c r="H944" s="1929">
        <v>-0.3</v>
      </c>
      <c r="I944" s="1929">
        <v>35.6</v>
      </c>
      <c r="J944" s="1929">
        <v>811</v>
      </c>
      <c r="K944" s="1929" t="s">
        <v>3420</v>
      </c>
    </row>
    <row r="945" spans="1:11" x14ac:dyDescent="0.2">
      <c r="A945" s="1929" t="s">
        <v>3419</v>
      </c>
      <c r="B945" s="1929" t="s">
        <v>1234</v>
      </c>
      <c r="C945" s="1929" t="s">
        <v>1461</v>
      </c>
      <c r="D945" s="1929" t="s">
        <v>303</v>
      </c>
      <c r="E945" s="1929" t="s">
        <v>51</v>
      </c>
      <c r="F945" s="1929">
        <v>12.1</v>
      </c>
      <c r="G945" s="1929">
        <v>12</v>
      </c>
      <c r="H945" s="1929">
        <v>0.4</v>
      </c>
      <c r="I945" s="1929">
        <v>16.600000000000001</v>
      </c>
      <c r="J945" s="1929">
        <v>908</v>
      </c>
      <c r="K945" s="1929" t="s">
        <v>3418</v>
      </c>
    </row>
    <row r="946" spans="1:11" x14ac:dyDescent="0.2">
      <c r="A946" s="1929" t="s">
        <v>3417</v>
      </c>
      <c r="B946" s="1929" t="s">
        <v>1228</v>
      </c>
      <c r="C946" s="1929" t="s">
        <v>1227</v>
      </c>
      <c r="D946" s="1929" t="s">
        <v>303</v>
      </c>
      <c r="E946" s="1929" t="s">
        <v>51</v>
      </c>
      <c r="F946" s="1929">
        <v>10.6</v>
      </c>
      <c r="G946" s="1929">
        <v>22</v>
      </c>
      <c r="H946" s="1929">
        <v>0.3</v>
      </c>
      <c r="I946" s="1929">
        <v>9.1</v>
      </c>
      <c r="J946" s="1929">
        <v>1064</v>
      </c>
      <c r="K946" s="1929" t="s">
        <v>3416</v>
      </c>
    </row>
    <row r="947" spans="1:11" x14ac:dyDescent="0.2">
      <c r="A947" s="1929" t="s">
        <v>3415</v>
      </c>
      <c r="B947" s="1929" t="s">
        <v>1238</v>
      </c>
      <c r="C947" s="1929" t="s">
        <v>1241</v>
      </c>
      <c r="D947" s="1929" t="s">
        <v>303</v>
      </c>
      <c r="E947" s="1929" t="s">
        <v>51</v>
      </c>
      <c r="F947" s="1929">
        <v>9.4</v>
      </c>
      <c r="G947" s="1929">
        <v>11.1</v>
      </c>
      <c r="H947" s="1929">
        <v>0.5</v>
      </c>
      <c r="I947" s="1929">
        <v>9.4</v>
      </c>
      <c r="J947" s="1929">
        <v>1084</v>
      </c>
      <c r="K947" s="1929" t="s">
        <v>3414</v>
      </c>
    </row>
    <row r="948" spans="1:11" x14ac:dyDescent="0.2">
      <c r="A948" s="1929" t="s">
        <v>3413</v>
      </c>
      <c r="B948" s="1929" t="s">
        <v>1217</v>
      </c>
      <c r="C948" s="1929" t="s">
        <v>1252</v>
      </c>
      <c r="D948" s="1929" t="s">
        <v>303</v>
      </c>
      <c r="E948" s="1929" t="s">
        <v>51</v>
      </c>
      <c r="F948" s="1929">
        <v>5.5</v>
      </c>
      <c r="G948" s="1929">
        <v>8.1999999999999993</v>
      </c>
      <c r="H948" s="1929">
        <v>0.2</v>
      </c>
      <c r="I948" s="1929">
        <v>104.7</v>
      </c>
      <c r="J948" s="1929">
        <v>1117</v>
      </c>
      <c r="K948" s="1929" t="s">
        <v>3412</v>
      </c>
    </row>
    <row r="949" spans="1:11" x14ac:dyDescent="0.2">
      <c r="A949" s="1929" t="s">
        <v>3411</v>
      </c>
      <c r="B949" s="1929" t="s">
        <v>1217</v>
      </c>
      <c r="C949" s="1929" t="s">
        <v>1368</v>
      </c>
      <c r="D949" s="1929" t="s">
        <v>303</v>
      </c>
      <c r="E949" s="1929" t="s">
        <v>51</v>
      </c>
      <c r="F949" s="1929">
        <v>9.8000000000000007</v>
      </c>
      <c r="G949" s="1929">
        <v>5.5</v>
      </c>
      <c r="H949" s="1929">
        <v>0.6</v>
      </c>
      <c r="I949" s="1929">
        <v>9.8000000000000007</v>
      </c>
      <c r="J949" s="1929">
        <v>1214</v>
      </c>
      <c r="K949" s="1929" t="s">
        <v>3410</v>
      </c>
    </row>
    <row r="950" spans="1:11" x14ac:dyDescent="0.2">
      <c r="A950" s="1929" t="s">
        <v>3409</v>
      </c>
      <c r="B950" s="1929" t="s">
        <v>1245</v>
      </c>
      <c r="C950" s="1929" t="s">
        <v>1320</v>
      </c>
      <c r="D950" s="1929" t="s">
        <v>303</v>
      </c>
      <c r="E950" s="1929" t="s">
        <v>51</v>
      </c>
      <c r="F950" s="1929">
        <v>15.1</v>
      </c>
      <c r="G950" s="1929">
        <v>4.8</v>
      </c>
      <c r="H950" s="1929">
        <v>0.3</v>
      </c>
      <c r="I950" s="1929">
        <v>6.4</v>
      </c>
      <c r="J950" s="1929">
        <v>1474</v>
      </c>
      <c r="K950" s="1929" t="s">
        <v>3408</v>
      </c>
    </row>
    <row r="951" spans="1:11" x14ac:dyDescent="0.2">
      <c r="A951" s="1929" t="s">
        <v>3407</v>
      </c>
      <c r="B951" s="1929" t="s">
        <v>1228</v>
      </c>
      <c r="C951" s="1929" t="s">
        <v>1408</v>
      </c>
      <c r="D951" s="1929" t="s">
        <v>303</v>
      </c>
      <c r="E951" s="1929" t="s">
        <v>51</v>
      </c>
      <c r="F951" s="1929">
        <v>8.4</v>
      </c>
      <c r="G951" s="1929">
        <v>4.7</v>
      </c>
      <c r="H951" s="1929">
        <v>0.5</v>
      </c>
      <c r="I951" s="1929">
        <v>9.5</v>
      </c>
      <c r="J951" s="1929">
        <v>1507</v>
      </c>
      <c r="K951" s="1929" t="s">
        <v>3406</v>
      </c>
    </row>
    <row r="952" spans="1:11" x14ac:dyDescent="0.2">
      <c r="A952" s="1929" t="s">
        <v>3405</v>
      </c>
      <c r="D952" s="1929" t="s">
        <v>303</v>
      </c>
      <c r="E952" s="1929" t="s">
        <v>51</v>
      </c>
      <c r="F952" s="1929">
        <v>9.5</v>
      </c>
      <c r="G952" s="1929">
        <v>5.5</v>
      </c>
      <c r="H952" s="1929">
        <v>0.3</v>
      </c>
      <c r="I952" s="1929">
        <v>11.1</v>
      </c>
      <c r="J952" s="1929">
        <v>1593</v>
      </c>
      <c r="K952" s="1929" t="s">
        <v>3404</v>
      </c>
    </row>
    <row r="953" spans="1:11" x14ac:dyDescent="0.2">
      <c r="A953" s="1929" t="s">
        <v>3403</v>
      </c>
      <c r="B953" s="1929" t="s">
        <v>1245</v>
      </c>
      <c r="C953" s="1929" t="s">
        <v>1244</v>
      </c>
      <c r="D953" s="1929" t="s">
        <v>303</v>
      </c>
      <c r="E953" s="1929" t="s">
        <v>51</v>
      </c>
      <c r="F953" s="1929">
        <v>10.199999999999999</v>
      </c>
      <c r="G953" s="1929">
        <v>1.2</v>
      </c>
      <c r="H953" s="1929">
        <v>0.4</v>
      </c>
      <c r="I953" s="1929">
        <v>2.2000000000000002</v>
      </c>
      <c r="J953" s="1929">
        <v>1651</v>
      </c>
      <c r="K953" s="1929" t="s">
        <v>3402</v>
      </c>
    </row>
    <row r="954" spans="1:11" x14ac:dyDescent="0.2">
      <c r="A954" s="1929" t="s">
        <v>3401</v>
      </c>
      <c r="D954" s="1929" t="s">
        <v>303</v>
      </c>
      <c r="E954" s="1929" t="s">
        <v>51</v>
      </c>
      <c r="F954" s="1929">
        <v>8.9</v>
      </c>
      <c r="G954" s="1929">
        <v>2.1</v>
      </c>
      <c r="H954" s="1929">
        <v>0.5</v>
      </c>
      <c r="I954" s="1929">
        <v>7.3</v>
      </c>
      <c r="J954" s="1929">
        <v>1677</v>
      </c>
      <c r="K954" s="1929" t="s">
        <v>3400</v>
      </c>
    </row>
    <row r="955" spans="1:11" x14ac:dyDescent="0.2">
      <c r="A955" s="1929" t="s">
        <v>3399</v>
      </c>
      <c r="B955" s="1929" t="s">
        <v>1245</v>
      </c>
      <c r="C955" s="1929" t="s">
        <v>1320</v>
      </c>
      <c r="D955" s="1929" t="s">
        <v>303</v>
      </c>
      <c r="E955" s="1929" t="s">
        <v>51</v>
      </c>
      <c r="F955" s="1929">
        <v>2.6</v>
      </c>
      <c r="G955" s="1929">
        <v>0.8</v>
      </c>
      <c r="H955" s="1929">
        <v>1.4</v>
      </c>
      <c r="I955" s="1929">
        <v>2.1</v>
      </c>
      <c r="J955" s="1929">
        <v>1693</v>
      </c>
      <c r="K955" s="1929" t="s">
        <v>3398</v>
      </c>
    </row>
    <row r="956" spans="1:11" x14ac:dyDescent="0.2">
      <c r="A956" s="1929" t="s">
        <v>3397</v>
      </c>
      <c r="B956" s="1929" t="s">
        <v>1238</v>
      </c>
      <c r="C956" s="1929" t="s">
        <v>1241</v>
      </c>
      <c r="D956" s="1929" t="s">
        <v>303</v>
      </c>
      <c r="E956" s="1929" t="s">
        <v>51</v>
      </c>
      <c r="F956" s="1929">
        <v>6.6</v>
      </c>
      <c r="G956" s="1929">
        <v>4.7</v>
      </c>
      <c r="H956" s="1929">
        <v>0.5</v>
      </c>
      <c r="I956" s="1929">
        <v>7.9</v>
      </c>
      <c r="J956" s="1929">
        <v>1722</v>
      </c>
      <c r="K956" s="1929" t="s">
        <v>3396</v>
      </c>
    </row>
    <row r="957" spans="1:11" x14ac:dyDescent="0.2">
      <c r="A957" s="1929" t="s">
        <v>3395</v>
      </c>
      <c r="B957" s="1929" t="s">
        <v>1245</v>
      </c>
      <c r="C957" s="1929" t="s">
        <v>1429</v>
      </c>
      <c r="D957" s="1929" t="s">
        <v>303</v>
      </c>
      <c r="E957" s="1929" t="s">
        <v>51</v>
      </c>
      <c r="F957" s="1929">
        <v>10.3</v>
      </c>
      <c r="G957" s="1929">
        <v>3.2</v>
      </c>
      <c r="H957" s="1929">
        <v>0.3</v>
      </c>
      <c r="I957" s="1929">
        <v>4</v>
      </c>
      <c r="J957" s="1929">
        <v>1816</v>
      </c>
      <c r="K957" s="1929" t="s">
        <v>3394</v>
      </c>
    </row>
    <row r="958" spans="1:11" x14ac:dyDescent="0.2">
      <c r="A958" s="1929" t="s">
        <v>3393</v>
      </c>
      <c r="B958" s="1929" t="s">
        <v>1238</v>
      </c>
      <c r="C958" s="1929" t="s">
        <v>1700</v>
      </c>
      <c r="D958" s="1929" t="s">
        <v>303</v>
      </c>
      <c r="E958" s="1929" t="s">
        <v>51</v>
      </c>
      <c r="F958" s="1929">
        <v>7</v>
      </c>
      <c r="G958" s="1929">
        <v>1.7</v>
      </c>
      <c r="H958" s="1929">
        <v>0.4</v>
      </c>
      <c r="I958" s="1929">
        <v>6.6</v>
      </c>
      <c r="J958" s="1929">
        <v>1957</v>
      </c>
      <c r="K958" s="1929" t="s">
        <v>3392</v>
      </c>
    </row>
    <row r="959" spans="1:11" hidden="1" x14ac:dyDescent="0.2">
      <c r="A959" s="1929" t="s">
        <v>3391</v>
      </c>
      <c r="B959" s="1929" t="s">
        <v>1234</v>
      </c>
      <c r="C959" s="1929" t="s">
        <v>1476</v>
      </c>
      <c r="D959" s="1929" t="s">
        <v>305</v>
      </c>
      <c r="E959" s="1929" t="s">
        <v>287</v>
      </c>
      <c r="F959" s="1929">
        <v>24.3</v>
      </c>
      <c r="G959" s="1929">
        <v>2.4</v>
      </c>
      <c r="H959" s="1929">
        <v>1.3</v>
      </c>
      <c r="I959" s="1929">
        <v>5.3</v>
      </c>
      <c r="J959" s="1929">
        <v>1046</v>
      </c>
      <c r="K959" s="1929" t="s">
        <v>3390</v>
      </c>
    </row>
    <row r="960" spans="1:11" hidden="1" x14ac:dyDescent="0.2">
      <c r="A960" s="1929" t="s">
        <v>3389</v>
      </c>
      <c r="B960" s="1929" t="s">
        <v>1217</v>
      </c>
      <c r="C960" s="1929" t="s">
        <v>1216</v>
      </c>
      <c r="D960" s="1929" t="s">
        <v>305</v>
      </c>
      <c r="E960" s="1929" t="s">
        <v>287</v>
      </c>
      <c r="F960" s="1929">
        <v>4</v>
      </c>
      <c r="G960" s="1929">
        <v>2.1</v>
      </c>
      <c r="H960" s="1929">
        <v>0.6</v>
      </c>
      <c r="I960" s="1929">
        <v>19.7</v>
      </c>
      <c r="J960" s="1929">
        <v>1478</v>
      </c>
      <c r="K960" s="1929" t="s">
        <v>3388</v>
      </c>
    </row>
    <row r="961" spans="1:11" hidden="1" x14ac:dyDescent="0.2">
      <c r="A961" s="1929" t="s">
        <v>3387</v>
      </c>
      <c r="B961" s="1929" t="s">
        <v>1217</v>
      </c>
      <c r="C961" s="1929" t="s">
        <v>1216</v>
      </c>
      <c r="D961" s="1929" t="s">
        <v>305</v>
      </c>
      <c r="E961" s="1929" t="s">
        <v>287</v>
      </c>
      <c r="F961" s="1929">
        <v>2.5</v>
      </c>
      <c r="G961" s="1929">
        <v>2.2999999999999998</v>
      </c>
      <c r="H961" s="1929">
        <v>0.5</v>
      </c>
      <c r="I961" s="1929">
        <v>22.6</v>
      </c>
      <c r="J961" s="1929">
        <v>1519</v>
      </c>
      <c r="K961" s="1929" t="s">
        <v>3386</v>
      </c>
    </row>
    <row r="962" spans="1:11" hidden="1" x14ac:dyDescent="0.2">
      <c r="A962" s="1929" t="s">
        <v>3385</v>
      </c>
      <c r="D962" s="1929" t="s">
        <v>305</v>
      </c>
      <c r="E962" s="1929" t="s">
        <v>287</v>
      </c>
      <c r="F962" s="1929">
        <v>0</v>
      </c>
      <c r="G962" s="1929">
        <v>0</v>
      </c>
      <c r="H962" s="1929">
        <v>0</v>
      </c>
      <c r="I962" s="1929">
        <v>54.3</v>
      </c>
      <c r="J962" s="1929">
        <v>1670</v>
      </c>
      <c r="K962" s="1929" t="s">
        <v>3384</v>
      </c>
    </row>
    <row r="963" spans="1:11" hidden="1" x14ac:dyDescent="0.2">
      <c r="A963" s="1929" t="s">
        <v>3383</v>
      </c>
      <c r="B963" s="1929" t="s">
        <v>1217</v>
      </c>
      <c r="C963" s="1929" t="s">
        <v>1216</v>
      </c>
      <c r="D963" s="1929" t="s">
        <v>305</v>
      </c>
      <c r="E963" s="1929" t="s">
        <v>287</v>
      </c>
      <c r="F963" s="1929">
        <v>4.7</v>
      </c>
      <c r="G963" s="1929">
        <v>1.5</v>
      </c>
      <c r="H963" s="1929">
        <v>0.6</v>
      </c>
      <c r="I963" s="1929">
        <v>13.1</v>
      </c>
      <c r="J963" s="1929">
        <v>1713</v>
      </c>
      <c r="K963" s="1929" t="s">
        <v>3382</v>
      </c>
    </row>
    <row r="964" spans="1:11" hidden="1" x14ac:dyDescent="0.2">
      <c r="A964" s="1929" t="s">
        <v>3381</v>
      </c>
      <c r="B964" s="1929" t="s">
        <v>1258</v>
      </c>
      <c r="C964" s="1929" t="s">
        <v>1263</v>
      </c>
      <c r="D964" s="1929" t="s">
        <v>303</v>
      </c>
      <c r="E964" s="1929" t="s">
        <v>53</v>
      </c>
      <c r="F964" s="1929">
        <v>89.2</v>
      </c>
      <c r="G964" s="1929">
        <v>105.2</v>
      </c>
      <c r="H964" s="1929">
        <v>6.8</v>
      </c>
      <c r="I964" s="1929">
        <v>146</v>
      </c>
      <c r="J964" s="1929">
        <v>51</v>
      </c>
      <c r="K964" s="1929" t="s">
        <v>3380</v>
      </c>
    </row>
    <row r="965" spans="1:11" hidden="1" x14ac:dyDescent="0.2">
      <c r="A965" s="1929" t="s">
        <v>3379</v>
      </c>
      <c r="B965" s="1929" t="s">
        <v>1217</v>
      </c>
      <c r="C965" s="1929" t="s">
        <v>1216</v>
      </c>
      <c r="D965" s="1929" t="s">
        <v>303</v>
      </c>
      <c r="E965" s="1929" t="s">
        <v>53</v>
      </c>
      <c r="F965" s="1929">
        <v>28.6</v>
      </c>
      <c r="G965" s="1929">
        <v>16.8</v>
      </c>
      <c r="H965" s="1929">
        <v>3</v>
      </c>
      <c r="I965" s="1929">
        <v>393.9</v>
      </c>
      <c r="J965" s="1929">
        <v>197</v>
      </c>
      <c r="K965" s="1929" t="s">
        <v>3378</v>
      </c>
    </row>
    <row r="966" spans="1:11" hidden="1" x14ac:dyDescent="0.2">
      <c r="A966" s="1929" t="s">
        <v>3377</v>
      </c>
      <c r="B966" s="1929" t="s">
        <v>1249</v>
      </c>
      <c r="C966" s="1929" t="s">
        <v>1248</v>
      </c>
      <c r="D966" s="1929" t="s">
        <v>303</v>
      </c>
      <c r="E966" s="1929" t="s">
        <v>53</v>
      </c>
      <c r="F966" s="1929">
        <v>33.1</v>
      </c>
      <c r="G966" s="1929">
        <v>17.7</v>
      </c>
      <c r="H966" s="1929">
        <v>2.2000000000000002</v>
      </c>
      <c r="I966" s="1929">
        <v>30.6</v>
      </c>
      <c r="J966" s="1929">
        <v>330</v>
      </c>
      <c r="K966" s="1929" t="s">
        <v>3376</v>
      </c>
    </row>
    <row r="967" spans="1:11" hidden="1" x14ac:dyDescent="0.2">
      <c r="A967" s="1929" t="s">
        <v>3375</v>
      </c>
      <c r="B967" s="1929" t="s">
        <v>1234</v>
      </c>
      <c r="C967" s="1929" t="s">
        <v>1233</v>
      </c>
      <c r="D967" s="1929" t="s">
        <v>303</v>
      </c>
      <c r="E967" s="1929" t="s">
        <v>53</v>
      </c>
      <c r="F967" s="1929">
        <v>12.2</v>
      </c>
      <c r="G967" s="1929">
        <v>14.4</v>
      </c>
      <c r="H967" s="1929">
        <v>1</v>
      </c>
      <c r="I967" s="1929">
        <v>14.7</v>
      </c>
      <c r="J967" s="1929">
        <v>668</v>
      </c>
      <c r="K967" s="1929" t="s">
        <v>3374</v>
      </c>
    </row>
    <row r="968" spans="1:11" hidden="1" x14ac:dyDescent="0.2">
      <c r="A968" s="1929" t="s">
        <v>3373</v>
      </c>
      <c r="B968" s="1929" t="s">
        <v>1217</v>
      </c>
      <c r="C968" s="1929" t="s">
        <v>1252</v>
      </c>
      <c r="D968" s="1929" t="s">
        <v>303</v>
      </c>
      <c r="E968" s="1929" t="s">
        <v>53</v>
      </c>
      <c r="F968" s="1929">
        <v>2.6</v>
      </c>
      <c r="G968" s="1929">
        <v>9</v>
      </c>
      <c r="H968" s="1929">
        <v>0.3</v>
      </c>
      <c r="I968" s="1929">
        <v>74.2</v>
      </c>
      <c r="J968" s="1929">
        <v>1056</v>
      </c>
      <c r="K968" s="1929" t="s">
        <v>3372</v>
      </c>
    </row>
    <row r="969" spans="1:11" hidden="1" x14ac:dyDescent="0.2">
      <c r="A969" s="1929" t="s">
        <v>3371</v>
      </c>
      <c r="B969" s="1929" t="s">
        <v>1234</v>
      </c>
      <c r="C969" s="1929" t="s">
        <v>1972</v>
      </c>
      <c r="D969" s="1929" t="s">
        <v>303</v>
      </c>
      <c r="E969" s="1929" t="s">
        <v>53</v>
      </c>
      <c r="F969" s="1929">
        <v>10.199999999999999</v>
      </c>
      <c r="G969" s="1929">
        <v>11</v>
      </c>
      <c r="H969" s="1929">
        <v>-0.2</v>
      </c>
      <c r="I969" s="1929">
        <v>19</v>
      </c>
      <c r="J969" s="1929">
        <v>1061</v>
      </c>
      <c r="K969" s="1929" t="s">
        <v>3370</v>
      </c>
    </row>
    <row r="970" spans="1:11" hidden="1" x14ac:dyDescent="0.2">
      <c r="A970" s="1929" t="s">
        <v>3369</v>
      </c>
      <c r="B970" s="1929" t="s">
        <v>1217</v>
      </c>
      <c r="C970" s="1929" t="s">
        <v>1563</v>
      </c>
      <c r="D970" s="1929" t="s">
        <v>303</v>
      </c>
      <c r="E970" s="1929" t="s">
        <v>53</v>
      </c>
      <c r="F970" s="1929">
        <v>10.199999999999999</v>
      </c>
      <c r="G970" s="1929">
        <v>3.8</v>
      </c>
      <c r="H970" s="1929">
        <v>0.6</v>
      </c>
      <c r="I970" s="1929">
        <v>17.8</v>
      </c>
      <c r="J970" s="1929">
        <v>1104</v>
      </c>
      <c r="K970" s="1929" t="s">
        <v>3368</v>
      </c>
    </row>
    <row r="971" spans="1:11" hidden="1" x14ac:dyDescent="0.2">
      <c r="A971" s="1929" t="s">
        <v>3367</v>
      </c>
      <c r="B971" s="1929" t="s">
        <v>1217</v>
      </c>
      <c r="C971" s="1929" t="s">
        <v>1216</v>
      </c>
      <c r="D971" s="1929" t="s">
        <v>303</v>
      </c>
      <c r="E971" s="1929" t="s">
        <v>53</v>
      </c>
      <c r="F971" s="1929">
        <v>2.6</v>
      </c>
      <c r="G971" s="1929">
        <v>1.3</v>
      </c>
      <c r="H971" s="1929">
        <v>0.3</v>
      </c>
      <c r="I971" s="1929">
        <v>25.9</v>
      </c>
      <c r="J971" s="1929">
        <v>1745</v>
      </c>
      <c r="K971" s="1929" t="s">
        <v>3366</v>
      </c>
    </row>
    <row r="972" spans="1:11" hidden="1" x14ac:dyDescent="0.2">
      <c r="A972" s="1929" t="s">
        <v>3365</v>
      </c>
      <c r="B972" s="1929" t="s">
        <v>1238</v>
      </c>
      <c r="C972" s="1929" t="s">
        <v>1878</v>
      </c>
      <c r="D972" s="1929" t="s">
        <v>303</v>
      </c>
      <c r="E972" s="1929" t="s">
        <v>53</v>
      </c>
      <c r="F972" s="1929">
        <v>8.6999999999999993</v>
      </c>
      <c r="G972" s="1929">
        <v>5.6</v>
      </c>
      <c r="H972" s="1929">
        <v>0.1</v>
      </c>
      <c r="I972" s="1929">
        <v>8.6</v>
      </c>
      <c r="J972" s="1929">
        <v>1892</v>
      </c>
      <c r="K972" s="1929" t="s">
        <v>3364</v>
      </c>
    </row>
    <row r="973" spans="1:11" hidden="1" x14ac:dyDescent="0.2">
      <c r="A973" s="1929" t="s">
        <v>3363</v>
      </c>
      <c r="B973" s="1929" t="s">
        <v>1217</v>
      </c>
      <c r="C973" s="1929" t="s">
        <v>1216</v>
      </c>
      <c r="D973" s="1929" t="s">
        <v>1013</v>
      </c>
      <c r="E973" s="1929" t="s">
        <v>537</v>
      </c>
      <c r="F973" s="1929">
        <v>4</v>
      </c>
      <c r="G973" s="1929">
        <v>1.1000000000000001</v>
      </c>
      <c r="H973" s="1929">
        <v>0.4</v>
      </c>
      <c r="I973" s="1929">
        <v>22</v>
      </c>
      <c r="J973" s="1929">
        <v>1629</v>
      </c>
      <c r="K973" s="1929" t="s">
        <v>3362</v>
      </c>
    </row>
    <row r="974" spans="1:11" hidden="1" x14ac:dyDescent="0.2">
      <c r="A974" s="1929" t="s">
        <v>3361</v>
      </c>
      <c r="B974" s="1929" t="s">
        <v>1258</v>
      </c>
      <c r="C974" s="1929" t="s">
        <v>1263</v>
      </c>
      <c r="D974" s="1929" t="s">
        <v>1013</v>
      </c>
      <c r="E974" s="1929" t="s">
        <v>538</v>
      </c>
      <c r="F974" s="1929">
        <v>10.8</v>
      </c>
      <c r="G974" s="1929">
        <v>2.4</v>
      </c>
      <c r="H974" s="1929">
        <v>1.1000000000000001</v>
      </c>
      <c r="I974" s="1929">
        <v>4.5999999999999996</v>
      </c>
      <c r="J974" s="1929">
        <v>1280</v>
      </c>
      <c r="K974" s="1929" t="s">
        <v>3360</v>
      </c>
    </row>
    <row r="975" spans="1:11" hidden="1" x14ac:dyDescent="0.2">
      <c r="A975" s="1929" t="s">
        <v>3359</v>
      </c>
      <c r="B975" s="1929" t="s">
        <v>1258</v>
      </c>
      <c r="C975" s="1929" t="s">
        <v>1263</v>
      </c>
      <c r="D975" s="1929" t="s">
        <v>1013</v>
      </c>
      <c r="E975" s="1929" t="s">
        <v>538</v>
      </c>
      <c r="F975" s="1929">
        <v>1.1000000000000001</v>
      </c>
      <c r="G975" s="1929">
        <v>11.6</v>
      </c>
      <c r="H975" s="1929">
        <v>0.2</v>
      </c>
      <c r="I975" s="1929">
        <v>3.3</v>
      </c>
      <c r="J975" s="1929">
        <v>1994</v>
      </c>
      <c r="K975" s="1929" t="s">
        <v>3358</v>
      </c>
    </row>
    <row r="976" spans="1:11" hidden="1" x14ac:dyDescent="0.2">
      <c r="A976" s="1929" t="s">
        <v>3357</v>
      </c>
      <c r="B976" s="1929" t="s">
        <v>1217</v>
      </c>
      <c r="C976" s="1929" t="s">
        <v>1216</v>
      </c>
      <c r="D976" s="1929" t="s">
        <v>274</v>
      </c>
      <c r="E976" s="1929" t="s">
        <v>277</v>
      </c>
      <c r="F976" s="1929">
        <v>11</v>
      </c>
      <c r="G976" s="1929">
        <v>4.5</v>
      </c>
      <c r="H976" s="1929">
        <v>0.6</v>
      </c>
      <c r="I976" s="1929">
        <v>41</v>
      </c>
      <c r="J976" s="1929">
        <v>900</v>
      </c>
      <c r="K976" s="1929" t="s">
        <v>3356</v>
      </c>
    </row>
    <row r="977" spans="1:11" hidden="1" x14ac:dyDescent="0.2">
      <c r="A977" s="1929" t="s">
        <v>3355</v>
      </c>
      <c r="B977" s="1929" t="s">
        <v>1238</v>
      </c>
      <c r="C977" s="1929" t="s">
        <v>1878</v>
      </c>
      <c r="D977" s="1929" t="s">
        <v>1013</v>
      </c>
      <c r="E977" s="1929" t="s">
        <v>294</v>
      </c>
      <c r="F977" s="1929">
        <v>4</v>
      </c>
      <c r="G977" s="1929">
        <v>17.600000000000001</v>
      </c>
      <c r="H977" s="1929">
        <v>0.9</v>
      </c>
      <c r="I977" s="1929">
        <v>25.3</v>
      </c>
      <c r="J977" s="1929">
        <v>804</v>
      </c>
      <c r="K977" s="1929" t="s">
        <v>3354</v>
      </c>
    </row>
    <row r="978" spans="1:11" hidden="1" x14ac:dyDescent="0.2">
      <c r="A978" s="1929" t="s">
        <v>3353</v>
      </c>
      <c r="B978" s="1929" t="s">
        <v>1228</v>
      </c>
      <c r="C978" s="1929" t="s">
        <v>1466</v>
      </c>
      <c r="D978" s="1929" t="s">
        <v>1013</v>
      </c>
      <c r="E978" s="1929" t="s">
        <v>294</v>
      </c>
      <c r="F978" s="1929">
        <v>12.8</v>
      </c>
      <c r="G978" s="1929">
        <v>5.8</v>
      </c>
      <c r="H978" s="1929">
        <v>0.6</v>
      </c>
      <c r="I978" s="1929">
        <v>14.3</v>
      </c>
      <c r="J978" s="1929">
        <v>963</v>
      </c>
      <c r="K978" s="1929" t="s">
        <v>3352</v>
      </c>
    </row>
    <row r="979" spans="1:11" hidden="1" x14ac:dyDescent="0.2">
      <c r="A979" s="1929" t="s">
        <v>3351</v>
      </c>
      <c r="D979" s="1929" t="s">
        <v>1013</v>
      </c>
      <c r="E979" s="1929" t="s">
        <v>294</v>
      </c>
      <c r="F979" s="1929">
        <v>0.7</v>
      </c>
      <c r="G979" s="1929">
        <v>16.7</v>
      </c>
      <c r="H979" s="1929">
        <v>0</v>
      </c>
      <c r="I979" s="1929">
        <v>26.9</v>
      </c>
      <c r="J979" s="1929">
        <v>1191</v>
      </c>
      <c r="K979" s="1929" t="s">
        <v>3350</v>
      </c>
    </row>
    <row r="980" spans="1:11" hidden="1" x14ac:dyDescent="0.2">
      <c r="A980" s="1929" t="s">
        <v>3349</v>
      </c>
      <c r="B980" s="1929" t="s">
        <v>1217</v>
      </c>
      <c r="C980" s="1929" t="s">
        <v>1216</v>
      </c>
      <c r="D980" s="1929" t="s">
        <v>1013</v>
      </c>
      <c r="E980" s="1929" t="s">
        <v>294</v>
      </c>
      <c r="F980" s="1929">
        <v>7.9</v>
      </c>
      <c r="G980" s="1929">
        <v>1.5</v>
      </c>
      <c r="H980" s="1929">
        <v>0.4</v>
      </c>
      <c r="I980" s="1929">
        <v>27</v>
      </c>
      <c r="J980" s="1929">
        <v>1209</v>
      </c>
      <c r="K980" s="1929" t="s">
        <v>3348</v>
      </c>
    </row>
    <row r="981" spans="1:11" hidden="1" x14ac:dyDescent="0.2">
      <c r="A981" s="1929" t="s">
        <v>3347</v>
      </c>
      <c r="B981" s="1929" t="s">
        <v>1249</v>
      </c>
      <c r="C981" s="1929" t="s">
        <v>1248</v>
      </c>
      <c r="D981" s="1929" t="s">
        <v>1013</v>
      </c>
      <c r="E981" s="1929" t="s">
        <v>294</v>
      </c>
      <c r="F981" s="1929">
        <v>13.2</v>
      </c>
      <c r="G981" s="1929">
        <v>4</v>
      </c>
      <c r="H981" s="1929">
        <v>0.8</v>
      </c>
      <c r="I981" s="1929">
        <v>9</v>
      </c>
      <c r="J981" s="1929">
        <v>1225</v>
      </c>
      <c r="K981" s="1929" t="s">
        <v>3346</v>
      </c>
    </row>
    <row r="982" spans="1:11" hidden="1" x14ac:dyDescent="0.2">
      <c r="A982" s="1929" t="s">
        <v>3345</v>
      </c>
      <c r="B982" s="1929" t="s">
        <v>1217</v>
      </c>
      <c r="C982" s="1929" t="s">
        <v>1216</v>
      </c>
      <c r="D982" s="1929" t="s">
        <v>1013</v>
      </c>
      <c r="E982" s="1929" t="s">
        <v>294</v>
      </c>
      <c r="F982" s="1929">
        <v>4.9000000000000004</v>
      </c>
      <c r="G982" s="1929">
        <v>1.9</v>
      </c>
      <c r="H982" s="1929">
        <v>0.5</v>
      </c>
      <c r="I982" s="1929">
        <v>31.1</v>
      </c>
      <c r="J982" s="1929">
        <v>1381</v>
      </c>
      <c r="K982" s="1929" t="s">
        <v>3344</v>
      </c>
    </row>
    <row r="983" spans="1:11" hidden="1" x14ac:dyDescent="0.2">
      <c r="A983" s="1929" t="s">
        <v>3343</v>
      </c>
      <c r="B983" s="1929" t="s">
        <v>1310</v>
      </c>
      <c r="C983" s="1929" t="s">
        <v>1309</v>
      </c>
      <c r="D983" s="1929" t="s">
        <v>1013</v>
      </c>
      <c r="E983" s="1929" t="s">
        <v>294</v>
      </c>
      <c r="F983" s="1929">
        <v>7.2</v>
      </c>
      <c r="G983" s="1929">
        <v>7</v>
      </c>
      <c r="H983" s="1929">
        <v>0.4</v>
      </c>
      <c r="I983" s="1929">
        <v>5.4</v>
      </c>
      <c r="J983" s="1929">
        <v>1496</v>
      </c>
      <c r="K983" s="1929" t="s">
        <v>3342</v>
      </c>
    </row>
    <row r="984" spans="1:11" hidden="1" x14ac:dyDescent="0.2">
      <c r="A984" s="1929" t="s">
        <v>3341</v>
      </c>
      <c r="B984" s="1929" t="s">
        <v>1238</v>
      </c>
      <c r="C984" s="1929" t="s">
        <v>1878</v>
      </c>
      <c r="D984" s="1929" t="s">
        <v>1013</v>
      </c>
      <c r="E984" s="1929" t="s">
        <v>294</v>
      </c>
      <c r="F984" s="1929">
        <v>7.9</v>
      </c>
      <c r="G984" s="1929">
        <v>3.2</v>
      </c>
      <c r="H984" s="1929">
        <v>0.3</v>
      </c>
      <c r="I984" s="1929">
        <v>13.5</v>
      </c>
      <c r="J984" s="1929">
        <v>1707</v>
      </c>
      <c r="K984" s="1929" t="s">
        <v>3340</v>
      </c>
    </row>
    <row r="985" spans="1:11" hidden="1" x14ac:dyDescent="0.2">
      <c r="A985" s="1929" t="s">
        <v>3339</v>
      </c>
      <c r="B985" s="1929" t="s">
        <v>1238</v>
      </c>
      <c r="C985" s="1929" t="s">
        <v>1878</v>
      </c>
      <c r="D985" s="1929" t="s">
        <v>1013</v>
      </c>
      <c r="E985" s="1929" t="s">
        <v>294</v>
      </c>
      <c r="F985" s="1929">
        <v>7</v>
      </c>
      <c r="G985" s="1929">
        <v>1.9</v>
      </c>
      <c r="H985" s="1929">
        <v>0.6</v>
      </c>
      <c r="I985" s="1929">
        <v>4.5999999999999996</v>
      </c>
      <c r="J985" s="1929">
        <v>1725</v>
      </c>
      <c r="K985" s="1929" t="s">
        <v>3338</v>
      </c>
    </row>
    <row r="986" spans="1:11" hidden="1" x14ac:dyDescent="0.2">
      <c r="A986" s="1929" t="s">
        <v>3337</v>
      </c>
      <c r="B986" s="1929" t="s">
        <v>1238</v>
      </c>
      <c r="C986" s="1929" t="s">
        <v>1878</v>
      </c>
      <c r="D986" s="1929" t="s">
        <v>1013</v>
      </c>
      <c r="E986" s="1929" t="s">
        <v>294</v>
      </c>
      <c r="F986" s="1929">
        <v>6.6</v>
      </c>
      <c r="G986" s="1929">
        <v>2.5</v>
      </c>
      <c r="H986" s="1929">
        <v>0.5</v>
      </c>
      <c r="I986" s="1929">
        <v>7.3</v>
      </c>
      <c r="J986" s="1929">
        <v>1936</v>
      </c>
      <c r="K986" s="1929" t="s">
        <v>3336</v>
      </c>
    </row>
    <row r="987" spans="1:11" hidden="1" x14ac:dyDescent="0.2">
      <c r="A987" s="1929" t="s">
        <v>3335</v>
      </c>
      <c r="B987" s="1929" t="s">
        <v>1217</v>
      </c>
      <c r="C987" s="1929" t="s">
        <v>1216</v>
      </c>
      <c r="D987" s="1929" t="s">
        <v>303</v>
      </c>
      <c r="E987" s="1929" t="s">
        <v>54</v>
      </c>
      <c r="F987" s="1929">
        <v>17.399999999999999</v>
      </c>
      <c r="G987" s="1929">
        <v>4.9000000000000004</v>
      </c>
      <c r="H987" s="1929">
        <v>1</v>
      </c>
      <c r="I987" s="1929">
        <v>66</v>
      </c>
      <c r="J987" s="1929">
        <v>623</v>
      </c>
      <c r="K987" s="1929" t="s">
        <v>3334</v>
      </c>
    </row>
    <row r="988" spans="1:11" hidden="1" x14ac:dyDescent="0.2">
      <c r="A988" s="1929" t="s">
        <v>3333</v>
      </c>
      <c r="B988" s="1929" t="s">
        <v>1310</v>
      </c>
      <c r="C988" s="1929" t="s">
        <v>1309</v>
      </c>
      <c r="D988" s="1929" t="s">
        <v>303</v>
      </c>
      <c r="E988" s="1929" t="s">
        <v>54</v>
      </c>
      <c r="F988" s="1929">
        <v>12</v>
      </c>
      <c r="G988" s="1929">
        <v>9.5</v>
      </c>
      <c r="H988" s="1929">
        <v>1.3</v>
      </c>
      <c r="I988" s="1929">
        <v>20.100000000000001</v>
      </c>
      <c r="J988" s="1929">
        <v>645</v>
      </c>
      <c r="K988" s="1929" t="s">
        <v>3332</v>
      </c>
    </row>
    <row r="989" spans="1:11" hidden="1" x14ac:dyDescent="0.2">
      <c r="A989" s="1929" t="s">
        <v>3331</v>
      </c>
      <c r="B989" s="1929" t="s">
        <v>1217</v>
      </c>
      <c r="C989" s="1929" t="s">
        <v>1563</v>
      </c>
      <c r="D989" s="1929" t="s">
        <v>303</v>
      </c>
      <c r="E989" s="1929" t="s">
        <v>54</v>
      </c>
      <c r="F989" s="1929">
        <v>12.3</v>
      </c>
      <c r="G989" s="1929">
        <v>6</v>
      </c>
      <c r="H989" s="1929">
        <v>1</v>
      </c>
      <c r="I989" s="1929">
        <v>19.600000000000001</v>
      </c>
      <c r="J989" s="1929">
        <v>797</v>
      </c>
      <c r="K989" s="1929" t="s">
        <v>3330</v>
      </c>
    </row>
    <row r="990" spans="1:11" hidden="1" x14ac:dyDescent="0.2">
      <c r="A990" s="1929" t="s">
        <v>3329</v>
      </c>
      <c r="B990" s="1929" t="s">
        <v>1258</v>
      </c>
      <c r="C990" s="1929" t="s">
        <v>1263</v>
      </c>
      <c r="D990" s="1929" t="s">
        <v>303</v>
      </c>
      <c r="E990" s="1929" t="s">
        <v>54</v>
      </c>
      <c r="F990" s="1929">
        <v>8.6</v>
      </c>
      <c r="G990" s="1929">
        <v>10.199999999999999</v>
      </c>
      <c r="H990" s="1929">
        <v>0.6</v>
      </c>
      <c r="I990" s="1929">
        <v>15.6</v>
      </c>
      <c r="J990" s="1929">
        <v>897</v>
      </c>
      <c r="K990" s="1929" t="s">
        <v>3328</v>
      </c>
    </row>
    <row r="991" spans="1:11" hidden="1" x14ac:dyDescent="0.2">
      <c r="A991" s="1929" t="s">
        <v>3327</v>
      </c>
      <c r="B991" s="1929" t="s">
        <v>1234</v>
      </c>
      <c r="C991" s="1929" t="s">
        <v>1337</v>
      </c>
      <c r="D991" s="1929" t="s">
        <v>303</v>
      </c>
      <c r="E991" s="1929" t="s">
        <v>54</v>
      </c>
      <c r="F991" s="1929">
        <v>7.2</v>
      </c>
      <c r="G991" s="1929">
        <v>7.6</v>
      </c>
      <c r="H991" s="1929">
        <v>0.9</v>
      </c>
      <c r="I991" s="1929">
        <v>11.4</v>
      </c>
      <c r="J991" s="1929">
        <v>1030</v>
      </c>
      <c r="K991" s="1929" t="s">
        <v>3326</v>
      </c>
    </row>
    <row r="992" spans="1:11" hidden="1" x14ac:dyDescent="0.2">
      <c r="A992" s="1929" t="s">
        <v>3325</v>
      </c>
      <c r="B992" s="1929" t="s">
        <v>1258</v>
      </c>
      <c r="C992" s="1929" t="s">
        <v>1263</v>
      </c>
      <c r="D992" s="1929" t="s">
        <v>303</v>
      </c>
      <c r="E992" s="1929" t="s">
        <v>54</v>
      </c>
      <c r="F992" s="1929">
        <v>6</v>
      </c>
      <c r="G992" s="1929">
        <v>36</v>
      </c>
      <c r="H992" s="1929">
        <v>0.1</v>
      </c>
      <c r="I992" s="1929">
        <v>17.100000000000001</v>
      </c>
      <c r="J992" s="1929">
        <v>1091</v>
      </c>
      <c r="K992" s="1929" t="s">
        <v>3324</v>
      </c>
    </row>
    <row r="993" spans="1:11" hidden="1" x14ac:dyDescent="0.2">
      <c r="A993" s="1929" t="s">
        <v>3323</v>
      </c>
      <c r="B993" s="1929" t="s">
        <v>1310</v>
      </c>
      <c r="C993" s="1929" t="s">
        <v>1309</v>
      </c>
      <c r="D993" s="1929" t="s">
        <v>303</v>
      </c>
      <c r="E993" s="1929" t="s">
        <v>54</v>
      </c>
      <c r="F993" s="1929">
        <v>3.1</v>
      </c>
      <c r="G993" s="1929">
        <v>6.1</v>
      </c>
      <c r="H993" s="1929">
        <v>0.4</v>
      </c>
      <c r="I993" s="1929">
        <v>10.1</v>
      </c>
      <c r="J993" s="1929">
        <v>1781</v>
      </c>
      <c r="K993" s="1929" t="s">
        <v>3322</v>
      </c>
    </row>
    <row r="994" spans="1:11" hidden="1" x14ac:dyDescent="0.2">
      <c r="A994" s="1929" t="s">
        <v>3321</v>
      </c>
      <c r="B994" s="1929" t="s">
        <v>1310</v>
      </c>
      <c r="C994" s="1929" t="s">
        <v>1309</v>
      </c>
      <c r="D994" s="1929" t="s">
        <v>303</v>
      </c>
      <c r="E994" s="1929" t="s">
        <v>55</v>
      </c>
      <c r="F994" s="1929">
        <v>16.899999999999999</v>
      </c>
      <c r="G994" s="1929">
        <v>21.4</v>
      </c>
      <c r="H994" s="1929">
        <v>1.3</v>
      </c>
      <c r="I994" s="1929">
        <v>58.8</v>
      </c>
      <c r="J994" s="1929">
        <v>349</v>
      </c>
      <c r="K994" s="1929" t="s">
        <v>3320</v>
      </c>
    </row>
    <row r="995" spans="1:11" hidden="1" x14ac:dyDescent="0.2">
      <c r="A995" s="1929" t="s">
        <v>3319</v>
      </c>
      <c r="B995" s="1929" t="s">
        <v>1258</v>
      </c>
      <c r="C995" s="1929" t="s">
        <v>1263</v>
      </c>
      <c r="D995" s="1929" t="s">
        <v>303</v>
      </c>
      <c r="E995" s="1929" t="s">
        <v>55</v>
      </c>
      <c r="F995" s="1929">
        <v>14.3</v>
      </c>
      <c r="G995" s="1929">
        <v>26</v>
      </c>
      <c r="H995" s="1929">
        <v>0.3</v>
      </c>
      <c r="I995" s="1929">
        <v>18.899999999999999</v>
      </c>
      <c r="J995" s="1929">
        <v>844</v>
      </c>
      <c r="K995" s="1929" t="s">
        <v>3318</v>
      </c>
    </row>
    <row r="996" spans="1:11" hidden="1" x14ac:dyDescent="0.2">
      <c r="A996" s="1929" t="s">
        <v>3317</v>
      </c>
      <c r="B996" s="1929" t="s">
        <v>1306</v>
      </c>
      <c r="C996" s="1929" t="s">
        <v>1392</v>
      </c>
      <c r="D996" s="1929" t="s">
        <v>303</v>
      </c>
      <c r="E996" s="1929" t="s">
        <v>55</v>
      </c>
      <c r="F996" s="1929">
        <v>10.6</v>
      </c>
      <c r="G996" s="1929">
        <v>15.7</v>
      </c>
      <c r="H996" s="1929">
        <v>0.5</v>
      </c>
      <c r="I996" s="1929">
        <v>7</v>
      </c>
      <c r="J996" s="1929">
        <v>978</v>
      </c>
      <c r="K996" s="1929" t="s">
        <v>3316</v>
      </c>
    </row>
    <row r="997" spans="1:11" hidden="1" x14ac:dyDescent="0.2">
      <c r="A997" s="1929" t="s">
        <v>3315</v>
      </c>
      <c r="B997" s="1929" t="s">
        <v>1217</v>
      </c>
      <c r="C997" s="1929" t="s">
        <v>1216</v>
      </c>
      <c r="D997" s="1929" t="s">
        <v>303</v>
      </c>
      <c r="E997" s="1929" t="s">
        <v>55</v>
      </c>
      <c r="F997" s="1929">
        <v>6.3</v>
      </c>
      <c r="G997" s="1929">
        <v>5</v>
      </c>
      <c r="H997" s="1929">
        <v>-1</v>
      </c>
      <c r="I997" s="1929">
        <v>113</v>
      </c>
      <c r="J997" s="1929">
        <v>1250</v>
      </c>
      <c r="K997" s="1929" t="s">
        <v>3314</v>
      </c>
    </row>
    <row r="998" spans="1:11" hidden="1" x14ac:dyDescent="0.2">
      <c r="A998" s="1929" t="s">
        <v>3313</v>
      </c>
      <c r="B998" s="1929" t="s">
        <v>1249</v>
      </c>
      <c r="C998" s="1929" t="s">
        <v>1248</v>
      </c>
      <c r="D998" s="1929" t="s">
        <v>303</v>
      </c>
      <c r="E998" s="1929" t="s">
        <v>55</v>
      </c>
      <c r="F998" s="1929">
        <v>3.8</v>
      </c>
      <c r="G998" s="1929">
        <v>7</v>
      </c>
      <c r="H998" s="1929">
        <v>0.4</v>
      </c>
      <c r="I998" s="1929">
        <v>16.600000000000001</v>
      </c>
      <c r="J998" s="1929">
        <v>1364</v>
      </c>
      <c r="K998" s="1929" t="s">
        <v>3312</v>
      </c>
    </row>
    <row r="999" spans="1:11" hidden="1" x14ac:dyDescent="0.2">
      <c r="A999" s="1929" t="s">
        <v>3311</v>
      </c>
      <c r="B999" s="1929" t="s">
        <v>1217</v>
      </c>
      <c r="C999" s="1929" t="s">
        <v>1216</v>
      </c>
      <c r="D999" s="1929" t="s">
        <v>303</v>
      </c>
      <c r="E999" s="1929" t="s">
        <v>55</v>
      </c>
      <c r="F999" s="1929">
        <v>3.8</v>
      </c>
      <c r="G999" s="1929">
        <v>1.4</v>
      </c>
      <c r="H999" s="1929">
        <v>0.1</v>
      </c>
      <c r="I999" s="1929">
        <v>58.8</v>
      </c>
      <c r="J999" s="1929">
        <v>1654</v>
      </c>
      <c r="K999" s="1929" t="s">
        <v>3310</v>
      </c>
    </row>
    <row r="1000" spans="1:11" hidden="1" x14ac:dyDescent="0.2">
      <c r="A1000" s="1929" t="s">
        <v>3309</v>
      </c>
      <c r="B1000" s="1929" t="s">
        <v>1306</v>
      </c>
      <c r="C1000" s="1929" t="s">
        <v>1392</v>
      </c>
      <c r="D1000" s="1929" t="s">
        <v>303</v>
      </c>
      <c r="E1000" s="1929" t="s">
        <v>55</v>
      </c>
      <c r="F1000" s="1929">
        <v>3.9</v>
      </c>
      <c r="G1000" s="1929">
        <v>6.8</v>
      </c>
      <c r="H1000" s="1929">
        <v>0.4</v>
      </c>
      <c r="I1000" s="1929">
        <v>7.5</v>
      </c>
      <c r="J1000" s="1929">
        <v>1829</v>
      </c>
      <c r="K1000" s="1929" t="s">
        <v>3308</v>
      </c>
    </row>
    <row r="1001" spans="1:11" hidden="1" x14ac:dyDescent="0.2">
      <c r="A1001" s="1929" t="s">
        <v>3307</v>
      </c>
      <c r="B1001" s="1929" t="s">
        <v>1217</v>
      </c>
      <c r="C1001" s="1929" t="s">
        <v>1216</v>
      </c>
      <c r="D1001" s="1929" t="s">
        <v>303</v>
      </c>
      <c r="E1001" s="1929" t="s">
        <v>55</v>
      </c>
      <c r="F1001" s="1929">
        <v>0.3</v>
      </c>
      <c r="G1001" s="1929">
        <v>1.7</v>
      </c>
      <c r="H1001" s="1929">
        <v>0</v>
      </c>
      <c r="I1001" s="1929">
        <v>27.3</v>
      </c>
      <c r="J1001" s="1929">
        <v>1968</v>
      </c>
      <c r="K1001" s="1929" t="s">
        <v>3306</v>
      </c>
    </row>
    <row r="1002" spans="1:11" x14ac:dyDescent="0.2">
      <c r="A1002" s="1929" t="s">
        <v>3305</v>
      </c>
      <c r="B1002" s="1929" t="s">
        <v>1217</v>
      </c>
      <c r="C1002" s="1929" t="s">
        <v>1216</v>
      </c>
      <c r="D1002" s="1929" t="s">
        <v>1226</v>
      </c>
      <c r="E1002" s="1929" t="s">
        <v>108</v>
      </c>
      <c r="F1002" s="1929">
        <v>3.2</v>
      </c>
      <c r="G1002" s="1929">
        <v>2.5</v>
      </c>
      <c r="H1002" s="1929">
        <v>0.6</v>
      </c>
      <c r="I1002" s="1929">
        <v>35.700000000000003</v>
      </c>
      <c r="J1002" s="1929">
        <v>1300</v>
      </c>
      <c r="K1002" s="1929" t="s">
        <v>3304</v>
      </c>
    </row>
    <row r="1003" spans="1:11" hidden="1" x14ac:dyDescent="0.2">
      <c r="A1003" s="1929" t="s">
        <v>3303</v>
      </c>
      <c r="B1003" s="1929" t="s">
        <v>1217</v>
      </c>
      <c r="C1003" s="1929" t="s">
        <v>1216</v>
      </c>
      <c r="D1003" s="1929" t="s">
        <v>1013</v>
      </c>
      <c r="E1003" s="1929" t="s">
        <v>542</v>
      </c>
      <c r="F1003" s="1929">
        <v>37.1</v>
      </c>
      <c r="G1003" s="1929">
        <v>5.4</v>
      </c>
      <c r="H1003" s="1929">
        <v>2.6</v>
      </c>
      <c r="I1003" s="1929">
        <v>121.8</v>
      </c>
      <c r="J1003" s="1929">
        <v>407</v>
      </c>
      <c r="K1003" s="1929" t="s">
        <v>3302</v>
      </c>
    </row>
    <row r="1004" spans="1:11" hidden="1" x14ac:dyDescent="0.2">
      <c r="A1004" s="1929" t="s">
        <v>3301</v>
      </c>
      <c r="B1004" s="1929" t="s">
        <v>1249</v>
      </c>
      <c r="C1004" s="1929" t="s">
        <v>1248</v>
      </c>
      <c r="D1004" s="1929" t="s">
        <v>1013</v>
      </c>
      <c r="E1004" s="1929" t="s">
        <v>542</v>
      </c>
      <c r="F1004" s="1929">
        <v>12.4</v>
      </c>
      <c r="G1004" s="1929">
        <v>9.3000000000000007</v>
      </c>
      <c r="H1004" s="1929">
        <v>0.7</v>
      </c>
      <c r="I1004" s="1929">
        <v>26.8</v>
      </c>
      <c r="J1004" s="1929">
        <v>684</v>
      </c>
      <c r="K1004" s="1929" t="s">
        <v>3300</v>
      </c>
    </row>
    <row r="1005" spans="1:11" hidden="1" x14ac:dyDescent="0.2">
      <c r="A1005" s="1929" t="s">
        <v>3299</v>
      </c>
      <c r="B1005" s="1929" t="s">
        <v>1234</v>
      </c>
      <c r="C1005" s="1929" t="s">
        <v>1233</v>
      </c>
      <c r="D1005" s="1929" t="s">
        <v>1013</v>
      </c>
      <c r="E1005" s="1929" t="s">
        <v>542</v>
      </c>
      <c r="F1005" s="1929">
        <v>31.3</v>
      </c>
      <c r="G1005" s="1929">
        <v>1.6</v>
      </c>
      <c r="H1005" s="1929">
        <v>2.2000000000000002</v>
      </c>
      <c r="I1005" s="1929">
        <v>9.6</v>
      </c>
      <c r="J1005" s="1929">
        <v>901</v>
      </c>
      <c r="K1005" s="1929" t="s">
        <v>3298</v>
      </c>
    </row>
    <row r="1006" spans="1:11" hidden="1" x14ac:dyDescent="0.2">
      <c r="A1006" s="1929" t="s">
        <v>3297</v>
      </c>
      <c r="B1006" s="1929" t="s">
        <v>1217</v>
      </c>
      <c r="C1006" s="1929" t="s">
        <v>1216</v>
      </c>
      <c r="D1006" s="1929" t="s">
        <v>1013</v>
      </c>
      <c r="E1006" s="1929" t="s">
        <v>542</v>
      </c>
      <c r="F1006" s="1929">
        <v>8.5</v>
      </c>
      <c r="G1006" s="1929">
        <v>0.6</v>
      </c>
      <c r="H1006" s="1929">
        <v>0.5</v>
      </c>
      <c r="I1006" s="1929">
        <v>18.3</v>
      </c>
      <c r="J1006" s="1929">
        <v>1284</v>
      </c>
      <c r="K1006" s="1929" t="s">
        <v>3296</v>
      </c>
    </row>
    <row r="1007" spans="1:11" hidden="1" x14ac:dyDescent="0.2">
      <c r="A1007" s="1929" t="s">
        <v>3295</v>
      </c>
      <c r="B1007" s="1929" t="s">
        <v>1217</v>
      </c>
      <c r="C1007" s="1929" t="s">
        <v>1216</v>
      </c>
      <c r="D1007" s="1929" t="s">
        <v>1013</v>
      </c>
      <c r="E1007" s="1929" t="s">
        <v>542</v>
      </c>
      <c r="F1007" s="1929">
        <v>5.3</v>
      </c>
      <c r="G1007" s="1929">
        <v>1.4</v>
      </c>
      <c r="H1007" s="1929">
        <v>0.4</v>
      </c>
      <c r="I1007" s="1929">
        <v>31.1</v>
      </c>
      <c r="J1007" s="1929">
        <v>1399</v>
      </c>
      <c r="K1007" s="1929" t="s">
        <v>3294</v>
      </c>
    </row>
    <row r="1008" spans="1:11" hidden="1" x14ac:dyDescent="0.2">
      <c r="A1008" s="1929" t="s">
        <v>3293</v>
      </c>
      <c r="B1008" s="1929" t="s">
        <v>1217</v>
      </c>
      <c r="C1008" s="1929" t="s">
        <v>1456</v>
      </c>
      <c r="D1008" s="1929" t="s">
        <v>1013</v>
      </c>
      <c r="E1008" s="1929" t="s">
        <v>542</v>
      </c>
      <c r="F1008" s="1929">
        <v>11.6</v>
      </c>
      <c r="G1008" s="1929">
        <v>0.3</v>
      </c>
      <c r="H1008" s="1929">
        <v>0.3</v>
      </c>
      <c r="I1008" s="1929">
        <v>11.3</v>
      </c>
      <c r="J1008" s="1929">
        <v>1614</v>
      </c>
      <c r="K1008" s="1929" t="s">
        <v>3292</v>
      </c>
    </row>
    <row r="1009" spans="1:11" hidden="1" x14ac:dyDescent="0.2">
      <c r="A1009" s="1929" t="s">
        <v>3291</v>
      </c>
      <c r="B1009" s="1929" t="s">
        <v>1217</v>
      </c>
      <c r="C1009" s="1929" t="s">
        <v>1216</v>
      </c>
      <c r="D1009" s="1929" t="s">
        <v>1013</v>
      </c>
      <c r="E1009" s="1929" t="s">
        <v>542</v>
      </c>
      <c r="F1009" s="1929">
        <v>4.9000000000000004</v>
      </c>
      <c r="G1009" s="1929">
        <v>0.8</v>
      </c>
      <c r="H1009" s="1929">
        <v>0.4</v>
      </c>
      <c r="I1009" s="1929">
        <v>21.2</v>
      </c>
      <c r="J1009" s="1929">
        <v>1699</v>
      </c>
      <c r="K1009" s="1929" t="s">
        <v>3290</v>
      </c>
    </row>
    <row r="1010" spans="1:11" hidden="1" x14ac:dyDescent="0.2">
      <c r="A1010" s="1929" t="s">
        <v>3289</v>
      </c>
      <c r="B1010" s="1929" t="s">
        <v>1217</v>
      </c>
      <c r="C1010" s="1929" t="s">
        <v>1216</v>
      </c>
      <c r="D1010" s="1929" t="s">
        <v>1013</v>
      </c>
      <c r="E1010" s="1929" t="s">
        <v>542</v>
      </c>
      <c r="F1010" s="1929">
        <v>4.4000000000000004</v>
      </c>
      <c r="G1010" s="1929">
        <v>0.7</v>
      </c>
      <c r="H1010" s="1929">
        <v>0.4</v>
      </c>
      <c r="I1010" s="1929">
        <v>18.399999999999999</v>
      </c>
      <c r="J1010" s="1929">
        <v>1811</v>
      </c>
      <c r="K1010" s="1929" t="s">
        <v>3288</v>
      </c>
    </row>
    <row r="1011" spans="1:11" hidden="1" x14ac:dyDescent="0.2">
      <c r="A1011" s="1929" t="s">
        <v>3287</v>
      </c>
      <c r="B1011" s="1929" t="s">
        <v>1258</v>
      </c>
      <c r="C1011" s="1929" t="s">
        <v>1263</v>
      </c>
      <c r="D1011" s="1929" t="s">
        <v>1013</v>
      </c>
      <c r="E1011" s="1929" t="s">
        <v>70</v>
      </c>
      <c r="F1011" s="1929">
        <v>88.8</v>
      </c>
      <c r="G1011" s="1929">
        <v>164.6</v>
      </c>
      <c r="H1011" s="1929">
        <v>39</v>
      </c>
      <c r="I1011" s="1929">
        <v>397.2</v>
      </c>
      <c r="J1011" s="1929">
        <v>21</v>
      </c>
      <c r="K1011" s="1929" t="s">
        <v>3286</v>
      </c>
    </row>
    <row r="1012" spans="1:11" hidden="1" x14ac:dyDescent="0.2">
      <c r="A1012" s="1929" t="s">
        <v>3285</v>
      </c>
      <c r="B1012" s="1929" t="s">
        <v>1258</v>
      </c>
      <c r="C1012" s="1929" t="s">
        <v>1263</v>
      </c>
      <c r="D1012" s="1929" t="s">
        <v>1013</v>
      </c>
      <c r="E1012" s="1929" t="s">
        <v>70</v>
      </c>
      <c r="F1012" s="1929">
        <v>70</v>
      </c>
      <c r="G1012" s="1929">
        <v>142.6</v>
      </c>
      <c r="H1012" s="1929">
        <v>12.8</v>
      </c>
      <c r="I1012" s="1929">
        <v>229.4</v>
      </c>
      <c r="J1012" s="1929">
        <v>34</v>
      </c>
      <c r="K1012" s="1929" t="s">
        <v>3284</v>
      </c>
    </row>
    <row r="1013" spans="1:11" hidden="1" x14ac:dyDescent="0.2">
      <c r="A1013" s="1929" t="s">
        <v>3283</v>
      </c>
      <c r="B1013" s="1929" t="s">
        <v>1217</v>
      </c>
      <c r="C1013" s="1929" t="s">
        <v>1216</v>
      </c>
      <c r="D1013" s="1929" t="s">
        <v>1013</v>
      </c>
      <c r="E1013" s="1929" t="s">
        <v>70</v>
      </c>
      <c r="F1013" s="1929">
        <v>51.5</v>
      </c>
      <c r="G1013" s="1929">
        <v>56.5</v>
      </c>
      <c r="H1013" s="1929">
        <v>11.4</v>
      </c>
      <c r="I1013" s="1929">
        <v>554.20000000000005</v>
      </c>
      <c r="J1013" s="1929">
        <v>58</v>
      </c>
      <c r="K1013" s="1929" t="s">
        <v>3282</v>
      </c>
    </row>
    <row r="1014" spans="1:11" hidden="1" x14ac:dyDescent="0.2">
      <c r="A1014" s="1929" t="s">
        <v>3281</v>
      </c>
      <c r="B1014" s="1929" t="s">
        <v>1258</v>
      </c>
      <c r="C1014" s="1929" t="s">
        <v>1263</v>
      </c>
      <c r="D1014" s="1929" t="s">
        <v>1013</v>
      </c>
      <c r="E1014" s="1929" t="s">
        <v>70</v>
      </c>
      <c r="F1014" s="1929">
        <v>47.7</v>
      </c>
      <c r="G1014" s="1929">
        <v>119.2</v>
      </c>
      <c r="H1014" s="1929">
        <v>7.8</v>
      </c>
      <c r="I1014" s="1929">
        <v>109.4</v>
      </c>
      <c r="J1014" s="1929">
        <v>83</v>
      </c>
      <c r="K1014" s="1929" t="s">
        <v>3280</v>
      </c>
    </row>
    <row r="1015" spans="1:11" hidden="1" x14ac:dyDescent="0.2">
      <c r="A1015" s="1929" t="s">
        <v>3279</v>
      </c>
      <c r="B1015" s="1929" t="s">
        <v>1258</v>
      </c>
      <c r="C1015" s="1929" t="s">
        <v>1263</v>
      </c>
      <c r="D1015" s="1929" t="s">
        <v>1013</v>
      </c>
      <c r="E1015" s="1929" t="s">
        <v>70</v>
      </c>
      <c r="F1015" s="1929">
        <v>26.5</v>
      </c>
      <c r="G1015" s="1929">
        <v>26.9</v>
      </c>
      <c r="H1015" s="1929">
        <v>5.8</v>
      </c>
      <c r="I1015" s="1929">
        <v>68.8</v>
      </c>
      <c r="J1015" s="1929">
        <v>198</v>
      </c>
      <c r="K1015" s="1929" t="s">
        <v>3278</v>
      </c>
    </row>
    <row r="1016" spans="1:11" hidden="1" x14ac:dyDescent="0.2">
      <c r="A1016" s="1929" t="s">
        <v>3277</v>
      </c>
      <c r="B1016" s="1929" t="s">
        <v>1217</v>
      </c>
      <c r="C1016" s="1929" t="s">
        <v>1216</v>
      </c>
      <c r="D1016" s="1929" t="s">
        <v>1013</v>
      </c>
      <c r="E1016" s="1929" t="s">
        <v>70</v>
      </c>
      <c r="F1016" s="1929">
        <v>14.6</v>
      </c>
      <c r="G1016" s="1929">
        <v>22.8</v>
      </c>
      <c r="H1016" s="1929">
        <v>2.4</v>
      </c>
      <c r="I1016" s="1929">
        <v>262</v>
      </c>
      <c r="J1016" s="1929">
        <v>263</v>
      </c>
      <c r="K1016" s="1929" t="s">
        <v>3276</v>
      </c>
    </row>
    <row r="1017" spans="1:11" hidden="1" x14ac:dyDescent="0.2">
      <c r="A1017" s="1929" t="s">
        <v>3275</v>
      </c>
      <c r="B1017" s="1929" t="s">
        <v>1258</v>
      </c>
      <c r="C1017" s="1929" t="s">
        <v>1257</v>
      </c>
      <c r="D1017" s="1929" t="s">
        <v>1013</v>
      </c>
      <c r="E1017" s="1929" t="s">
        <v>70</v>
      </c>
      <c r="F1017" s="1929">
        <v>15.6</v>
      </c>
      <c r="G1017" s="1929">
        <v>23.7</v>
      </c>
      <c r="H1017" s="1929">
        <v>5.3</v>
      </c>
      <c r="I1017" s="1929">
        <v>65.900000000000006</v>
      </c>
      <c r="J1017" s="1929">
        <v>279</v>
      </c>
      <c r="K1017" s="1929" t="s">
        <v>3274</v>
      </c>
    </row>
    <row r="1018" spans="1:11" hidden="1" x14ac:dyDescent="0.2">
      <c r="A1018" s="1929" t="s">
        <v>3273</v>
      </c>
      <c r="B1018" s="1929" t="s">
        <v>1249</v>
      </c>
      <c r="C1018" s="1929" t="s">
        <v>1248</v>
      </c>
      <c r="D1018" s="1929" t="s">
        <v>1013</v>
      </c>
      <c r="E1018" s="1929" t="s">
        <v>70</v>
      </c>
      <c r="F1018" s="1929">
        <v>9.8000000000000007</v>
      </c>
      <c r="G1018" s="1929">
        <v>35.5</v>
      </c>
      <c r="H1018" s="1929">
        <v>2.2999999999999998</v>
      </c>
      <c r="I1018" s="1929">
        <v>44.4</v>
      </c>
      <c r="J1018" s="1929">
        <v>384</v>
      </c>
      <c r="K1018" s="1929" t="s">
        <v>3272</v>
      </c>
    </row>
    <row r="1019" spans="1:11" hidden="1" x14ac:dyDescent="0.2">
      <c r="A1019" s="1929" t="s">
        <v>3271</v>
      </c>
      <c r="B1019" s="1929" t="s">
        <v>1258</v>
      </c>
      <c r="C1019" s="1929" t="s">
        <v>1263</v>
      </c>
      <c r="D1019" s="1929" t="s">
        <v>1013</v>
      </c>
      <c r="E1019" s="1929" t="s">
        <v>70</v>
      </c>
      <c r="F1019" s="1929">
        <v>30.5</v>
      </c>
      <c r="G1019" s="1929">
        <v>9.4</v>
      </c>
      <c r="H1019" s="1929">
        <v>3.4</v>
      </c>
      <c r="I1019" s="1929">
        <v>18.2</v>
      </c>
      <c r="J1019" s="1929">
        <v>481</v>
      </c>
      <c r="K1019" s="1929" t="s">
        <v>3270</v>
      </c>
    </row>
    <row r="1020" spans="1:11" hidden="1" x14ac:dyDescent="0.2">
      <c r="A1020" s="1929" t="s">
        <v>3269</v>
      </c>
      <c r="B1020" s="1929" t="s">
        <v>1234</v>
      </c>
      <c r="C1020" s="1929" t="s">
        <v>1337</v>
      </c>
      <c r="D1020" s="1929" t="s">
        <v>1013</v>
      </c>
      <c r="E1020" s="1929" t="s">
        <v>70</v>
      </c>
      <c r="F1020" s="1929">
        <v>26.9</v>
      </c>
      <c r="G1020" s="1929">
        <v>11.7</v>
      </c>
      <c r="H1020" s="1929">
        <v>1.2</v>
      </c>
      <c r="I1020" s="1929">
        <v>20.2</v>
      </c>
      <c r="J1020" s="1929">
        <v>515</v>
      </c>
      <c r="K1020" s="1929" t="s">
        <v>3268</v>
      </c>
    </row>
    <row r="1021" spans="1:11" hidden="1" x14ac:dyDescent="0.2">
      <c r="A1021" s="1929" t="s">
        <v>3267</v>
      </c>
      <c r="B1021" s="1929" t="s">
        <v>1258</v>
      </c>
      <c r="C1021" s="1929" t="s">
        <v>1263</v>
      </c>
      <c r="D1021" s="1929" t="s">
        <v>1013</v>
      </c>
      <c r="E1021" s="1929" t="s">
        <v>70</v>
      </c>
      <c r="F1021" s="1929">
        <v>13</v>
      </c>
      <c r="G1021" s="1929">
        <v>14.3</v>
      </c>
      <c r="H1021" s="1929">
        <v>2.4</v>
      </c>
      <c r="I1021" s="1929">
        <v>20.399999999999999</v>
      </c>
      <c r="J1021" s="1929">
        <v>519</v>
      </c>
      <c r="K1021" s="1929" t="s">
        <v>3266</v>
      </c>
    </row>
    <row r="1022" spans="1:11" hidden="1" x14ac:dyDescent="0.2">
      <c r="A1022" s="1929" t="s">
        <v>3265</v>
      </c>
      <c r="B1022" s="1929" t="s">
        <v>1249</v>
      </c>
      <c r="C1022" s="1929" t="s">
        <v>1248</v>
      </c>
      <c r="D1022" s="1929" t="s">
        <v>1013</v>
      </c>
      <c r="E1022" s="1929" t="s">
        <v>70</v>
      </c>
      <c r="F1022" s="1929">
        <v>17.100000000000001</v>
      </c>
      <c r="G1022" s="1929">
        <v>9.3000000000000007</v>
      </c>
      <c r="H1022" s="1929">
        <v>1.6</v>
      </c>
      <c r="I1022" s="1929">
        <v>13.1</v>
      </c>
      <c r="J1022" s="1929">
        <v>664</v>
      </c>
      <c r="K1022" s="1929" t="s">
        <v>3264</v>
      </c>
    </row>
    <row r="1023" spans="1:11" hidden="1" x14ac:dyDescent="0.2">
      <c r="A1023" s="1929" t="s">
        <v>3263</v>
      </c>
      <c r="B1023" s="1929" t="s">
        <v>1306</v>
      </c>
      <c r="C1023" s="1929" t="s">
        <v>1392</v>
      </c>
      <c r="D1023" s="1929" t="s">
        <v>1013</v>
      </c>
      <c r="E1023" s="1929" t="s">
        <v>70</v>
      </c>
      <c r="F1023" s="1929">
        <v>22.4</v>
      </c>
      <c r="G1023" s="1929">
        <v>18.2</v>
      </c>
      <c r="H1023" s="1929">
        <v>1.1000000000000001</v>
      </c>
      <c r="I1023" s="1929">
        <v>7</v>
      </c>
      <c r="J1023" s="1929">
        <v>670</v>
      </c>
      <c r="K1023" s="1929" t="s">
        <v>3262</v>
      </c>
    </row>
    <row r="1024" spans="1:11" hidden="1" x14ac:dyDescent="0.2">
      <c r="A1024" s="1929" t="s">
        <v>3261</v>
      </c>
      <c r="B1024" s="1929" t="s">
        <v>1310</v>
      </c>
      <c r="C1024" s="1929" t="s">
        <v>1309</v>
      </c>
      <c r="D1024" s="1929" t="s">
        <v>1013</v>
      </c>
      <c r="E1024" s="1929" t="s">
        <v>70</v>
      </c>
      <c r="F1024" s="1929">
        <v>2.4</v>
      </c>
      <c r="G1024" s="1929">
        <v>21.3</v>
      </c>
      <c r="H1024" s="1929">
        <v>0.6</v>
      </c>
      <c r="I1024" s="1929">
        <v>61.1</v>
      </c>
      <c r="J1024" s="1929">
        <v>762</v>
      </c>
      <c r="K1024" s="1929" t="s">
        <v>3260</v>
      </c>
    </row>
    <row r="1025" spans="1:11" hidden="1" x14ac:dyDescent="0.2">
      <c r="A1025" s="1929" t="s">
        <v>3259</v>
      </c>
      <c r="B1025" s="1929" t="s">
        <v>1310</v>
      </c>
      <c r="C1025" s="1929" t="s">
        <v>1309</v>
      </c>
      <c r="D1025" s="1929" t="s">
        <v>1013</v>
      </c>
      <c r="E1025" s="1929" t="s">
        <v>70</v>
      </c>
      <c r="F1025" s="1929">
        <v>6.1</v>
      </c>
      <c r="G1025" s="1929">
        <v>9.8000000000000007</v>
      </c>
      <c r="H1025" s="1929">
        <v>0.6</v>
      </c>
      <c r="I1025" s="1929">
        <v>27.9</v>
      </c>
      <c r="J1025" s="1929">
        <v>882</v>
      </c>
      <c r="K1025" s="1929" t="s">
        <v>3258</v>
      </c>
    </row>
    <row r="1026" spans="1:11" hidden="1" x14ac:dyDescent="0.2">
      <c r="A1026" s="1929" t="s">
        <v>3257</v>
      </c>
      <c r="B1026" s="1929" t="s">
        <v>1249</v>
      </c>
      <c r="C1026" s="1929" t="s">
        <v>1248</v>
      </c>
      <c r="D1026" s="1929" t="s">
        <v>1013</v>
      </c>
      <c r="E1026" s="1929" t="s">
        <v>70</v>
      </c>
      <c r="F1026" s="1929">
        <v>6.8</v>
      </c>
      <c r="G1026" s="1929">
        <v>10</v>
      </c>
      <c r="H1026" s="1929">
        <v>0.7</v>
      </c>
      <c r="I1026" s="1929">
        <v>16.8</v>
      </c>
      <c r="J1026" s="1929">
        <v>907</v>
      </c>
      <c r="K1026" s="1929" t="s">
        <v>3256</v>
      </c>
    </row>
    <row r="1027" spans="1:11" hidden="1" x14ac:dyDescent="0.2">
      <c r="A1027" s="1929" t="s">
        <v>3255</v>
      </c>
      <c r="B1027" s="1929" t="s">
        <v>1234</v>
      </c>
      <c r="C1027" s="1929" t="s">
        <v>1233</v>
      </c>
      <c r="D1027" s="1929" t="s">
        <v>1013</v>
      </c>
      <c r="E1027" s="1929" t="s">
        <v>70</v>
      </c>
      <c r="F1027" s="1929">
        <v>13.1</v>
      </c>
      <c r="G1027" s="1929">
        <v>3.3</v>
      </c>
      <c r="H1027" s="1929">
        <v>1.2</v>
      </c>
      <c r="I1027" s="1929">
        <v>12.9</v>
      </c>
      <c r="J1027" s="1929">
        <v>1022</v>
      </c>
      <c r="K1027" s="1929" t="s">
        <v>3254</v>
      </c>
    </row>
    <row r="1028" spans="1:11" hidden="1" x14ac:dyDescent="0.2">
      <c r="A1028" s="1929" t="s">
        <v>3253</v>
      </c>
      <c r="B1028" s="1929" t="s">
        <v>1234</v>
      </c>
      <c r="C1028" s="1929" t="s">
        <v>1337</v>
      </c>
      <c r="D1028" s="1929" t="s">
        <v>1013</v>
      </c>
      <c r="E1028" s="1929" t="s">
        <v>70</v>
      </c>
      <c r="F1028" s="1929">
        <v>7.8</v>
      </c>
      <c r="G1028" s="1929">
        <v>5</v>
      </c>
      <c r="H1028" s="1929">
        <v>1</v>
      </c>
      <c r="I1028" s="1929">
        <v>10.4</v>
      </c>
      <c r="J1028" s="1929">
        <v>1182</v>
      </c>
      <c r="K1028" s="1929" t="s">
        <v>3252</v>
      </c>
    </row>
    <row r="1029" spans="1:11" hidden="1" x14ac:dyDescent="0.2">
      <c r="A1029" s="1929" t="s">
        <v>3251</v>
      </c>
      <c r="B1029" s="1929" t="s">
        <v>1234</v>
      </c>
      <c r="C1029" s="1929" t="s">
        <v>1445</v>
      </c>
      <c r="D1029" s="1929" t="s">
        <v>1013</v>
      </c>
      <c r="E1029" s="1929" t="s">
        <v>70</v>
      </c>
      <c r="F1029" s="1929">
        <v>7.5</v>
      </c>
      <c r="G1029" s="1929">
        <v>10.9</v>
      </c>
      <c r="H1029" s="1929">
        <v>0.2</v>
      </c>
      <c r="I1029" s="1929">
        <v>16.3</v>
      </c>
      <c r="J1029" s="1929">
        <v>1248</v>
      </c>
      <c r="K1029" s="1929" t="s">
        <v>3250</v>
      </c>
    </row>
    <row r="1030" spans="1:11" hidden="1" x14ac:dyDescent="0.2">
      <c r="A1030" s="1929" t="s">
        <v>3249</v>
      </c>
      <c r="B1030" s="1929" t="s">
        <v>1234</v>
      </c>
      <c r="C1030" s="1929" t="s">
        <v>1445</v>
      </c>
      <c r="D1030" s="1929" t="s">
        <v>1013</v>
      </c>
      <c r="E1030" s="1929" t="s">
        <v>70</v>
      </c>
      <c r="F1030" s="1929">
        <v>6.3</v>
      </c>
      <c r="G1030" s="1929">
        <v>13.3</v>
      </c>
      <c r="H1030" s="1929">
        <v>0.1</v>
      </c>
      <c r="I1030" s="1929">
        <v>14.5</v>
      </c>
      <c r="J1030" s="1929">
        <v>1309</v>
      </c>
      <c r="K1030" s="1929" t="s">
        <v>3248</v>
      </c>
    </row>
    <row r="1031" spans="1:11" hidden="1" x14ac:dyDescent="0.2">
      <c r="A1031" s="1929" t="s">
        <v>3247</v>
      </c>
      <c r="B1031" s="1929" t="s">
        <v>1310</v>
      </c>
      <c r="C1031" s="1929" t="s">
        <v>1309</v>
      </c>
      <c r="D1031" s="1929" t="s">
        <v>1013</v>
      </c>
      <c r="E1031" s="1929" t="s">
        <v>70</v>
      </c>
      <c r="F1031" s="1929">
        <v>2.4</v>
      </c>
      <c r="G1031" s="1929">
        <v>20.8</v>
      </c>
      <c r="H1031" s="1929">
        <v>-0.7</v>
      </c>
      <c r="I1031" s="1929">
        <v>15.6</v>
      </c>
      <c r="J1031" s="1929">
        <v>1324</v>
      </c>
      <c r="K1031" s="1929" t="s">
        <v>3246</v>
      </c>
    </row>
    <row r="1032" spans="1:11" hidden="1" x14ac:dyDescent="0.2">
      <c r="A1032" s="1929" t="s">
        <v>3245</v>
      </c>
      <c r="B1032" s="1929" t="s">
        <v>1234</v>
      </c>
      <c r="C1032" s="1929" t="s">
        <v>1972</v>
      </c>
      <c r="D1032" s="1929" t="s">
        <v>1013</v>
      </c>
      <c r="E1032" s="1929" t="s">
        <v>70</v>
      </c>
      <c r="F1032" s="1929">
        <v>5.4</v>
      </c>
      <c r="G1032" s="1929">
        <v>9.8000000000000007</v>
      </c>
      <c r="H1032" s="1929">
        <v>-3.2</v>
      </c>
      <c r="I1032" s="1929">
        <v>20.6</v>
      </c>
      <c r="J1032" s="1929">
        <v>1372</v>
      </c>
      <c r="K1032" s="1929" t="s">
        <v>3244</v>
      </c>
    </row>
    <row r="1033" spans="1:11" hidden="1" x14ac:dyDescent="0.2">
      <c r="A1033" s="1929" t="s">
        <v>3243</v>
      </c>
      <c r="B1033" s="1929" t="s">
        <v>1245</v>
      </c>
      <c r="C1033" s="1929" t="s">
        <v>1244</v>
      </c>
      <c r="D1033" s="1929" t="s">
        <v>1013</v>
      </c>
      <c r="E1033" s="1929" t="s">
        <v>70</v>
      </c>
      <c r="F1033" s="1929">
        <v>7.7</v>
      </c>
      <c r="G1033" s="1929">
        <v>0.7</v>
      </c>
      <c r="H1033" s="1929">
        <v>1.2</v>
      </c>
      <c r="I1033" s="1929">
        <v>3.2</v>
      </c>
      <c r="J1033" s="1929">
        <v>1392</v>
      </c>
      <c r="K1033" s="1929" t="s">
        <v>3242</v>
      </c>
    </row>
    <row r="1034" spans="1:11" hidden="1" x14ac:dyDescent="0.2">
      <c r="A1034" s="1929" t="s">
        <v>3241</v>
      </c>
      <c r="B1034" s="1929" t="s">
        <v>1217</v>
      </c>
      <c r="C1034" s="1929" t="s">
        <v>1216</v>
      </c>
      <c r="D1034" s="1929" t="s">
        <v>1013</v>
      </c>
      <c r="E1034" s="1929" t="s">
        <v>70</v>
      </c>
      <c r="F1034" s="1929">
        <v>3.1</v>
      </c>
      <c r="G1034" s="1929">
        <v>3.4</v>
      </c>
      <c r="H1034" s="1929">
        <v>0.4</v>
      </c>
      <c r="I1034" s="1929">
        <v>31.9</v>
      </c>
      <c r="J1034" s="1929">
        <v>1443</v>
      </c>
      <c r="K1034" s="1929" t="s">
        <v>3240</v>
      </c>
    </row>
    <row r="1035" spans="1:11" hidden="1" x14ac:dyDescent="0.2">
      <c r="A1035" s="1929" t="s">
        <v>3239</v>
      </c>
      <c r="B1035" s="1929" t="s">
        <v>1306</v>
      </c>
      <c r="C1035" s="1929" t="s">
        <v>1392</v>
      </c>
      <c r="D1035" s="1929" t="s">
        <v>1013</v>
      </c>
      <c r="E1035" s="1929" t="s">
        <v>70</v>
      </c>
      <c r="F1035" s="1929">
        <v>4.5</v>
      </c>
      <c r="G1035" s="1929">
        <v>16.8</v>
      </c>
      <c r="H1035" s="1929">
        <v>0.3</v>
      </c>
      <c r="I1035" s="1929">
        <v>8.6</v>
      </c>
      <c r="J1035" s="1929">
        <v>1491</v>
      </c>
      <c r="K1035" s="1929" t="s">
        <v>3238</v>
      </c>
    </row>
    <row r="1036" spans="1:11" hidden="1" x14ac:dyDescent="0.2">
      <c r="A1036" s="1929" t="s">
        <v>3237</v>
      </c>
      <c r="B1036" s="1929" t="s">
        <v>1234</v>
      </c>
      <c r="C1036" s="1929" t="s">
        <v>1445</v>
      </c>
      <c r="D1036" s="1929" t="s">
        <v>1013</v>
      </c>
      <c r="E1036" s="1929" t="s">
        <v>70</v>
      </c>
      <c r="F1036" s="1929">
        <v>0.5</v>
      </c>
      <c r="G1036" s="1929">
        <v>11.3</v>
      </c>
      <c r="H1036" s="1929">
        <v>-1.7</v>
      </c>
      <c r="I1036" s="1929">
        <v>14.6</v>
      </c>
      <c r="J1036" s="1929">
        <v>1539</v>
      </c>
      <c r="K1036" s="1929" t="s">
        <v>3236</v>
      </c>
    </row>
    <row r="1037" spans="1:11" hidden="1" x14ac:dyDescent="0.2">
      <c r="A1037" s="1929" t="s">
        <v>3235</v>
      </c>
      <c r="B1037" s="1929" t="s">
        <v>1310</v>
      </c>
      <c r="C1037" s="1929" t="s">
        <v>1309</v>
      </c>
      <c r="D1037" s="1929" t="s">
        <v>1013</v>
      </c>
      <c r="E1037" s="1929" t="s">
        <v>70</v>
      </c>
      <c r="F1037" s="1929">
        <v>2.8</v>
      </c>
      <c r="G1037" s="1929">
        <v>4.8</v>
      </c>
      <c r="H1037" s="1929">
        <v>-0.2</v>
      </c>
      <c r="I1037" s="1929">
        <v>38.299999999999997</v>
      </c>
      <c r="J1037" s="1929">
        <v>1633</v>
      </c>
      <c r="K1037" s="1929" t="s">
        <v>3234</v>
      </c>
    </row>
    <row r="1038" spans="1:11" hidden="1" x14ac:dyDescent="0.2">
      <c r="A1038" s="1929" t="s">
        <v>3233</v>
      </c>
      <c r="B1038" s="1929" t="s">
        <v>1234</v>
      </c>
      <c r="C1038" s="1929" t="s">
        <v>1445</v>
      </c>
      <c r="D1038" s="1929" t="s">
        <v>1013</v>
      </c>
      <c r="E1038" s="1929" t="s">
        <v>70</v>
      </c>
      <c r="F1038" s="1929">
        <v>1.8</v>
      </c>
      <c r="G1038" s="1929">
        <v>8.4</v>
      </c>
      <c r="H1038" s="1929">
        <v>-0.4</v>
      </c>
      <c r="I1038" s="1929">
        <v>14.4</v>
      </c>
      <c r="J1038" s="1929">
        <v>1691</v>
      </c>
      <c r="K1038" s="1929" t="s">
        <v>3232</v>
      </c>
    </row>
    <row r="1039" spans="1:11" hidden="1" x14ac:dyDescent="0.2">
      <c r="A1039" s="1929" t="s">
        <v>3231</v>
      </c>
      <c r="B1039" s="1929" t="s">
        <v>1234</v>
      </c>
      <c r="C1039" s="1929" t="s">
        <v>1461</v>
      </c>
      <c r="D1039" s="1929" t="s">
        <v>1013</v>
      </c>
      <c r="E1039" s="1929" t="s">
        <v>289</v>
      </c>
      <c r="F1039" s="1929">
        <v>94.4</v>
      </c>
      <c r="G1039" s="1929">
        <v>50.4</v>
      </c>
      <c r="H1039" s="1929">
        <v>6.7</v>
      </c>
      <c r="I1039" s="1929">
        <v>90.4</v>
      </c>
      <c r="J1039" s="1929">
        <v>98</v>
      </c>
      <c r="K1039" s="1929" t="s">
        <v>3230</v>
      </c>
    </row>
    <row r="1040" spans="1:11" hidden="1" x14ac:dyDescent="0.2">
      <c r="A1040" s="1929" t="s">
        <v>3229</v>
      </c>
      <c r="B1040" s="1929" t="s">
        <v>1249</v>
      </c>
      <c r="C1040" s="1929" t="s">
        <v>1248</v>
      </c>
      <c r="D1040" s="1929" t="s">
        <v>1013</v>
      </c>
      <c r="E1040" s="1929" t="s">
        <v>289</v>
      </c>
      <c r="F1040" s="1929">
        <v>35.6</v>
      </c>
      <c r="G1040" s="1929">
        <v>12.2</v>
      </c>
      <c r="H1040" s="1929">
        <v>2.6</v>
      </c>
      <c r="I1040" s="1929">
        <v>23.3</v>
      </c>
      <c r="J1040" s="1929">
        <v>393</v>
      </c>
      <c r="K1040" s="1929" t="s">
        <v>3228</v>
      </c>
    </row>
    <row r="1041" spans="1:11" hidden="1" x14ac:dyDescent="0.2">
      <c r="A1041" s="1929" t="s">
        <v>3227</v>
      </c>
      <c r="B1041" s="1929" t="s">
        <v>1310</v>
      </c>
      <c r="C1041" s="1929" t="s">
        <v>1309</v>
      </c>
      <c r="D1041" s="1929" t="s">
        <v>1013</v>
      </c>
      <c r="E1041" s="1929" t="s">
        <v>289</v>
      </c>
      <c r="F1041" s="1929">
        <v>17.5</v>
      </c>
      <c r="G1041" s="1929">
        <v>9.5</v>
      </c>
      <c r="H1041" s="1929">
        <v>0.8</v>
      </c>
      <c r="I1041" s="1929">
        <v>73.8</v>
      </c>
      <c r="J1041" s="1929">
        <v>491</v>
      </c>
      <c r="K1041" s="1929" t="s">
        <v>3226</v>
      </c>
    </row>
    <row r="1042" spans="1:11" hidden="1" x14ac:dyDescent="0.2">
      <c r="A1042" s="1929" t="s">
        <v>3225</v>
      </c>
      <c r="B1042" s="1929" t="s">
        <v>1217</v>
      </c>
      <c r="C1042" s="1929" t="s">
        <v>1216</v>
      </c>
      <c r="D1042" s="1929" t="s">
        <v>1013</v>
      </c>
      <c r="E1042" s="1929" t="s">
        <v>289</v>
      </c>
      <c r="F1042" s="1929">
        <v>30.1</v>
      </c>
      <c r="G1042" s="1929">
        <v>4</v>
      </c>
      <c r="H1042" s="1929">
        <v>2</v>
      </c>
      <c r="I1042" s="1929">
        <v>74.599999999999994</v>
      </c>
      <c r="J1042" s="1929">
        <v>567</v>
      </c>
      <c r="K1042" s="1929" t="s">
        <v>3224</v>
      </c>
    </row>
    <row r="1043" spans="1:11" hidden="1" x14ac:dyDescent="0.2">
      <c r="A1043" s="1929" t="s">
        <v>3223</v>
      </c>
      <c r="B1043" s="1929" t="s">
        <v>1249</v>
      </c>
      <c r="C1043" s="1929" t="s">
        <v>1248</v>
      </c>
      <c r="D1043" s="1929" t="s">
        <v>1013</v>
      </c>
      <c r="E1043" s="1929" t="s">
        <v>289</v>
      </c>
      <c r="F1043" s="1929">
        <v>19</v>
      </c>
      <c r="G1043" s="1929">
        <v>6.7</v>
      </c>
      <c r="H1043" s="1929">
        <v>1.8</v>
      </c>
      <c r="I1043" s="1929">
        <v>12.4</v>
      </c>
      <c r="J1043" s="1929">
        <v>720</v>
      </c>
      <c r="K1043" s="1929" t="s">
        <v>3222</v>
      </c>
    </row>
    <row r="1044" spans="1:11" hidden="1" x14ac:dyDescent="0.2">
      <c r="A1044" s="1929" t="s">
        <v>3221</v>
      </c>
      <c r="B1044" s="1929" t="s">
        <v>1217</v>
      </c>
      <c r="C1044" s="1929" t="s">
        <v>1216</v>
      </c>
      <c r="D1044" s="1929" t="s">
        <v>1013</v>
      </c>
      <c r="E1044" s="1929" t="s">
        <v>289</v>
      </c>
      <c r="F1044" s="1929">
        <v>13.7</v>
      </c>
      <c r="G1044" s="1929">
        <v>2</v>
      </c>
      <c r="H1044" s="1929">
        <v>1.2</v>
      </c>
      <c r="I1044" s="1929">
        <v>54.7</v>
      </c>
      <c r="J1044" s="1929">
        <v>721</v>
      </c>
      <c r="K1044" s="1929" t="s">
        <v>3220</v>
      </c>
    </row>
    <row r="1045" spans="1:11" hidden="1" x14ac:dyDescent="0.2">
      <c r="A1045" s="1929" t="s">
        <v>3219</v>
      </c>
      <c r="B1045" s="1929" t="s">
        <v>1217</v>
      </c>
      <c r="C1045" s="1929" t="s">
        <v>1216</v>
      </c>
      <c r="D1045" s="1929" t="s">
        <v>1013</v>
      </c>
      <c r="E1045" s="1929" t="s">
        <v>289</v>
      </c>
      <c r="F1045" s="1929">
        <v>13.9</v>
      </c>
      <c r="G1045" s="1929">
        <v>2.2000000000000002</v>
      </c>
      <c r="H1045" s="1929">
        <v>1.1000000000000001</v>
      </c>
      <c r="I1045" s="1929">
        <v>54.7</v>
      </c>
      <c r="J1045" s="1929">
        <v>735</v>
      </c>
      <c r="K1045" s="1929" t="s">
        <v>3218</v>
      </c>
    </row>
    <row r="1046" spans="1:11" hidden="1" x14ac:dyDescent="0.2">
      <c r="A1046" s="1929" t="s">
        <v>3217</v>
      </c>
      <c r="B1046" s="1929" t="s">
        <v>1217</v>
      </c>
      <c r="C1046" s="1929" t="s">
        <v>1216</v>
      </c>
      <c r="D1046" s="1929" t="s">
        <v>1013</v>
      </c>
      <c r="E1046" s="1929" t="s">
        <v>289</v>
      </c>
      <c r="F1046" s="1929">
        <v>12.6</v>
      </c>
      <c r="G1046" s="1929">
        <v>1.7</v>
      </c>
      <c r="H1046" s="1929">
        <v>1</v>
      </c>
      <c r="I1046" s="1929">
        <v>47.3</v>
      </c>
      <c r="J1046" s="1929">
        <v>788</v>
      </c>
      <c r="K1046" s="1929" t="s">
        <v>3216</v>
      </c>
    </row>
    <row r="1047" spans="1:11" hidden="1" x14ac:dyDescent="0.2">
      <c r="A1047" s="1929" t="s">
        <v>3215</v>
      </c>
      <c r="B1047" s="1929" t="s">
        <v>1217</v>
      </c>
      <c r="C1047" s="1929" t="s">
        <v>1216</v>
      </c>
      <c r="D1047" s="1929" t="s">
        <v>1013</v>
      </c>
      <c r="E1047" s="1929" t="s">
        <v>289</v>
      </c>
      <c r="F1047" s="1929">
        <v>9.6999999999999993</v>
      </c>
      <c r="G1047" s="1929">
        <v>1.6</v>
      </c>
      <c r="H1047" s="1929">
        <v>0.6</v>
      </c>
      <c r="I1047" s="1929">
        <v>45.3</v>
      </c>
      <c r="J1047" s="1929">
        <v>931</v>
      </c>
      <c r="K1047" s="1929" t="s">
        <v>3214</v>
      </c>
    </row>
    <row r="1048" spans="1:11" hidden="1" x14ac:dyDescent="0.2">
      <c r="A1048" s="1929" t="s">
        <v>3213</v>
      </c>
      <c r="B1048" s="1929" t="s">
        <v>1217</v>
      </c>
      <c r="C1048" s="1929" t="s">
        <v>1216</v>
      </c>
      <c r="D1048" s="1929" t="s">
        <v>1013</v>
      </c>
      <c r="E1048" s="1929" t="s">
        <v>289</v>
      </c>
      <c r="F1048" s="1929">
        <v>8</v>
      </c>
      <c r="G1048" s="1929">
        <v>1.6</v>
      </c>
      <c r="H1048" s="1929">
        <v>0.7</v>
      </c>
      <c r="I1048" s="1929">
        <v>36.799999999999997</v>
      </c>
      <c r="J1048" s="1929">
        <v>1001</v>
      </c>
      <c r="K1048" s="1929" t="s">
        <v>3212</v>
      </c>
    </row>
    <row r="1049" spans="1:11" hidden="1" x14ac:dyDescent="0.2">
      <c r="A1049" s="1929" t="s">
        <v>3211</v>
      </c>
      <c r="B1049" s="1929" t="s">
        <v>1234</v>
      </c>
      <c r="C1049" s="1929" t="s">
        <v>1233</v>
      </c>
      <c r="D1049" s="1929" t="s">
        <v>1013</v>
      </c>
      <c r="E1049" s="1929" t="s">
        <v>289</v>
      </c>
      <c r="F1049" s="1929">
        <v>14.3</v>
      </c>
      <c r="G1049" s="1929">
        <v>1.1000000000000001</v>
      </c>
      <c r="H1049" s="1929">
        <v>0.8</v>
      </c>
      <c r="I1049" s="1929">
        <v>2.5</v>
      </c>
      <c r="J1049" s="1929">
        <v>1239</v>
      </c>
      <c r="K1049" s="1929" t="s">
        <v>3210</v>
      </c>
    </row>
    <row r="1050" spans="1:11" hidden="1" x14ac:dyDescent="0.2">
      <c r="A1050" s="1929" t="s">
        <v>3209</v>
      </c>
      <c r="B1050" s="1929" t="s">
        <v>1306</v>
      </c>
      <c r="C1050" s="1929" t="s">
        <v>1305</v>
      </c>
      <c r="D1050" s="1929" t="s">
        <v>1013</v>
      </c>
      <c r="E1050" s="1929" t="s">
        <v>289</v>
      </c>
      <c r="F1050" s="1929">
        <v>9.8000000000000007</v>
      </c>
      <c r="G1050" s="1929">
        <v>7</v>
      </c>
      <c r="H1050" s="1929">
        <v>0.5</v>
      </c>
      <c r="I1050" s="1929">
        <v>6.6</v>
      </c>
      <c r="J1050" s="1929">
        <v>1292</v>
      </c>
      <c r="K1050" s="1929" t="s">
        <v>3208</v>
      </c>
    </row>
    <row r="1051" spans="1:11" hidden="1" x14ac:dyDescent="0.2">
      <c r="A1051" s="1929" t="s">
        <v>3207</v>
      </c>
      <c r="B1051" s="1929" t="s">
        <v>1234</v>
      </c>
      <c r="C1051" s="1929" t="s">
        <v>1337</v>
      </c>
      <c r="D1051" s="1929" t="s">
        <v>1013</v>
      </c>
      <c r="E1051" s="1929" t="s">
        <v>289</v>
      </c>
      <c r="F1051" s="1929">
        <v>9</v>
      </c>
      <c r="G1051" s="1929">
        <v>1.5</v>
      </c>
      <c r="H1051" s="1929">
        <v>0.4</v>
      </c>
      <c r="I1051" s="1929">
        <v>17.100000000000001</v>
      </c>
      <c r="J1051" s="1929">
        <v>1303</v>
      </c>
      <c r="K1051" s="1929" t="s">
        <v>3206</v>
      </c>
    </row>
    <row r="1052" spans="1:11" hidden="1" x14ac:dyDescent="0.2">
      <c r="A1052" s="1929" t="s">
        <v>3205</v>
      </c>
      <c r="B1052" s="1929" t="s">
        <v>1234</v>
      </c>
      <c r="C1052" s="1929" t="s">
        <v>1461</v>
      </c>
      <c r="D1052" s="1929" t="s">
        <v>1013</v>
      </c>
      <c r="E1052" s="1929" t="s">
        <v>289</v>
      </c>
      <c r="F1052" s="1929">
        <v>6.4</v>
      </c>
      <c r="G1052" s="1929">
        <v>13.5</v>
      </c>
      <c r="H1052" s="1929">
        <v>0.1</v>
      </c>
      <c r="I1052" s="1929">
        <v>12.2</v>
      </c>
      <c r="J1052" s="1929">
        <v>1383</v>
      </c>
      <c r="K1052" s="1929" t="s">
        <v>3204</v>
      </c>
    </row>
    <row r="1053" spans="1:11" hidden="1" x14ac:dyDescent="0.2">
      <c r="A1053" s="1929" t="s">
        <v>3203</v>
      </c>
      <c r="B1053" s="1929" t="s">
        <v>1217</v>
      </c>
      <c r="C1053" s="1929" t="s">
        <v>1368</v>
      </c>
      <c r="D1053" s="1929" t="s">
        <v>1013</v>
      </c>
      <c r="E1053" s="1929" t="s">
        <v>289</v>
      </c>
      <c r="F1053" s="1929">
        <v>22.2</v>
      </c>
      <c r="G1053" s="1929">
        <v>0.7</v>
      </c>
      <c r="H1053" s="1929">
        <v>0.2</v>
      </c>
      <c r="I1053" s="1929">
        <v>12.3</v>
      </c>
      <c r="J1053" s="1929">
        <v>1461</v>
      </c>
      <c r="K1053" s="1929" t="s">
        <v>3202</v>
      </c>
    </row>
    <row r="1054" spans="1:11" hidden="1" x14ac:dyDescent="0.2">
      <c r="A1054" s="1929" t="s">
        <v>3201</v>
      </c>
      <c r="B1054" s="1929" t="s">
        <v>1217</v>
      </c>
      <c r="C1054" s="1929" t="s">
        <v>1216</v>
      </c>
      <c r="D1054" s="1929" t="s">
        <v>1013</v>
      </c>
      <c r="E1054" s="1929" t="s">
        <v>289</v>
      </c>
      <c r="F1054" s="1929">
        <v>5.0999999999999996</v>
      </c>
      <c r="G1054" s="1929">
        <v>0.8</v>
      </c>
      <c r="H1054" s="1929">
        <v>0.4</v>
      </c>
      <c r="I1054" s="1929">
        <v>21.5</v>
      </c>
      <c r="J1054" s="1929">
        <v>1603</v>
      </c>
      <c r="K1054" s="1929" t="s">
        <v>3200</v>
      </c>
    </row>
    <row r="1055" spans="1:11" hidden="1" x14ac:dyDescent="0.2">
      <c r="A1055" s="1929" t="s">
        <v>3199</v>
      </c>
      <c r="B1055" s="1929" t="s">
        <v>1306</v>
      </c>
      <c r="C1055" s="1929" t="s">
        <v>1305</v>
      </c>
      <c r="D1055" s="1929" t="s">
        <v>1013</v>
      </c>
      <c r="E1055" s="1929" t="s">
        <v>289</v>
      </c>
      <c r="F1055" s="1929">
        <v>10.4</v>
      </c>
      <c r="G1055" s="1929">
        <v>3</v>
      </c>
      <c r="H1055" s="1929">
        <v>0.4</v>
      </c>
      <c r="I1055" s="1929">
        <v>6.2</v>
      </c>
      <c r="J1055" s="1929">
        <v>1667</v>
      </c>
      <c r="K1055" s="1929" t="s">
        <v>3198</v>
      </c>
    </row>
    <row r="1056" spans="1:11" hidden="1" x14ac:dyDescent="0.2">
      <c r="A1056" s="1929" t="s">
        <v>3197</v>
      </c>
      <c r="B1056" s="1929" t="s">
        <v>1217</v>
      </c>
      <c r="C1056" s="1929" t="s">
        <v>1216</v>
      </c>
      <c r="D1056" s="1929" t="s">
        <v>1013</v>
      </c>
      <c r="E1056" s="1929" t="s">
        <v>289</v>
      </c>
      <c r="F1056" s="1929">
        <v>7.5</v>
      </c>
      <c r="G1056" s="1929">
        <v>0.7</v>
      </c>
      <c r="H1056" s="1929">
        <v>0.3</v>
      </c>
      <c r="I1056" s="1929">
        <v>16.8</v>
      </c>
      <c r="J1056" s="1929">
        <v>1719</v>
      </c>
      <c r="K1056" s="1929" t="s">
        <v>3196</v>
      </c>
    </row>
    <row r="1057" spans="1:11" hidden="1" x14ac:dyDescent="0.2">
      <c r="A1057" s="1929" t="s">
        <v>3195</v>
      </c>
      <c r="B1057" s="1929" t="s">
        <v>1217</v>
      </c>
      <c r="C1057" s="1929" t="s">
        <v>1368</v>
      </c>
      <c r="D1057" s="1929" t="s">
        <v>1013</v>
      </c>
      <c r="E1057" s="1929" t="s">
        <v>289</v>
      </c>
      <c r="F1057" s="1929">
        <v>4.5</v>
      </c>
      <c r="G1057" s="1929">
        <v>0.7</v>
      </c>
      <c r="H1057" s="1929">
        <v>0.3</v>
      </c>
      <c r="I1057" s="1929">
        <v>21.5</v>
      </c>
      <c r="J1057" s="1929">
        <v>1779</v>
      </c>
      <c r="K1057" s="1929" t="s">
        <v>3194</v>
      </c>
    </row>
    <row r="1058" spans="1:11" hidden="1" x14ac:dyDescent="0.2">
      <c r="A1058" s="1929" t="s">
        <v>3193</v>
      </c>
      <c r="B1058" s="1929" t="s">
        <v>1238</v>
      </c>
      <c r="C1058" s="1929" t="s">
        <v>1878</v>
      </c>
      <c r="D1058" s="1929" t="s">
        <v>1013</v>
      </c>
      <c r="E1058" s="1929" t="s">
        <v>289</v>
      </c>
      <c r="F1058" s="1929">
        <v>6</v>
      </c>
      <c r="G1058" s="1929">
        <v>4.9000000000000004</v>
      </c>
      <c r="H1058" s="1929">
        <v>0.3</v>
      </c>
      <c r="I1058" s="1929">
        <v>12.6</v>
      </c>
      <c r="J1058" s="1929">
        <v>1797</v>
      </c>
      <c r="K1058" s="1929" t="s">
        <v>3192</v>
      </c>
    </row>
    <row r="1059" spans="1:11" x14ac:dyDescent="0.2">
      <c r="A1059" s="1929" t="s">
        <v>3191</v>
      </c>
      <c r="B1059" s="1929" t="s">
        <v>1217</v>
      </c>
      <c r="C1059" s="1929" t="s">
        <v>2291</v>
      </c>
      <c r="D1059" s="1929" t="s">
        <v>1013</v>
      </c>
      <c r="E1059" s="1929" t="s">
        <v>102</v>
      </c>
      <c r="F1059" s="1929">
        <v>31.8</v>
      </c>
      <c r="G1059" s="1929">
        <v>9.4</v>
      </c>
      <c r="H1059" s="1929">
        <v>2.9</v>
      </c>
      <c r="I1059" s="1929">
        <v>318.39999999999998</v>
      </c>
      <c r="J1059" s="1929">
        <v>288</v>
      </c>
      <c r="K1059" s="1929" t="s">
        <v>3190</v>
      </c>
    </row>
    <row r="1060" spans="1:11" x14ac:dyDescent="0.2">
      <c r="A1060" s="1929" t="s">
        <v>3189</v>
      </c>
      <c r="B1060" s="1929" t="s">
        <v>1217</v>
      </c>
      <c r="C1060" s="1929" t="s">
        <v>1216</v>
      </c>
      <c r="D1060" s="1929" t="s">
        <v>1013</v>
      </c>
      <c r="E1060" s="1929" t="s">
        <v>102</v>
      </c>
      <c r="F1060" s="1929">
        <v>26.1</v>
      </c>
      <c r="G1060" s="1929">
        <v>11.1</v>
      </c>
      <c r="H1060" s="1929">
        <v>2.2000000000000002</v>
      </c>
      <c r="I1060" s="1929">
        <v>268.10000000000002</v>
      </c>
      <c r="J1060" s="1929">
        <v>298</v>
      </c>
      <c r="K1060" s="1929" t="s">
        <v>3188</v>
      </c>
    </row>
    <row r="1061" spans="1:11" x14ac:dyDescent="0.2">
      <c r="A1061" s="1929" t="s">
        <v>3187</v>
      </c>
      <c r="B1061" s="1929" t="s">
        <v>1306</v>
      </c>
      <c r="C1061" s="1929" t="s">
        <v>1305</v>
      </c>
      <c r="D1061" s="1929" t="s">
        <v>1013</v>
      </c>
      <c r="E1061" s="1929" t="s">
        <v>102</v>
      </c>
      <c r="F1061" s="1929">
        <v>17.7</v>
      </c>
      <c r="G1061" s="1929">
        <v>44.1</v>
      </c>
      <c r="H1061" s="1929">
        <v>1.3</v>
      </c>
      <c r="I1061" s="1929">
        <v>46.6</v>
      </c>
      <c r="J1061" s="1929">
        <v>316</v>
      </c>
      <c r="K1061" s="1929" t="s">
        <v>3186</v>
      </c>
    </row>
    <row r="1062" spans="1:11" x14ac:dyDescent="0.2">
      <c r="A1062" s="1929" t="s">
        <v>3185</v>
      </c>
      <c r="B1062" s="1929" t="s">
        <v>1249</v>
      </c>
      <c r="C1062" s="1929" t="s">
        <v>1248</v>
      </c>
      <c r="D1062" s="1929" t="s">
        <v>1013</v>
      </c>
      <c r="E1062" s="1929" t="s">
        <v>102</v>
      </c>
      <c r="F1062" s="1929">
        <v>46.2</v>
      </c>
      <c r="G1062" s="1929">
        <v>13.7</v>
      </c>
      <c r="H1062" s="1929">
        <v>2.9</v>
      </c>
      <c r="I1062" s="1929">
        <v>30.9</v>
      </c>
      <c r="J1062" s="1929">
        <v>324</v>
      </c>
      <c r="K1062" s="1929" t="s">
        <v>3184</v>
      </c>
    </row>
    <row r="1063" spans="1:11" x14ac:dyDescent="0.2">
      <c r="A1063" s="1929" t="s">
        <v>3183</v>
      </c>
      <c r="B1063" s="1929" t="s">
        <v>1217</v>
      </c>
      <c r="C1063" s="1929" t="s">
        <v>1216</v>
      </c>
      <c r="D1063" s="1929" t="s">
        <v>1013</v>
      </c>
      <c r="E1063" s="1929" t="s">
        <v>102</v>
      </c>
      <c r="F1063" s="1929">
        <v>27.2</v>
      </c>
      <c r="G1063" s="1929">
        <v>7</v>
      </c>
      <c r="H1063" s="1929">
        <v>2.4</v>
      </c>
      <c r="I1063" s="1929">
        <v>225.1</v>
      </c>
      <c r="J1063" s="1929">
        <v>367</v>
      </c>
      <c r="K1063" s="1929" t="s">
        <v>3182</v>
      </c>
    </row>
    <row r="1064" spans="1:11" x14ac:dyDescent="0.2">
      <c r="A1064" s="1929" t="s">
        <v>3181</v>
      </c>
      <c r="B1064" s="1929" t="s">
        <v>1238</v>
      </c>
      <c r="C1064" s="1929" t="s">
        <v>1878</v>
      </c>
      <c r="D1064" s="1929" t="s">
        <v>1013</v>
      </c>
      <c r="E1064" s="1929" t="s">
        <v>102</v>
      </c>
      <c r="F1064" s="1929">
        <v>15.6</v>
      </c>
      <c r="G1064" s="1929">
        <v>9.9</v>
      </c>
      <c r="H1064" s="1929">
        <v>1.5</v>
      </c>
      <c r="I1064" s="1929">
        <v>23.9</v>
      </c>
      <c r="J1064" s="1929">
        <v>570</v>
      </c>
      <c r="K1064" s="1929" t="s">
        <v>3180</v>
      </c>
    </row>
    <row r="1065" spans="1:11" x14ac:dyDescent="0.2">
      <c r="A1065" s="1929" t="s">
        <v>3179</v>
      </c>
      <c r="B1065" s="1929" t="s">
        <v>1238</v>
      </c>
      <c r="C1065" s="1929" t="s">
        <v>1485</v>
      </c>
      <c r="D1065" s="1929" t="s">
        <v>1013</v>
      </c>
      <c r="E1065" s="1929" t="s">
        <v>102</v>
      </c>
      <c r="F1065" s="1929">
        <v>9.8000000000000007</v>
      </c>
      <c r="G1065" s="1929">
        <v>12.2</v>
      </c>
      <c r="H1065" s="1929">
        <v>0.3</v>
      </c>
      <c r="I1065" s="1929">
        <v>17.899999999999999</v>
      </c>
      <c r="J1065" s="1929">
        <v>968</v>
      </c>
      <c r="K1065" s="1929" t="s">
        <v>3178</v>
      </c>
    </row>
    <row r="1066" spans="1:11" x14ac:dyDescent="0.2">
      <c r="A1066" s="1929" t="s">
        <v>3177</v>
      </c>
      <c r="B1066" s="1929" t="s">
        <v>1217</v>
      </c>
      <c r="C1066" s="1929" t="s">
        <v>1456</v>
      </c>
      <c r="D1066" s="1929" t="s">
        <v>1013</v>
      </c>
      <c r="E1066" s="1929" t="s">
        <v>102</v>
      </c>
      <c r="F1066" s="1929">
        <v>9.8000000000000007</v>
      </c>
      <c r="G1066" s="1929">
        <v>3.3</v>
      </c>
      <c r="H1066" s="1929">
        <v>0.7</v>
      </c>
      <c r="I1066" s="1929">
        <v>28.6</v>
      </c>
      <c r="J1066" s="1929">
        <v>980</v>
      </c>
      <c r="K1066" s="1929" t="s">
        <v>3176</v>
      </c>
    </row>
    <row r="1067" spans="1:11" x14ac:dyDescent="0.2">
      <c r="A1067" s="1929" t="s">
        <v>3175</v>
      </c>
      <c r="B1067" s="1929" t="s">
        <v>1238</v>
      </c>
      <c r="C1067" s="1929" t="s">
        <v>1241</v>
      </c>
      <c r="D1067" s="1929" t="s">
        <v>1013</v>
      </c>
      <c r="E1067" s="1929" t="s">
        <v>102</v>
      </c>
      <c r="F1067" s="1929">
        <v>7.7</v>
      </c>
      <c r="G1067" s="1929">
        <v>8.6</v>
      </c>
      <c r="H1067" s="1929">
        <v>0.7</v>
      </c>
      <c r="I1067" s="1929">
        <v>10.9</v>
      </c>
      <c r="J1067" s="1929">
        <v>1065</v>
      </c>
      <c r="K1067" s="1929" t="s">
        <v>3174</v>
      </c>
    </row>
    <row r="1068" spans="1:11" x14ac:dyDescent="0.2">
      <c r="A1068" s="1929" t="s">
        <v>3173</v>
      </c>
      <c r="B1068" s="1929" t="s">
        <v>1217</v>
      </c>
      <c r="C1068" s="1929" t="s">
        <v>1456</v>
      </c>
      <c r="D1068" s="1929" t="s">
        <v>1013</v>
      </c>
      <c r="E1068" s="1929" t="s">
        <v>102</v>
      </c>
      <c r="F1068" s="1929">
        <v>9.9</v>
      </c>
      <c r="G1068" s="1929">
        <v>0.6</v>
      </c>
      <c r="H1068" s="1929">
        <v>0.7</v>
      </c>
      <c r="I1068" s="1929">
        <v>13.5</v>
      </c>
      <c r="J1068" s="1929">
        <v>1168</v>
      </c>
      <c r="K1068" s="1929" t="s">
        <v>3172</v>
      </c>
    </row>
    <row r="1069" spans="1:11" x14ac:dyDescent="0.2">
      <c r="A1069" s="1929" t="s">
        <v>3171</v>
      </c>
      <c r="B1069" s="1929" t="s">
        <v>1245</v>
      </c>
      <c r="C1069" s="1929" t="s">
        <v>1429</v>
      </c>
      <c r="D1069" s="1929" t="s">
        <v>1013</v>
      </c>
      <c r="E1069" s="1929" t="s">
        <v>102</v>
      </c>
      <c r="F1069" s="1929">
        <v>5.6</v>
      </c>
      <c r="G1069" s="1929">
        <v>24.7</v>
      </c>
      <c r="H1069" s="1929">
        <v>0.3</v>
      </c>
      <c r="I1069" s="1929">
        <v>12.8</v>
      </c>
      <c r="J1069" s="1929">
        <v>1199</v>
      </c>
      <c r="K1069" s="1929" t="s">
        <v>3170</v>
      </c>
    </row>
    <row r="1070" spans="1:11" x14ac:dyDescent="0.2">
      <c r="A1070" s="1929" t="s">
        <v>3169</v>
      </c>
      <c r="B1070" s="1929" t="s">
        <v>1245</v>
      </c>
      <c r="C1070" s="1929" t="s">
        <v>1320</v>
      </c>
      <c r="D1070" s="1929" t="s">
        <v>1013</v>
      </c>
      <c r="E1070" s="1929" t="s">
        <v>102</v>
      </c>
      <c r="F1070" s="1929">
        <v>16.2</v>
      </c>
      <c r="G1070" s="1929">
        <v>2.7</v>
      </c>
      <c r="H1070" s="1929">
        <v>0.6</v>
      </c>
      <c r="I1070" s="1929">
        <v>3.5</v>
      </c>
      <c r="J1070" s="1929">
        <v>1336</v>
      </c>
      <c r="K1070" s="1929" t="s">
        <v>3168</v>
      </c>
    </row>
    <row r="1071" spans="1:11" x14ac:dyDescent="0.2">
      <c r="A1071" s="1929" t="s">
        <v>3167</v>
      </c>
      <c r="B1071" s="1929" t="s">
        <v>1217</v>
      </c>
      <c r="C1071" s="1929" t="s">
        <v>1456</v>
      </c>
      <c r="D1071" s="1929" t="s">
        <v>1013</v>
      </c>
      <c r="E1071" s="1929" t="s">
        <v>102</v>
      </c>
      <c r="F1071" s="1929">
        <v>7.4</v>
      </c>
      <c r="G1071" s="1929">
        <v>2.5</v>
      </c>
      <c r="H1071" s="1929">
        <v>0.5</v>
      </c>
      <c r="I1071" s="1929">
        <v>13.2</v>
      </c>
      <c r="J1071" s="1929">
        <v>1415</v>
      </c>
      <c r="K1071" s="1929" t="s">
        <v>3166</v>
      </c>
    </row>
    <row r="1072" spans="1:11" x14ac:dyDescent="0.2">
      <c r="A1072" s="1929" t="s">
        <v>3165</v>
      </c>
      <c r="B1072" s="1929" t="s">
        <v>1238</v>
      </c>
      <c r="C1072" s="1929" t="s">
        <v>1349</v>
      </c>
      <c r="D1072" s="1929" t="s">
        <v>1013</v>
      </c>
      <c r="E1072" s="1929" t="s">
        <v>102</v>
      </c>
      <c r="F1072" s="1929">
        <v>9.5</v>
      </c>
      <c r="G1072" s="1929">
        <v>5.3</v>
      </c>
      <c r="H1072" s="1929">
        <v>0.5</v>
      </c>
      <c r="I1072" s="1929">
        <v>6.9</v>
      </c>
      <c r="J1072" s="1929">
        <v>1428</v>
      </c>
      <c r="K1072" s="1929" t="s">
        <v>3164</v>
      </c>
    </row>
    <row r="1073" spans="1:11" x14ac:dyDescent="0.2">
      <c r="A1073" s="1929" t="s">
        <v>3163</v>
      </c>
      <c r="B1073" s="1929" t="s">
        <v>1306</v>
      </c>
      <c r="C1073" s="1929" t="s">
        <v>1305</v>
      </c>
      <c r="D1073" s="1929" t="s">
        <v>1013</v>
      </c>
      <c r="E1073" s="1929" t="s">
        <v>102</v>
      </c>
      <c r="F1073" s="1929">
        <v>4.2</v>
      </c>
      <c r="G1073" s="1929">
        <v>16</v>
      </c>
      <c r="H1073" s="1929">
        <v>0.3</v>
      </c>
      <c r="I1073" s="1929">
        <v>12.3</v>
      </c>
      <c r="J1073" s="1929">
        <v>1452</v>
      </c>
      <c r="K1073" s="1929" t="s">
        <v>3162</v>
      </c>
    </row>
    <row r="1074" spans="1:11" x14ac:dyDescent="0.2">
      <c r="A1074" s="1929" t="s">
        <v>3161</v>
      </c>
      <c r="B1074" s="1929" t="s">
        <v>1306</v>
      </c>
      <c r="C1074" s="1929" t="s">
        <v>1305</v>
      </c>
      <c r="D1074" s="1929" t="s">
        <v>1013</v>
      </c>
      <c r="E1074" s="1929" t="s">
        <v>102</v>
      </c>
      <c r="F1074" s="1929">
        <v>5.9</v>
      </c>
      <c r="G1074" s="1929">
        <v>6.6</v>
      </c>
      <c r="H1074" s="1929">
        <v>0.3</v>
      </c>
      <c r="I1074" s="1929">
        <v>14.1</v>
      </c>
      <c r="J1074" s="1929">
        <v>1515</v>
      </c>
      <c r="K1074" s="1929" t="s">
        <v>3160</v>
      </c>
    </row>
    <row r="1075" spans="1:11" x14ac:dyDescent="0.2">
      <c r="A1075" s="1929" t="s">
        <v>3159</v>
      </c>
      <c r="B1075" s="1929" t="s">
        <v>1238</v>
      </c>
      <c r="C1075" s="1929" t="s">
        <v>3030</v>
      </c>
      <c r="D1075" s="1929" t="s">
        <v>1013</v>
      </c>
      <c r="E1075" s="1929" t="s">
        <v>102</v>
      </c>
      <c r="F1075" s="1929">
        <v>0.6</v>
      </c>
      <c r="G1075" s="1929">
        <v>15.6</v>
      </c>
      <c r="H1075" s="1929">
        <v>0.1</v>
      </c>
      <c r="I1075" s="1929">
        <v>1.6</v>
      </c>
      <c r="J1075" s="1929">
        <v>1797</v>
      </c>
      <c r="K1075" s="1929" t="s">
        <v>3158</v>
      </c>
    </row>
    <row r="1076" spans="1:11" hidden="1" x14ac:dyDescent="0.2">
      <c r="A1076" s="1929" t="s">
        <v>3157</v>
      </c>
      <c r="B1076" s="1929" t="s">
        <v>1217</v>
      </c>
      <c r="C1076" s="1929" t="s">
        <v>2291</v>
      </c>
      <c r="D1076" s="1929" t="s">
        <v>305</v>
      </c>
      <c r="E1076" s="1929" t="s">
        <v>71</v>
      </c>
      <c r="F1076" s="1929">
        <v>21.4</v>
      </c>
      <c r="G1076" s="1929">
        <v>16.399999999999999</v>
      </c>
      <c r="H1076" s="1929">
        <v>1.7</v>
      </c>
      <c r="I1076" s="1929">
        <v>161.4</v>
      </c>
      <c r="J1076" s="1929">
        <v>287</v>
      </c>
      <c r="K1076" s="1929" t="s">
        <v>3156</v>
      </c>
    </row>
    <row r="1077" spans="1:11" hidden="1" x14ac:dyDescent="0.2">
      <c r="A1077" s="1929" t="s">
        <v>3155</v>
      </c>
      <c r="B1077" s="1929" t="s">
        <v>1234</v>
      </c>
      <c r="C1077" s="1929" t="s">
        <v>1461</v>
      </c>
      <c r="D1077" s="1929" t="s">
        <v>305</v>
      </c>
      <c r="E1077" s="1929" t="s">
        <v>71</v>
      </c>
      <c r="F1077" s="1929">
        <v>37</v>
      </c>
      <c r="G1077" s="1929">
        <v>20.100000000000001</v>
      </c>
      <c r="H1077" s="1929">
        <v>2.8</v>
      </c>
      <c r="I1077" s="1929">
        <v>24.5</v>
      </c>
      <c r="J1077" s="1929">
        <v>321</v>
      </c>
      <c r="K1077" s="1929" t="s">
        <v>3154</v>
      </c>
    </row>
    <row r="1078" spans="1:11" hidden="1" x14ac:dyDescent="0.2">
      <c r="A1078" s="1929" t="s">
        <v>3153</v>
      </c>
      <c r="B1078" s="1929" t="s">
        <v>1249</v>
      </c>
      <c r="C1078" s="1929" t="s">
        <v>1248</v>
      </c>
      <c r="D1078" s="1929" t="s">
        <v>305</v>
      </c>
      <c r="E1078" s="1929" t="s">
        <v>71</v>
      </c>
      <c r="F1078" s="1929">
        <v>38.1</v>
      </c>
      <c r="G1078" s="1929">
        <v>14.1</v>
      </c>
      <c r="H1078" s="1929">
        <v>2.7</v>
      </c>
      <c r="I1078" s="1929">
        <v>21.7</v>
      </c>
      <c r="J1078" s="1929">
        <v>378</v>
      </c>
      <c r="K1078" s="1929" t="s">
        <v>3152</v>
      </c>
    </row>
    <row r="1079" spans="1:11" hidden="1" x14ac:dyDescent="0.2">
      <c r="A1079" s="1929" t="s">
        <v>3151</v>
      </c>
      <c r="B1079" s="1929" t="s">
        <v>1217</v>
      </c>
      <c r="C1079" s="1929" t="s">
        <v>2291</v>
      </c>
      <c r="D1079" s="1929" t="s">
        <v>305</v>
      </c>
      <c r="E1079" s="1929" t="s">
        <v>71</v>
      </c>
      <c r="F1079" s="1929">
        <v>18.8</v>
      </c>
      <c r="G1079" s="1929">
        <v>6.3</v>
      </c>
      <c r="H1079" s="1929">
        <v>1.7</v>
      </c>
      <c r="I1079" s="1929">
        <v>85.4</v>
      </c>
      <c r="J1079" s="1929">
        <v>475</v>
      </c>
      <c r="K1079" s="1929" t="s">
        <v>3150</v>
      </c>
    </row>
    <row r="1080" spans="1:11" hidden="1" x14ac:dyDescent="0.2">
      <c r="A1080" s="1929" t="s">
        <v>3149</v>
      </c>
      <c r="B1080" s="1929" t="s">
        <v>1228</v>
      </c>
      <c r="C1080" s="1929" t="s">
        <v>1514</v>
      </c>
      <c r="D1080" s="1929" t="s">
        <v>305</v>
      </c>
      <c r="E1080" s="1929" t="s">
        <v>71</v>
      </c>
      <c r="F1080" s="1929">
        <v>10.5</v>
      </c>
      <c r="G1080" s="1929">
        <v>13</v>
      </c>
      <c r="H1080" s="1929">
        <v>0.9</v>
      </c>
      <c r="I1080" s="1929">
        <v>18.5</v>
      </c>
      <c r="J1080" s="1929">
        <v>672</v>
      </c>
      <c r="K1080" s="1929" t="s">
        <v>3148</v>
      </c>
    </row>
    <row r="1081" spans="1:11" hidden="1" x14ac:dyDescent="0.2">
      <c r="A1081" s="1929" t="s">
        <v>3147</v>
      </c>
      <c r="B1081" s="1929" t="s">
        <v>1217</v>
      </c>
      <c r="C1081" s="1929" t="s">
        <v>1302</v>
      </c>
      <c r="D1081" s="1929" t="s">
        <v>305</v>
      </c>
      <c r="E1081" s="1929" t="s">
        <v>71</v>
      </c>
      <c r="F1081" s="1929">
        <v>12.1</v>
      </c>
      <c r="G1081" s="1929">
        <v>5.7</v>
      </c>
      <c r="H1081" s="1929">
        <v>0.8</v>
      </c>
      <c r="I1081" s="1929">
        <v>53.3</v>
      </c>
      <c r="J1081" s="1929">
        <v>688</v>
      </c>
      <c r="K1081" s="1929" t="s">
        <v>3146</v>
      </c>
    </row>
    <row r="1082" spans="1:11" hidden="1" x14ac:dyDescent="0.2">
      <c r="A1082" s="1929" t="s">
        <v>3145</v>
      </c>
      <c r="B1082" s="1929" t="s">
        <v>1228</v>
      </c>
      <c r="C1082" s="1929" t="s">
        <v>1315</v>
      </c>
      <c r="D1082" s="1929" t="s">
        <v>305</v>
      </c>
      <c r="E1082" s="1929" t="s">
        <v>71</v>
      </c>
      <c r="F1082" s="1929">
        <v>47</v>
      </c>
      <c r="G1082" s="1929">
        <v>6.1</v>
      </c>
      <c r="H1082" s="1929">
        <v>0.5</v>
      </c>
      <c r="I1082" s="1929">
        <v>12</v>
      </c>
      <c r="J1082" s="1929">
        <v>857</v>
      </c>
      <c r="K1082" s="1929" t="s">
        <v>3144</v>
      </c>
    </row>
    <row r="1083" spans="1:11" hidden="1" x14ac:dyDescent="0.2">
      <c r="A1083" s="1929" t="s">
        <v>3143</v>
      </c>
      <c r="B1083" s="1929" t="s">
        <v>1238</v>
      </c>
      <c r="C1083" s="1929" t="s">
        <v>1878</v>
      </c>
      <c r="D1083" s="1929" t="s">
        <v>305</v>
      </c>
      <c r="E1083" s="1929" t="s">
        <v>71</v>
      </c>
      <c r="F1083" s="1929">
        <v>8.8000000000000007</v>
      </c>
      <c r="G1083" s="1929">
        <v>17.399999999999999</v>
      </c>
      <c r="H1083" s="1929">
        <v>0.5</v>
      </c>
      <c r="I1083" s="1929">
        <v>7.3</v>
      </c>
      <c r="J1083" s="1929">
        <v>1006</v>
      </c>
      <c r="K1083" s="1929" t="s">
        <v>3142</v>
      </c>
    </row>
    <row r="1084" spans="1:11" hidden="1" x14ac:dyDescent="0.2">
      <c r="A1084" s="1929" t="s">
        <v>3141</v>
      </c>
      <c r="B1084" s="1929" t="s">
        <v>1306</v>
      </c>
      <c r="C1084" s="1929" t="s">
        <v>1392</v>
      </c>
      <c r="D1084" s="1929" t="s">
        <v>305</v>
      </c>
      <c r="E1084" s="1929" t="s">
        <v>71</v>
      </c>
      <c r="F1084" s="1929">
        <v>8.9</v>
      </c>
      <c r="G1084" s="1929">
        <v>10.1</v>
      </c>
      <c r="H1084" s="1929">
        <v>0.4</v>
      </c>
      <c r="I1084" s="1929">
        <v>3.8</v>
      </c>
      <c r="J1084" s="1929">
        <v>1280</v>
      </c>
      <c r="K1084" s="1929" t="s">
        <v>3140</v>
      </c>
    </row>
    <row r="1085" spans="1:11" hidden="1" x14ac:dyDescent="0.2">
      <c r="A1085" s="1929" t="s">
        <v>3139</v>
      </c>
      <c r="B1085" s="1929" t="s">
        <v>1238</v>
      </c>
      <c r="C1085" s="1929" t="s">
        <v>1878</v>
      </c>
      <c r="D1085" s="1929" t="s">
        <v>305</v>
      </c>
      <c r="E1085" s="1929" t="s">
        <v>71</v>
      </c>
      <c r="F1085" s="1929">
        <v>9.9</v>
      </c>
      <c r="G1085" s="1929">
        <v>2.2000000000000002</v>
      </c>
      <c r="H1085" s="1929">
        <v>0.7</v>
      </c>
      <c r="I1085" s="1929">
        <v>7.4</v>
      </c>
      <c r="J1085" s="1929">
        <v>1440</v>
      </c>
      <c r="K1085" s="1929" t="s">
        <v>3138</v>
      </c>
    </row>
    <row r="1086" spans="1:11" hidden="1" x14ac:dyDescent="0.2">
      <c r="A1086" s="1929" t="s">
        <v>3137</v>
      </c>
      <c r="B1086" s="1929" t="s">
        <v>1217</v>
      </c>
      <c r="C1086" s="1929" t="s">
        <v>1302</v>
      </c>
      <c r="D1086" s="1929" t="s">
        <v>305</v>
      </c>
      <c r="E1086" s="1929" t="s">
        <v>71</v>
      </c>
      <c r="F1086" s="1929">
        <v>3.6</v>
      </c>
      <c r="G1086" s="1929">
        <v>4.3</v>
      </c>
      <c r="H1086" s="1929">
        <v>0.3</v>
      </c>
      <c r="I1086" s="1929">
        <v>36.1</v>
      </c>
      <c r="J1086" s="1929">
        <v>1574</v>
      </c>
      <c r="K1086" s="1929" t="s">
        <v>3136</v>
      </c>
    </row>
    <row r="1087" spans="1:11" hidden="1" x14ac:dyDescent="0.2">
      <c r="A1087" s="1929" t="s">
        <v>3135</v>
      </c>
      <c r="B1087" s="1929" t="s">
        <v>1269</v>
      </c>
      <c r="C1087" s="1929" t="s">
        <v>1504</v>
      </c>
      <c r="D1087" s="1929" t="s">
        <v>305</v>
      </c>
      <c r="E1087" s="1929" t="s">
        <v>71</v>
      </c>
      <c r="F1087" s="1929">
        <v>12.1</v>
      </c>
      <c r="G1087" s="1929">
        <v>2.2999999999999998</v>
      </c>
      <c r="H1087" s="1929">
        <v>0.4</v>
      </c>
      <c r="I1087" s="1929">
        <v>7.7</v>
      </c>
      <c r="J1087" s="1929">
        <v>1608</v>
      </c>
      <c r="K1087" s="1929" t="s">
        <v>3134</v>
      </c>
    </row>
    <row r="1088" spans="1:11" hidden="1" x14ac:dyDescent="0.2">
      <c r="A1088" s="1929" t="s">
        <v>3133</v>
      </c>
      <c r="B1088" s="1929" t="s">
        <v>1238</v>
      </c>
      <c r="C1088" s="1929" t="s">
        <v>1878</v>
      </c>
      <c r="D1088" s="1929" t="s">
        <v>305</v>
      </c>
      <c r="E1088" s="1929" t="s">
        <v>71</v>
      </c>
      <c r="F1088" s="1929">
        <v>3.7</v>
      </c>
      <c r="G1088" s="1929">
        <v>10.199999999999999</v>
      </c>
      <c r="H1088" s="1929">
        <v>0.4</v>
      </c>
      <c r="I1088" s="1929">
        <v>5.4</v>
      </c>
      <c r="J1088" s="1929">
        <v>1687</v>
      </c>
      <c r="K1088" s="1929" t="s">
        <v>3132</v>
      </c>
    </row>
    <row r="1089" spans="1:11" hidden="1" x14ac:dyDescent="0.2">
      <c r="A1089" s="1929" t="s">
        <v>3131</v>
      </c>
      <c r="B1089" s="1929" t="s">
        <v>1217</v>
      </c>
      <c r="C1089" s="1929" t="s">
        <v>1368</v>
      </c>
      <c r="D1089" s="1929" t="s">
        <v>305</v>
      </c>
      <c r="E1089" s="1929" t="s">
        <v>71</v>
      </c>
      <c r="F1089" s="1929">
        <v>6.4</v>
      </c>
      <c r="G1089" s="1929">
        <v>0</v>
      </c>
      <c r="H1089" s="1929">
        <v>0.6</v>
      </c>
      <c r="I1089" s="1929">
        <v>3</v>
      </c>
      <c r="J1089" s="1929">
        <v>1801</v>
      </c>
      <c r="K1089" s="1929" t="s">
        <v>3130</v>
      </c>
    </row>
    <row r="1090" spans="1:11" hidden="1" x14ac:dyDescent="0.2">
      <c r="A1090" s="1929" t="s">
        <v>3129</v>
      </c>
      <c r="D1090" s="1929" t="s">
        <v>305</v>
      </c>
      <c r="E1090" s="1929" t="s">
        <v>71</v>
      </c>
      <c r="F1090" s="1929">
        <v>1.8</v>
      </c>
      <c r="G1090" s="1929">
        <v>0.2</v>
      </c>
      <c r="H1090" s="1929">
        <v>1</v>
      </c>
      <c r="I1090" s="1929">
        <v>2.5</v>
      </c>
      <c r="J1090" s="1929">
        <v>1833</v>
      </c>
      <c r="K1090" s="1929" t="s">
        <v>3128</v>
      </c>
    </row>
    <row r="1091" spans="1:11" hidden="1" x14ac:dyDescent="0.2">
      <c r="A1091" s="1929" t="s">
        <v>3127</v>
      </c>
      <c r="B1091" s="1929" t="s">
        <v>1245</v>
      </c>
      <c r="C1091" s="1929" t="s">
        <v>1320</v>
      </c>
      <c r="D1091" s="1929" t="s">
        <v>1013</v>
      </c>
      <c r="E1091" s="1929" t="s">
        <v>637</v>
      </c>
      <c r="F1091" s="1929">
        <v>186.5</v>
      </c>
      <c r="G1091" s="1929">
        <v>208.9</v>
      </c>
      <c r="H1091" s="1929">
        <v>27.2</v>
      </c>
      <c r="I1091" s="1929">
        <v>202.8</v>
      </c>
      <c r="J1091" s="1929">
        <v>22</v>
      </c>
      <c r="K1091" s="1929" t="s">
        <v>3126</v>
      </c>
    </row>
    <row r="1092" spans="1:11" hidden="1" x14ac:dyDescent="0.2">
      <c r="A1092" s="1929" t="s">
        <v>3125</v>
      </c>
      <c r="B1092" s="1929" t="s">
        <v>1228</v>
      </c>
      <c r="C1092" s="1929" t="s">
        <v>2392</v>
      </c>
      <c r="D1092" s="1929" t="s">
        <v>1013</v>
      </c>
      <c r="E1092" s="1929" t="s">
        <v>637</v>
      </c>
      <c r="F1092" s="1929">
        <v>49.7</v>
      </c>
      <c r="G1092" s="1929">
        <v>79.8</v>
      </c>
      <c r="H1092" s="1929">
        <v>7.8</v>
      </c>
      <c r="I1092" s="1929">
        <v>126.4</v>
      </c>
      <c r="J1092" s="1929">
        <v>87</v>
      </c>
      <c r="K1092" s="1929" t="s">
        <v>3124</v>
      </c>
    </row>
    <row r="1093" spans="1:11" hidden="1" x14ac:dyDescent="0.2">
      <c r="A1093" s="1929" t="s">
        <v>3123</v>
      </c>
      <c r="B1093" s="1929" t="s">
        <v>1234</v>
      </c>
      <c r="C1093" s="1929" t="s">
        <v>1445</v>
      </c>
      <c r="D1093" s="1929" t="s">
        <v>1013</v>
      </c>
      <c r="E1093" s="1929" t="s">
        <v>637</v>
      </c>
      <c r="F1093" s="1929">
        <v>24.8</v>
      </c>
      <c r="G1093" s="1929">
        <v>56.5</v>
      </c>
      <c r="H1093" s="1929">
        <v>1.2</v>
      </c>
      <c r="I1093" s="1929">
        <v>80</v>
      </c>
      <c r="J1093" s="1929">
        <v>236</v>
      </c>
      <c r="K1093" s="1929" t="s">
        <v>3122</v>
      </c>
    </row>
    <row r="1094" spans="1:11" hidden="1" x14ac:dyDescent="0.2">
      <c r="A1094" s="1929" t="s">
        <v>3121</v>
      </c>
      <c r="B1094" s="1929" t="s">
        <v>1217</v>
      </c>
      <c r="C1094" s="1929" t="s">
        <v>1368</v>
      </c>
      <c r="D1094" s="1929" t="s">
        <v>1013</v>
      </c>
      <c r="E1094" s="1929" t="s">
        <v>637</v>
      </c>
      <c r="F1094" s="1929">
        <v>21.1</v>
      </c>
      <c r="G1094" s="1929">
        <v>19.600000000000001</v>
      </c>
      <c r="H1094" s="1929">
        <v>1.7</v>
      </c>
      <c r="I1094" s="1929">
        <v>295</v>
      </c>
      <c r="J1094" s="1929">
        <v>249</v>
      </c>
      <c r="K1094" s="1929" t="s">
        <v>3120</v>
      </c>
    </row>
    <row r="1095" spans="1:11" hidden="1" x14ac:dyDescent="0.2">
      <c r="A1095" s="1929" t="s">
        <v>3119</v>
      </c>
      <c r="B1095" s="1929" t="s">
        <v>1228</v>
      </c>
      <c r="C1095" s="1929" t="s">
        <v>2392</v>
      </c>
      <c r="D1095" s="1929" t="s">
        <v>1013</v>
      </c>
      <c r="E1095" s="1929" t="s">
        <v>637</v>
      </c>
      <c r="F1095" s="1929">
        <v>22.8</v>
      </c>
      <c r="G1095" s="1929">
        <v>43.5</v>
      </c>
      <c r="H1095" s="1929">
        <v>3.5</v>
      </c>
      <c r="I1095" s="1929">
        <v>34.299999999999997</v>
      </c>
      <c r="J1095" s="1929">
        <v>258</v>
      </c>
      <c r="K1095" s="1929" t="s">
        <v>3118</v>
      </c>
    </row>
    <row r="1096" spans="1:11" hidden="1" x14ac:dyDescent="0.2">
      <c r="A1096" s="1929" t="s">
        <v>3117</v>
      </c>
      <c r="B1096" s="1929" t="s">
        <v>1228</v>
      </c>
      <c r="C1096" s="1929" t="s">
        <v>1334</v>
      </c>
      <c r="D1096" s="1929" t="s">
        <v>1013</v>
      </c>
      <c r="E1096" s="1929" t="s">
        <v>637</v>
      </c>
      <c r="F1096" s="1929">
        <v>28.7</v>
      </c>
      <c r="G1096" s="1929">
        <v>31.2</v>
      </c>
      <c r="H1096" s="1929">
        <v>3.1</v>
      </c>
      <c r="I1096" s="1929">
        <v>32.6</v>
      </c>
      <c r="J1096" s="1929">
        <v>267</v>
      </c>
      <c r="K1096" s="1929" t="s">
        <v>3116</v>
      </c>
    </row>
    <row r="1097" spans="1:11" hidden="1" x14ac:dyDescent="0.2">
      <c r="A1097" s="1929" t="s">
        <v>3115</v>
      </c>
      <c r="B1097" s="1929" t="s">
        <v>1217</v>
      </c>
      <c r="C1097" s="1929" t="s">
        <v>1302</v>
      </c>
      <c r="D1097" s="1929" t="s">
        <v>1013</v>
      </c>
      <c r="E1097" s="1929" t="s">
        <v>637</v>
      </c>
      <c r="F1097" s="1929">
        <v>18</v>
      </c>
      <c r="G1097" s="1929">
        <v>21.8</v>
      </c>
      <c r="H1097" s="1929">
        <v>0.7</v>
      </c>
      <c r="I1097" s="1929">
        <v>182.8</v>
      </c>
      <c r="J1097" s="1929">
        <v>356</v>
      </c>
      <c r="K1097" s="1929" t="s">
        <v>3114</v>
      </c>
    </row>
    <row r="1098" spans="1:11" hidden="1" x14ac:dyDescent="0.2">
      <c r="A1098" s="1929" t="s">
        <v>3113</v>
      </c>
      <c r="B1098" s="1929" t="s">
        <v>1217</v>
      </c>
      <c r="C1098" s="1929" t="s">
        <v>1368</v>
      </c>
      <c r="D1098" s="1929" t="s">
        <v>1013</v>
      </c>
      <c r="E1098" s="1929" t="s">
        <v>637</v>
      </c>
      <c r="F1098" s="1929">
        <v>13.7</v>
      </c>
      <c r="G1098" s="1929">
        <v>15.8</v>
      </c>
      <c r="H1098" s="1929">
        <v>1.2</v>
      </c>
      <c r="I1098" s="1929">
        <v>276.5</v>
      </c>
      <c r="J1098" s="1929">
        <v>370</v>
      </c>
      <c r="K1098" s="1929" t="s">
        <v>3112</v>
      </c>
    </row>
    <row r="1099" spans="1:11" hidden="1" x14ac:dyDescent="0.2">
      <c r="A1099" s="1929" t="s">
        <v>3111</v>
      </c>
      <c r="B1099" s="1929" t="s">
        <v>1245</v>
      </c>
      <c r="C1099" s="1929" t="s">
        <v>1320</v>
      </c>
      <c r="D1099" s="1929" t="s">
        <v>1013</v>
      </c>
      <c r="E1099" s="1929" t="s">
        <v>637</v>
      </c>
      <c r="F1099" s="1929">
        <v>24.9</v>
      </c>
      <c r="G1099" s="1929">
        <v>12.9</v>
      </c>
      <c r="H1099" s="1929">
        <v>2.6</v>
      </c>
      <c r="I1099" s="1929">
        <v>19.8</v>
      </c>
      <c r="J1099" s="1929">
        <v>439</v>
      </c>
      <c r="K1099" s="1929" t="s">
        <v>3110</v>
      </c>
    </row>
    <row r="1100" spans="1:11" hidden="1" x14ac:dyDescent="0.2">
      <c r="A1100" s="1929" t="s">
        <v>3109</v>
      </c>
      <c r="B1100" s="1929" t="s">
        <v>1217</v>
      </c>
      <c r="C1100" s="1929" t="s">
        <v>1216</v>
      </c>
      <c r="D1100" s="1929" t="s">
        <v>1013</v>
      </c>
      <c r="E1100" s="1929" t="s">
        <v>637</v>
      </c>
      <c r="F1100" s="1929">
        <v>10.6</v>
      </c>
      <c r="G1100" s="1929">
        <v>13</v>
      </c>
      <c r="H1100" s="1929">
        <v>0.8</v>
      </c>
      <c r="I1100" s="1929">
        <v>279.7</v>
      </c>
      <c r="J1100" s="1929">
        <v>457</v>
      </c>
      <c r="K1100" s="1929" t="s">
        <v>3108</v>
      </c>
    </row>
    <row r="1101" spans="1:11" hidden="1" x14ac:dyDescent="0.2">
      <c r="A1101" s="1929" t="s">
        <v>3107</v>
      </c>
      <c r="B1101" s="1929" t="s">
        <v>1249</v>
      </c>
      <c r="C1101" s="1929" t="s">
        <v>1248</v>
      </c>
      <c r="D1101" s="1929" t="s">
        <v>1013</v>
      </c>
      <c r="E1101" s="1929" t="s">
        <v>637</v>
      </c>
      <c r="F1101" s="1929">
        <v>16.600000000000001</v>
      </c>
      <c r="G1101" s="1929">
        <v>15.3</v>
      </c>
      <c r="H1101" s="1929">
        <v>1.5</v>
      </c>
      <c r="I1101" s="1929">
        <v>25.2</v>
      </c>
      <c r="J1101" s="1929">
        <v>460</v>
      </c>
      <c r="K1101" s="1929" t="s">
        <v>3106</v>
      </c>
    </row>
    <row r="1102" spans="1:11" hidden="1" x14ac:dyDescent="0.2">
      <c r="A1102" s="1929" t="s">
        <v>3105</v>
      </c>
      <c r="B1102" s="1929" t="s">
        <v>1258</v>
      </c>
      <c r="C1102" s="1929" t="s">
        <v>1263</v>
      </c>
      <c r="D1102" s="1929" t="s">
        <v>1013</v>
      </c>
      <c r="E1102" s="1929" t="s">
        <v>637</v>
      </c>
      <c r="F1102" s="1929">
        <v>10.6</v>
      </c>
      <c r="G1102" s="1929">
        <v>60.9</v>
      </c>
      <c r="H1102" s="1929">
        <v>0.7</v>
      </c>
      <c r="I1102" s="1929">
        <v>33.4</v>
      </c>
      <c r="J1102" s="1929">
        <v>497</v>
      </c>
      <c r="K1102" s="1929" t="s">
        <v>3104</v>
      </c>
    </row>
    <row r="1103" spans="1:11" hidden="1" x14ac:dyDescent="0.2">
      <c r="A1103" s="1929" t="s">
        <v>3103</v>
      </c>
      <c r="B1103" s="1929" t="s">
        <v>1310</v>
      </c>
      <c r="C1103" s="1929" t="s">
        <v>1309</v>
      </c>
      <c r="D1103" s="1929" t="s">
        <v>1013</v>
      </c>
      <c r="E1103" s="1929" t="s">
        <v>637</v>
      </c>
      <c r="F1103" s="1929">
        <v>21.9</v>
      </c>
      <c r="G1103" s="1929">
        <v>49.4</v>
      </c>
      <c r="H1103" s="1929">
        <v>0.1</v>
      </c>
      <c r="I1103" s="1929">
        <v>147.4</v>
      </c>
      <c r="J1103" s="1929">
        <v>524</v>
      </c>
      <c r="K1103" s="1929" t="s">
        <v>3102</v>
      </c>
    </row>
    <row r="1104" spans="1:11" hidden="1" x14ac:dyDescent="0.2">
      <c r="A1104" s="1929" t="s">
        <v>3101</v>
      </c>
      <c r="B1104" s="1929" t="s">
        <v>1234</v>
      </c>
      <c r="C1104" s="1929" t="s">
        <v>1233</v>
      </c>
      <c r="D1104" s="1929" t="s">
        <v>1013</v>
      </c>
      <c r="E1104" s="1929" t="s">
        <v>637</v>
      </c>
      <c r="F1104" s="1929">
        <v>16.399999999999999</v>
      </c>
      <c r="G1104" s="1929">
        <v>21.1</v>
      </c>
      <c r="H1104" s="1929">
        <v>1.1000000000000001</v>
      </c>
      <c r="I1104" s="1929">
        <v>16.5</v>
      </c>
      <c r="J1104" s="1929">
        <v>547</v>
      </c>
      <c r="K1104" s="1929" t="s">
        <v>3100</v>
      </c>
    </row>
    <row r="1105" spans="1:11" hidden="1" x14ac:dyDescent="0.2">
      <c r="A1105" s="1929" t="s">
        <v>3099</v>
      </c>
      <c r="B1105" s="1929" t="s">
        <v>1228</v>
      </c>
      <c r="C1105" s="1929" t="s">
        <v>1466</v>
      </c>
      <c r="D1105" s="1929" t="s">
        <v>1013</v>
      </c>
      <c r="E1105" s="1929" t="s">
        <v>637</v>
      </c>
      <c r="F1105" s="1929">
        <v>9.3000000000000007</v>
      </c>
      <c r="G1105" s="1929">
        <v>25.8</v>
      </c>
      <c r="H1105" s="1929">
        <v>0.7</v>
      </c>
      <c r="I1105" s="1929">
        <v>36.9</v>
      </c>
      <c r="J1105" s="1929">
        <v>560</v>
      </c>
      <c r="K1105" s="1929" t="s">
        <v>3098</v>
      </c>
    </row>
    <row r="1106" spans="1:11" hidden="1" x14ac:dyDescent="0.2">
      <c r="A1106" s="1929" t="s">
        <v>3097</v>
      </c>
      <c r="B1106" s="1929" t="s">
        <v>1217</v>
      </c>
      <c r="C1106" s="1929" t="s">
        <v>1563</v>
      </c>
      <c r="D1106" s="1929" t="s">
        <v>1013</v>
      </c>
      <c r="E1106" s="1929" t="s">
        <v>637</v>
      </c>
      <c r="F1106" s="1929">
        <v>9.4</v>
      </c>
      <c r="G1106" s="1929">
        <v>16.7</v>
      </c>
      <c r="H1106" s="1929">
        <v>0.6</v>
      </c>
      <c r="I1106" s="1929">
        <v>45.7</v>
      </c>
      <c r="J1106" s="1929">
        <v>596</v>
      </c>
      <c r="K1106" s="1929" t="s">
        <v>3096</v>
      </c>
    </row>
    <row r="1107" spans="1:11" hidden="1" x14ac:dyDescent="0.2">
      <c r="A1107" s="1929" t="s">
        <v>3095</v>
      </c>
      <c r="B1107" s="1929" t="s">
        <v>1238</v>
      </c>
      <c r="C1107" s="1929" t="s">
        <v>1237</v>
      </c>
      <c r="D1107" s="1929" t="s">
        <v>1013</v>
      </c>
      <c r="E1107" s="1929" t="s">
        <v>637</v>
      </c>
      <c r="F1107" s="1929">
        <v>15.3</v>
      </c>
      <c r="G1107" s="1929">
        <v>49.5</v>
      </c>
      <c r="H1107" s="1929">
        <v>0.3</v>
      </c>
      <c r="I1107" s="1929">
        <v>50.4</v>
      </c>
      <c r="J1107" s="1929">
        <v>620</v>
      </c>
      <c r="K1107" s="1929" t="s">
        <v>3094</v>
      </c>
    </row>
    <row r="1108" spans="1:11" hidden="1" x14ac:dyDescent="0.2">
      <c r="A1108" s="1929" t="s">
        <v>3093</v>
      </c>
      <c r="B1108" s="1929" t="s">
        <v>1258</v>
      </c>
      <c r="C1108" s="1929" t="s">
        <v>1263</v>
      </c>
      <c r="D1108" s="1929" t="s">
        <v>1013</v>
      </c>
      <c r="E1108" s="1929" t="s">
        <v>637</v>
      </c>
      <c r="F1108" s="1929">
        <v>8.6</v>
      </c>
      <c r="G1108" s="1929">
        <v>102.2</v>
      </c>
      <c r="H1108" s="1929">
        <v>0.3</v>
      </c>
      <c r="I1108" s="1929">
        <v>87.7</v>
      </c>
      <c r="J1108" s="1929">
        <v>666</v>
      </c>
      <c r="K1108" s="1929" t="s">
        <v>3092</v>
      </c>
    </row>
    <row r="1109" spans="1:11" hidden="1" x14ac:dyDescent="0.2">
      <c r="A1109" s="1929" t="s">
        <v>3091</v>
      </c>
      <c r="B1109" s="1929" t="s">
        <v>1217</v>
      </c>
      <c r="C1109" s="1929" t="s">
        <v>1216</v>
      </c>
      <c r="D1109" s="1929" t="s">
        <v>1013</v>
      </c>
      <c r="E1109" s="1929" t="s">
        <v>637</v>
      </c>
      <c r="F1109" s="1929">
        <v>6.4</v>
      </c>
      <c r="G1109" s="1929">
        <v>8.9</v>
      </c>
      <c r="H1109" s="1929">
        <v>0.8</v>
      </c>
      <c r="I1109" s="1929">
        <v>201.4</v>
      </c>
      <c r="J1109" s="1929">
        <v>677</v>
      </c>
      <c r="K1109" s="1929" t="s">
        <v>3090</v>
      </c>
    </row>
    <row r="1110" spans="1:11" hidden="1" x14ac:dyDescent="0.2">
      <c r="A1110" s="1929" t="s">
        <v>3089</v>
      </c>
      <c r="B1110" s="1929" t="s">
        <v>1234</v>
      </c>
      <c r="C1110" s="1929" t="s">
        <v>1445</v>
      </c>
      <c r="D1110" s="1929" t="s">
        <v>1013</v>
      </c>
      <c r="E1110" s="1929" t="s">
        <v>637</v>
      </c>
      <c r="F1110" s="1929">
        <v>7.5</v>
      </c>
      <c r="G1110" s="1929">
        <v>12.4</v>
      </c>
      <c r="H1110" s="1929">
        <v>0.6</v>
      </c>
      <c r="I1110" s="1929">
        <v>28</v>
      </c>
      <c r="J1110" s="1929">
        <v>764</v>
      </c>
      <c r="K1110" s="1929" t="s">
        <v>3088</v>
      </c>
    </row>
    <row r="1111" spans="1:11" hidden="1" x14ac:dyDescent="0.2">
      <c r="A1111" s="1929" t="s">
        <v>3087</v>
      </c>
      <c r="B1111" s="1929" t="s">
        <v>1228</v>
      </c>
      <c r="C1111" s="1929" t="s">
        <v>1498</v>
      </c>
      <c r="D1111" s="1929" t="s">
        <v>1013</v>
      </c>
      <c r="E1111" s="1929" t="s">
        <v>637</v>
      </c>
      <c r="F1111" s="1929">
        <v>10</v>
      </c>
      <c r="G1111" s="1929">
        <v>53.1</v>
      </c>
      <c r="H1111" s="1929">
        <v>0.2</v>
      </c>
      <c r="I1111" s="1929">
        <v>33.700000000000003</v>
      </c>
      <c r="J1111" s="1929">
        <v>766</v>
      </c>
      <c r="K1111" s="1929" t="s">
        <v>3086</v>
      </c>
    </row>
    <row r="1112" spans="1:11" hidden="1" x14ac:dyDescent="0.2">
      <c r="A1112" s="1929" t="s">
        <v>3085</v>
      </c>
      <c r="B1112" s="1929" t="s">
        <v>1245</v>
      </c>
      <c r="C1112" s="1929" t="s">
        <v>1429</v>
      </c>
      <c r="D1112" s="1929" t="s">
        <v>1013</v>
      </c>
      <c r="E1112" s="1929" t="s">
        <v>637</v>
      </c>
      <c r="F1112" s="1929">
        <v>9</v>
      </c>
      <c r="G1112" s="1929">
        <v>24.7</v>
      </c>
      <c r="H1112" s="1929">
        <v>0.4</v>
      </c>
      <c r="I1112" s="1929">
        <v>20.6</v>
      </c>
      <c r="J1112" s="1929">
        <v>787</v>
      </c>
      <c r="K1112" s="1929" t="s">
        <v>3084</v>
      </c>
    </row>
    <row r="1113" spans="1:11" hidden="1" x14ac:dyDescent="0.2">
      <c r="A1113" s="1929" t="s">
        <v>3083</v>
      </c>
      <c r="B1113" s="1929" t="s">
        <v>1217</v>
      </c>
      <c r="C1113" s="1929" t="s">
        <v>1368</v>
      </c>
      <c r="D1113" s="1929" t="s">
        <v>1013</v>
      </c>
      <c r="E1113" s="1929" t="s">
        <v>637</v>
      </c>
      <c r="F1113" s="1929">
        <v>9.1999999999999993</v>
      </c>
      <c r="G1113" s="1929">
        <v>10.8</v>
      </c>
      <c r="H1113" s="1929">
        <v>-0.5</v>
      </c>
      <c r="I1113" s="1929">
        <v>309.7</v>
      </c>
      <c r="J1113" s="1929">
        <v>821</v>
      </c>
      <c r="K1113" s="1929" t="s">
        <v>3082</v>
      </c>
    </row>
    <row r="1114" spans="1:11" hidden="1" x14ac:dyDescent="0.2">
      <c r="A1114" s="1929" t="s">
        <v>3081</v>
      </c>
      <c r="B1114" s="1929" t="s">
        <v>1228</v>
      </c>
      <c r="C1114" s="1929" t="s">
        <v>2023</v>
      </c>
      <c r="D1114" s="1929" t="s">
        <v>1013</v>
      </c>
      <c r="E1114" s="1929" t="s">
        <v>637</v>
      </c>
      <c r="F1114" s="1929">
        <v>9.5</v>
      </c>
      <c r="G1114" s="1929">
        <v>9</v>
      </c>
      <c r="H1114" s="1929">
        <v>0.8</v>
      </c>
      <c r="I1114" s="1929">
        <v>15.7</v>
      </c>
      <c r="J1114" s="1929">
        <v>833</v>
      </c>
      <c r="K1114" s="1929" t="s">
        <v>3080</v>
      </c>
    </row>
    <row r="1115" spans="1:11" hidden="1" x14ac:dyDescent="0.2">
      <c r="A1115" s="1929" t="s">
        <v>3079</v>
      </c>
      <c r="B1115" s="1929" t="s">
        <v>1217</v>
      </c>
      <c r="C1115" s="1929" t="s">
        <v>1302</v>
      </c>
      <c r="D1115" s="1929" t="s">
        <v>1013</v>
      </c>
      <c r="E1115" s="1929" t="s">
        <v>637</v>
      </c>
      <c r="F1115" s="1929">
        <v>5.5</v>
      </c>
      <c r="G1115" s="1929">
        <v>12.5</v>
      </c>
      <c r="H1115" s="1929">
        <v>0.4</v>
      </c>
      <c r="I1115" s="1929">
        <v>78</v>
      </c>
      <c r="J1115" s="1929">
        <v>842</v>
      </c>
      <c r="K1115" s="1929" t="s">
        <v>3078</v>
      </c>
    </row>
    <row r="1116" spans="1:11" hidden="1" x14ac:dyDescent="0.2">
      <c r="A1116" s="1929" t="s">
        <v>3077</v>
      </c>
      <c r="B1116" s="1929" t="s">
        <v>1238</v>
      </c>
      <c r="C1116" s="1929" t="s">
        <v>3030</v>
      </c>
      <c r="D1116" s="1929" t="s">
        <v>1013</v>
      </c>
      <c r="E1116" s="1929" t="s">
        <v>637</v>
      </c>
      <c r="F1116" s="1929">
        <v>9.1</v>
      </c>
      <c r="G1116" s="1929">
        <v>26</v>
      </c>
      <c r="H1116" s="1929">
        <v>0.2</v>
      </c>
      <c r="I1116" s="1929">
        <v>24.1</v>
      </c>
      <c r="J1116" s="1929">
        <v>894</v>
      </c>
      <c r="K1116" s="1929" t="s">
        <v>3076</v>
      </c>
    </row>
    <row r="1117" spans="1:11" hidden="1" x14ac:dyDescent="0.2">
      <c r="A1117" s="1929" t="s">
        <v>3075</v>
      </c>
      <c r="B1117" s="1929" t="s">
        <v>1238</v>
      </c>
      <c r="C1117" s="1929" t="s">
        <v>1237</v>
      </c>
      <c r="D1117" s="1929" t="s">
        <v>1013</v>
      </c>
      <c r="E1117" s="1929" t="s">
        <v>637</v>
      </c>
      <c r="F1117" s="1929">
        <v>6.9</v>
      </c>
      <c r="G1117" s="1929">
        <v>13.6</v>
      </c>
      <c r="H1117" s="1929">
        <v>0.6</v>
      </c>
      <c r="I1117" s="1929">
        <v>16.5</v>
      </c>
      <c r="J1117" s="1929">
        <v>898</v>
      </c>
      <c r="K1117" s="1929" t="s">
        <v>3074</v>
      </c>
    </row>
    <row r="1118" spans="1:11" hidden="1" x14ac:dyDescent="0.2">
      <c r="A1118" s="1929" t="s">
        <v>3073</v>
      </c>
      <c r="B1118" s="1929" t="s">
        <v>1238</v>
      </c>
      <c r="C1118" s="1929" t="s">
        <v>3030</v>
      </c>
      <c r="D1118" s="1929" t="s">
        <v>1013</v>
      </c>
      <c r="E1118" s="1929" t="s">
        <v>637</v>
      </c>
      <c r="F1118" s="1929">
        <v>2.2999999999999998</v>
      </c>
      <c r="G1118" s="1929">
        <v>35.4</v>
      </c>
      <c r="H1118" s="1929">
        <v>0.1</v>
      </c>
      <c r="I1118" s="1929">
        <v>107.4</v>
      </c>
      <c r="J1118" s="1929">
        <v>912</v>
      </c>
      <c r="K1118" s="1929" t="s">
        <v>3072</v>
      </c>
    </row>
    <row r="1119" spans="1:11" hidden="1" x14ac:dyDescent="0.2">
      <c r="A1119" s="1929" t="s">
        <v>3071</v>
      </c>
      <c r="B1119" s="1929" t="s">
        <v>1249</v>
      </c>
      <c r="C1119" s="1929" t="s">
        <v>1248</v>
      </c>
      <c r="D1119" s="1929" t="s">
        <v>1013</v>
      </c>
      <c r="E1119" s="1929" t="s">
        <v>637</v>
      </c>
      <c r="F1119" s="1929">
        <v>7.3</v>
      </c>
      <c r="G1119" s="1929">
        <v>21.8</v>
      </c>
      <c r="H1119" s="1929">
        <v>-0.1</v>
      </c>
      <c r="I1119" s="1929">
        <v>33</v>
      </c>
      <c r="J1119" s="1929">
        <v>933</v>
      </c>
      <c r="K1119" s="1929" t="s">
        <v>3070</v>
      </c>
    </row>
    <row r="1120" spans="1:11" hidden="1" x14ac:dyDescent="0.2">
      <c r="A1120" s="1929" t="s">
        <v>3069</v>
      </c>
      <c r="B1120" s="1929" t="s">
        <v>1310</v>
      </c>
      <c r="C1120" s="1929" t="s">
        <v>1379</v>
      </c>
      <c r="D1120" s="1929" t="s">
        <v>1013</v>
      </c>
      <c r="E1120" s="1929" t="s">
        <v>637</v>
      </c>
      <c r="F1120" s="1929">
        <v>5.4</v>
      </c>
      <c r="G1120" s="1929">
        <v>34.799999999999997</v>
      </c>
      <c r="H1120" s="1929">
        <v>-0.2</v>
      </c>
      <c r="I1120" s="1929">
        <v>41.4</v>
      </c>
      <c r="J1120" s="1929">
        <v>961</v>
      </c>
      <c r="K1120" s="1929" t="s">
        <v>3068</v>
      </c>
    </row>
    <row r="1121" spans="1:11" hidden="1" x14ac:dyDescent="0.2">
      <c r="A1121" s="1929" t="s">
        <v>3067</v>
      </c>
      <c r="B1121" s="1929" t="s">
        <v>1245</v>
      </c>
      <c r="C1121" s="1929" t="s">
        <v>1244</v>
      </c>
      <c r="D1121" s="1929" t="s">
        <v>1013</v>
      </c>
      <c r="E1121" s="1929" t="s">
        <v>637</v>
      </c>
      <c r="F1121" s="1929">
        <v>24.3</v>
      </c>
      <c r="G1121" s="1929">
        <v>2.2999999999999998</v>
      </c>
      <c r="H1121" s="1929">
        <v>1.7</v>
      </c>
      <c r="I1121" s="1929">
        <v>2.6</v>
      </c>
      <c r="J1121" s="1929">
        <v>999</v>
      </c>
      <c r="K1121" s="1929" t="s">
        <v>3066</v>
      </c>
    </row>
    <row r="1122" spans="1:11" hidden="1" x14ac:dyDescent="0.2">
      <c r="A1122" s="1929" t="s">
        <v>3065</v>
      </c>
      <c r="B1122" s="1929" t="s">
        <v>1238</v>
      </c>
      <c r="C1122" s="1929" t="s">
        <v>1241</v>
      </c>
      <c r="D1122" s="1929" t="s">
        <v>1013</v>
      </c>
      <c r="E1122" s="1929" t="s">
        <v>637</v>
      </c>
      <c r="F1122" s="1929">
        <v>5.9</v>
      </c>
      <c r="G1122" s="1929">
        <v>12.7</v>
      </c>
      <c r="H1122" s="1929">
        <v>0.5</v>
      </c>
      <c r="I1122" s="1929">
        <v>14</v>
      </c>
      <c r="J1122" s="1929">
        <v>1082</v>
      </c>
      <c r="K1122" s="1929" t="s">
        <v>3064</v>
      </c>
    </row>
    <row r="1123" spans="1:11" hidden="1" x14ac:dyDescent="0.2">
      <c r="A1123" s="1929" t="s">
        <v>3063</v>
      </c>
      <c r="B1123" s="1929" t="s">
        <v>1238</v>
      </c>
      <c r="C1123" s="1929" t="s">
        <v>1241</v>
      </c>
      <c r="D1123" s="1929" t="s">
        <v>1013</v>
      </c>
      <c r="E1123" s="1929" t="s">
        <v>637</v>
      </c>
      <c r="F1123" s="1929">
        <v>2.7</v>
      </c>
      <c r="G1123" s="1929">
        <v>20</v>
      </c>
      <c r="H1123" s="1929">
        <v>0.1</v>
      </c>
      <c r="I1123" s="1929">
        <v>29.5</v>
      </c>
      <c r="J1123" s="1929">
        <v>1127</v>
      </c>
      <c r="K1123" s="1929" t="s">
        <v>3062</v>
      </c>
    </row>
    <row r="1124" spans="1:11" hidden="1" x14ac:dyDescent="0.2">
      <c r="A1124" s="1929" t="s">
        <v>3061</v>
      </c>
      <c r="B1124" s="1929" t="s">
        <v>1217</v>
      </c>
      <c r="C1124" s="1929" t="s">
        <v>1563</v>
      </c>
      <c r="D1124" s="1929" t="s">
        <v>1013</v>
      </c>
      <c r="E1124" s="1929" t="s">
        <v>637</v>
      </c>
      <c r="F1124" s="1929">
        <v>3.7</v>
      </c>
      <c r="G1124" s="1929">
        <v>11.1</v>
      </c>
      <c r="H1124" s="1929">
        <v>0.3</v>
      </c>
      <c r="I1124" s="1929">
        <v>28.3</v>
      </c>
      <c r="J1124" s="1929">
        <v>1138</v>
      </c>
      <c r="K1124" s="1929" t="s">
        <v>3060</v>
      </c>
    </row>
    <row r="1125" spans="1:11" hidden="1" x14ac:dyDescent="0.2">
      <c r="A1125" s="1929" t="s">
        <v>3059</v>
      </c>
      <c r="B1125" s="1929" t="s">
        <v>1228</v>
      </c>
      <c r="C1125" s="1929" t="s">
        <v>1639</v>
      </c>
      <c r="D1125" s="1929" t="s">
        <v>1013</v>
      </c>
      <c r="E1125" s="1929" t="s">
        <v>637</v>
      </c>
      <c r="F1125" s="1929">
        <v>6.3</v>
      </c>
      <c r="G1125" s="1929">
        <v>11.9</v>
      </c>
      <c r="H1125" s="1929">
        <v>0.4</v>
      </c>
      <c r="I1125" s="1929">
        <v>12.4</v>
      </c>
      <c r="J1125" s="1929">
        <v>1155</v>
      </c>
      <c r="K1125" s="1929" t="s">
        <v>3058</v>
      </c>
    </row>
    <row r="1126" spans="1:11" hidden="1" x14ac:dyDescent="0.2">
      <c r="A1126" s="1929" t="s">
        <v>3057</v>
      </c>
      <c r="B1126" s="1929" t="s">
        <v>1238</v>
      </c>
      <c r="C1126" s="1929" t="s">
        <v>1700</v>
      </c>
      <c r="D1126" s="1929" t="s">
        <v>1013</v>
      </c>
      <c r="E1126" s="1929" t="s">
        <v>637</v>
      </c>
      <c r="F1126" s="1929">
        <v>8.6</v>
      </c>
      <c r="G1126" s="1929">
        <v>11.7</v>
      </c>
      <c r="H1126" s="1929">
        <v>0.4</v>
      </c>
      <c r="I1126" s="1929">
        <v>4.8</v>
      </c>
      <c r="J1126" s="1929">
        <v>1173</v>
      </c>
      <c r="K1126" s="1929" t="s">
        <v>3056</v>
      </c>
    </row>
    <row r="1127" spans="1:11" hidden="1" x14ac:dyDescent="0.2">
      <c r="A1127" s="1929" t="s">
        <v>3055</v>
      </c>
      <c r="B1127" s="1929" t="s">
        <v>1238</v>
      </c>
      <c r="C1127" s="1929" t="s">
        <v>1237</v>
      </c>
      <c r="D1127" s="1929" t="s">
        <v>1013</v>
      </c>
      <c r="E1127" s="1929" t="s">
        <v>637</v>
      </c>
      <c r="F1127" s="1929">
        <v>3.5</v>
      </c>
      <c r="G1127" s="1929">
        <v>17.5</v>
      </c>
      <c r="H1127" s="1929">
        <v>0.1</v>
      </c>
      <c r="I1127" s="1929">
        <v>26.3</v>
      </c>
      <c r="J1127" s="1929">
        <v>1180</v>
      </c>
      <c r="K1127" s="1929" t="s">
        <v>3054</v>
      </c>
    </row>
    <row r="1128" spans="1:11" hidden="1" x14ac:dyDescent="0.2">
      <c r="A1128" s="1929" t="s">
        <v>3053</v>
      </c>
      <c r="B1128" s="1929" t="s">
        <v>1258</v>
      </c>
      <c r="C1128" s="1929" t="s">
        <v>1263</v>
      </c>
      <c r="D1128" s="1929" t="s">
        <v>1013</v>
      </c>
      <c r="E1128" s="1929" t="s">
        <v>637</v>
      </c>
      <c r="F1128" s="1929">
        <v>6.6</v>
      </c>
      <c r="G1128" s="1929">
        <v>28.5</v>
      </c>
      <c r="H1128" s="1929">
        <v>0.3</v>
      </c>
      <c r="I1128" s="1929">
        <v>11.4</v>
      </c>
      <c r="J1128" s="1929">
        <v>1203</v>
      </c>
      <c r="K1128" s="1929" t="s">
        <v>3052</v>
      </c>
    </row>
    <row r="1129" spans="1:11" hidden="1" x14ac:dyDescent="0.2">
      <c r="A1129" s="1929" t="s">
        <v>3051</v>
      </c>
      <c r="B1129" s="1929" t="s">
        <v>1306</v>
      </c>
      <c r="C1129" s="1929" t="s">
        <v>1305</v>
      </c>
      <c r="D1129" s="1929" t="s">
        <v>1013</v>
      </c>
      <c r="E1129" s="1929" t="s">
        <v>637</v>
      </c>
      <c r="F1129" s="1929">
        <v>3.7</v>
      </c>
      <c r="G1129" s="1929">
        <v>17.2</v>
      </c>
      <c r="H1129" s="1929">
        <v>0.1</v>
      </c>
      <c r="I1129" s="1929">
        <v>21</v>
      </c>
      <c r="J1129" s="1929">
        <v>1258</v>
      </c>
      <c r="K1129" s="1929" t="s">
        <v>3050</v>
      </c>
    </row>
    <row r="1130" spans="1:11" hidden="1" x14ac:dyDescent="0.2">
      <c r="A1130" s="1929" t="s">
        <v>3049</v>
      </c>
      <c r="B1130" s="1929" t="s">
        <v>1238</v>
      </c>
      <c r="C1130" s="1929" t="s">
        <v>1237</v>
      </c>
      <c r="D1130" s="1929" t="s">
        <v>1013</v>
      </c>
      <c r="E1130" s="1929" t="s">
        <v>637</v>
      </c>
      <c r="F1130" s="1929">
        <v>5.9</v>
      </c>
      <c r="G1130" s="1929">
        <v>14</v>
      </c>
      <c r="H1130" s="1929">
        <v>0.2</v>
      </c>
      <c r="I1130" s="1929">
        <v>17.5</v>
      </c>
      <c r="J1130" s="1929">
        <v>1271</v>
      </c>
      <c r="K1130" s="1929" t="s">
        <v>3048</v>
      </c>
    </row>
    <row r="1131" spans="1:11" hidden="1" x14ac:dyDescent="0.2">
      <c r="A1131" s="1929" t="s">
        <v>3047</v>
      </c>
      <c r="D1131" s="1929" t="s">
        <v>1013</v>
      </c>
      <c r="E1131" s="1929" t="s">
        <v>637</v>
      </c>
      <c r="F1131" s="1929">
        <v>7.2</v>
      </c>
      <c r="G1131" s="1929">
        <v>6.5</v>
      </c>
      <c r="H1131" s="1929">
        <v>0.7</v>
      </c>
      <c r="I1131" s="1929">
        <v>7.4</v>
      </c>
      <c r="J1131" s="1929">
        <v>1314</v>
      </c>
      <c r="K1131" s="1929" t="s">
        <v>3046</v>
      </c>
    </row>
    <row r="1132" spans="1:11" hidden="1" x14ac:dyDescent="0.2">
      <c r="A1132" s="1929" t="s">
        <v>3045</v>
      </c>
      <c r="B1132" s="1929" t="s">
        <v>1238</v>
      </c>
      <c r="C1132" s="1929" t="s">
        <v>1485</v>
      </c>
      <c r="D1132" s="1929" t="s">
        <v>1013</v>
      </c>
      <c r="E1132" s="1929" t="s">
        <v>637</v>
      </c>
      <c r="F1132" s="1929">
        <v>2.1</v>
      </c>
      <c r="G1132" s="1929">
        <v>10.9</v>
      </c>
      <c r="H1132" s="1929">
        <v>-0.2</v>
      </c>
      <c r="I1132" s="1929">
        <v>21.7</v>
      </c>
      <c r="J1132" s="1929">
        <v>1388</v>
      </c>
      <c r="K1132" s="1929" t="s">
        <v>3044</v>
      </c>
    </row>
    <row r="1133" spans="1:11" hidden="1" x14ac:dyDescent="0.2">
      <c r="A1133" s="1929" t="s">
        <v>3043</v>
      </c>
      <c r="B1133" s="1929" t="s">
        <v>1217</v>
      </c>
      <c r="C1133" s="1929" t="s">
        <v>1563</v>
      </c>
      <c r="D1133" s="1929" t="s">
        <v>1013</v>
      </c>
      <c r="E1133" s="1929" t="s">
        <v>637</v>
      </c>
      <c r="F1133" s="1929">
        <v>2.5</v>
      </c>
      <c r="G1133" s="1929">
        <v>10</v>
      </c>
      <c r="H1133" s="1929">
        <v>0.3</v>
      </c>
      <c r="I1133" s="1929">
        <v>21.9</v>
      </c>
      <c r="J1133" s="1929">
        <v>1404</v>
      </c>
      <c r="K1133" s="1929" t="s">
        <v>3042</v>
      </c>
    </row>
    <row r="1134" spans="1:11" hidden="1" x14ac:dyDescent="0.2">
      <c r="A1134" s="1929" t="s">
        <v>3041</v>
      </c>
      <c r="B1134" s="1929" t="s">
        <v>1234</v>
      </c>
      <c r="C1134" s="1929" t="s">
        <v>1233</v>
      </c>
      <c r="D1134" s="1929" t="s">
        <v>1013</v>
      </c>
      <c r="E1134" s="1929" t="s">
        <v>637</v>
      </c>
      <c r="F1134" s="1929">
        <v>6.2</v>
      </c>
      <c r="G1134" s="1929">
        <v>15</v>
      </c>
      <c r="H1134" s="1929">
        <v>0.3</v>
      </c>
      <c r="I1134" s="1929">
        <v>10.1</v>
      </c>
      <c r="J1134" s="1929">
        <v>1430</v>
      </c>
      <c r="K1134" s="1929" t="s">
        <v>3040</v>
      </c>
    </row>
    <row r="1135" spans="1:11" hidden="1" x14ac:dyDescent="0.2">
      <c r="A1135" s="1929" t="s">
        <v>3039</v>
      </c>
      <c r="B1135" s="1929" t="s">
        <v>1306</v>
      </c>
      <c r="C1135" s="1929" t="s">
        <v>1819</v>
      </c>
      <c r="D1135" s="1929" t="s">
        <v>1013</v>
      </c>
      <c r="E1135" s="1929" t="s">
        <v>637</v>
      </c>
      <c r="F1135" s="1929">
        <v>10.3</v>
      </c>
      <c r="G1135" s="1929">
        <v>3.5</v>
      </c>
      <c r="H1135" s="1929">
        <v>0.5</v>
      </c>
      <c r="I1135" s="1929">
        <v>6.7</v>
      </c>
      <c r="J1135" s="1929">
        <v>1524</v>
      </c>
      <c r="K1135" s="1929" t="s">
        <v>3038</v>
      </c>
    </row>
    <row r="1136" spans="1:11" hidden="1" x14ac:dyDescent="0.2">
      <c r="A1136" s="1929" t="s">
        <v>3037</v>
      </c>
      <c r="B1136" s="1929" t="s">
        <v>1217</v>
      </c>
      <c r="C1136" s="1929" t="s">
        <v>1563</v>
      </c>
      <c r="D1136" s="1929" t="s">
        <v>1013</v>
      </c>
      <c r="E1136" s="1929" t="s">
        <v>637</v>
      </c>
      <c r="F1136" s="1929">
        <v>1.7</v>
      </c>
      <c r="G1136" s="1929">
        <v>8</v>
      </c>
      <c r="H1136" s="1929">
        <v>0.1</v>
      </c>
      <c r="I1136" s="1929">
        <v>18.8</v>
      </c>
      <c r="J1136" s="1929">
        <v>1562</v>
      </c>
      <c r="K1136" s="1929" t="s">
        <v>3036</v>
      </c>
    </row>
    <row r="1137" spans="1:11" hidden="1" x14ac:dyDescent="0.2">
      <c r="A1137" s="1929" t="s">
        <v>3035</v>
      </c>
      <c r="B1137" s="1929" t="s">
        <v>1258</v>
      </c>
      <c r="C1137" s="1929" t="s">
        <v>1263</v>
      </c>
      <c r="D1137" s="1929" t="s">
        <v>1013</v>
      </c>
      <c r="E1137" s="1929" t="s">
        <v>637</v>
      </c>
      <c r="F1137" s="1929">
        <v>4.2</v>
      </c>
      <c r="G1137" s="1929">
        <v>8.8000000000000007</v>
      </c>
      <c r="H1137" s="1929">
        <v>0.3</v>
      </c>
      <c r="I1137" s="1929">
        <v>12</v>
      </c>
      <c r="J1137" s="1929">
        <v>1568</v>
      </c>
      <c r="K1137" s="1929" t="s">
        <v>3034</v>
      </c>
    </row>
    <row r="1138" spans="1:11" hidden="1" x14ac:dyDescent="0.2">
      <c r="A1138" s="1929" t="s">
        <v>3033</v>
      </c>
      <c r="B1138" s="1929" t="s">
        <v>1234</v>
      </c>
      <c r="C1138" s="1929" t="s">
        <v>1337</v>
      </c>
      <c r="D1138" s="1929" t="s">
        <v>1013</v>
      </c>
      <c r="E1138" s="1929" t="s">
        <v>637</v>
      </c>
      <c r="F1138" s="1929">
        <v>2.5</v>
      </c>
      <c r="G1138" s="1929">
        <v>11.5</v>
      </c>
      <c r="H1138" s="1929">
        <v>-0.2</v>
      </c>
      <c r="I1138" s="1929">
        <v>12.9</v>
      </c>
      <c r="J1138" s="1929">
        <v>1596</v>
      </c>
      <c r="K1138" s="1929" t="s">
        <v>3032</v>
      </c>
    </row>
    <row r="1139" spans="1:11" hidden="1" x14ac:dyDescent="0.2">
      <c r="A1139" s="1929" t="s">
        <v>3031</v>
      </c>
      <c r="B1139" s="1929" t="s">
        <v>1238</v>
      </c>
      <c r="C1139" s="1929" t="s">
        <v>3030</v>
      </c>
      <c r="D1139" s="1929" t="s">
        <v>1013</v>
      </c>
      <c r="E1139" s="1929" t="s">
        <v>637</v>
      </c>
      <c r="F1139" s="1929">
        <v>2.2000000000000002</v>
      </c>
      <c r="G1139" s="1929">
        <v>23.7</v>
      </c>
      <c r="H1139" s="1929">
        <v>-0.5</v>
      </c>
      <c r="I1139" s="1929">
        <v>8.4</v>
      </c>
      <c r="J1139" s="1929">
        <v>1634</v>
      </c>
      <c r="K1139" s="1929" t="s">
        <v>3029</v>
      </c>
    </row>
    <row r="1140" spans="1:11" hidden="1" x14ac:dyDescent="0.2">
      <c r="A1140" s="1929" t="s">
        <v>3028</v>
      </c>
      <c r="B1140" s="1929" t="s">
        <v>1217</v>
      </c>
      <c r="C1140" s="1929" t="s">
        <v>1368</v>
      </c>
      <c r="D1140" s="1929" t="s">
        <v>1013</v>
      </c>
      <c r="E1140" s="1929" t="s">
        <v>637</v>
      </c>
      <c r="F1140" s="1929">
        <v>2.8</v>
      </c>
      <c r="G1140" s="1929">
        <v>2.2000000000000002</v>
      </c>
      <c r="H1140" s="1929">
        <v>0.3</v>
      </c>
      <c r="I1140" s="1929">
        <v>44.5</v>
      </c>
      <c r="J1140" s="1929">
        <v>1638</v>
      </c>
      <c r="K1140" s="1929" t="s">
        <v>3027</v>
      </c>
    </row>
    <row r="1141" spans="1:11" hidden="1" x14ac:dyDescent="0.2">
      <c r="A1141" s="1929" t="s">
        <v>3026</v>
      </c>
      <c r="B1141" s="1929" t="s">
        <v>1234</v>
      </c>
      <c r="C1141" s="1929" t="s">
        <v>1445</v>
      </c>
      <c r="D1141" s="1929" t="s">
        <v>1013</v>
      </c>
      <c r="E1141" s="1929" t="s">
        <v>637</v>
      </c>
      <c r="F1141" s="1929">
        <v>1.2</v>
      </c>
      <c r="G1141" s="1929">
        <v>3.7</v>
      </c>
      <c r="H1141" s="1929">
        <v>1.5</v>
      </c>
      <c r="I1141" s="1929">
        <v>5.2</v>
      </c>
      <c r="J1141" s="1929">
        <v>1684</v>
      </c>
      <c r="K1141" s="1929" t="s">
        <v>3025</v>
      </c>
    </row>
    <row r="1142" spans="1:11" hidden="1" x14ac:dyDescent="0.2">
      <c r="A1142" s="1929" t="s">
        <v>3024</v>
      </c>
      <c r="B1142" s="1929" t="s">
        <v>1306</v>
      </c>
      <c r="C1142" s="1929" t="s">
        <v>1305</v>
      </c>
      <c r="D1142" s="1929" t="s">
        <v>1013</v>
      </c>
      <c r="E1142" s="1929" t="s">
        <v>637</v>
      </c>
      <c r="F1142" s="1929">
        <v>3.6</v>
      </c>
      <c r="G1142" s="1929">
        <v>9.9</v>
      </c>
      <c r="H1142" s="1929">
        <v>0.1</v>
      </c>
      <c r="I1142" s="1929">
        <v>12.3</v>
      </c>
      <c r="J1142" s="1929">
        <v>1707</v>
      </c>
      <c r="K1142" s="1929" t="s">
        <v>3023</v>
      </c>
    </row>
    <row r="1143" spans="1:11" hidden="1" x14ac:dyDescent="0.2">
      <c r="A1143" s="1929" t="s">
        <v>3022</v>
      </c>
      <c r="B1143" s="1929" t="s">
        <v>1249</v>
      </c>
      <c r="C1143" s="1929" t="s">
        <v>1248</v>
      </c>
      <c r="D1143" s="1929" t="s">
        <v>1013</v>
      </c>
      <c r="E1143" s="1929" t="s">
        <v>637</v>
      </c>
      <c r="F1143" s="1929">
        <v>4.3</v>
      </c>
      <c r="G1143" s="1929">
        <v>10.5</v>
      </c>
      <c r="H1143" s="1929">
        <v>0.3</v>
      </c>
      <c r="I1143" s="1929">
        <v>11.2</v>
      </c>
      <c r="J1143" s="1929">
        <v>1759</v>
      </c>
      <c r="K1143" s="1929" t="s">
        <v>3021</v>
      </c>
    </row>
    <row r="1144" spans="1:11" hidden="1" x14ac:dyDescent="0.2">
      <c r="A1144" s="1929" t="s">
        <v>3020</v>
      </c>
      <c r="B1144" s="1929" t="s">
        <v>1217</v>
      </c>
      <c r="C1144" s="1929" t="s">
        <v>1403</v>
      </c>
      <c r="D1144" s="1929" t="s">
        <v>1013</v>
      </c>
      <c r="E1144" s="1929" t="s">
        <v>637</v>
      </c>
      <c r="F1144" s="1929">
        <v>2</v>
      </c>
      <c r="G1144" s="1929">
        <v>1.7</v>
      </c>
      <c r="H1144" s="1929">
        <v>0.2</v>
      </c>
      <c r="I1144" s="1929">
        <v>35.6</v>
      </c>
      <c r="J1144" s="1929">
        <v>1835</v>
      </c>
      <c r="K1144" s="1929" t="s">
        <v>3019</v>
      </c>
    </row>
    <row r="1145" spans="1:11" hidden="1" x14ac:dyDescent="0.2">
      <c r="A1145" s="1929" t="s">
        <v>3018</v>
      </c>
      <c r="D1145" s="1929" t="s">
        <v>1013</v>
      </c>
      <c r="E1145" s="1929" t="s">
        <v>637</v>
      </c>
      <c r="F1145" s="1929">
        <v>0.9</v>
      </c>
      <c r="G1145" s="1929">
        <v>5.3</v>
      </c>
      <c r="H1145" s="1929">
        <v>0.1</v>
      </c>
      <c r="I1145" s="1929">
        <v>20</v>
      </c>
      <c r="J1145" s="1929">
        <v>1843</v>
      </c>
      <c r="K1145" s="1929" t="s">
        <v>3017</v>
      </c>
    </row>
    <row r="1146" spans="1:11" hidden="1" x14ac:dyDescent="0.2">
      <c r="A1146" s="1929" t="s">
        <v>3016</v>
      </c>
      <c r="B1146" s="1929" t="s">
        <v>1238</v>
      </c>
      <c r="C1146" s="1929" t="s">
        <v>1241</v>
      </c>
      <c r="D1146" s="1929" t="s">
        <v>1013</v>
      </c>
      <c r="E1146" s="1929" t="s">
        <v>637</v>
      </c>
      <c r="F1146" s="1929">
        <v>1.7</v>
      </c>
      <c r="G1146" s="1929">
        <v>8.6999999999999993</v>
      </c>
      <c r="H1146" s="1929">
        <v>-0.8</v>
      </c>
      <c r="I1146" s="1929">
        <v>11.8</v>
      </c>
      <c r="J1146" s="1929">
        <v>1846</v>
      </c>
      <c r="K1146" s="1929" t="s">
        <v>3015</v>
      </c>
    </row>
    <row r="1147" spans="1:11" hidden="1" x14ac:dyDescent="0.2">
      <c r="A1147" s="1929" t="s">
        <v>3014</v>
      </c>
      <c r="B1147" s="1929" t="s">
        <v>1238</v>
      </c>
      <c r="C1147" s="1929" t="s">
        <v>1584</v>
      </c>
      <c r="D1147" s="1929" t="s">
        <v>1013</v>
      </c>
      <c r="E1147" s="1929" t="s">
        <v>637</v>
      </c>
      <c r="F1147" s="1929">
        <v>2.2999999999999998</v>
      </c>
      <c r="G1147" s="1929">
        <v>10.5</v>
      </c>
      <c r="H1147" s="1929">
        <v>0.1</v>
      </c>
      <c r="I1147" s="1929">
        <v>9.5</v>
      </c>
      <c r="J1147" s="1929">
        <v>1907</v>
      </c>
      <c r="K1147" s="1929" t="s">
        <v>3013</v>
      </c>
    </row>
    <row r="1148" spans="1:11" hidden="1" x14ac:dyDescent="0.2">
      <c r="A1148" s="1929" t="s">
        <v>3012</v>
      </c>
      <c r="B1148" s="1929" t="s">
        <v>1238</v>
      </c>
      <c r="C1148" s="1929" t="s">
        <v>1700</v>
      </c>
      <c r="D1148" s="1929" t="s">
        <v>1013</v>
      </c>
      <c r="E1148" s="1929" t="s">
        <v>637</v>
      </c>
      <c r="F1148" s="1929">
        <v>0.8</v>
      </c>
      <c r="G1148" s="1929">
        <v>9.4</v>
      </c>
      <c r="H1148" s="1929">
        <v>-0.6</v>
      </c>
      <c r="I1148" s="1929">
        <v>10</v>
      </c>
      <c r="J1148" s="1929">
        <v>1920</v>
      </c>
      <c r="K1148" s="1929" t="s">
        <v>3011</v>
      </c>
    </row>
    <row r="1149" spans="1:11" hidden="1" x14ac:dyDescent="0.2">
      <c r="A1149" s="1929" t="s">
        <v>3010</v>
      </c>
      <c r="B1149" s="1929" t="s">
        <v>1238</v>
      </c>
      <c r="C1149" s="1929" t="s">
        <v>1241</v>
      </c>
      <c r="D1149" s="1929" t="s">
        <v>1013</v>
      </c>
      <c r="E1149" s="1929" t="s">
        <v>637</v>
      </c>
      <c r="F1149" s="1929">
        <v>2.8</v>
      </c>
      <c r="G1149" s="1929">
        <v>9</v>
      </c>
      <c r="H1149" s="1929">
        <v>0</v>
      </c>
      <c r="I1149" s="1929">
        <v>10.199999999999999</v>
      </c>
      <c r="J1149" s="1929">
        <v>1933</v>
      </c>
      <c r="K1149" s="1929" t="s">
        <v>3009</v>
      </c>
    </row>
    <row r="1150" spans="1:11" hidden="1" x14ac:dyDescent="0.2">
      <c r="A1150" s="1929" t="s">
        <v>3008</v>
      </c>
      <c r="B1150" s="1929" t="s">
        <v>1234</v>
      </c>
      <c r="C1150" s="1929" t="s">
        <v>1461</v>
      </c>
      <c r="D1150" s="1929" t="s">
        <v>1013</v>
      </c>
      <c r="E1150" s="1929" t="s">
        <v>637</v>
      </c>
      <c r="F1150" s="1929">
        <v>2.6</v>
      </c>
      <c r="G1150" s="1929">
        <v>7.2</v>
      </c>
      <c r="H1150" s="1929">
        <v>0</v>
      </c>
      <c r="I1150" s="1929">
        <v>12.1</v>
      </c>
      <c r="J1150" s="1929">
        <v>1945</v>
      </c>
      <c r="K1150" s="1929" t="s">
        <v>3007</v>
      </c>
    </row>
    <row r="1151" spans="1:11" hidden="1" x14ac:dyDescent="0.2">
      <c r="A1151" s="1929" t="s">
        <v>3006</v>
      </c>
      <c r="B1151" s="1929" t="s">
        <v>1228</v>
      </c>
      <c r="C1151" s="1929" t="s">
        <v>1334</v>
      </c>
      <c r="D1151" s="1929" t="s">
        <v>1013</v>
      </c>
      <c r="E1151" s="1929" t="s">
        <v>637</v>
      </c>
      <c r="F1151" s="1929">
        <v>4.0999999999999996</v>
      </c>
      <c r="G1151" s="1929">
        <v>6.5</v>
      </c>
      <c r="H1151" s="1929">
        <v>0.4</v>
      </c>
      <c r="I1151" s="1929">
        <v>4.5999999999999996</v>
      </c>
      <c r="J1151" s="1929">
        <v>1955</v>
      </c>
      <c r="K1151" s="1929" t="s">
        <v>3005</v>
      </c>
    </row>
    <row r="1152" spans="1:11" hidden="1" x14ac:dyDescent="0.2">
      <c r="A1152" s="1929" t="s">
        <v>3004</v>
      </c>
      <c r="B1152" s="1929" t="s">
        <v>1217</v>
      </c>
      <c r="C1152" s="1929" t="s">
        <v>2291</v>
      </c>
      <c r="D1152" s="1929" t="s">
        <v>303</v>
      </c>
      <c r="E1152" s="1929" t="s">
        <v>58</v>
      </c>
      <c r="F1152" s="1929">
        <v>112.3</v>
      </c>
      <c r="G1152" s="1929">
        <v>52.5</v>
      </c>
      <c r="H1152" s="1929">
        <v>5.8</v>
      </c>
      <c r="I1152" s="1929">
        <v>1537.3</v>
      </c>
      <c r="J1152" s="1929">
        <v>43</v>
      </c>
      <c r="K1152" s="1929" t="s">
        <v>3003</v>
      </c>
    </row>
    <row r="1153" spans="1:11" hidden="1" x14ac:dyDescent="0.2">
      <c r="A1153" s="1929" t="s">
        <v>3002</v>
      </c>
      <c r="B1153" s="1929" t="s">
        <v>1249</v>
      </c>
      <c r="C1153" s="1929" t="s">
        <v>1248</v>
      </c>
      <c r="D1153" s="1929" t="s">
        <v>303</v>
      </c>
      <c r="E1153" s="1929" t="s">
        <v>58</v>
      </c>
      <c r="F1153" s="1929">
        <v>71.8</v>
      </c>
      <c r="G1153" s="1929">
        <v>75.8</v>
      </c>
      <c r="H1153" s="1929">
        <v>6.1</v>
      </c>
      <c r="I1153" s="1929">
        <v>163.80000000000001</v>
      </c>
      <c r="J1153" s="1929">
        <v>68</v>
      </c>
      <c r="K1153" s="1929" t="s">
        <v>3001</v>
      </c>
    </row>
    <row r="1154" spans="1:11" hidden="1" x14ac:dyDescent="0.2">
      <c r="A1154" s="1929" t="s">
        <v>3000</v>
      </c>
      <c r="B1154" s="1929" t="s">
        <v>1217</v>
      </c>
      <c r="C1154" s="1929" t="s">
        <v>2291</v>
      </c>
      <c r="D1154" s="1929" t="s">
        <v>303</v>
      </c>
      <c r="E1154" s="1929" t="s">
        <v>58</v>
      </c>
      <c r="F1154" s="1929">
        <v>71</v>
      </c>
      <c r="G1154" s="1929">
        <v>28.2</v>
      </c>
      <c r="H1154" s="1929">
        <v>3</v>
      </c>
      <c r="I1154" s="1929">
        <v>802.8</v>
      </c>
      <c r="J1154" s="1929">
        <v>118</v>
      </c>
      <c r="K1154" s="1929" t="s">
        <v>2999</v>
      </c>
    </row>
    <row r="1155" spans="1:11" hidden="1" x14ac:dyDescent="0.2">
      <c r="A1155" s="1929" t="s">
        <v>2998</v>
      </c>
      <c r="B1155" s="1929" t="s">
        <v>1310</v>
      </c>
      <c r="C1155" s="1929" t="s">
        <v>1309</v>
      </c>
      <c r="D1155" s="1929" t="s">
        <v>303</v>
      </c>
      <c r="E1155" s="1929" t="s">
        <v>58</v>
      </c>
      <c r="F1155" s="1929">
        <v>44.1</v>
      </c>
      <c r="G1155" s="1929">
        <v>43.6</v>
      </c>
      <c r="H1155" s="1929">
        <v>3.4</v>
      </c>
      <c r="I1155" s="1929">
        <v>127.3</v>
      </c>
      <c r="J1155" s="1929">
        <v>133</v>
      </c>
      <c r="K1155" s="1929" t="s">
        <v>2997</v>
      </c>
    </row>
    <row r="1156" spans="1:11" hidden="1" x14ac:dyDescent="0.2">
      <c r="A1156" s="1929" t="s">
        <v>2996</v>
      </c>
      <c r="B1156" s="1929" t="s">
        <v>1310</v>
      </c>
      <c r="C1156" s="1929" t="s">
        <v>1379</v>
      </c>
      <c r="D1156" s="1929" t="s">
        <v>303</v>
      </c>
      <c r="E1156" s="1929" t="s">
        <v>58</v>
      </c>
      <c r="F1156" s="1929">
        <v>28.4</v>
      </c>
      <c r="G1156" s="1929">
        <v>33.1</v>
      </c>
      <c r="H1156" s="1929">
        <v>1.9</v>
      </c>
      <c r="I1156" s="1929">
        <v>61.9</v>
      </c>
      <c r="J1156" s="1929">
        <v>230</v>
      </c>
      <c r="K1156" s="1929" t="s">
        <v>2995</v>
      </c>
    </row>
    <row r="1157" spans="1:11" hidden="1" x14ac:dyDescent="0.2">
      <c r="A1157" s="1929" t="s">
        <v>2994</v>
      </c>
      <c r="B1157" s="1929" t="s">
        <v>1228</v>
      </c>
      <c r="C1157" s="1929" t="s">
        <v>1539</v>
      </c>
      <c r="D1157" s="1929" t="s">
        <v>303</v>
      </c>
      <c r="E1157" s="1929" t="s">
        <v>58</v>
      </c>
      <c r="F1157" s="1929">
        <v>94.3</v>
      </c>
      <c r="G1157" s="1929">
        <v>22.2</v>
      </c>
      <c r="H1157" s="1929">
        <v>3.2</v>
      </c>
      <c r="I1157" s="1929">
        <v>18.600000000000001</v>
      </c>
      <c r="J1157" s="1929">
        <v>313</v>
      </c>
      <c r="K1157" s="1929" t="s">
        <v>2993</v>
      </c>
    </row>
    <row r="1158" spans="1:11" hidden="1" x14ac:dyDescent="0.2">
      <c r="A1158" s="1929" t="s">
        <v>2992</v>
      </c>
      <c r="B1158" s="1929" t="s">
        <v>1217</v>
      </c>
      <c r="C1158" s="1929" t="s">
        <v>1216</v>
      </c>
      <c r="D1158" s="1929" t="s">
        <v>303</v>
      </c>
      <c r="E1158" s="1929" t="s">
        <v>58</v>
      </c>
      <c r="F1158" s="1929">
        <v>33.299999999999997</v>
      </c>
      <c r="G1158" s="1929">
        <v>15.9</v>
      </c>
      <c r="H1158" s="1929">
        <v>0.7</v>
      </c>
      <c r="I1158" s="1929">
        <v>468.8</v>
      </c>
      <c r="J1158" s="1929">
        <v>325</v>
      </c>
      <c r="K1158" s="1929" t="s">
        <v>2991</v>
      </c>
    </row>
    <row r="1159" spans="1:11" hidden="1" x14ac:dyDescent="0.2">
      <c r="A1159" s="1929" t="s">
        <v>2990</v>
      </c>
      <c r="B1159" s="1929" t="s">
        <v>1217</v>
      </c>
      <c r="C1159" s="1929" t="s">
        <v>1252</v>
      </c>
      <c r="D1159" s="1929" t="s">
        <v>303</v>
      </c>
      <c r="E1159" s="1929" t="s">
        <v>58</v>
      </c>
      <c r="F1159" s="1929">
        <v>13.2</v>
      </c>
      <c r="G1159" s="1929">
        <v>27.3</v>
      </c>
      <c r="H1159" s="1929">
        <v>1</v>
      </c>
      <c r="I1159" s="1929">
        <v>74.099999999999994</v>
      </c>
      <c r="J1159" s="1929">
        <v>376</v>
      </c>
      <c r="K1159" s="1929" t="s">
        <v>2989</v>
      </c>
    </row>
    <row r="1160" spans="1:11" hidden="1" x14ac:dyDescent="0.2">
      <c r="A1160" s="1929" t="s">
        <v>2988</v>
      </c>
      <c r="B1160" s="1929" t="s">
        <v>1238</v>
      </c>
      <c r="C1160" s="1929" t="s">
        <v>1241</v>
      </c>
      <c r="D1160" s="1929" t="s">
        <v>303</v>
      </c>
      <c r="E1160" s="1929" t="s">
        <v>58</v>
      </c>
      <c r="F1160" s="1929">
        <v>12.4</v>
      </c>
      <c r="G1160" s="1929">
        <v>50.9</v>
      </c>
      <c r="H1160" s="1929">
        <v>0.9</v>
      </c>
      <c r="I1160" s="1929">
        <v>54.8</v>
      </c>
      <c r="J1160" s="1929">
        <v>382</v>
      </c>
      <c r="K1160" s="1929" t="s">
        <v>2987</v>
      </c>
    </row>
    <row r="1161" spans="1:11" hidden="1" x14ac:dyDescent="0.2">
      <c r="A1161" s="1929" t="s">
        <v>2986</v>
      </c>
      <c r="B1161" s="1929" t="s">
        <v>1258</v>
      </c>
      <c r="C1161" s="1929" t="s">
        <v>1263</v>
      </c>
      <c r="D1161" s="1929" t="s">
        <v>303</v>
      </c>
      <c r="E1161" s="1929" t="s">
        <v>58</v>
      </c>
      <c r="F1161" s="1929">
        <v>33.700000000000003</v>
      </c>
      <c r="G1161" s="1929">
        <v>74.7</v>
      </c>
      <c r="H1161" s="1929">
        <v>0.3</v>
      </c>
      <c r="I1161" s="1929">
        <v>89.7</v>
      </c>
      <c r="J1161" s="1929">
        <v>471</v>
      </c>
      <c r="K1161" s="1929" t="s">
        <v>2985</v>
      </c>
    </row>
    <row r="1162" spans="1:11" hidden="1" x14ac:dyDescent="0.2">
      <c r="A1162" s="1929" t="s">
        <v>2984</v>
      </c>
      <c r="B1162" s="1929" t="s">
        <v>1238</v>
      </c>
      <c r="C1162" s="1929" t="s">
        <v>1700</v>
      </c>
      <c r="D1162" s="1929" t="s">
        <v>303</v>
      </c>
      <c r="E1162" s="1929" t="s">
        <v>58</v>
      </c>
      <c r="F1162" s="1929">
        <v>16.100000000000001</v>
      </c>
      <c r="G1162" s="1929">
        <v>10.8</v>
      </c>
      <c r="H1162" s="1929">
        <v>1</v>
      </c>
      <c r="I1162" s="1929">
        <v>31.4</v>
      </c>
      <c r="J1162" s="1929">
        <v>556</v>
      </c>
      <c r="K1162" s="1929" t="s">
        <v>2983</v>
      </c>
    </row>
    <row r="1163" spans="1:11" hidden="1" x14ac:dyDescent="0.2">
      <c r="A1163" s="1929" t="s">
        <v>2982</v>
      </c>
      <c r="B1163" s="1929" t="s">
        <v>1217</v>
      </c>
      <c r="C1163" s="1929" t="s">
        <v>1216</v>
      </c>
      <c r="D1163" s="1929" t="s">
        <v>303</v>
      </c>
      <c r="E1163" s="1929" t="s">
        <v>58</v>
      </c>
      <c r="F1163" s="1929">
        <v>24.3</v>
      </c>
      <c r="G1163" s="1929">
        <v>5.0999999999999996</v>
      </c>
      <c r="H1163" s="1929">
        <v>0.7</v>
      </c>
      <c r="I1163" s="1929">
        <v>346.5</v>
      </c>
      <c r="J1163" s="1929">
        <v>582</v>
      </c>
      <c r="K1163" s="1929" t="s">
        <v>2981</v>
      </c>
    </row>
    <row r="1164" spans="1:11" hidden="1" x14ac:dyDescent="0.2">
      <c r="A1164" s="1929" t="s">
        <v>2980</v>
      </c>
      <c r="B1164" s="1929" t="s">
        <v>1217</v>
      </c>
      <c r="C1164" s="1929" t="s">
        <v>1216</v>
      </c>
      <c r="D1164" s="1929" t="s">
        <v>303</v>
      </c>
      <c r="E1164" s="1929" t="s">
        <v>58</v>
      </c>
      <c r="F1164" s="1929">
        <v>16.3</v>
      </c>
      <c r="G1164" s="1929">
        <v>8.1999999999999993</v>
      </c>
      <c r="H1164" s="1929">
        <v>0.4</v>
      </c>
      <c r="I1164" s="1929">
        <v>203.7</v>
      </c>
      <c r="J1164" s="1929">
        <v>605</v>
      </c>
      <c r="K1164" s="1929" t="s">
        <v>2979</v>
      </c>
    </row>
    <row r="1165" spans="1:11" hidden="1" x14ac:dyDescent="0.2">
      <c r="A1165" s="1929" t="s">
        <v>2978</v>
      </c>
      <c r="B1165" s="1929" t="s">
        <v>1238</v>
      </c>
      <c r="C1165" s="1929" t="s">
        <v>1700</v>
      </c>
      <c r="D1165" s="1929" t="s">
        <v>303</v>
      </c>
      <c r="E1165" s="1929" t="s">
        <v>58</v>
      </c>
      <c r="F1165" s="1929">
        <v>19.7</v>
      </c>
      <c r="G1165" s="1929">
        <v>6.2</v>
      </c>
      <c r="H1165" s="1929">
        <v>0.8</v>
      </c>
      <c r="I1165" s="1929">
        <v>38.799999999999997</v>
      </c>
      <c r="J1165" s="1929">
        <v>615</v>
      </c>
      <c r="K1165" s="1929" t="s">
        <v>2977</v>
      </c>
    </row>
    <row r="1166" spans="1:11" hidden="1" x14ac:dyDescent="0.2">
      <c r="A1166" s="1929" t="s">
        <v>2976</v>
      </c>
      <c r="B1166" s="1929" t="s">
        <v>1217</v>
      </c>
      <c r="C1166" s="1929" t="s">
        <v>1216</v>
      </c>
      <c r="D1166" s="1929" t="s">
        <v>303</v>
      </c>
      <c r="E1166" s="1929" t="s">
        <v>58</v>
      </c>
      <c r="F1166" s="1929">
        <v>13</v>
      </c>
      <c r="G1166" s="1929">
        <v>9.5</v>
      </c>
      <c r="H1166" s="1929">
        <v>0.3</v>
      </c>
      <c r="I1166" s="1929">
        <v>225.2</v>
      </c>
      <c r="J1166" s="1929">
        <v>688</v>
      </c>
      <c r="K1166" s="1929" t="s">
        <v>2975</v>
      </c>
    </row>
    <row r="1167" spans="1:11" hidden="1" x14ac:dyDescent="0.2">
      <c r="A1167" s="1929" t="s">
        <v>2974</v>
      </c>
      <c r="B1167" s="1929" t="s">
        <v>1310</v>
      </c>
      <c r="C1167" s="1929" t="s">
        <v>1309</v>
      </c>
      <c r="D1167" s="1929" t="s">
        <v>303</v>
      </c>
      <c r="E1167" s="1929" t="s">
        <v>58</v>
      </c>
      <c r="F1167" s="1929">
        <v>11</v>
      </c>
      <c r="G1167" s="1929">
        <v>2.2999999999999998</v>
      </c>
      <c r="H1167" s="1929">
        <v>0.7</v>
      </c>
      <c r="I1167" s="1929">
        <v>13</v>
      </c>
      <c r="J1167" s="1929">
        <v>1158</v>
      </c>
      <c r="K1167" s="1929" t="s">
        <v>2973</v>
      </c>
    </row>
    <row r="1168" spans="1:11" hidden="1" x14ac:dyDescent="0.2">
      <c r="A1168" s="1929" t="s">
        <v>2972</v>
      </c>
      <c r="B1168" s="1929" t="s">
        <v>1245</v>
      </c>
      <c r="C1168" s="1929" t="s">
        <v>1286</v>
      </c>
      <c r="D1168" s="1929" t="s">
        <v>303</v>
      </c>
      <c r="E1168" s="1929" t="s">
        <v>58</v>
      </c>
      <c r="F1168" s="1929">
        <v>18.899999999999999</v>
      </c>
      <c r="G1168" s="1929">
        <v>4.0999999999999996</v>
      </c>
      <c r="H1168" s="1929">
        <v>0.7</v>
      </c>
      <c r="I1168" s="1929">
        <v>7.5</v>
      </c>
      <c r="J1168" s="1929">
        <v>1173</v>
      </c>
      <c r="K1168" s="1929" t="s">
        <v>2971</v>
      </c>
    </row>
    <row r="1169" spans="1:11" hidden="1" x14ac:dyDescent="0.2">
      <c r="A1169" s="1929" t="s">
        <v>2970</v>
      </c>
      <c r="B1169" s="1929" t="s">
        <v>1217</v>
      </c>
      <c r="C1169" s="1929" t="s">
        <v>1216</v>
      </c>
      <c r="D1169" s="1929" t="s">
        <v>303</v>
      </c>
      <c r="E1169" s="1929" t="s">
        <v>58</v>
      </c>
      <c r="F1169" s="1929">
        <v>7.4</v>
      </c>
      <c r="G1169" s="1929">
        <v>3</v>
      </c>
      <c r="H1169" s="1929">
        <v>0.3</v>
      </c>
      <c r="I1169" s="1929">
        <v>76</v>
      </c>
      <c r="J1169" s="1929">
        <v>1263</v>
      </c>
      <c r="K1169" s="1929" t="s">
        <v>2969</v>
      </c>
    </row>
    <row r="1170" spans="1:11" hidden="1" x14ac:dyDescent="0.2">
      <c r="A1170" s="1929" t="s">
        <v>2968</v>
      </c>
      <c r="B1170" s="1929" t="s">
        <v>1238</v>
      </c>
      <c r="C1170" s="1929" t="s">
        <v>1241</v>
      </c>
      <c r="D1170" s="1929" t="s">
        <v>303</v>
      </c>
      <c r="E1170" s="1929" t="s">
        <v>58</v>
      </c>
      <c r="F1170" s="1929">
        <v>4</v>
      </c>
      <c r="G1170" s="1929">
        <v>9.8000000000000007</v>
      </c>
      <c r="H1170" s="1929">
        <v>0.1</v>
      </c>
      <c r="I1170" s="1929">
        <v>29.1</v>
      </c>
      <c r="J1170" s="1929">
        <v>1330</v>
      </c>
      <c r="K1170" s="1929" t="s">
        <v>2967</v>
      </c>
    </row>
    <row r="1171" spans="1:11" hidden="1" x14ac:dyDescent="0.2">
      <c r="A1171" s="1929" t="s">
        <v>2966</v>
      </c>
      <c r="B1171" s="1929" t="s">
        <v>1238</v>
      </c>
      <c r="C1171" s="1929" t="s">
        <v>1241</v>
      </c>
      <c r="D1171" s="1929" t="s">
        <v>303</v>
      </c>
      <c r="E1171" s="1929" t="s">
        <v>58</v>
      </c>
      <c r="F1171" s="1929">
        <v>4.9000000000000004</v>
      </c>
      <c r="G1171" s="1929">
        <v>8.8000000000000007</v>
      </c>
      <c r="H1171" s="1929">
        <v>-2.6</v>
      </c>
      <c r="I1171" s="1929">
        <v>23.1</v>
      </c>
      <c r="J1171" s="1929">
        <v>1443</v>
      </c>
      <c r="K1171" s="1929" t="s">
        <v>2965</v>
      </c>
    </row>
    <row r="1172" spans="1:11" hidden="1" x14ac:dyDescent="0.2">
      <c r="A1172" s="1929" t="s">
        <v>2964</v>
      </c>
      <c r="B1172" s="1929" t="s">
        <v>1238</v>
      </c>
      <c r="C1172" s="1929" t="s">
        <v>1241</v>
      </c>
      <c r="D1172" s="1929" t="s">
        <v>303</v>
      </c>
      <c r="E1172" s="1929" t="s">
        <v>58</v>
      </c>
      <c r="F1172" s="1929">
        <v>2.9</v>
      </c>
      <c r="G1172" s="1929">
        <v>8.9</v>
      </c>
      <c r="H1172" s="1929">
        <v>-2</v>
      </c>
      <c r="I1172" s="1929">
        <v>21.5</v>
      </c>
      <c r="J1172" s="1929">
        <v>1470</v>
      </c>
      <c r="K1172" s="1929" t="s">
        <v>2963</v>
      </c>
    </row>
    <row r="1173" spans="1:11" hidden="1" x14ac:dyDescent="0.2">
      <c r="A1173" s="1929" t="s">
        <v>2962</v>
      </c>
      <c r="B1173" s="1929" t="s">
        <v>1269</v>
      </c>
      <c r="C1173" s="1929" t="s">
        <v>1340</v>
      </c>
      <c r="D1173" s="1929" t="s">
        <v>303</v>
      </c>
      <c r="E1173" s="1929" t="s">
        <v>58</v>
      </c>
      <c r="F1173" s="1929">
        <v>13.2</v>
      </c>
      <c r="G1173" s="1929">
        <v>3.6</v>
      </c>
      <c r="H1173" s="1929">
        <v>0.5</v>
      </c>
      <c r="I1173" s="1929">
        <v>8</v>
      </c>
      <c r="J1173" s="1929">
        <v>1489</v>
      </c>
      <c r="K1173" s="1929" t="s">
        <v>2961</v>
      </c>
    </row>
    <row r="1174" spans="1:11" hidden="1" x14ac:dyDescent="0.2">
      <c r="A1174" s="1929" t="s">
        <v>2960</v>
      </c>
      <c r="B1174" s="1929" t="s">
        <v>1310</v>
      </c>
      <c r="C1174" s="1929" t="s">
        <v>1379</v>
      </c>
      <c r="D1174" s="1929" t="s">
        <v>303</v>
      </c>
      <c r="E1174" s="1929" t="s">
        <v>58</v>
      </c>
      <c r="F1174" s="1929">
        <v>7.3</v>
      </c>
      <c r="G1174" s="1929">
        <v>1.7</v>
      </c>
      <c r="H1174" s="1929">
        <v>0.5</v>
      </c>
      <c r="I1174" s="1929">
        <v>9.9</v>
      </c>
      <c r="J1174" s="1929">
        <v>1573</v>
      </c>
      <c r="K1174" s="1929" t="s">
        <v>2959</v>
      </c>
    </row>
    <row r="1175" spans="1:11" hidden="1" x14ac:dyDescent="0.2">
      <c r="A1175" s="1929" t="s">
        <v>2958</v>
      </c>
      <c r="B1175" s="1929" t="s">
        <v>1306</v>
      </c>
      <c r="C1175" s="1929" t="s">
        <v>1392</v>
      </c>
      <c r="D1175" s="1929" t="s">
        <v>303</v>
      </c>
      <c r="E1175" s="1929" t="s">
        <v>58</v>
      </c>
      <c r="F1175" s="1929">
        <v>5.9</v>
      </c>
      <c r="G1175" s="1929">
        <v>13.1</v>
      </c>
      <c r="H1175" s="1929">
        <v>0.3</v>
      </c>
      <c r="I1175" s="1929">
        <v>4.5999999999999996</v>
      </c>
      <c r="J1175" s="1929">
        <v>1597</v>
      </c>
      <c r="K1175" s="1929" t="s">
        <v>2957</v>
      </c>
    </row>
    <row r="1176" spans="1:11" hidden="1" x14ac:dyDescent="0.2">
      <c r="A1176" s="1929" t="s">
        <v>2956</v>
      </c>
      <c r="B1176" s="1929" t="s">
        <v>1238</v>
      </c>
      <c r="C1176" s="1929" t="s">
        <v>1241</v>
      </c>
      <c r="D1176" s="1929" t="s">
        <v>303</v>
      </c>
      <c r="E1176" s="1929" t="s">
        <v>58</v>
      </c>
      <c r="F1176" s="1929">
        <v>4.4000000000000004</v>
      </c>
      <c r="G1176" s="1929">
        <v>4.9000000000000004</v>
      </c>
      <c r="H1176" s="1929">
        <v>0.4</v>
      </c>
      <c r="I1176" s="1929">
        <v>18.8</v>
      </c>
      <c r="J1176" s="1929">
        <v>1608</v>
      </c>
      <c r="K1176" s="1929" t="s">
        <v>2955</v>
      </c>
    </row>
    <row r="1177" spans="1:11" hidden="1" x14ac:dyDescent="0.2">
      <c r="A1177" s="1929" t="s">
        <v>2954</v>
      </c>
      <c r="B1177" s="1929" t="s">
        <v>1217</v>
      </c>
      <c r="C1177" s="1929" t="s">
        <v>1216</v>
      </c>
      <c r="D1177" s="1929" t="s">
        <v>303</v>
      </c>
      <c r="E1177" s="1929" t="s">
        <v>58</v>
      </c>
      <c r="F1177" s="1929">
        <v>1.8</v>
      </c>
      <c r="G1177" s="1929">
        <v>2</v>
      </c>
      <c r="H1177" s="1929">
        <v>0.1</v>
      </c>
      <c r="I1177" s="1929">
        <v>61.4</v>
      </c>
      <c r="J1177" s="1929">
        <v>1645</v>
      </c>
      <c r="K1177" s="1929" t="s">
        <v>2953</v>
      </c>
    </row>
    <row r="1178" spans="1:11" hidden="1" x14ac:dyDescent="0.2">
      <c r="A1178" s="1929" t="s">
        <v>2952</v>
      </c>
      <c r="B1178" s="1929" t="s">
        <v>1217</v>
      </c>
      <c r="C1178" s="1929" t="s">
        <v>1368</v>
      </c>
      <c r="D1178" s="1929" t="s">
        <v>303</v>
      </c>
      <c r="E1178" s="1929" t="s">
        <v>58</v>
      </c>
      <c r="F1178" s="1929">
        <v>3.4</v>
      </c>
      <c r="G1178" s="1929">
        <v>0.4</v>
      </c>
      <c r="H1178" s="1929">
        <v>0.2</v>
      </c>
      <c r="I1178" s="1929">
        <v>53.6</v>
      </c>
      <c r="J1178" s="1929">
        <v>1678</v>
      </c>
      <c r="K1178" s="1929" t="s">
        <v>2951</v>
      </c>
    </row>
    <row r="1179" spans="1:11" hidden="1" x14ac:dyDescent="0.2">
      <c r="A1179" s="1929" t="s">
        <v>2950</v>
      </c>
      <c r="B1179" s="1929" t="s">
        <v>1217</v>
      </c>
      <c r="C1179" s="1929" t="s">
        <v>1216</v>
      </c>
      <c r="D1179" s="1929" t="s">
        <v>303</v>
      </c>
      <c r="E1179" s="1929" t="s">
        <v>59</v>
      </c>
      <c r="F1179" s="1929">
        <v>58</v>
      </c>
      <c r="G1179" s="1929">
        <v>25.6</v>
      </c>
      <c r="H1179" s="1929">
        <v>4.0999999999999996</v>
      </c>
      <c r="I1179" s="1929">
        <v>868.7</v>
      </c>
      <c r="J1179" s="1929">
        <v>119</v>
      </c>
      <c r="K1179" s="1929" t="s">
        <v>2949</v>
      </c>
    </row>
    <row r="1180" spans="1:11" hidden="1" x14ac:dyDescent="0.2">
      <c r="A1180" s="1929" t="s">
        <v>2948</v>
      </c>
      <c r="B1180" s="1929" t="s">
        <v>1245</v>
      </c>
      <c r="C1180" s="1929" t="s">
        <v>1507</v>
      </c>
      <c r="D1180" s="1929" t="s">
        <v>303</v>
      </c>
      <c r="E1180" s="1929" t="s">
        <v>59</v>
      </c>
      <c r="F1180" s="1929">
        <v>43.5</v>
      </c>
      <c r="G1180" s="1929">
        <v>34.9</v>
      </c>
      <c r="H1180" s="1929">
        <v>1.8</v>
      </c>
      <c r="I1180" s="1929">
        <v>41.9</v>
      </c>
      <c r="J1180" s="1929">
        <v>235</v>
      </c>
      <c r="K1180" s="1929" t="s">
        <v>2947</v>
      </c>
    </row>
    <row r="1181" spans="1:11" hidden="1" x14ac:dyDescent="0.2">
      <c r="A1181" s="1929" t="s">
        <v>2946</v>
      </c>
      <c r="B1181" s="1929" t="s">
        <v>1217</v>
      </c>
      <c r="C1181" s="1929" t="s">
        <v>2291</v>
      </c>
      <c r="D1181" s="1929" t="s">
        <v>303</v>
      </c>
      <c r="E1181" s="1929" t="s">
        <v>59</v>
      </c>
      <c r="F1181" s="1929">
        <v>30.4</v>
      </c>
      <c r="G1181" s="1929">
        <v>11.9</v>
      </c>
      <c r="H1181" s="1929">
        <v>2.2999999999999998</v>
      </c>
      <c r="I1181" s="1929">
        <v>386.9</v>
      </c>
      <c r="J1181" s="1929">
        <v>259</v>
      </c>
      <c r="K1181" s="1929" t="s">
        <v>2945</v>
      </c>
    </row>
    <row r="1182" spans="1:11" hidden="1" x14ac:dyDescent="0.2">
      <c r="A1182" s="1929" t="s">
        <v>2944</v>
      </c>
      <c r="B1182" s="1929" t="s">
        <v>1217</v>
      </c>
      <c r="C1182" s="1929" t="s">
        <v>2291</v>
      </c>
      <c r="D1182" s="1929" t="s">
        <v>303</v>
      </c>
      <c r="E1182" s="1929" t="s">
        <v>59</v>
      </c>
      <c r="F1182" s="1929">
        <v>32.1</v>
      </c>
      <c r="G1182" s="1929">
        <v>10.1</v>
      </c>
      <c r="H1182" s="1929">
        <v>2.2000000000000002</v>
      </c>
      <c r="I1182" s="1929">
        <v>387.7</v>
      </c>
      <c r="J1182" s="1929">
        <v>289</v>
      </c>
      <c r="K1182" s="1929" t="s">
        <v>2943</v>
      </c>
    </row>
    <row r="1183" spans="1:11" hidden="1" x14ac:dyDescent="0.2">
      <c r="A1183" s="1929" t="s">
        <v>2942</v>
      </c>
      <c r="B1183" s="1929" t="s">
        <v>1217</v>
      </c>
      <c r="C1183" s="1929" t="s">
        <v>2291</v>
      </c>
      <c r="D1183" s="1929" t="s">
        <v>303</v>
      </c>
      <c r="E1183" s="1929" t="s">
        <v>59</v>
      </c>
      <c r="F1183" s="1929">
        <v>29.8</v>
      </c>
      <c r="G1183" s="1929">
        <v>10.7</v>
      </c>
      <c r="H1183" s="1929">
        <v>2</v>
      </c>
      <c r="I1183" s="1929">
        <v>283.5</v>
      </c>
      <c r="J1183" s="1929">
        <v>296</v>
      </c>
      <c r="K1183" s="1929" t="s">
        <v>2941</v>
      </c>
    </row>
    <row r="1184" spans="1:11" hidden="1" x14ac:dyDescent="0.2">
      <c r="A1184" s="1929" t="s">
        <v>2940</v>
      </c>
      <c r="B1184" s="1929" t="s">
        <v>1249</v>
      </c>
      <c r="C1184" s="1929" t="s">
        <v>1248</v>
      </c>
      <c r="D1184" s="1929" t="s">
        <v>303</v>
      </c>
      <c r="E1184" s="1929" t="s">
        <v>59</v>
      </c>
      <c r="F1184" s="1929">
        <v>32.9</v>
      </c>
      <c r="G1184" s="1929">
        <v>15.6</v>
      </c>
      <c r="H1184" s="1929">
        <v>2.2999999999999998</v>
      </c>
      <c r="I1184" s="1929">
        <v>39.4</v>
      </c>
      <c r="J1184" s="1929">
        <v>316</v>
      </c>
      <c r="K1184" s="1929" t="s">
        <v>2939</v>
      </c>
    </row>
    <row r="1185" spans="1:11" hidden="1" x14ac:dyDescent="0.2">
      <c r="A1185" s="1929" t="s">
        <v>2938</v>
      </c>
      <c r="B1185" s="1929" t="s">
        <v>1238</v>
      </c>
      <c r="C1185" s="1929" t="s">
        <v>1237</v>
      </c>
      <c r="D1185" s="1929" t="s">
        <v>303</v>
      </c>
      <c r="E1185" s="1929" t="s">
        <v>59</v>
      </c>
      <c r="F1185" s="1929">
        <v>34.700000000000003</v>
      </c>
      <c r="G1185" s="1929">
        <v>41.8</v>
      </c>
      <c r="H1185" s="1929">
        <v>0.6</v>
      </c>
      <c r="I1185" s="1929">
        <v>53.7</v>
      </c>
      <c r="J1185" s="1929">
        <v>352</v>
      </c>
      <c r="K1185" s="1929" t="s">
        <v>2937</v>
      </c>
    </row>
    <row r="1186" spans="1:11" hidden="1" x14ac:dyDescent="0.2">
      <c r="A1186" s="1929" t="s">
        <v>2936</v>
      </c>
      <c r="B1186" s="1929" t="s">
        <v>1217</v>
      </c>
      <c r="C1186" s="1929" t="s">
        <v>1368</v>
      </c>
      <c r="D1186" s="1929" t="s">
        <v>303</v>
      </c>
      <c r="E1186" s="1929" t="s">
        <v>59</v>
      </c>
      <c r="F1186" s="1929">
        <v>28.3</v>
      </c>
      <c r="G1186" s="1929">
        <v>9.5</v>
      </c>
      <c r="H1186" s="1929">
        <v>6.9</v>
      </c>
      <c r="I1186" s="1929">
        <v>41.6</v>
      </c>
      <c r="J1186" s="1929">
        <v>353</v>
      </c>
      <c r="K1186" s="1929" t="s">
        <v>2935</v>
      </c>
    </row>
    <row r="1187" spans="1:11" hidden="1" x14ac:dyDescent="0.2">
      <c r="A1187" s="1929" t="s">
        <v>2934</v>
      </c>
      <c r="B1187" s="1929" t="s">
        <v>1228</v>
      </c>
      <c r="C1187" s="1929" t="s">
        <v>1539</v>
      </c>
      <c r="D1187" s="1929" t="s">
        <v>303</v>
      </c>
      <c r="E1187" s="1929" t="s">
        <v>59</v>
      </c>
      <c r="F1187" s="1929">
        <v>70.900000000000006</v>
      </c>
      <c r="G1187" s="1929">
        <v>20.3</v>
      </c>
      <c r="H1187" s="1929">
        <v>2.7</v>
      </c>
      <c r="I1187" s="1929">
        <v>10.3</v>
      </c>
      <c r="J1187" s="1929">
        <v>449</v>
      </c>
      <c r="K1187" s="1929" t="s">
        <v>2933</v>
      </c>
    </row>
    <row r="1188" spans="1:11" hidden="1" x14ac:dyDescent="0.2">
      <c r="A1188" s="1929" t="s">
        <v>2932</v>
      </c>
      <c r="B1188" s="1929" t="s">
        <v>1238</v>
      </c>
      <c r="C1188" s="1929" t="s">
        <v>1609</v>
      </c>
      <c r="D1188" s="1929" t="s">
        <v>303</v>
      </c>
      <c r="E1188" s="1929" t="s">
        <v>59</v>
      </c>
      <c r="F1188" s="1929">
        <v>35.4</v>
      </c>
      <c r="G1188" s="1929">
        <v>12.9</v>
      </c>
      <c r="H1188" s="1929">
        <v>1.9</v>
      </c>
      <c r="I1188" s="1929">
        <v>13.7</v>
      </c>
      <c r="J1188" s="1929">
        <v>514</v>
      </c>
      <c r="K1188" s="1929" t="s">
        <v>2931</v>
      </c>
    </row>
    <row r="1189" spans="1:11" hidden="1" x14ac:dyDescent="0.2">
      <c r="A1189" s="1929" t="s">
        <v>2930</v>
      </c>
      <c r="B1189" s="1929" t="s">
        <v>1306</v>
      </c>
      <c r="C1189" s="1929" t="s">
        <v>1389</v>
      </c>
      <c r="D1189" s="1929" t="s">
        <v>303</v>
      </c>
      <c r="E1189" s="1929" t="s">
        <v>59</v>
      </c>
      <c r="F1189" s="1929">
        <v>20.8</v>
      </c>
      <c r="G1189" s="1929">
        <v>13.7</v>
      </c>
      <c r="H1189" s="1929">
        <v>0.9</v>
      </c>
      <c r="I1189" s="1929">
        <v>22.2</v>
      </c>
      <c r="J1189" s="1929">
        <v>541</v>
      </c>
      <c r="K1189" s="1929" t="s">
        <v>2929</v>
      </c>
    </row>
    <row r="1190" spans="1:11" hidden="1" x14ac:dyDescent="0.2">
      <c r="A1190" s="1929" t="s">
        <v>2928</v>
      </c>
      <c r="B1190" s="1929" t="s">
        <v>1238</v>
      </c>
      <c r="C1190" s="1929" t="s">
        <v>1609</v>
      </c>
      <c r="D1190" s="1929" t="s">
        <v>303</v>
      </c>
      <c r="E1190" s="1929" t="s">
        <v>59</v>
      </c>
      <c r="F1190" s="1929">
        <v>18</v>
      </c>
      <c r="G1190" s="1929">
        <v>13.4</v>
      </c>
      <c r="H1190" s="1929">
        <v>0.8</v>
      </c>
      <c r="I1190" s="1929">
        <v>14.6</v>
      </c>
      <c r="J1190" s="1929">
        <v>649</v>
      </c>
      <c r="K1190" s="1929" t="s">
        <v>2927</v>
      </c>
    </row>
    <row r="1191" spans="1:11" hidden="1" x14ac:dyDescent="0.2">
      <c r="A1191" s="1929" t="s">
        <v>2926</v>
      </c>
      <c r="B1191" s="1929" t="s">
        <v>1238</v>
      </c>
      <c r="C1191" s="1929" t="s">
        <v>1241</v>
      </c>
      <c r="D1191" s="1929" t="s">
        <v>303</v>
      </c>
      <c r="E1191" s="1929" t="s">
        <v>59</v>
      </c>
      <c r="F1191" s="1929">
        <v>9.6999999999999993</v>
      </c>
      <c r="G1191" s="1929">
        <v>21</v>
      </c>
      <c r="H1191" s="1929">
        <v>0.6</v>
      </c>
      <c r="I1191" s="1929">
        <v>13.6</v>
      </c>
      <c r="J1191" s="1929">
        <v>781</v>
      </c>
      <c r="K1191" s="1929" t="s">
        <v>2925</v>
      </c>
    </row>
    <row r="1192" spans="1:11" hidden="1" x14ac:dyDescent="0.2">
      <c r="A1192" s="1929" t="s">
        <v>2924</v>
      </c>
      <c r="B1192" s="1929" t="s">
        <v>1238</v>
      </c>
      <c r="C1192" s="1929" t="s">
        <v>1609</v>
      </c>
      <c r="D1192" s="1929" t="s">
        <v>303</v>
      </c>
      <c r="E1192" s="1929" t="s">
        <v>59</v>
      </c>
      <c r="F1192" s="1929">
        <v>20</v>
      </c>
      <c r="G1192" s="1929">
        <v>7.4</v>
      </c>
      <c r="H1192" s="1929">
        <v>0.7</v>
      </c>
      <c r="I1192" s="1929">
        <v>10.199999999999999</v>
      </c>
      <c r="J1192" s="1929">
        <v>864</v>
      </c>
      <c r="K1192" s="1929" t="s">
        <v>2923</v>
      </c>
    </row>
    <row r="1193" spans="1:11" hidden="1" x14ac:dyDescent="0.2">
      <c r="A1193" s="1929" t="s">
        <v>2922</v>
      </c>
      <c r="B1193" s="1929" t="s">
        <v>1228</v>
      </c>
      <c r="C1193" s="1929" t="s">
        <v>1408</v>
      </c>
      <c r="D1193" s="1929" t="s">
        <v>303</v>
      </c>
      <c r="E1193" s="1929" t="s">
        <v>59</v>
      </c>
      <c r="F1193" s="1929">
        <v>7.4</v>
      </c>
      <c r="G1193" s="1929">
        <v>11.9</v>
      </c>
      <c r="H1193" s="1929">
        <v>1.6</v>
      </c>
      <c r="I1193" s="1929">
        <v>10.7</v>
      </c>
      <c r="J1193" s="1929">
        <v>870</v>
      </c>
      <c r="K1193" s="1929" t="s">
        <v>2921</v>
      </c>
    </row>
    <row r="1194" spans="1:11" hidden="1" x14ac:dyDescent="0.2">
      <c r="A1194" s="1929" t="s">
        <v>2920</v>
      </c>
      <c r="B1194" s="1929" t="s">
        <v>1217</v>
      </c>
      <c r="C1194" s="1929" t="s">
        <v>1368</v>
      </c>
      <c r="D1194" s="1929" t="s">
        <v>303</v>
      </c>
      <c r="E1194" s="1929" t="s">
        <v>59</v>
      </c>
      <c r="F1194" s="1929">
        <v>8</v>
      </c>
      <c r="G1194" s="1929">
        <v>1.8</v>
      </c>
      <c r="H1194" s="1929">
        <v>1.9</v>
      </c>
      <c r="I1194" s="1929">
        <v>12.4</v>
      </c>
      <c r="J1194" s="1929">
        <v>1118</v>
      </c>
      <c r="K1194" s="1929" t="s">
        <v>2919</v>
      </c>
    </row>
    <row r="1195" spans="1:11" hidden="1" x14ac:dyDescent="0.2">
      <c r="A1195" s="1929" t="s">
        <v>2918</v>
      </c>
      <c r="B1195" s="1929" t="s">
        <v>1217</v>
      </c>
      <c r="C1195" s="1929" t="s">
        <v>1368</v>
      </c>
      <c r="D1195" s="1929" t="s">
        <v>303</v>
      </c>
      <c r="E1195" s="1929" t="s">
        <v>59</v>
      </c>
      <c r="F1195" s="1929">
        <v>10.199999999999999</v>
      </c>
      <c r="G1195" s="1929">
        <v>0.2</v>
      </c>
      <c r="H1195" s="1929">
        <v>1.3</v>
      </c>
      <c r="I1195" s="1929">
        <v>10.5</v>
      </c>
      <c r="J1195" s="1929">
        <v>1137</v>
      </c>
      <c r="K1195" s="1929" t="s">
        <v>2917</v>
      </c>
    </row>
    <row r="1196" spans="1:11" hidden="1" x14ac:dyDescent="0.2">
      <c r="A1196" s="1929" t="s">
        <v>2916</v>
      </c>
      <c r="B1196" s="1929" t="s">
        <v>1228</v>
      </c>
      <c r="C1196" s="1929" t="s">
        <v>1334</v>
      </c>
      <c r="D1196" s="1929" t="s">
        <v>303</v>
      </c>
      <c r="E1196" s="1929" t="s">
        <v>59</v>
      </c>
      <c r="F1196" s="1929">
        <v>9.5</v>
      </c>
      <c r="G1196" s="1929">
        <v>8.8000000000000007</v>
      </c>
      <c r="H1196" s="1929">
        <v>0.5</v>
      </c>
      <c r="I1196" s="1929">
        <v>7</v>
      </c>
      <c r="J1196" s="1929">
        <v>1176</v>
      </c>
      <c r="K1196" s="1929" t="s">
        <v>2915</v>
      </c>
    </row>
    <row r="1197" spans="1:11" hidden="1" x14ac:dyDescent="0.2">
      <c r="A1197" s="1929" t="s">
        <v>2914</v>
      </c>
      <c r="B1197" s="1929" t="s">
        <v>1238</v>
      </c>
      <c r="C1197" s="1929" t="s">
        <v>1609</v>
      </c>
      <c r="D1197" s="1929" t="s">
        <v>303</v>
      </c>
      <c r="E1197" s="1929" t="s">
        <v>59</v>
      </c>
      <c r="F1197" s="1929">
        <v>11.7</v>
      </c>
      <c r="G1197" s="1929">
        <v>9.8000000000000007</v>
      </c>
      <c r="H1197" s="1929">
        <v>0.1</v>
      </c>
      <c r="I1197" s="1929">
        <v>11.1</v>
      </c>
      <c r="J1197" s="1929">
        <v>1264</v>
      </c>
      <c r="K1197" s="1929" t="s">
        <v>2913</v>
      </c>
    </row>
    <row r="1198" spans="1:11" hidden="1" x14ac:dyDescent="0.2">
      <c r="A1198" s="1929" t="s">
        <v>2912</v>
      </c>
      <c r="B1198" s="1929" t="s">
        <v>1228</v>
      </c>
      <c r="C1198" s="1929" t="s">
        <v>2023</v>
      </c>
      <c r="D1198" s="1929" t="s">
        <v>303</v>
      </c>
      <c r="E1198" s="1929" t="s">
        <v>59</v>
      </c>
      <c r="F1198" s="1929">
        <v>6.3</v>
      </c>
      <c r="G1198" s="1929">
        <v>16.8</v>
      </c>
      <c r="H1198" s="1929">
        <v>0.1</v>
      </c>
      <c r="I1198" s="1929">
        <v>11.8</v>
      </c>
      <c r="J1198" s="1929">
        <v>1351</v>
      </c>
      <c r="K1198" s="1929" t="s">
        <v>2911</v>
      </c>
    </row>
    <row r="1199" spans="1:11" hidden="1" x14ac:dyDescent="0.2">
      <c r="A1199" s="1929" t="s">
        <v>2910</v>
      </c>
      <c r="B1199" s="1929" t="s">
        <v>1249</v>
      </c>
      <c r="C1199" s="1929" t="s">
        <v>1248</v>
      </c>
      <c r="D1199" s="1929" t="s">
        <v>303</v>
      </c>
      <c r="E1199" s="1929" t="s">
        <v>59</v>
      </c>
      <c r="F1199" s="1929">
        <v>5.5</v>
      </c>
      <c r="G1199" s="1929">
        <v>4.5999999999999996</v>
      </c>
      <c r="H1199" s="1929">
        <v>2.2000000000000002</v>
      </c>
      <c r="I1199" s="1929">
        <v>6.2</v>
      </c>
      <c r="J1199" s="1929">
        <v>1416</v>
      </c>
      <c r="K1199" s="1929" t="s">
        <v>2909</v>
      </c>
    </row>
    <row r="1200" spans="1:11" hidden="1" x14ac:dyDescent="0.2">
      <c r="A1200" s="1929" t="s">
        <v>2908</v>
      </c>
      <c r="B1200" s="1929" t="s">
        <v>1238</v>
      </c>
      <c r="C1200" s="1929" t="s">
        <v>1609</v>
      </c>
      <c r="D1200" s="1929" t="s">
        <v>303</v>
      </c>
      <c r="E1200" s="1929" t="s">
        <v>59</v>
      </c>
      <c r="F1200" s="1929">
        <v>11.5</v>
      </c>
      <c r="G1200" s="1929">
        <v>4.5999999999999996</v>
      </c>
      <c r="H1200" s="1929">
        <v>0.5</v>
      </c>
      <c r="I1200" s="1929">
        <v>5.4</v>
      </c>
      <c r="J1200" s="1929">
        <v>1456</v>
      </c>
      <c r="K1200" s="1929" t="s">
        <v>2907</v>
      </c>
    </row>
    <row r="1201" spans="1:11" hidden="1" x14ac:dyDescent="0.2">
      <c r="A1201" s="1929" t="s">
        <v>2906</v>
      </c>
      <c r="B1201" s="1929" t="s">
        <v>1238</v>
      </c>
      <c r="C1201" s="1929" t="s">
        <v>1609</v>
      </c>
      <c r="D1201" s="1929" t="s">
        <v>303</v>
      </c>
      <c r="E1201" s="1929" t="s">
        <v>59</v>
      </c>
      <c r="F1201" s="1929">
        <v>12.3</v>
      </c>
      <c r="G1201" s="1929">
        <v>3.2</v>
      </c>
      <c r="H1201" s="1929">
        <v>0.5</v>
      </c>
      <c r="I1201" s="1929">
        <v>7.5</v>
      </c>
      <c r="J1201" s="1929">
        <v>1486</v>
      </c>
      <c r="K1201" s="1929" t="s">
        <v>2905</v>
      </c>
    </row>
    <row r="1202" spans="1:11" hidden="1" x14ac:dyDescent="0.2">
      <c r="A1202" s="1929" t="s">
        <v>2904</v>
      </c>
      <c r="B1202" s="1929" t="s">
        <v>1217</v>
      </c>
      <c r="C1202" s="1929" t="s">
        <v>1456</v>
      </c>
      <c r="D1202" s="1929" t="s">
        <v>303</v>
      </c>
      <c r="E1202" s="1929" t="s">
        <v>59</v>
      </c>
      <c r="F1202" s="1929">
        <v>5.9</v>
      </c>
      <c r="G1202" s="1929">
        <v>3.1</v>
      </c>
      <c r="H1202" s="1929">
        <v>0.5</v>
      </c>
      <c r="I1202" s="1929">
        <v>15</v>
      </c>
      <c r="J1202" s="1929">
        <v>1566</v>
      </c>
      <c r="K1202" s="1929" t="s">
        <v>2903</v>
      </c>
    </row>
    <row r="1203" spans="1:11" hidden="1" x14ac:dyDescent="0.2">
      <c r="A1203" s="1929" t="s">
        <v>2902</v>
      </c>
      <c r="B1203" s="1929" t="s">
        <v>1228</v>
      </c>
      <c r="C1203" s="1929" t="s">
        <v>1227</v>
      </c>
      <c r="D1203" s="1929" t="s">
        <v>303</v>
      </c>
      <c r="E1203" s="1929" t="s">
        <v>59</v>
      </c>
      <c r="F1203" s="1929">
        <v>4.3</v>
      </c>
      <c r="G1203" s="1929">
        <v>10.1</v>
      </c>
      <c r="H1203" s="1929">
        <v>0.3</v>
      </c>
      <c r="I1203" s="1929">
        <v>5.8</v>
      </c>
      <c r="J1203" s="1929">
        <v>1920</v>
      </c>
      <c r="K1203" s="1929" t="s">
        <v>2901</v>
      </c>
    </row>
    <row r="1204" spans="1:11" hidden="1" x14ac:dyDescent="0.2">
      <c r="A1204" s="1929" t="s">
        <v>2900</v>
      </c>
      <c r="B1204" s="1929" t="s">
        <v>1238</v>
      </c>
      <c r="C1204" s="1929" t="s">
        <v>1241</v>
      </c>
      <c r="D1204" s="1929" t="s">
        <v>303</v>
      </c>
      <c r="E1204" s="1929" t="s">
        <v>59</v>
      </c>
      <c r="F1204" s="1929">
        <v>4</v>
      </c>
      <c r="G1204" s="1929">
        <v>8.9</v>
      </c>
      <c r="H1204" s="1929">
        <v>0.3</v>
      </c>
      <c r="I1204" s="1929">
        <v>6</v>
      </c>
      <c r="J1204" s="1929">
        <v>1939</v>
      </c>
      <c r="K1204" s="1929" t="s">
        <v>2899</v>
      </c>
    </row>
    <row r="1205" spans="1:11" hidden="1" x14ac:dyDescent="0.2">
      <c r="A1205" s="1929" t="s">
        <v>2898</v>
      </c>
      <c r="B1205" s="1929" t="s">
        <v>1306</v>
      </c>
      <c r="C1205" s="1929" t="s">
        <v>1305</v>
      </c>
      <c r="D1205" s="1929" t="s">
        <v>303</v>
      </c>
      <c r="E1205" s="1929" t="s">
        <v>60</v>
      </c>
      <c r="F1205" s="1929">
        <v>239.6</v>
      </c>
      <c r="G1205" s="1929">
        <v>99.4</v>
      </c>
      <c r="H1205" s="1929">
        <v>10.8</v>
      </c>
      <c r="I1205" s="1929">
        <v>135.4</v>
      </c>
      <c r="J1205" s="1929">
        <v>36</v>
      </c>
      <c r="K1205" s="1929" t="s">
        <v>2897</v>
      </c>
    </row>
    <row r="1206" spans="1:11" hidden="1" x14ac:dyDescent="0.2">
      <c r="A1206" s="1929" t="s">
        <v>2896</v>
      </c>
      <c r="B1206" s="1929" t="s">
        <v>1269</v>
      </c>
      <c r="C1206" s="1929" t="s">
        <v>1504</v>
      </c>
      <c r="D1206" s="1929" t="s">
        <v>303</v>
      </c>
      <c r="E1206" s="1929" t="s">
        <v>60</v>
      </c>
      <c r="F1206" s="1929">
        <v>227.4</v>
      </c>
      <c r="G1206" s="1929">
        <v>57.9</v>
      </c>
      <c r="H1206" s="1929">
        <v>9.1999999999999993</v>
      </c>
      <c r="I1206" s="1929">
        <v>126.3</v>
      </c>
      <c r="J1206" s="1929">
        <v>54</v>
      </c>
      <c r="K1206" s="1929" t="s">
        <v>2895</v>
      </c>
    </row>
    <row r="1207" spans="1:11" hidden="1" x14ac:dyDescent="0.2">
      <c r="A1207" s="1929" t="s">
        <v>2894</v>
      </c>
      <c r="B1207" s="1929" t="s">
        <v>1217</v>
      </c>
      <c r="C1207" s="1929" t="s">
        <v>1368</v>
      </c>
      <c r="D1207" s="1929" t="s">
        <v>303</v>
      </c>
      <c r="E1207" s="1929" t="s">
        <v>60</v>
      </c>
      <c r="F1207" s="1929">
        <v>81</v>
      </c>
      <c r="G1207" s="1929">
        <v>39.700000000000003</v>
      </c>
      <c r="H1207" s="1929">
        <v>3.4</v>
      </c>
      <c r="I1207" s="1929">
        <v>1135.5</v>
      </c>
      <c r="J1207" s="1929">
        <v>79</v>
      </c>
      <c r="K1207" s="1929" t="s">
        <v>2893</v>
      </c>
    </row>
    <row r="1208" spans="1:11" hidden="1" x14ac:dyDescent="0.2">
      <c r="A1208" s="1929" t="s">
        <v>2892</v>
      </c>
      <c r="B1208" s="1929" t="s">
        <v>1217</v>
      </c>
      <c r="C1208" s="1929" t="s">
        <v>1252</v>
      </c>
      <c r="D1208" s="1929" t="s">
        <v>303</v>
      </c>
      <c r="E1208" s="1929" t="s">
        <v>60</v>
      </c>
      <c r="F1208" s="1929">
        <v>45.8</v>
      </c>
      <c r="G1208" s="1929">
        <v>71.900000000000006</v>
      </c>
      <c r="H1208" s="1929">
        <v>4</v>
      </c>
      <c r="I1208" s="1929">
        <v>397.1</v>
      </c>
      <c r="J1208" s="1929">
        <v>84</v>
      </c>
      <c r="K1208" s="1929" t="s">
        <v>2891</v>
      </c>
    </row>
    <row r="1209" spans="1:11" hidden="1" x14ac:dyDescent="0.2">
      <c r="A1209" s="1929" t="s">
        <v>2890</v>
      </c>
      <c r="B1209" s="1929" t="s">
        <v>1269</v>
      </c>
      <c r="C1209" s="1929" t="s">
        <v>1504</v>
      </c>
      <c r="D1209" s="1929" t="s">
        <v>303</v>
      </c>
      <c r="E1209" s="1929" t="s">
        <v>60</v>
      </c>
      <c r="F1209" s="1929">
        <v>253.7</v>
      </c>
      <c r="G1209" s="1929">
        <v>50.5</v>
      </c>
      <c r="H1209" s="1929">
        <v>12</v>
      </c>
      <c r="I1209" s="1929">
        <v>69.900000000000006</v>
      </c>
      <c r="J1209" s="1929">
        <v>90</v>
      </c>
      <c r="K1209" s="1929" t="s">
        <v>2889</v>
      </c>
    </row>
    <row r="1210" spans="1:11" hidden="1" x14ac:dyDescent="0.2">
      <c r="A1210" s="1929" t="s">
        <v>2888</v>
      </c>
      <c r="B1210" s="1929" t="s">
        <v>1217</v>
      </c>
      <c r="C1210" s="1929" t="s">
        <v>1368</v>
      </c>
      <c r="D1210" s="1929" t="s">
        <v>303</v>
      </c>
      <c r="E1210" s="1929" t="s">
        <v>60</v>
      </c>
      <c r="F1210" s="1929">
        <v>52.3</v>
      </c>
      <c r="G1210" s="1929">
        <v>39.5</v>
      </c>
      <c r="H1210" s="1929">
        <v>2.8</v>
      </c>
      <c r="I1210" s="1929">
        <v>981.2</v>
      </c>
      <c r="J1210" s="1929">
        <v>112</v>
      </c>
      <c r="K1210" s="1929" t="s">
        <v>2887</v>
      </c>
    </row>
    <row r="1211" spans="1:11" hidden="1" x14ac:dyDescent="0.2">
      <c r="A1211" s="1929" t="s">
        <v>2886</v>
      </c>
      <c r="B1211" s="1929" t="s">
        <v>1217</v>
      </c>
      <c r="C1211" s="1929" t="s">
        <v>1252</v>
      </c>
      <c r="D1211" s="1929" t="s">
        <v>303</v>
      </c>
      <c r="E1211" s="1929" t="s">
        <v>60</v>
      </c>
      <c r="F1211" s="1929">
        <v>34.700000000000003</v>
      </c>
      <c r="G1211" s="1929">
        <v>36.799999999999997</v>
      </c>
      <c r="H1211" s="1929">
        <v>4.4000000000000004</v>
      </c>
      <c r="I1211" s="1929">
        <v>205.2</v>
      </c>
      <c r="J1211" s="1929">
        <v>132</v>
      </c>
      <c r="K1211" s="1929" t="s">
        <v>2885</v>
      </c>
    </row>
    <row r="1212" spans="1:11" hidden="1" x14ac:dyDescent="0.2">
      <c r="A1212" s="1929" t="s">
        <v>2884</v>
      </c>
      <c r="B1212" s="1929" t="s">
        <v>1238</v>
      </c>
      <c r="C1212" s="1929" t="s">
        <v>1878</v>
      </c>
      <c r="D1212" s="1929" t="s">
        <v>303</v>
      </c>
      <c r="E1212" s="1929" t="s">
        <v>60</v>
      </c>
      <c r="F1212" s="1929">
        <v>60</v>
      </c>
      <c r="G1212" s="1929">
        <v>41.8</v>
      </c>
      <c r="H1212" s="1929">
        <v>2.8</v>
      </c>
      <c r="I1212" s="1929">
        <v>48.4</v>
      </c>
      <c r="J1212" s="1929">
        <v>169</v>
      </c>
      <c r="K1212" s="1929" t="s">
        <v>2883</v>
      </c>
    </row>
    <row r="1213" spans="1:11" hidden="1" x14ac:dyDescent="0.2">
      <c r="A1213" s="1929" t="s">
        <v>2882</v>
      </c>
      <c r="B1213" s="1929" t="s">
        <v>1217</v>
      </c>
      <c r="C1213" s="1929" t="s">
        <v>1252</v>
      </c>
      <c r="D1213" s="1929" t="s">
        <v>303</v>
      </c>
      <c r="E1213" s="1929" t="s">
        <v>60</v>
      </c>
      <c r="F1213" s="1929">
        <v>33.4</v>
      </c>
      <c r="G1213" s="1929">
        <v>18.899999999999999</v>
      </c>
      <c r="H1213" s="1929">
        <v>3.8</v>
      </c>
      <c r="I1213" s="1929">
        <v>96.3</v>
      </c>
      <c r="J1213" s="1929">
        <v>201</v>
      </c>
      <c r="K1213" s="1929" t="s">
        <v>2881</v>
      </c>
    </row>
    <row r="1214" spans="1:11" hidden="1" x14ac:dyDescent="0.2">
      <c r="A1214" s="1929" t="s">
        <v>2880</v>
      </c>
      <c r="B1214" s="1929" t="s">
        <v>1234</v>
      </c>
      <c r="C1214" s="1929" t="s">
        <v>1476</v>
      </c>
      <c r="D1214" s="1929" t="s">
        <v>303</v>
      </c>
      <c r="E1214" s="1929" t="s">
        <v>60</v>
      </c>
      <c r="F1214" s="1929">
        <v>27.3</v>
      </c>
      <c r="G1214" s="1929">
        <v>21.3</v>
      </c>
      <c r="H1214" s="1929">
        <v>1.4</v>
      </c>
      <c r="I1214" s="1929">
        <v>42.7</v>
      </c>
      <c r="J1214" s="1929">
        <v>328</v>
      </c>
      <c r="K1214" s="1929" t="s">
        <v>2879</v>
      </c>
    </row>
    <row r="1215" spans="1:11" hidden="1" x14ac:dyDescent="0.2">
      <c r="A1215" s="1929" t="s">
        <v>2878</v>
      </c>
      <c r="B1215" s="1929" t="s">
        <v>1228</v>
      </c>
      <c r="C1215" s="1929" t="s">
        <v>1297</v>
      </c>
      <c r="D1215" s="1929" t="s">
        <v>303</v>
      </c>
      <c r="E1215" s="1929" t="s">
        <v>60</v>
      </c>
      <c r="F1215" s="1929">
        <v>54.3</v>
      </c>
      <c r="G1215" s="1929">
        <v>13.6</v>
      </c>
      <c r="H1215" s="1929">
        <v>2.8</v>
      </c>
      <c r="I1215" s="1929">
        <v>21.1</v>
      </c>
      <c r="J1215" s="1929">
        <v>371</v>
      </c>
      <c r="K1215" s="1929" t="s">
        <v>2877</v>
      </c>
    </row>
    <row r="1216" spans="1:11" hidden="1" x14ac:dyDescent="0.2">
      <c r="A1216" s="1929" t="s">
        <v>2876</v>
      </c>
      <c r="B1216" s="1929" t="s">
        <v>1234</v>
      </c>
      <c r="C1216" s="1929" t="s">
        <v>1337</v>
      </c>
      <c r="D1216" s="1929" t="s">
        <v>303</v>
      </c>
      <c r="E1216" s="1929" t="s">
        <v>60</v>
      </c>
      <c r="F1216" s="1929">
        <v>67.5</v>
      </c>
      <c r="G1216" s="1929">
        <v>232.6</v>
      </c>
      <c r="H1216" s="1929">
        <v>-7.5</v>
      </c>
      <c r="I1216" s="1929">
        <v>154.9</v>
      </c>
      <c r="J1216" s="1929">
        <v>406</v>
      </c>
      <c r="K1216" s="1929" t="s">
        <v>2875</v>
      </c>
    </row>
    <row r="1217" spans="1:11" hidden="1" x14ac:dyDescent="0.2">
      <c r="A1217" s="1929" t="s">
        <v>2874</v>
      </c>
      <c r="B1217" s="1929" t="s">
        <v>1234</v>
      </c>
      <c r="C1217" s="1929" t="s">
        <v>1233</v>
      </c>
      <c r="D1217" s="1929" t="s">
        <v>303</v>
      </c>
      <c r="E1217" s="1929" t="s">
        <v>60</v>
      </c>
      <c r="F1217" s="1929">
        <v>34.6</v>
      </c>
      <c r="G1217" s="1929">
        <v>14.7</v>
      </c>
      <c r="H1217" s="1929">
        <v>1.7</v>
      </c>
      <c r="I1217" s="1929">
        <v>20.2</v>
      </c>
      <c r="J1217" s="1929">
        <v>419</v>
      </c>
      <c r="K1217" s="1929" t="s">
        <v>2873</v>
      </c>
    </row>
    <row r="1218" spans="1:11" hidden="1" x14ac:dyDescent="0.2">
      <c r="A1218" s="1929" t="s">
        <v>2872</v>
      </c>
      <c r="B1218" s="1929" t="s">
        <v>1249</v>
      </c>
      <c r="C1218" s="1929" t="s">
        <v>1248</v>
      </c>
      <c r="D1218" s="1929" t="s">
        <v>303</v>
      </c>
      <c r="E1218" s="1929" t="s">
        <v>60</v>
      </c>
      <c r="F1218" s="1929">
        <v>31.3</v>
      </c>
      <c r="G1218" s="1929">
        <v>12.3</v>
      </c>
      <c r="H1218" s="1929">
        <v>1.8</v>
      </c>
      <c r="I1218" s="1929">
        <v>23</v>
      </c>
      <c r="J1218" s="1929">
        <v>427</v>
      </c>
      <c r="K1218" s="1929" t="s">
        <v>2871</v>
      </c>
    </row>
    <row r="1219" spans="1:11" hidden="1" x14ac:dyDescent="0.2">
      <c r="A1219" s="1929" t="s">
        <v>2870</v>
      </c>
      <c r="B1219" s="1929" t="s">
        <v>1217</v>
      </c>
      <c r="C1219" s="1929" t="s">
        <v>1302</v>
      </c>
      <c r="D1219" s="1929" t="s">
        <v>303</v>
      </c>
      <c r="E1219" s="1929" t="s">
        <v>60</v>
      </c>
      <c r="F1219" s="1929">
        <v>7.9</v>
      </c>
      <c r="G1219" s="1929">
        <v>20.2</v>
      </c>
      <c r="H1219" s="1929">
        <v>0.8</v>
      </c>
      <c r="I1219" s="1929">
        <v>191.3</v>
      </c>
      <c r="J1219" s="1929">
        <v>480</v>
      </c>
      <c r="K1219" s="1929" t="s">
        <v>2869</v>
      </c>
    </row>
    <row r="1220" spans="1:11" hidden="1" x14ac:dyDescent="0.2">
      <c r="A1220" s="1929" t="s">
        <v>2868</v>
      </c>
      <c r="B1220" s="1929" t="s">
        <v>1245</v>
      </c>
      <c r="C1220" s="1929" t="s">
        <v>1429</v>
      </c>
      <c r="D1220" s="1929" t="s">
        <v>303</v>
      </c>
      <c r="E1220" s="1929" t="s">
        <v>60</v>
      </c>
      <c r="F1220" s="1929">
        <v>24.7</v>
      </c>
      <c r="G1220" s="1929">
        <v>13.5</v>
      </c>
      <c r="H1220" s="1929">
        <v>1.4</v>
      </c>
      <c r="I1220" s="1929">
        <v>18.399999999999999</v>
      </c>
      <c r="J1220" s="1929">
        <v>498</v>
      </c>
      <c r="K1220" s="1929" t="s">
        <v>2867</v>
      </c>
    </row>
    <row r="1221" spans="1:11" hidden="1" x14ac:dyDescent="0.2">
      <c r="A1221" s="1929" t="s">
        <v>2866</v>
      </c>
      <c r="B1221" s="1929" t="s">
        <v>1258</v>
      </c>
      <c r="C1221" s="1929" t="s">
        <v>1257</v>
      </c>
      <c r="D1221" s="1929" t="s">
        <v>303</v>
      </c>
      <c r="E1221" s="1929" t="s">
        <v>60</v>
      </c>
      <c r="F1221" s="1929">
        <v>14.9</v>
      </c>
      <c r="G1221" s="1929">
        <v>9.5</v>
      </c>
      <c r="H1221" s="1929">
        <v>1.4</v>
      </c>
      <c r="I1221" s="1929">
        <v>32.5</v>
      </c>
      <c r="J1221" s="1929">
        <v>549</v>
      </c>
      <c r="K1221" s="1929" t="s">
        <v>2865</v>
      </c>
    </row>
    <row r="1222" spans="1:11" hidden="1" x14ac:dyDescent="0.2">
      <c r="A1222" s="1929" t="s">
        <v>2864</v>
      </c>
      <c r="B1222" s="1929" t="s">
        <v>1228</v>
      </c>
      <c r="C1222" s="1929" t="s">
        <v>1276</v>
      </c>
      <c r="D1222" s="1929" t="s">
        <v>303</v>
      </c>
      <c r="E1222" s="1929" t="s">
        <v>60</v>
      </c>
      <c r="F1222" s="1929">
        <v>33.6</v>
      </c>
      <c r="G1222" s="1929">
        <v>9.1</v>
      </c>
      <c r="H1222" s="1929">
        <v>2.1</v>
      </c>
      <c r="I1222" s="1929">
        <v>11.3</v>
      </c>
      <c r="J1222" s="1929">
        <v>606</v>
      </c>
      <c r="K1222" s="1929" t="s">
        <v>2863</v>
      </c>
    </row>
    <row r="1223" spans="1:11" hidden="1" x14ac:dyDescent="0.2">
      <c r="A1223" s="1929" t="s">
        <v>2862</v>
      </c>
      <c r="B1223" s="1929" t="s">
        <v>1228</v>
      </c>
      <c r="C1223" s="1929" t="s">
        <v>1227</v>
      </c>
      <c r="D1223" s="1929" t="s">
        <v>303</v>
      </c>
      <c r="E1223" s="1929" t="s">
        <v>60</v>
      </c>
      <c r="F1223" s="1929">
        <v>16</v>
      </c>
      <c r="G1223" s="1929">
        <v>25.9</v>
      </c>
      <c r="H1223" s="1929">
        <v>0.7</v>
      </c>
      <c r="I1223" s="1929">
        <v>12.7</v>
      </c>
      <c r="J1223" s="1929">
        <v>627</v>
      </c>
      <c r="K1223" s="1929" t="s">
        <v>2861</v>
      </c>
    </row>
    <row r="1224" spans="1:11" hidden="1" x14ac:dyDescent="0.2">
      <c r="A1224" s="1929" t="s">
        <v>2860</v>
      </c>
      <c r="B1224" s="1929" t="s">
        <v>1234</v>
      </c>
      <c r="C1224" s="1929" t="s">
        <v>1476</v>
      </c>
      <c r="D1224" s="1929" t="s">
        <v>303</v>
      </c>
      <c r="E1224" s="1929" t="s">
        <v>60</v>
      </c>
      <c r="F1224" s="1929">
        <v>15.2</v>
      </c>
      <c r="G1224" s="1929">
        <v>21</v>
      </c>
      <c r="H1224" s="1929">
        <v>0.6</v>
      </c>
      <c r="I1224" s="1929">
        <v>10.9</v>
      </c>
      <c r="J1224" s="1929">
        <v>731</v>
      </c>
      <c r="K1224" s="1929" t="s">
        <v>2859</v>
      </c>
    </row>
    <row r="1225" spans="1:11" hidden="1" x14ac:dyDescent="0.2">
      <c r="A1225" s="1929" t="s">
        <v>2858</v>
      </c>
      <c r="B1225" s="1929" t="s">
        <v>1238</v>
      </c>
      <c r="C1225" s="1929" t="s">
        <v>2461</v>
      </c>
      <c r="D1225" s="1929" t="s">
        <v>303</v>
      </c>
      <c r="E1225" s="1929" t="s">
        <v>60</v>
      </c>
      <c r="F1225" s="1929">
        <v>19.8</v>
      </c>
      <c r="G1225" s="1929">
        <v>10.7</v>
      </c>
      <c r="H1225" s="1929">
        <v>0.6</v>
      </c>
      <c r="I1225" s="1929">
        <v>12</v>
      </c>
      <c r="J1225" s="1929">
        <v>778</v>
      </c>
      <c r="K1225" s="1929" t="s">
        <v>2857</v>
      </c>
    </row>
    <row r="1226" spans="1:11" hidden="1" x14ac:dyDescent="0.2">
      <c r="A1226" s="1929" t="s">
        <v>2856</v>
      </c>
      <c r="B1226" s="1929" t="s">
        <v>1238</v>
      </c>
      <c r="C1226" s="1929" t="s">
        <v>1700</v>
      </c>
      <c r="D1226" s="1929" t="s">
        <v>303</v>
      </c>
      <c r="E1226" s="1929" t="s">
        <v>60</v>
      </c>
      <c r="F1226" s="1929">
        <v>16.899999999999999</v>
      </c>
      <c r="G1226" s="1929">
        <v>22.6</v>
      </c>
      <c r="H1226" s="1929">
        <v>0.6</v>
      </c>
      <c r="I1226" s="1929">
        <v>6.9</v>
      </c>
      <c r="J1226" s="1929">
        <v>785</v>
      </c>
      <c r="K1226" s="1929" t="s">
        <v>2855</v>
      </c>
    </row>
    <row r="1227" spans="1:11" hidden="1" x14ac:dyDescent="0.2">
      <c r="A1227" s="1929" t="s">
        <v>2854</v>
      </c>
      <c r="B1227" s="1929" t="s">
        <v>1217</v>
      </c>
      <c r="C1227" s="1929" t="s">
        <v>1252</v>
      </c>
      <c r="D1227" s="1929" t="s">
        <v>303</v>
      </c>
      <c r="E1227" s="1929" t="s">
        <v>60</v>
      </c>
      <c r="F1227" s="1929">
        <v>6</v>
      </c>
      <c r="G1227" s="1929">
        <v>10.4</v>
      </c>
      <c r="H1227" s="1929">
        <v>0.5</v>
      </c>
      <c r="I1227" s="1929">
        <v>84.7</v>
      </c>
      <c r="J1227" s="1929">
        <v>807</v>
      </c>
      <c r="K1227" s="1929" t="s">
        <v>2853</v>
      </c>
    </row>
    <row r="1228" spans="1:11" hidden="1" x14ac:dyDescent="0.2">
      <c r="A1228" s="1929" t="s">
        <v>2852</v>
      </c>
      <c r="B1228" s="1929" t="s">
        <v>1258</v>
      </c>
      <c r="C1228" s="1929" t="s">
        <v>1257</v>
      </c>
      <c r="D1228" s="1929" t="s">
        <v>303</v>
      </c>
      <c r="E1228" s="1929" t="s">
        <v>60</v>
      </c>
      <c r="F1228" s="1929">
        <v>13.5</v>
      </c>
      <c r="G1228" s="1929">
        <v>15.3</v>
      </c>
      <c r="H1228" s="1929">
        <v>-0.3</v>
      </c>
      <c r="I1228" s="1929">
        <v>22</v>
      </c>
      <c r="J1228" s="1929">
        <v>887</v>
      </c>
      <c r="K1228" s="1929" t="s">
        <v>2851</v>
      </c>
    </row>
    <row r="1229" spans="1:11" hidden="1" x14ac:dyDescent="0.2">
      <c r="A1229" s="1929" t="s">
        <v>2850</v>
      </c>
      <c r="B1229" s="1929" t="s">
        <v>1238</v>
      </c>
      <c r="C1229" s="1929" t="s">
        <v>1609</v>
      </c>
      <c r="D1229" s="1929" t="s">
        <v>303</v>
      </c>
      <c r="E1229" s="1929" t="s">
        <v>60</v>
      </c>
      <c r="F1229" s="1929">
        <v>15.8</v>
      </c>
      <c r="G1229" s="1929">
        <v>7.5</v>
      </c>
      <c r="H1229" s="1929">
        <v>0.5</v>
      </c>
      <c r="I1229" s="1929">
        <v>11.7</v>
      </c>
      <c r="J1229" s="1929">
        <v>946</v>
      </c>
      <c r="K1229" s="1929" t="s">
        <v>2849</v>
      </c>
    </row>
    <row r="1230" spans="1:11" hidden="1" x14ac:dyDescent="0.2">
      <c r="A1230" s="1929" t="s">
        <v>2848</v>
      </c>
      <c r="B1230" s="1929" t="s">
        <v>1238</v>
      </c>
      <c r="C1230" s="1929" t="s">
        <v>1609</v>
      </c>
      <c r="D1230" s="1929" t="s">
        <v>303</v>
      </c>
      <c r="E1230" s="1929" t="s">
        <v>60</v>
      </c>
      <c r="F1230" s="1929">
        <v>17.100000000000001</v>
      </c>
      <c r="G1230" s="1929">
        <v>9.5</v>
      </c>
      <c r="H1230" s="1929">
        <v>0.5</v>
      </c>
      <c r="I1230" s="1929">
        <v>8.8000000000000007</v>
      </c>
      <c r="J1230" s="1929">
        <v>992</v>
      </c>
      <c r="K1230" s="1929" t="s">
        <v>2847</v>
      </c>
    </row>
    <row r="1231" spans="1:11" hidden="1" x14ac:dyDescent="0.2">
      <c r="A1231" s="1929" t="s">
        <v>2846</v>
      </c>
      <c r="B1231" s="1929" t="s">
        <v>1228</v>
      </c>
      <c r="C1231" s="1929" t="s">
        <v>1227</v>
      </c>
      <c r="D1231" s="1929" t="s">
        <v>303</v>
      </c>
      <c r="E1231" s="1929" t="s">
        <v>60</v>
      </c>
      <c r="F1231" s="1929">
        <v>18.899999999999999</v>
      </c>
      <c r="G1231" s="1929">
        <v>6.3</v>
      </c>
      <c r="H1231" s="1929">
        <v>0.6</v>
      </c>
      <c r="I1231" s="1929">
        <v>5.7</v>
      </c>
      <c r="J1231" s="1929">
        <v>1025</v>
      </c>
      <c r="K1231" s="1929" t="s">
        <v>2845</v>
      </c>
    </row>
    <row r="1232" spans="1:11" hidden="1" x14ac:dyDescent="0.2">
      <c r="A1232" s="1929" t="s">
        <v>2844</v>
      </c>
      <c r="B1232" s="1929" t="s">
        <v>1217</v>
      </c>
      <c r="C1232" s="1929" t="s">
        <v>1252</v>
      </c>
      <c r="D1232" s="1929" t="s">
        <v>303</v>
      </c>
      <c r="E1232" s="1929" t="s">
        <v>60</v>
      </c>
      <c r="F1232" s="1929">
        <v>4.5</v>
      </c>
      <c r="G1232" s="1929">
        <v>9.1</v>
      </c>
      <c r="H1232" s="1929">
        <v>0.4</v>
      </c>
      <c r="I1232" s="1929">
        <v>49.6</v>
      </c>
      <c r="J1232" s="1929">
        <v>1048</v>
      </c>
      <c r="K1232" s="1929" t="s">
        <v>2843</v>
      </c>
    </row>
    <row r="1233" spans="1:11" hidden="1" x14ac:dyDescent="0.2">
      <c r="A1233" s="1929" t="s">
        <v>2842</v>
      </c>
      <c r="B1233" s="1929" t="s">
        <v>1258</v>
      </c>
      <c r="C1233" s="1929" t="s">
        <v>1257</v>
      </c>
      <c r="D1233" s="1929" t="s">
        <v>303</v>
      </c>
      <c r="E1233" s="1929" t="s">
        <v>60</v>
      </c>
      <c r="F1233" s="1929">
        <v>8.1</v>
      </c>
      <c r="G1233" s="1929">
        <v>4.2</v>
      </c>
      <c r="H1233" s="1929">
        <v>0.8</v>
      </c>
      <c r="I1233" s="1929">
        <v>16.2</v>
      </c>
      <c r="J1233" s="1929">
        <v>1140</v>
      </c>
      <c r="K1233" s="1929" t="s">
        <v>2841</v>
      </c>
    </row>
    <row r="1234" spans="1:11" hidden="1" x14ac:dyDescent="0.2">
      <c r="A1234" s="1929" t="s">
        <v>2840</v>
      </c>
      <c r="B1234" s="1929" t="s">
        <v>1217</v>
      </c>
      <c r="C1234" s="1929" t="s">
        <v>1368</v>
      </c>
      <c r="D1234" s="1929" t="s">
        <v>303</v>
      </c>
      <c r="E1234" s="1929" t="s">
        <v>60</v>
      </c>
      <c r="F1234" s="1929">
        <v>9.6</v>
      </c>
      <c r="G1234" s="1929">
        <v>2.7</v>
      </c>
      <c r="H1234" s="1929">
        <v>0.2</v>
      </c>
      <c r="I1234" s="1929">
        <v>81.5</v>
      </c>
      <c r="J1234" s="1929">
        <v>1202</v>
      </c>
      <c r="K1234" s="1929" t="s">
        <v>2839</v>
      </c>
    </row>
    <row r="1235" spans="1:11" hidden="1" x14ac:dyDescent="0.2">
      <c r="A1235" s="1929" t="s">
        <v>2838</v>
      </c>
      <c r="B1235" s="1929" t="s">
        <v>1234</v>
      </c>
      <c r="C1235" s="1929" t="s">
        <v>1233</v>
      </c>
      <c r="D1235" s="1929" t="s">
        <v>303</v>
      </c>
      <c r="E1235" s="1929" t="s">
        <v>60</v>
      </c>
      <c r="F1235" s="1929">
        <v>14.3</v>
      </c>
      <c r="G1235" s="1929">
        <v>4.7</v>
      </c>
      <c r="H1235" s="1929">
        <v>0.5</v>
      </c>
      <c r="I1235" s="1929">
        <v>7</v>
      </c>
      <c r="J1235" s="1929">
        <v>1307</v>
      </c>
      <c r="K1235" s="1929" t="s">
        <v>2837</v>
      </c>
    </row>
    <row r="1236" spans="1:11" hidden="1" x14ac:dyDescent="0.2">
      <c r="A1236" s="1929" t="s">
        <v>2836</v>
      </c>
      <c r="B1236" s="1929" t="s">
        <v>1306</v>
      </c>
      <c r="C1236" s="1929" t="s">
        <v>1413</v>
      </c>
      <c r="D1236" s="1929" t="s">
        <v>303</v>
      </c>
      <c r="E1236" s="1929" t="s">
        <v>60</v>
      </c>
      <c r="F1236" s="1929">
        <v>9.1</v>
      </c>
      <c r="G1236" s="1929">
        <v>9.1</v>
      </c>
      <c r="H1236" s="1929">
        <v>0.3</v>
      </c>
      <c r="I1236" s="1929">
        <v>10</v>
      </c>
      <c r="J1236" s="1929">
        <v>1337</v>
      </c>
      <c r="K1236" s="1929" t="s">
        <v>2835</v>
      </c>
    </row>
    <row r="1237" spans="1:11" hidden="1" x14ac:dyDescent="0.2">
      <c r="A1237" s="1929" t="s">
        <v>2834</v>
      </c>
      <c r="B1237" s="1929" t="s">
        <v>1228</v>
      </c>
      <c r="C1237" s="1929" t="s">
        <v>1498</v>
      </c>
      <c r="D1237" s="1929" t="s">
        <v>303</v>
      </c>
      <c r="E1237" s="1929" t="s">
        <v>60</v>
      </c>
      <c r="F1237" s="1929">
        <v>11.6</v>
      </c>
      <c r="G1237" s="1929">
        <v>2.6</v>
      </c>
      <c r="H1237" s="1929">
        <v>0.6</v>
      </c>
      <c r="I1237" s="1929">
        <v>4.9000000000000004</v>
      </c>
      <c r="J1237" s="1929">
        <v>1407</v>
      </c>
      <c r="K1237" s="1929" t="s">
        <v>2833</v>
      </c>
    </row>
    <row r="1238" spans="1:11" hidden="1" x14ac:dyDescent="0.2">
      <c r="A1238" s="1929" t="s">
        <v>2832</v>
      </c>
      <c r="B1238" s="1929" t="s">
        <v>1234</v>
      </c>
      <c r="C1238" s="1929" t="s">
        <v>1476</v>
      </c>
      <c r="D1238" s="1929" t="s">
        <v>303</v>
      </c>
      <c r="E1238" s="1929" t="s">
        <v>60</v>
      </c>
      <c r="F1238" s="1929">
        <v>10.199999999999999</v>
      </c>
      <c r="G1238" s="1929">
        <v>5.5</v>
      </c>
      <c r="H1238" s="1929">
        <v>0.4</v>
      </c>
      <c r="I1238" s="1929">
        <v>5.3</v>
      </c>
      <c r="J1238" s="1929">
        <v>1495</v>
      </c>
      <c r="K1238" s="1929" t="s">
        <v>2831</v>
      </c>
    </row>
    <row r="1239" spans="1:11" hidden="1" x14ac:dyDescent="0.2">
      <c r="A1239" s="1929" t="s">
        <v>2830</v>
      </c>
      <c r="B1239" s="1929" t="s">
        <v>1234</v>
      </c>
      <c r="C1239" s="1929" t="s">
        <v>1476</v>
      </c>
      <c r="D1239" s="1929" t="s">
        <v>303</v>
      </c>
      <c r="E1239" s="1929" t="s">
        <v>60</v>
      </c>
      <c r="F1239" s="1929">
        <v>12.5</v>
      </c>
      <c r="G1239" s="1929">
        <v>2.2000000000000002</v>
      </c>
      <c r="H1239" s="1929">
        <v>0.5</v>
      </c>
      <c r="I1239" s="1929">
        <v>2.5</v>
      </c>
      <c r="J1239" s="1929">
        <v>1503</v>
      </c>
      <c r="K1239" s="1929" t="s">
        <v>2829</v>
      </c>
    </row>
    <row r="1240" spans="1:11" hidden="1" x14ac:dyDescent="0.2">
      <c r="A1240" s="1929" t="s">
        <v>2828</v>
      </c>
      <c r="B1240" s="1929" t="s">
        <v>1269</v>
      </c>
      <c r="C1240" s="1929" t="s">
        <v>1504</v>
      </c>
      <c r="D1240" s="1929" t="s">
        <v>303</v>
      </c>
      <c r="E1240" s="1929" t="s">
        <v>60</v>
      </c>
      <c r="F1240" s="1929">
        <v>10.9</v>
      </c>
      <c r="G1240" s="1929">
        <v>1.9</v>
      </c>
      <c r="H1240" s="1929">
        <v>0.5</v>
      </c>
      <c r="I1240" s="1929">
        <v>3.4</v>
      </c>
      <c r="J1240" s="1929">
        <v>1526</v>
      </c>
      <c r="K1240" s="1929" t="s">
        <v>2827</v>
      </c>
    </row>
    <row r="1241" spans="1:11" hidden="1" x14ac:dyDescent="0.2">
      <c r="A1241" s="1929" t="s">
        <v>2826</v>
      </c>
      <c r="B1241" s="1929" t="s">
        <v>1310</v>
      </c>
      <c r="C1241" s="1929" t="s">
        <v>1309</v>
      </c>
      <c r="D1241" s="1929" t="s">
        <v>303</v>
      </c>
      <c r="E1241" s="1929" t="s">
        <v>60</v>
      </c>
      <c r="F1241" s="1929">
        <v>3.8</v>
      </c>
      <c r="G1241" s="1929">
        <v>10.1</v>
      </c>
      <c r="H1241" s="1929">
        <v>0</v>
      </c>
      <c r="I1241" s="1929">
        <v>16.3</v>
      </c>
      <c r="J1241" s="1929">
        <v>1532</v>
      </c>
      <c r="K1241" s="1929" t="s">
        <v>2825</v>
      </c>
    </row>
    <row r="1242" spans="1:11" hidden="1" x14ac:dyDescent="0.2">
      <c r="A1242" s="1929" t="s">
        <v>2824</v>
      </c>
      <c r="B1242" s="1929" t="s">
        <v>1217</v>
      </c>
      <c r="C1242" s="1929" t="s">
        <v>1216</v>
      </c>
      <c r="D1242" s="1929" t="s">
        <v>303</v>
      </c>
      <c r="E1242" s="1929" t="s">
        <v>60</v>
      </c>
      <c r="F1242" s="1929">
        <v>5</v>
      </c>
      <c r="G1242" s="1929">
        <v>1.4</v>
      </c>
      <c r="H1242" s="1929">
        <v>0.3</v>
      </c>
      <c r="I1242" s="1929">
        <v>45.5</v>
      </c>
      <c r="J1242" s="1929">
        <v>1548</v>
      </c>
      <c r="K1242" s="1929" t="s">
        <v>2823</v>
      </c>
    </row>
    <row r="1243" spans="1:11" hidden="1" x14ac:dyDescent="0.2">
      <c r="A1243" s="1929" t="s">
        <v>2822</v>
      </c>
      <c r="B1243" s="1929" t="s">
        <v>1245</v>
      </c>
      <c r="C1243" s="1929" t="s">
        <v>1320</v>
      </c>
      <c r="D1243" s="1929" t="s">
        <v>303</v>
      </c>
      <c r="E1243" s="1929" t="s">
        <v>60</v>
      </c>
      <c r="F1243" s="1929">
        <v>8.3000000000000007</v>
      </c>
      <c r="G1243" s="1929">
        <v>8.1</v>
      </c>
      <c r="H1243" s="1929">
        <v>-0.5</v>
      </c>
      <c r="I1243" s="1929">
        <v>9.1999999999999993</v>
      </c>
      <c r="J1243" s="1929">
        <v>1581</v>
      </c>
      <c r="K1243" s="1929" t="s">
        <v>2821</v>
      </c>
    </row>
    <row r="1244" spans="1:11" hidden="1" x14ac:dyDescent="0.2">
      <c r="A1244" s="1929" t="s">
        <v>2820</v>
      </c>
      <c r="B1244" s="1929" t="s">
        <v>1306</v>
      </c>
      <c r="C1244" s="1929" t="s">
        <v>1305</v>
      </c>
      <c r="D1244" s="1929" t="s">
        <v>303</v>
      </c>
      <c r="E1244" s="1929" t="s">
        <v>60</v>
      </c>
      <c r="F1244" s="1929">
        <v>13.2</v>
      </c>
      <c r="G1244" s="1929">
        <v>3.1</v>
      </c>
      <c r="H1244" s="1929">
        <v>0.3</v>
      </c>
      <c r="I1244" s="1929">
        <v>4.4000000000000004</v>
      </c>
      <c r="J1244" s="1929">
        <v>1700</v>
      </c>
      <c r="K1244" s="1929" t="s">
        <v>2819</v>
      </c>
    </row>
    <row r="1245" spans="1:11" hidden="1" x14ac:dyDescent="0.2">
      <c r="A1245" s="1929" t="s">
        <v>2818</v>
      </c>
      <c r="B1245" s="1929" t="s">
        <v>1217</v>
      </c>
      <c r="C1245" s="1929" t="s">
        <v>1216</v>
      </c>
      <c r="D1245" s="1929" t="s">
        <v>303</v>
      </c>
      <c r="E1245" s="1929" t="s">
        <v>60</v>
      </c>
      <c r="F1245" s="1929">
        <v>2.6</v>
      </c>
      <c r="G1245" s="1929">
        <v>0.9</v>
      </c>
      <c r="H1245" s="1929">
        <v>0.1</v>
      </c>
      <c r="I1245" s="1929">
        <v>44.1</v>
      </c>
      <c r="J1245" s="1929">
        <v>1750</v>
      </c>
      <c r="K1245" s="1929" t="s">
        <v>2817</v>
      </c>
    </row>
    <row r="1246" spans="1:11" hidden="1" x14ac:dyDescent="0.2">
      <c r="A1246" s="1929" t="s">
        <v>2816</v>
      </c>
      <c r="B1246" s="1929" t="s">
        <v>1217</v>
      </c>
      <c r="C1246" s="1929" t="s">
        <v>1216</v>
      </c>
      <c r="D1246" s="1929" t="s">
        <v>303</v>
      </c>
      <c r="E1246" s="1929" t="s">
        <v>60</v>
      </c>
      <c r="F1246" s="1929">
        <v>3.5</v>
      </c>
      <c r="G1246" s="1929">
        <v>0.7</v>
      </c>
      <c r="H1246" s="1929">
        <v>0.2</v>
      </c>
      <c r="I1246" s="1929">
        <v>32</v>
      </c>
      <c r="J1246" s="1929">
        <v>1880</v>
      </c>
      <c r="K1246" s="1929" t="s">
        <v>2815</v>
      </c>
    </row>
    <row r="1247" spans="1:11" hidden="1" x14ac:dyDescent="0.2">
      <c r="A1247" s="1929" t="s">
        <v>2814</v>
      </c>
      <c r="B1247" s="1929" t="s">
        <v>1217</v>
      </c>
      <c r="C1247" s="1929" t="s">
        <v>1216</v>
      </c>
      <c r="D1247" s="1929" t="s">
        <v>303</v>
      </c>
      <c r="E1247" s="1929" t="s">
        <v>60</v>
      </c>
      <c r="F1247" s="1929">
        <v>2.2999999999999998</v>
      </c>
      <c r="G1247" s="1929">
        <v>0.7</v>
      </c>
      <c r="H1247" s="1929">
        <v>0.1</v>
      </c>
      <c r="I1247" s="1929">
        <v>31.3</v>
      </c>
      <c r="J1247" s="1929">
        <v>1887</v>
      </c>
      <c r="K1247" s="1929" t="s">
        <v>2813</v>
      </c>
    </row>
    <row r="1248" spans="1:11" hidden="1" x14ac:dyDescent="0.2">
      <c r="A1248" s="1929" t="s">
        <v>2812</v>
      </c>
      <c r="B1248" s="1929" t="s">
        <v>1217</v>
      </c>
      <c r="C1248" s="1929" t="s">
        <v>1216</v>
      </c>
      <c r="D1248" s="1929" t="s">
        <v>303</v>
      </c>
      <c r="E1248" s="1929" t="s">
        <v>60</v>
      </c>
      <c r="F1248" s="1929">
        <v>2.2000000000000002</v>
      </c>
      <c r="G1248" s="1929">
        <v>0.7</v>
      </c>
      <c r="H1248" s="1929">
        <v>0.1</v>
      </c>
      <c r="I1248" s="1929">
        <v>30</v>
      </c>
      <c r="J1248" s="1929">
        <v>1908</v>
      </c>
      <c r="K1248" s="1929" t="s">
        <v>2811</v>
      </c>
    </row>
    <row r="1249" spans="1:11" hidden="1" x14ac:dyDescent="0.2">
      <c r="A1249" s="1929" t="s">
        <v>2810</v>
      </c>
      <c r="B1249" s="1929" t="s">
        <v>1306</v>
      </c>
      <c r="C1249" s="1929" t="s">
        <v>1305</v>
      </c>
      <c r="D1249" s="1929" t="s">
        <v>303</v>
      </c>
      <c r="E1249" s="1929" t="s">
        <v>60</v>
      </c>
      <c r="F1249" s="1929">
        <v>8.1</v>
      </c>
      <c r="G1249" s="1929">
        <v>6</v>
      </c>
      <c r="H1249" s="1929">
        <v>0.1</v>
      </c>
      <c r="I1249" s="1929">
        <v>7.6</v>
      </c>
      <c r="J1249" s="1929">
        <v>1912</v>
      </c>
      <c r="K1249" s="1929" t="s">
        <v>2809</v>
      </c>
    </row>
    <row r="1250" spans="1:11" hidden="1" x14ac:dyDescent="0.2">
      <c r="A1250" s="1929" t="s">
        <v>2808</v>
      </c>
      <c r="B1250" s="1929" t="s">
        <v>1234</v>
      </c>
      <c r="C1250" s="1929" t="s">
        <v>1233</v>
      </c>
      <c r="D1250" s="1929" t="s">
        <v>303</v>
      </c>
      <c r="E1250" s="1929" t="s">
        <v>60</v>
      </c>
      <c r="F1250" s="1929">
        <v>8.8000000000000007</v>
      </c>
      <c r="G1250" s="1929">
        <v>2</v>
      </c>
      <c r="H1250" s="1929">
        <v>0.4</v>
      </c>
      <c r="I1250" s="1929">
        <v>1.8</v>
      </c>
      <c r="J1250" s="1929">
        <v>1918</v>
      </c>
      <c r="K1250" s="1929" t="s">
        <v>2807</v>
      </c>
    </row>
    <row r="1251" spans="1:11" hidden="1" x14ac:dyDescent="0.2">
      <c r="A1251" s="1929" t="s">
        <v>2806</v>
      </c>
      <c r="B1251" s="1929" t="s">
        <v>1217</v>
      </c>
      <c r="C1251" s="1929" t="s">
        <v>1216</v>
      </c>
      <c r="D1251" s="1929" t="s">
        <v>303</v>
      </c>
      <c r="E1251" s="1929" t="s">
        <v>60</v>
      </c>
      <c r="F1251" s="1929">
        <v>1.6</v>
      </c>
      <c r="G1251" s="1929">
        <v>0.6</v>
      </c>
      <c r="H1251" s="1929">
        <v>0.1</v>
      </c>
      <c r="I1251" s="1929">
        <v>28.6</v>
      </c>
      <c r="J1251" s="1929">
        <v>1932</v>
      </c>
      <c r="K1251" s="1929" t="s">
        <v>2805</v>
      </c>
    </row>
    <row r="1252" spans="1:11" hidden="1" x14ac:dyDescent="0.2">
      <c r="A1252" s="1929" t="s">
        <v>2804</v>
      </c>
      <c r="B1252" s="1929" t="s">
        <v>1234</v>
      </c>
      <c r="C1252" s="1929" t="s">
        <v>1233</v>
      </c>
      <c r="D1252" s="1929" t="s">
        <v>303</v>
      </c>
      <c r="E1252" s="1929" t="s">
        <v>60</v>
      </c>
      <c r="F1252" s="1929">
        <v>6.3</v>
      </c>
      <c r="G1252" s="1929">
        <v>6.6</v>
      </c>
      <c r="H1252" s="1929">
        <v>0</v>
      </c>
      <c r="I1252" s="1929">
        <v>9.1999999999999993</v>
      </c>
      <c r="J1252" s="1929">
        <v>1980</v>
      </c>
      <c r="K1252" s="1929" t="s">
        <v>2803</v>
      </c>
    </row>
    <row r="1253" spans="1:11" hidden="1" x14ac:dyDescent="0.2">
      <c r="A1253" s="1929" t="s">
        <v>2802</v>
      </c>
      <c r="B1253" s="1929" t="s">
        <v>1245</v>
      </c>
      <c r="C1253" s="1929" t="s">
        <v>1429</v>
      </c>
      <c r="D1253" s="1929" t="s">
        <v>1013</v>
      </c>
      <c r="E1253" s="1929" t="s">
        <v>295</v>
      </c>
      <c r="F1253" s="1929">
        <v>37.299999999999997</v>
      </c>
      <c r="G1253" s="1929">
        <v>127.2</v>
      </c>
      <c r="H1253" s="1929">
        <v>3.4</v>
      </c>
      <c r="I1253" s="1929">
        <v>68.2</v>
      </c>
      <c r="J1253" s="1929">
        <v>139</v>
      </c>
      <c r="K1253" s="1929" t="s">
        <v>2801</v>
      </c>
    </row>
    <row r="1254" spans="1:11" hidden="1" x14ac:dyDescent="0.2">
      <c r="A1254" s="1929" t="s">
        <v>2800</v>
      </c>
      <c r="B1254" s="1929" t="s">
        <v>1245</v>
      </c>
      <c r="C1254" s="1929" t="s">
        <v>1320</v>
      </c>
      <c r="D1254" s="1929" t="s">
        <v>1013</v>
      </c>
      <c r="E1254" s="1929" t="s">
        <v>295</v>
      </c>
      <c r="F1254" s="1929">
        <v>102</v>
      </c>
      <c r="G1254" s="1929">
        <v>20.100000000000001</v>
      </c>
      <c r="H1254" s="1929">
        <v>6.3</v>
      </c>
      <c r="I1254" s="1929">
        <v>42.4</v>
      </c>
      <c r="J1254" s="1929">
        <v>190</v>
      </c>
      <c r="K1254" s="1929" t="s">
        <v>2799</v>
      </c>
    </row>
    <row r="1255" spans="1:11" hidden="1" x14ac:dyDescent="0.2">
      <c r="A1255" s="1929" t="s">
        <v>2798</v>
      </c>
      <c r="B1255" s="1929" t="s">
        <v>1217</v>
      </c>
      <c r="C1255" s="1929" t="s">
        <v>1302</v>
      </c>
      <c r="D1255" s="1929" t="s">
        <v>1013</v>
      </c>
      <c r="E1255" s="1929" t="s">
        <v>295</v>
      </c>
      <c r="F1255" s="1929">
        <v>17.100000000000001</v>
      </c>
      <c r="G1255" s="1929">
        <v>11</v>
      </c>
      <c r="H1255" s="1929">
        <v>1</v>
      </c>
      <c r="I1255" s="1929">
        <v>199.3</v>
      </c>
      <c r="J1255" s="1929">
        <v>400</v>
      </c>
      <c r="K1255" s="1929" t="s">
        <v>2797</v>
      </c>
    </row>
    <row r="1256" spans="1:11" hidden="1" x14ac:dyDescent="0.2">
      <c r="A1256" s="1929" t="s">
        <v>2796</v>
      </c>
      <c r="B1256" s="1929" t="s">
        <v>1217</v>
      </c>
      <c r="C1256" s="1929" t="s">
        <v>1368</v>
      </c>
      <c r="D1256" s="1929" t="s">
        <v>1013</v>
      </c>
      <c r="E1256" s="1929" t="s">
        <v>295</v>
      </c>
      <c r="F1256" s="1929">
        <v>13.9</v>
      </c>
      <c r="G1256" s="1929">
        <v>12.5</v>
      </c>
      <c r="H1256" s="1929">
        <v>1.1000000000000001</v>
      </c>
      <c r="I1256" s="1929">
        <v>149.1</v>
      </c>
      <c r="J1256" s="1929">
        <v>411</v>
      </c>
      <c r="K1256" s="1929" t="s">
        <v>2795</v>
      </c>
    </row>
    <row r="1257" spans="1:11" hidden="1" x14ac:dyDescent="0.2">
      <c r="A1257" s="1929" t="s">
        <v>2794</v>
      </c>
      <c r="B1257" s="1929" t="s">
        <v>1258</v>
      </c>
      <c r="C1257" s="1929" t="s">
        <v>1263</v>
      </c>
      <c r="D1257" s="1929" t="s">
        <v>1013</v>
      </c>
      <c r="E1257" s="1929" t="s">
        <v>295</v>
      </c>
      <c r="F1257" s="1929">
        <v>24.3</v>
      </c>
      <c r="G1257" s="1929">
        <v>31.4</v>
      </c>
      <c r="H1257" s="1929">
        <v>0.7</v>
      </c>
      <c r="I1257" s="1929">
        <v>17.3</v>
      </c>
      <c r="J1257" s="1929">
        <v>495</v>
      </c>
      <c r="K1257" s="1929" t="s">
        <v>2793</v>
      </c>
    </row>
    <row r="1258" spans="1:11" hidden="1" x14ac:dyDescent="0.2">
      <c r="A1258" s="1929" t="s">
        <v>2792</v>
      </c>
      <c r="B1258" s="1929" t="s">
        <v>1234</v>
      </c>
      <c r="C1258" s="1929" t="s">
        <v>1233</v>
      </c>
      <c r="D1258" s="1929" t="s">
        <v>1013</v>
      </c>
      <c r="E1258" s="1929" t="s">
        <v>295</v>
      </c>
      <c r="F1258" s="1929">
        <v>14.1</v>
      </c>
      <c r="G1258" s="1929">
        <v>14.5</v>
      </c>
      <c r="H1258" s="1929">
        <v>0.9</v>
      </c>
      <c r="I1258" s="1929">
        <v>17.399999999999999</v>
      </c>
      <c r="J1258" s="1929">
        <v>619</v>
      </c>
      <c r="K1258" s="1929" t="s">
        <v>2791</v>
      </c>
    </row>
    <row r="1259" spans="1:11" hidden="1" x14ac:dyDescent="0.2">
      <c r="A1259" s="1929" t="s">
        <v>2790</v>
      </c>
      <c r="B1259" s="1929" t="s">
        <v>1245</v>
      </c>
      <c r="C1259" s="1929" t="s">
        <v>1479</v>
      </c>
      <c r="D1259" s="1929" t="s">
        <v>1013</v>
      </c>
      <c r="E1259" s="1929" t="s">
        <v>295</v>
      </c>
      <c r="F1259" s="1929">
        <v>10.3</v>
      </c>
      <c r="G1259" s="1929">
        <v>29.7</v>
      </c>
      <c r="H1259" s="1929">
        <v>0.6</v>
      </c>
      <c r="I1259" s="1929">
        <v>18.600000000000001</v>
      </c>
      <c r="J1259" s="1929">
        <v>634</v>
      </c>
      <c r="K1259" s="1929" t="s">
        <v>2789</v>
      </c>
    </row>
    <row r="1260" spans="1:11" hidden="1" x14ac:dyDescent="0.2">
      <c r="A1260" s="1929" t="s">
        <v>2788</v>
      </c>
      <c r="B1260" s="1929" t="s">
        <v>1249</v>
      </c>
      <c r="C1260" s="1929" t="s">
        <v>1248</v>
      </c>
      <c r="D1260" s="1929" t="s">
        <v>1013</v>
      </c>
      <c r="E1260" s="1929" t="s">
        <v>295</v>
      </c>
      <c r="F1260" s="1929">
        <v>23.9</v>
      </c>
      <c r="G1260" s="1929">
        <v>7.7</v>
      </c>
      <c r="H1260" s="1929">
        <v>1.3</v>
      </c>
      <c r="I1260" s="1929">
        <v>14.3</v>
      </c>
      <c r="J1260" s="1929">
        <v>657</v>
      </c>
      <c r="K1260" s="1929" t="s">
        <v>2787</v>
      </c>
    </row>
    <row r="1261" spans="1:11" hidden="1" x14ac:dyDescent="0.2">
      <c r="A1261" s="1929" t="s">
        <v>2786</v>
      </c>
      <c r="B1261" s="1929" t="s">
        <v>1234</v>
      </c>
      <c r="C1261" s="1929" t="s">
        <v>1445</v>
      </c>
      <c r="D1261" s="1929" t="s">
        <v>1013</v>
      </c>
      <c r="E1261" s="1929" t="s">
        <v>295</v>
      </c>
      <c r="F1261" s="1929">
        <v>12.9</v>
      </c>
      <c r="G1261" s="1929">
        <v>11.7</v>
      </c>
      <c r="H1261" s="1929">
        <v>0.6</v>
      </c>
      <c r="I1261" s="1929">
        <v>22.9</v>
      </c>
      <c r="J1261" s="1929">
        <v>696</v>
      </c>
      <c r="K1261" s="1929" t="s">
        <v>2785</v>
      </c>
    </row>
    <row r="1262" spans="1:11" hidden="1" x14ac:dyDescent="0.2">
      <c r="A1262" s="1929" t="s">
        <v>2784</v>
      </c>
      <c r="B1262" s="1929" t="s">
        <v>1234</v>
      </c>
      <c r="C1262" s="1929" t="s">
        <v>1461</v>
      </c>
      <c r="D1262" s="1929" t="s">
        <v>1013</v>
      </c>
      <c r="E1262" s="1929" t="s">
        <v>295</v>
      </c>
      <c r="F1262" s="1929">
        <v>16.7</v>
      </c>
      <c r="G1262" s="1929">
        <v>10.199999999999999</v>
      </c>
      <c r="H1262" s="1929">
        <v>0.7</v>
      </c>
      <c r="I1262" s="1929">
        <v>17.399999999999999</v>
      </c>
      <c r="J1262" s="1929">
        <v>702</v>
      </c>
      <c r="K1262" s="1929" t="s">
        <v>2783</v>
      </c>
    </row>
    <row r="1263" spans="1:11" hidden="1" x14ac:dyDescent="0.2">
      <c r="A1263" s="1929" t="s">
        <v>2782</v>
      </c>
      <c r="B1263" s="1929" t="s">
        <v>1217</v>
      </c>
      <c r="C1263" s="1929" t="s">
        <v>1403</v>
      </c>
      <c r="D1263" s="1929" t="s">
        <v>1013</v>
      </c>
      <c r="E1263" s="1929" t="s">
        <v>295</v>
      </c>
      <c r="F1263" s="1929">
        <v>9.5</v>
      </c>
      <c r="G1263" s="1929">
        <v>5.3</v>
      </c>
      <c r="H1263" s="1929">
        <v>0.7</v>
      </c>
      <c r="I1263" s="1929">
        <v>81.400000000000006</v>
      </c>
      <c r="J1263" s="1929">
        <v>755</v>
      </c>
      <c r="K1263" s="1929" t="s">
        <v>2781</v>
      </c>
    </row>
    <row r="1264" spans="1:11" hidden="1" x14ac:dyDescent="0.2">
      <c r="A1264" s="1929" t="s">
        <v>2780</v>
      </c>
      <c r="B1264" s="1929" t="s">
        <v>1217</v>
      </c>
      <c r="C1264" s="1929" t="s">
        <v>1368</v>
      </c>
      <c r="D1264" s="1929" t="s">
        <v>1013</v>
      </c>
      <c r="E1264" s="1929" t="s">
        <v>295</v>
      </c>
      <c r="F1264" s="1929">
        <v>9.6</v>
      </c>
      <c r="G1264" s="1929">
        <v>2.4</v>
      </c>
      <c r="H1264" s="1929">
        <v>0.7</v>
      </c>
      <c r="I1264" s="1929">
        <v>95.4</v>
      </c>
      <c r="J1264" s="1929">
        <v>832</v>
      </c>
      <c r="K1264" s="1929" t="s">
        <v>2779</v>
      </c>
    </row>
    <row r="1265" spans="1:11" hidden="1" x14ac:dyDescent="0.2">
      <c r="A1265" s="1929" t="s">
        <v>2778</v>
      </c>
      <c r="B1265" s="1929" t="s">
        <v>1234</v>
      </c>
      <c r="C1265" s="1929" t="s">
        <v>1233</v>
      </c>
      <c r="D1265" s="1929" t="s">
        <v>1013</v>
      </c>
      <c r="E1265" s="1929" t="s">
        <v>295</v>
      </c>
      <c r="F1265" s="1929">
        <v>16</v>
      </c>
      <c r="G1265" s="1929">
        <v>7.3</v>
      </c>
      <c r="H1265" s="1929">
        <v>0.7</v>
      </c>
      <c r="I1265" s="1929">
        <v>13.4</v>
      </c>
      <c r="J1265" s="1929">
        <v>844</v>
      </c>
      <c r="K1265" s="1929" t="s">
        <v>2777</v>
      </c>
    </row>
    <row r="1266" spans="1:11" hidden="1" x14ac:dyDescent="0.2">
      <c r="A1266" s="1929" t="s">
        <v>2776</v>
      </c>
      <c r="B1266" s="1929" t="s">
        <v>1306</v>
      </c>
      <c r="C1266" s="1929" t="s">
        <v>1305</v>
      </c>
      <c r="D1266" s="1929" t="s">
        <v>1013</v>
      </c>
      <c r="E1266" s="1929" t="s">
        <v>295</v>
      </c>
      <c r="F1266" s="1929">
        <v>8.8000000000000007</v>
      </c>
      <c r="G1266" s="1929">
        <v>14.5</v>
      </c>
      <c r="H1266" s="1929">
        <v>0.5</v>
      </c>
      <c r="I1266" s="1929">
        <v>12.4</v>
      </c>
      <c r="J1266" s="1929">
        <v>956</v>
      </c>
      <c r="K1266" s="1929" t="s">
        <v>2775</v>
      </c>
    </row>
    <row r="1267" spans="1:11" hidden="1" x14ac:dyDescent="0.2">
      <c r="A1267" s="1929" t="s">
        <v>2774</v>
      </c>
      <c r="B1267" s="1929" t="s">
        <v>1245</v>
      </c>
      <c r="C1267" s="1929" t="s">
        <v>1479</v>
      </c>
      <c r="D1267" s="1929" t="s">
        <v>1013</v>
      </c>
      <c r="E1267" s="1929" t="s">
        <v>295</v>
      </c>
      <c r="F1267" s="1929">
        <v>7.5</v>
      </c>
      <c r="G1267" s="1929">
        <v>15.5</v>
      </c>
      <c r="H1267" s="1929">
        <v>0.7</v>
      </c>
      <c r="I1267" s="1929">
        <v>9.1</v>
      </c>
      <c r="J1267" s="1929">
        <v>968</v>
      </c>
      <c r="K1267" s="1929" t="s">
        <v>2773</v>
      </c>
    </row>
    <row r="1268" spans="1:11" hidden="1" x14ac:dyDescent="0.2">
      <c r="A1268" s="1929" t="s">
        <v>2772</v>
      </c>
      <c r="B1268" s="1929" t="s">
        <v>1245</v>
      </c>
      <c r="C1268" s="1929" t="s">
        <v>1320</v>
      </c>
      <c r="D1268" s="1929" t="s">
        <v>1013</v>
      </c>
      <c r="E1268" s="1929" t="s">
        <v>295</v>
      </c>
      <c r="F1268" s="1929">
        <v>24</v>
      </c>
      <c r="G1268" s="1929">
        <v>4.5999999999999996</v>
      </c>
      <c r="H1268" s="1929">
        <v>0.9</v>
      </c>
      <c r="I1268" s="1929">
        <v>8.6999999999999993</v>
      </c>
      <c r="J1268" s="1929">
        <v>1029</v>
      </c>
      <c r="K1268" s="1929" t="s">
        <v>2771</v>
      </c>
    </row>
    <row r="1269" spans="1:11" hidden="1" x14ac:dyDescent="0.2">
      <c r="A1269" s="1929" t="s">
        <v>2770</v>
      </c>
      <c r="B1269" s="1929" t="s">
        <v>1217</v>
      </c>
      <c r="C1269" s="1929" t="s">
        <v>1302</v>
      </c>
      <c r="D1269" s="1929" t="s">
        <v>1013</v>
      </c>
      <c r="E1269" s="1929" t="s">
        <v>295</v>
      </c>
      <c r="F1269" s="1929">
        <v>3</v>
      </c>
      <c r="G1269" s="1929">
        <v>8.5</v>
      </c>
      <c r="H1269" s="1929">
        <v>0.4</v>
      </c>
      <c r="I1269" s="1929">
        <v>83.2</v>
      </c>
      <c r="J1269" s="1929">
        <v>1037</v>
      </c>
      <c r="K1269" s="1929" t="s">
        <v>2769</v>
      </c>
    </row>
    <row r="1270" spans="1:11" hidden="1" x14ac:dyDescent="0.2">
      <c r="A1270" s="1929" t="s">
        <v>2768</v>
      </c>
      <c r="B1270" s="1929" t="s">
        <v>1217</v>
      </c>
      <c r="C1270" s="1929" t="s">
        <v>1368</v>
      </c>
      <c r="D1270" s="1929" t="s">
        <v>1013</v>
      </c>
      <c r="E1270" s="1929" t="s">
        <v>295</v>
      </c>
      <c r="F1270" s="1929">
        <v>3.6</v>
      </c>
      <c r="G1270" s="1929">
        <v>2.5</v>
      </c>
      <c r="H1270" s="1929">
        <v>0.6</v>
      </c>
      <c r="I1270" s="1929">
        <v>95.9</v>
      </c>
      <c r="J1270" s="1929">
        <v>1114</v>
      </c>
      <c r="K1270" s="1929" t="s">
        <v>2767</v>
      </c>
    </row>
    <row r="1271" spans="1:11" hidden="1" x14ac:dyDescent="0.2">
      <c r="A1271" s="1929" t="s">
        <v>2766</v>
      </c>
      <c r="B1271" s="1929" t="s">
        <v>1245</v>
      </c>
      <c r="C1271" s="1929" t="s">
        <v>1429</v>
      </c>
      <c r="D1271" s="1929" t="s">
        <v>1013</v>
      </c>
      <c r="E1271" s="1929" t="s">
        <v>295</v>
      </c>
      <c r="F1271" s="1929">
        <v>14.9</v>
      </c>
      <c r="G1271" s="1929">
        <v>5.8</v>
      </c>
      <c r="H1271" s="1929">
        <v>0.5</v>
      </c>
      <c r="I1271" s="1929">
        <v>6.3</v>
      </c>
      <c r="J1271" s="1929">
        <v>1165</v>
      </c>
      <c r="K1271" s="1929" t="s">
        <v>2765</v>
      </c>
    </row>
    <row r="1272" spans="1:11" hidden="1" x14ac:dyDescent="0.2">
      <c r="A1272" s="1929" t="s">
        <v>2764</v>
      </c>
      <c r="B1272" s="1929" t="s">
        <v>1245</v>
      </c>
      <c r="C1272" s="1929" t="s">
        <v>1320</v>
      </c>
      <c r="D1272" s="1929" t="s">
        <v>1013</v>
      </c>
      <c r="E1272" s="1929" t="s">
        <v>295</v>
      </c>
      <c r="F1272" s="1929">
        <v>8.6</v>
      </c>
      <c r="G1272" s="1929">
        <v>7.4</v>
      </c>
      <c r="H1272" s="1929">
        <v>0.5</v>
      </c>
      <c r="I1272" s="1929">
        <v>9.6</v>
      </c>
      <c r="J1272" s="1929">
        <v>1169</v>
      </c>
      <c r="K1272" s="1929" t="s">
        <v>2763</v>
      </c>
    </row>
    <row r="1273" spans="1:11" hidden="1" x14ac:dyDescent="0.2">
      <c r="A1273" s="1929" t="s">
        <v>2762</v>
      </c>
      <c r="B1273" s="1929" t="s">
        <v>1245</v>
      </c>
      <c r="C1273" s="1929" t="s">
        <v>1429</v>
      </c>
      <c r="D1273" s="1929" t="s">
        <v>1013</v>
      </c>
      <c r="E1273" s="1929" t="s">
        <v>295</v>
      </c>
      <c r="F1273" s="1929">
        <v>3.5</v>
      </c>
      <c r="G1273" s="1929">
        <v>32.200000000000003</v>
      </c>
      <c r="H1273" s="1929">
        <v>0.3</v>
      </c>
      <c r="I1273" s="1929">
        <v>13.9</v>
      </c>
      <c r="J1273" s="1929">
        <v>1205</v>
      </c>
      <c r="K1273" s="1929" t="s">
        <v>2761</v>
      </c>
    </row>
    <row r="1274" spans="1:11" hidden="1" x14ac:dyDescent="0.2">
      <c r="A1274" s="1929" t="s">
        <v>2760</v>
      </c>
      <c r="B1274" s="1929" t="s">
        <v>1217</v>
      </c>
      <c r="C1274" s="1929" t="s">
        <v>1368</v>
      </c>
      <c r="D1274" s="1929" t="s">
        <v>1013</v>
      </c>
      <c r="E1274" s="1929" t="s">
        <v>295</v>
      </c>
      <c r="F1274" s="1929">
        <v>5.5</v>
      </c>
      <c r="G1274" s="1929">
        <v>1.6</v>
      </c>
      <c r="H1274" s="1929">
        <v>0.4</v>
      </c>
      <c r="I1274" s="1929">
        <v>76.099999999999994</v>
      </c>
      <c r="J1274" s="1929">
        <v>1295</v>
      </c>
      <c r="K1274" s="1929" t="s">
        <v>2759</v>
      </c>
    </row>
    <row r="1275" spans="1:11" hidden="1" x14ac:dyDescent="0.2">
      <c r="A1275" s="1929" t="s">
        <v>2758</v>
      </c>
      <c r="B1275" s="1929" t="s">
        <v>1228</v>
      </c>
      <c r="C1275" s="1929" t="s">
        <v>1334</v>
      </c>
      <c r="D1275" s="1929" t="s">
        <v>1013</v>
      </c>
      <c r="E1275" s="1929" t="s">
        <v>295</v>
      </c>
      <c r="F1275" s="1929">
        <v>10.7</v>
      </c>
      <c r="G1275" s="1929">
        <v>4.5</v>
      </c>
      <c r="H1275" s="1929">
        <v>0.6</v>
      </c>
      <c r="I1275" s="1929">
        <v>5.4</v>
      </c>
      <c r="J1275" s="1929">
        <v>1375</v>
      </c>
      <c r="K1275" s="1929" t="s">
        <v>2757</v>
      </c>
    </row>
    <row r="1276" spans="1:11" hidden="1" x14ac:dyDescent="0.2">
      <c r="A1276" s="1929" t="s">
        <v>2756</v>
      </c>
      <c r="B1276" s="1929" t="s">
        <v>1245</v>
      </c>
      <c r="C1276" s="1929" t="s">
        <v>1479</v>
      </c>
      <c r="D1276" s="1929" t="s">
        <v>1013</v>
      </c>
      <c r="E1276" s="1929" t="s">
        <v>295</v>
      </c>
      <c r="F1276" s="1929">
        <v>3.2</v>
      </c>
      <c r="G1276" s="1929">
        <v>14.2</v>
      </c>
      <c r="H1276" s="1929">
        <v>0.2</v>
      </c>
      <c r="I1276" s="1929">
        <v>17.100000000000001</v>
      </c>
      <c r="J1276" s="1929">
        <v>1385</v>
      </c>
      <c r="K1276" s="1929" t="s">
        <v>2755</v>
      </c>
    </row>
    <row r="1277" spans="1:11" hidden="1" x14ac:dyDescent="0.2">
      <c r="A1277" s="1929" t="s">
        <v>2754</v>
      </c>
      <c r="B1277" s="1929" t="s">
        <v>1245</v>
      </c>
      <c r="C1277" s="1929" t="s">
        <v>1429</v>
      </c>
      <c r="D1277" s="1929" t="s">
        <v>1013</v>
      </c>
      <c r="E1277" s="1929" t="s">
        <v>295</v>
      </c>
      <c r="F1277" s="1929">
        <v>3.5</v>
      </c>
      <c r="G1277" s="1929">
        <v>14</v>
      </c>
      <c r="H1277" s="1929">
        <v>0.1</v>
      </c>
      <c r="I1277" s="1929">
        <v>16.5</v>
      </c>
      <c r="J1277" s="1929">
        <v>1401</v>
      </c>
      <c r="K1277" s="1929" t="s">
        <v>2753</v>
      </c>
    </row>
    <row r="1278" spans="1:11" hidden="1" x14ac:dyDescent="0.2">
      <c r="A1278" s="1929" t="s">
        <v>2752</v>
      </c>
      <c r="B1278" s="1929" t="s">
        <v>1217</v>
      </c>
      <c r="C1278" s="1929" t="s">
        <v>1403</v>
      </c>
      <c r="D1278" s="1929" t="s">
        <v>1013</v>
      </c>
      <c r="E1278" s="1929" t="s">
        <v>295</v>
      </c>
      <c r="F1278" s="1929">
        <v>5.2</v>
      </c>
      <c r="G1278" s="1929">
        <v>1.5</v>
      </c>
      <c r="H1278" s="1929">
        <v>0.3</v>
      </c>
      <c r="I1278" s="1929">
        <v>71.099999999999994</v>
      </c>
      <c r="J1278" s="1929">
        <v>1463</v>
      </c>
      <c r="K1278" s="1929" t="s">
        <v>2751</v>
      </c>
    </row>
    <row r="1279" spans="1:11" hidden="1" x14ac:dyDescent="0.2">
      <c r="A1279" s="1929" t="s">
        <v>2750</v>
      </c>
      <c r="B1279" s="1929" t="s">
        <v>1217</v>
      </c>
      <c r="C1279" s="1929" t="s">
        <v>1403</v>
      </c>
      <c r="D1279" s="1929" t="s">
        <v>1013</v>
      </c>
      <c r="E1279" s="1929" t="s">
        <v>295</v>
      </c>
      <c r="F1279" s="1929">
        <v>4</v>
      </c>
      <c r="G1279" s="1929">
        <v>1.4</v>
      </c>
      <c r="H1279" s="1929">
        <v>0.4</v>
      </c>
      <c r="I1279" s="1929">
        <v>48.3</v>
      </c>
      <c r="J1279" s="1929">
        <v>1465</v>
      </c>
      <c r="K1279" s="1929" t="s">
        <v>2749</v>
      </c>
    </row>
    <row r="1280" spans="1:11" hidden="1" x14ac:dyDescent="0.2">
      <c r="A1280" s="1929" t="s">
        <v>2748</v>
      </c>
      <c r="B1280" s="1929" t="s">
        <v>1217</v>
      </c>
      <c r="C1280" s="1929" t="s">
        <v>1302</v>
      </c>
      <c r="D1280" s="1929" t="s">
        <v>1013</v>
      </c>
      <c r="E1280" s="1929" t="s">
        <v>295</v>
      </c>
      <c r="F1280" s="1929">
        <v>2.5</v>
      </c>
      <c r="G1280" s="1929">
        <v>6.8</v>
      </c>
      <c r="H1280" s="1929">
        <v>0.2</v>
      </c>
      <c r="I1280" s="1929">
        <v>30.8</v>
      </c>
      <c r="J1280" s="1929">
        <v>1473</v>
      </c>
      <c r="K1280" s="1929" t="s">
        <v>2747</v>
      </c>
    </row>
    <row r="1281" spans="1:11" hidden="1" x14ac:dyDescent="0.2">
      <c r="A1281" s="1929" t="s">
        <v>2746</v>
      </c>
      <c r="B1281" s="1929" t="s">
        <v>1245</v>
      </c>
      <c r="C1281" s="1929" t="s">
        <v>1479</v>
      </c>
      <c r="D1281" s="1929" t="s">
        <v>1013</v>
      </c>
      <c r="E1281" s="1929" t="s">
        <v>295</v>
      </c>
      <c r="F1281" s="1929">
        <v>3.1</v>
      </c>
      <c r="G1281" s="1929">
        <v>23.1</v>
      </c>
      <c r="H1281" s="1929">
        <v>0.1</v>
      </c>
      <c r="I1281" s="1929">
        <v>10.7</v>
      </c>
      <c r="J1281" s="1929">
        <v>1492</v>
      </c>
      <c r="K1281" s="1929" t="s">
        <v>2745</v>
      </c>
    </row>
    <row r="1282" spans="1:11" hidden="1" x14ac:dyDescent="0.2">
      <c r="A1282" s="1929" t="s">
        <v>2744</v>
      </c>
      <c r="B1282" s="1929" t="s">
        <v>1249</v>
      </c>
      <c r="C1282" s="1929" t="s">
        <v>1248</v>
      </c>
      <c r="D1282" s="1929" t="s">
        <v>1013</v>
      </c>
      <c r="E1282" s="1929" t="s">
        <v>295</v>
      </c>
      <c r="F1282" s="1929">
        <v>10.8</v>
      </c>
      <c r="G1282" s="1929">
        <v>3.7</v>
      </c>
      <c r="H1282" s="1929">
        <v>0.5</v>
      </c>
      <c r="I1282" s="1929">
        <v>4.5999999999999996</v>
      </c>
      <c r="J1282" s="1929">
        <v>1504</v>
      </c>
      <c r="K1282" s="1929" t="s">
        <v>2743</v>
      </c>
    </row>
    <row r="1283" spans="1:11" hidden="1" x14ac:dyDescent="0.2">
      <c r="A1283" s="1929" t="s">
        <v>2742</v>
      </c>
      <c r="B1283" s="1929" t="s">
        <v>1217</v>
      </c>
      <c r="C1283" s="1929" t="s">
        <v>1403</v>
      </c>
      <c r="D1283" s="1929" t="s">
        <v>1013</v>
      </c>
      <c r="E1283" s="1929" t="s">
        <v>295</v>
      </c>
      <c r="F1283" s="1929">
        <v>4.5999999999999996</v>
      </c>
      <c r="G1283" s="1929">
        <v>2</v>
      </c>
      <c r="H1283" s="1929">
        <v>0.3</v>
      </c>
      <c r="I1283" s="1929">
        <v>101.9</v>
      </c>
      <c r="J1283" s="1929">
        <v>1521</v>
      </c>
      <c r="K1283" s="1929" t="s">
        <v>2741</v>
      </c>
    </row>
    <row r="1284" spans="1:11" hidden="1" x14ac:dyDescent="0.2">
      <c r="A1284" s="1929" t="s">
        <v>2740</v>
      </c>
      <c r="B1284" s="1929" t="s">
        <v>1245</v>
      </c>
      <c r="C1284" s="1929" t="s">
        <v>1479</v>
      </c>
      <c r="D1284" s="1929" t="s">
        <v>1013</v>
      </c>
      <c r="E1284" s="1929" t="s">
        <v>295</v>
      </c>
      <c r="F1284" s="1929">
        <v>2</v>
      </c>
      <c r="G1284" s="1929">
        <v>22</v>
      </c>
      <c r="H1284" s="1929">
        <v>0.2</v>
      </c>
      <c r="I1284" s="1929">
        <v>9.6999999999999993</v>
      </c>
      <c r="J1284" s="1929">
        <v>1553</v>
      </c>
      <c r="K1284" s="1929" t="s">
        <v>2739</v>
      </c>
    </row>
    <row r="1285" spans="1:11" hidden="1" x14ac:dyDescent="0.2">
      <c r="A1285" s="1929" t="s">
        <v>2738</v>
      </c>
      <c r="B1285" s="1929" t="s">
        <v>1217</v>
      </c>
      <c r="C1285" s="1929" t="s">
        <v>1216</v>
      </c>
      <c r="D1285" s="1929" t="s">
        <v>1013</v>
      </c>
      <c r="E1285" s="1929" t="s">
        <v>295</v>
      </c>
      <c r="F1285" s="1929">
        <v>4.5999999999999996</v>
      </c>
      <c r="G1285" s="1929">
        <v>1.1000000000000001</v>
      </c>
      <c r="H1285" s="1929">
        <v>0.3</v>
      </c>
      <c r="I1285" s="1929">
        <v>56.2</v>
      </c>
      <c r="J1285" s="1929">
        <v>1557</v>
      </c>
      <c r="K1285" s="1929" t="s">
        <v>2737</v>
      </c>
    </row>
    <row r="1286" spans="1:11" hidden="1" x14ac:dyDescent="0.2">
      <c r="A1286" s="1929" t="s">
        <v>2736</v>
      </c>
      <c r="B1286" s="1929" t="s">
        <v>1217</v>
      </c>
      <c r="C1286" s="1929" t="s">
        <v>1403</v>
      </c>
      <c r="D1286" s="1929" t="s">
        <v>1013</v>
      </c>
      <c r="E1286" s="1929" t="s">
        <v>295</v>
      </c>
      <c r="F1286" s="1929">
        <v>3.5</v>
      </c>
      <c r="G1286" s="1929">
        <v>1.2</v>
      </c>
      <c r="H1286" s="1929">
        <v>0.3</v>
      </c>
      <c r="I1286" s="1929">
        <v>45.1</v>
      </c>
      <c r="J1286" s="1929">
        <v>1666</v>
      </c>
      <c r="K1286" s="1929" t="s">
        <v>2735</v>
      </c>
    </row>
    <row r="1287" spans="1:11" hidden="1" x14ac:dyDescent="0.2">
      <c r="A1287" s="1929" t="s">
        <v>2734</v>
      </c>
      <c r="D1287" s="1929" t="s">
        <v>1013</v>
      </c>
      <c r="E1287" s="1929" t="s">
        <v>295</v>
      </c>
      <c r="F1287" s="1929">
        <v>2.2999999999999998</v>
      </c>
      <c r="G1287" s="1929">
        <v>2.6</v>
      </c>
      <c r="H1287" s="1929">
        <v>1.5</v>
      </c>
      <c r="I1287" s="1929">
        <v>3.9</v>
      </c>
      <c r="J1287" s="1929">
        <v>1673</v>
      </c>
      <c r="K1287" s="1929" t="s">
        <v>2733</v>
      </c>
    </row>
    <row r="1288" spans="1:11" hidden="1" x14ac:dyDescent="0.2">
      <c r="A1288" s="1929" t="s">
        <v>2732</v>
      </c>
      <c r="B1288" s="1929" t="s">
        <v>1234</v>
      </c>
      <c r="C1288" s="1929" t="s">
        <v>1461</v>
      </c>
      <c r="D1288" s="1929" t="s">
        <v>1013</v>
      </c>
      <c r="E1288" s="1929" t="s">
        <v>295</v>
      </c>
      <c r="F1288" s="1929">
        <v>5.6</v>
      </c>
      <c r="G1288" s="1929">
        <v>8</v>
      </c>
      <c r="H1288" s="1929">
        <v>0.2</v>
      </c>
      <c r="I1288" s="1929">
        <v>12.3</v>
      </c>
      <c r="J1288" s="1929">
        <v>1705</v>
      </c>
      <c r="K1288" s="1929" t="s">
        <v>2731</v>
      </c>
    </row>
    <row r="1289" spans="1:11" hidden="1" x14ac:dyDescent="0.2">
      <c r="A1289" s="1929" t="s">
        <v>2730</v>
      </c>
      <c r="B1289" s="1929" t="s">
        <v>1217</v>
      </c>
      <c r="C1289" s="1929" t="s">
        <v>1216</v>
      </c>
      <c r="D1289" s="1929" t="s">
        <v>1013</v>
      </c>
      <c r="E1289" s="1929" t="s">
        <v>295</v>
      </c>
      <c r="F1289" s="1929">
        <v>1.6</v>
      </c>
      <c r="G1289" s="1929">
        <v>0.9</v>
      </c>
      <c r="H1289" s="1929">
        <v>0.1</v>
      </c>
      <c r="I1289" s="1929">
        <v>44.6</v>
      </c>
      <c r="J1289" s="1929">
        <v>1747</v>
      </c>
      <c r="K1289" s="1929" t="s">
        <v>2729</v>
      </c>
    </row>
    <row r="1290" spans="1:11" hidden="1" x14ac:dyDescent="0.2">
      <c r="A1290" s="1929" t="s">
        <v>2728</v>
      </c>
      <c r="B1290" s="1929" t="s">
        <v>1228</v>
      </c>
      <c r="C1290" s="1929" t="s">
        <v>1466</v>
      </c>
      <c r="D1290" s="1929" t="s">
        <v>1013</v>
      </c>
      <c r="E1290" s="1929" t="s">
        <v>295</v>
      </c>
      <c r="F1290" s="1929">
        <v>0.5</v>
      </c>
      <c r="G1290" s="1929">
        <v>5.2</v>
      </c>
      <c r="H1290" s="1929">
        <v>0</v>
      </c>
      <c r="I1290" s="1929">
        <v>23.1</v>
      </c>
      <c r="J1290" s="1929">
        <v>1762</v>
      </c>
      <c r="K1290" s="1929" t="s">
        <v>2727</v>
      </c>
    </row>
    <row r="1291" spans="1:11" hidden="1" x14ac:dyDescent="0.2">
      <c r="A1291" s="1929" t="s">
        <v>2726</v>
      </c>
      <c r="D1291" s="1929" t="s">
        <v>1013</v>
      </c>
      <c r="E1291" s="1929" t="s">
        <v>295</v>
      </c>
      <c r="F1291" s="1929">
        <v>2.2000000000000002</v>
      </c>
      <c r="G1291" s="1929">
        <v>0.5</v>
      </c>
      <c r="H1291" s="1929">
        <v>1</v>
      </c>
      <c r="I1291" s="1929">
        <v>2.7</v>
      </c>
      <c r="J1291" s="1929">
        <v>1799</v>
      </c>
      <c r="K1291" s="1929" t="s">
        <v>2725</v>
      </c>
    </row>
    <row r="1292" spans="1:11" hidden="1" x14ac:dyDescent="0.2">
      <c r="A1292" s="1929" t="s">
        <v>2724</v>
      </c>
      <c r="B1292" s="1929" t="s">
        <v>1245</v>
      </c>
      <c r="C1292" s="1929" t="s">
        <v>1479</v>
      </c>
      <c r="D1292" s="1929" t="s">
        <v>1013</v>
      </c>
      <c r="E1292" s="1929" t="s">
        <v>295</v>
      </c>
      <c r="F1292" s="1929">
        <v>3.5</v>
      </c>
      <c r="G1292" s="1929">
        <v>14.9</v>
      </c>
      <c r="H1292" s="1929">
        <v>0.2</v>
      </c>
      <c r="I1292" s="1929">
        <v>6.9</v>
      </c>
      <c r="J1292" s="1929">
        <v>1822</v>
      </c>
      <c r="K1292" s="1929" t="s">
        <v>2723</v>
      </c>
    </row>
    <row r="1293" spans="1:11" hidden="1" x14ac:dyDescent="0.2">
      <c r="A1293" s="1929" t="s">
        <v>2722</v>
      </c>
      <c r="B1293" s="1929" t="s">
        <v>1228</v>
      </c>
      <c r="C1293" s="1929" t="s">
        <v>1276</v>
      </c>
      <c r="D1293" s="1929" t="s">
        <v>1013</v>
      </c>
      <c r="E1293" s="1929" t="s">
        <v>295</v>
      </c>
      <c r="F1293" s="1929">
        <v>4.0999999999999996</v>
      </c>
      <c r="G1293" s="1929">
        <v>9.3000000000000007</v>
      </c>
      <c r="H1293" s="1929">
        <v>0.3</v>
      </c>
      <c r="I1293" s="1929">
        <v>8.3000000000000007</v>
      </c>
      <c r="J1293" s="1929">
        <v>1840</v>
      </c>
      <c r="K1293" s="1929" t="s">
        <v>2721</v>
      </c>
    </row>
    <row r="1294" spans="1:11" hidden="1" x14ac:dyDescent="0.2">
      <c r="A1294" s="1929" t="s">
        <v>2720</v>
      </c>
      <c r="B1294" s="1929" t="s">
        <v>1306</v>
      </c>
      <c r="C1294" s="1929" t="s">
        <v>1392</v>
      </c>
      <c r="D1294" s="1929" t="s">
        <v>1013</v>
      </c>
      <c r="E1294" s="1929" t="s">
        <v>295</v>
      </c>
      <c r="F1294" s="1929">
        <v>7.3</v>
      </c>
      <c r="G1294" s="1929">
        <v>6.9</v>
      </c>
      <c r="H1294" s="1929">
        <v>0.3</v>
      </c>
      <c r="I1294" s="1929">
        <v>2.8</v>
      </c>
      <c r="J1294" s="1929">
        <v>1844</v>
      </c>
      <c r="K1294" s="1929" t="s">
        <v>2719</v>
      </c>
    </row>
    <row r="1295" spans="1:11" hidden="1" x14ac:dyDescent="0.2">
      <c r="A1295" s="1929" t="s">
        <v>2718</v>
      </c>
      <c r="B1295" s="1929" t="s">
        <v>1245</v>
      </c>
      <c r="C1295" s="1929" t="s">
        <v>1429</v>
      </c>
      <c r="D1295" s="1929" t="s">
        <v>1013</v>
      </c>
      <c r="E1295" s="1929" t="s">
        <v>295</v>
      </c>
      <c r="F1295" s="1929">
        <v>1.9</v>
      </c>
      <c r="G1295" s="1929">
        <v>5.9</v>
      </c>
      <c r="H1295" s="1929">
        <v>0.5</v>
      </c>
      <c r="I1295" s="1929">
        <v>4.9000000000000004</v>
      </c>
      <c r="J1295" s="1929">
        <v>1862</v>
      </c>
      <c r="K1295" s="1929" t="s">
        <v>2717</v>
      </c>
    </row>
    <row r="1296" spans="1:11" hidden="1" x14ac:dyDescent="0.2">
      <c r="A1296" s="1929" t="s">
        <v>2716</v>
      </c>
      <c r="B1296" s="1929" t="s">
        <v>1245</v>
      </c>
      <c r="C1296" s="1929" t="s">
        <v>1429</v>
      </c>
      <c r="D1296" s="1929" t="s">
        <v>1013</v>
      </c>
      <c r="E1296" s="1929" t="s">
        <v>295</v>
      </c>
      <c r="F1296" s="1929">
        <v>2</v>
      </c>
      <c r="G1296" s="1929">
        <v>13.7</v>
      </c>
      <c r="H1296" s="1929">
        <v>0.2</v>
      </c>
      <c r="I1296" s="1929">
        <v>4.5</v>
      </c>
      <c r="J1296" s="1929">
        <v>1865</v>
      </c>
      <c r="K1296" s="1929" t="s">
        <v>2715</v>
      </c>
    </row>
    <row r="1297" spans="1:11" hidden="1" x14ac:dyDescent="0.2">
      <c r="A1297" s="1929" t="s">
        <v>2714</v>
      </c>
      <c r="B1297" s="1929" t="s">
        <v>1217</v>
      </c>
      <c r="C1297" s="1929" t="s">
        <v>1368</v>
      </c>
      <c r="D1297" s="1929" t="s">
        <v>1013</v>
      </c>
      <c r="E1297" s="1929" t="s">
        <v>295</v>
      </c>
      <c r="F1297" s="1929">
        <v>5</v>
      </c>
      <c r="G1297" s="1929">
        <v>1.2</v>
      </c>
      <c r="H1297" s="1929">
        <v>0.2</v>
      </c>
      <c r="I1297" s="1929">
        <v>29.1</v>
      </c>
      <c r="J1297" s="1929">
        <v>1889</v>
      </c>
      <c r="K1297" s="1929" t="s">
        <v>2713</v>
      </c>
    </row>
    <row r="1298" spans="1:11" hidden="1" x14ac:dyDescent="0.2">
      <c r="A1298" s="1929" t="s">
        <v>2712</v>
      </c>
      <c r="B1298" s="1929" t="s">
        <v>1245</v>
      </c>
      <c r="C1298" s="1929" t="s">
        <v>1479</v>
      </c>
      <c r="D1298" s="1929" t="s">
        <v>1013</v>
      </c>
      <c r="E1298" s="1929" t="s">
        <v>295</v>
      </c>
      <c r="F1298" s="1929">
        <v>1.6</v>
      </c>
      <c r="G1298" s="1929">
        <v>12.1</v>
      </c>
      <c r="H1298" s="1929">
        <v>-0.7</v>
      </c>
      <c r="I1298" s="1929">
        <v>6.6</v>
      </c>
      <c r="J1298" s="1929">
        <v>1947</v>
      </c>
      <c r="K1298" s="1929" t="s">
        <v>2711</v>
      </c>
    </row>
    <row r="1299" spans="1:11" hidden="1" x14ac:dyDescent="0.2">
      <c r="A1299" s="1929" t="s">
        <v>2710</v>
      </c>
      <c r="B1299" s="1929" t="s">
        <v>1245</v>
      </c>
      <c r="C1299" s="1929" t="s">
        <v>1320</v>
      </c>
      <c r="D1299" s="1929" t="s">
        <v>1013</v>
      </c>
      <c r="E1299" s="1929" t="s">
        <v>295</v>
      </c>
      <c r="F1299" s="1929">
        <v>5</v>
      </c>
      <c r="G1299" s="1929">
        <v>2</v>
      </c>
      <c r="H1299" s="1929">
        <v>0.7</v>
      </c>
      <c r="I1299" s="1929">
        <v>3.4</v>
      </c>
      <c r="J1299" s="1929">
        <v>1968</v>
      </c>
      <c r="K1299" s="1929" t="s">
        <v>2709</v>
      </c>
    </row>
    <row r="1300" spans="1:11" hidden="1" x14ac:dyDescent="0.2">
      <c r="A1300" s="1929" t="s">
        <v>2708</v>
      </c>
      <c r="B1300" s="1929" t="s">
        <v>1258</v>
      </c>
      <c r="C1300" s="1929" t="s">
        <v>1263</v>
      </c>
      <c r="D1300" s="1929" t="s">
        <v>1013</v>
      </c>
      <c r="E1300" s="1929" t="s">
        <v>296</v>
      </c>
      <c r="F1300" s="1929">
        <v>26.7</v>
      </c>
      <c r="G1300" s="1929">
        <v>92.5</v>
      </c>
      <c r="H1300" s="1929">
        <v>3.1</v>
      </c>
      <c r="I1300" s="1929">
        <v>54.8</v>
      </c>
      <c r="J1300" s="1929">
        <v>180</v>
      </c>
      <c r="K1300" s="1929" t="s">
        <v>2707</v>
      </c>
    </row>
    <row r="1301" spans="1:11" hidden="1" x14ac:dyDescent="0.2">
      <c r="A1301" s="1929" t="s">
        <v>2706</v>
      </c>
      <c r="B1301" s="1929" t="s">
        <v>1217</v>
      </c>
      <c r="C1301" s="1929" t="s">
        <v>1216</v>
      </c>
      <c r="D1301" s="1929" t="s">
        <v>1013</v>
      </c>
      <c r="E1301" s="1929" t="s">
        <v>296</v>
      </c>
      <c r="F1301" s="1929">
        <v>16.600000000000001</v>
      </c>
      <c r="G1301" s="1929">
        <v>5.7</v>
      </c>
      <c r="H1301" s="1929">
        <v>1.6</v>
      </c>
      <c r="I1301" s="1929">
        <v>77.099999999999994</v>
      </c>
      <c r="J1301" s="1929">
        <v>542</v>
      </c>
      <c r="K1301" s="1929" t="s">
        <v>2705</v>
      </c>
    </row>
    <row r="1302" spans="1:11" hidden="1" x14ac:dyDescent="0.2">
      <c r="A1302" s="1929" t="s">
        <v>2704</v>
      </c>
      <c r="B1302" s="1929" t="s">
        <v>1217</v>
      </c>
      <c r="C1302" s="1929" t="s">
        <v>2291</v>
      </c>
      <c r="D1302" s="1929" t="s">
        <v>1013</v>
      </c>
      <c r="E1302" s="1929" t="s">
        <v>296</v>
      </c>
      <c r="F1302" s="1929">
        <v>13.3</v>
      </c>
      <c r="G1302" s="1929">
        <v>6.9</v>
      </c>
      <c r="H1302" s="1929">
        <v>1.3</v>
      </c>
      <c r="I1302" s="1929">
        <v>69.7</v>
      </c>
      <c r="J1302" s="1929">
        <v>555</v>
      </c>
      <c r="K1302" s="1929" t="s">
        <v>2703</v>
      </c>
    </row>
    <row r="1303" spans="1:11" hidden="1" x14ac:dyDescent="0.2">
      <c r="A1303" s="1929" t="s">
        <v>2702</v>
      </c>
      <c r="B1303" s="1929" t="s">
        <v>1234</v>
      </c>
      <c r="C1303" s="1929" t="s">
        <v>1233</v>
      </c>
      <c r="D1303" s="1929" t="s">
        <v>1013</v>
      </c>
      <c r="E1303" s="1929" t="s">
        <v>296</v>
      </c>
      <c r="F1303" s="1929">
        <v>15.5</v>
      </c>
      <c r="G1303" s="1929">
        <v>14.1</v>
      </c>
      <c r="H1303" s="1929">
        <v>1.2</v>
      </c>
      <c r="I1303" s="1929">
        <v>13.4</v>
      </c>
      <c r="J1303" s="1929">
        <v>626</v>
      </c>
      <c r="K1303" s="1929" t="s">
        <v>2701</v>
      </c>
    </row>
    <row r="1304" spans="1:11" hidden="1" x14ac:dyDescent="0.2">
      <c r="A1304" s="1929" t="s">
        <v>2700</v>
      </c>
      <c r="B1304" s="1929" t="s">
        <v>1234</v>
      </c>
      <c r="C1304" s="1929" t="s">
        <v>1461</v>
      </c>
      <c r="D1304" s="1929" t="s">
        <v>1013</v>
      </c>
      <c r="E1304" s="1929" t="s">
        <v>296</v>
      </c>
      <c r="F1304" s="1929">
        <v>10.1</v>
      </c>
      <c r="G1304" s="1929">
        <v>18</v>
      </c>
      <c r="H1304" s="1929">
        <v>1.1000000000000001</v>
      </c>
      <c r="I1304" s="1929">
        <v>13.2</v>
      </c>
      <c r="J1304" s="1929">
        <v>687</v>
      </c>
      <c r="K1304" s="1929" t="s">
        <v>2699</v>
      </c>
    </row>
    <row r="1305" spans="1:11" hidden="1" x14ac:dyDescent="0.2">
      <c r="A1305" s="1929" t="s">
        <v>2698</v>
      </c>
      <c r="B1305" s="1929" t="s">
        <v>1217</v>
      </c>
      <c r="C1305" s="1929" t="s">
        <v>1216</v>
      </c>
      <c r="D1305" s="1929" t="s">
        <v>1013</v>
      </c>
      <c r="E1305" s="1929" t="s">
        <v>296</v>
      </c>
      <c r="F1305" s="1929">
        <v>10.7</v>
      </c>
      <c r="G1305" s="1929">
        <v>4.5999999999999996</v>
      </c>
      <c r="H1305" s="1929">
        <v>1.2</v>
      </c>
      <c r="I1305" s="1929">
        <v>79</v>
      </c>
      <c r="J1305" s="1929">
        <v>711</v>
      </c>
      <c r="K1305" s="1929" t="s">
        <v>2697</v>
      </c>
    </row>
    <row r="1306" spans="1:11" hidden="1" x14ac:dyDescent="0.2">
      <c r="A1306" s="1929" t="s">
        <v>2696</v>
      </c>
      <c r="B1306" s="1929" t="s">
        <v>1217</v>
      </c>
      <c r="C1306" s="1929" t="s">
        <v>1216</v>
      </c>
      <c r="D1306" s="1929" t="s">
        <v>1013</v>
      </c>
      <c r="E1306" s="1929" t="s">
        <v>296</v>
      </c>
      <c r="F1306" s="1929">
        <v>8.1</v>
      </c>
      <c r="G1306" s="1929">
        <v>4.5</v>
      </c>
      <c r="H1306" s="1929">
        <v>1.1000000000000001</v>
      </c>
      <c r="I1306" s="1929">
        <v>76.5</v>
      </c>
      <c r="J1306" s="1929">
        <v>799</v>
      </c>
      <c r="K1306" s="1929" t="s">
        <v>2695</v>
      </c>
    </row>
    <row r="1307" spans="1:11" hidden="1" x14ac:dyDescent="0.2">
      <c r="A1307" s="1929" t="s">
        <v>2694</v>
      </c>
      <c r="B1307" s="1929" t="s">
        <v>1249</v>
      </c>
      <c r="C1307" s="1929" t="s">
        <v>1248</v>
      </c>
      <c r="D1307" s="1929" t="s">
        <v>1013</v>
      </c>
      <c r="E1307" s="1929" t="s">
        <v>296</v>
      </c>
      <c r="F1307" s="1929">
        <v>21</v>
      </c>
      <c r="G1307" s="1929">
        <v>4.5999999999999996</v>
      </c>
      <c r="H1307" s="1929">
        <v>1.2</v>
      </c>
      <c r="I1307" s="1929">
        <v>3.4</v>
      </c>
      <c r="J1307" s="1929">
        <v>1018</v>
      </c>
      <c r="K1307" s="1929" t="s">
        <v>2693</v>
      </c>
    </row>
    <row r="1308" spans="1:11" hidden="1" x14ac:dyDescent="0.2">
      <c r="A1308" s="1929" t="s">
        <v>2692</v>
      </c>
      <c r="B1308" s="1929" t="s">
        <v>1228</v>
      </c>
      <c r="C1308" s="1929" t="s">
        <v>1297</v>
      </c>
      <c r="D1308" s="1929" t="s">
        <v>1013</v>
      </c>
      <c r="E1308" s="1929" t="s">
        <v>296</v>
      </c>
      <c r="F1308" s="1929">
        <v>12.1</v>
      </c>
      <c r="G1308" s="1929">
        <v>8.9</v>
      </c>
      <c r="H1308" s="1929">
        <v>0.3</v>
      </c>
      <c r="I1308" s="1929">
        <v>8.8000000000000007</v>
      </c>
      <c r="J1308" s="1929">
        <v>1230</v>
      </c>
      <c r="K1308" s="1929" t="s">
        <v>2691</v>
      </c>
    </row>
    <row r="1309" spans="1:11" hidden="1" x14ac:dyDescent="0.2">
      <c r="A1309" s="1929" t="s">
        <v>2690</v>
      </c>
      <c r="B1309" s="1929" t="s">
        <v>1217</v>
      </c>
      <c r="C1309" s="1929" t="s">
        <v>1216</v>
      </c>
      <c r="D1309" s="1929" t="s">
        <v>1013</v>
      </c>
      <c r="E1309" s="1929" t="s">
        <v>296</v>
      </c>
      <c r="F1309" s="1929">
        <v>7</v>
      </c>
      <c r="G1309" s="1929">
        <v>3.1</v>
      </c>
      <c r="H1309" s="1929">
        <v>0.4</v>
      </c>
      <c r="I1309" s="1929">
        <v>35.9</v>
      </c>
      <c r="J1309" s="1929">
        <v>1259</v>
      </c>
      <c r="K1309" s="1929" t="s">
        <v>2689</v>
      </c>
    </row>
    <row r="1310" spans="1:11" hidden="1" x14ac:dyDescent="0.2">
      <c r="A1310" s="1929" t="s">
        <v>2688</v>
      </c>
      <c r="B1310" s="1929" t="s">
        <v>1306</v>
      </c>
      <c r="C1310" s="1929" t="s">
        <v>1413</v>
      </c>
      <c r="D1310" s="1929" t="s">
        <v>1013</v>
      </c>
      <c r="E1310" s="1929" t="s">
        <v>296</v>
      </c>
      <c r="F1310" s="1929">
        <v>12.1</v>
      </c>
      <c r="G1310" s="1929">
        <v>5.0999999999999996</v>
      </c>
      <c r="H1310" s="1929">
        <v>0.6</v>
      </c>
      <c r="I1310" s="1929">
        <v>5.6</v>
      </c>
      <c r="J1310" s="1929">
        <v>1261</v>
      </c>
      <c r="K1310" s="1929" t="s">
        <v>2687</v>
      </c>
    </row>
    <row r="1311" spans="1:11" hidden="1" x14ac:dyDescent="0.2">
      <c r="A1311" s="1929" t="s">
        <v>2686</v>
      </c>
      <c r="B1311" s="1929" t="s">
        <v>1306</v>
      </c>
      <c r="C1311" s="1929" t="s">
        <v>1305</v>
      </c>
      <c r="D1311" s="1929" t="s">
        <v>1013</v>
      </c>
      <c r="E1311" s="1929" t="s">
        <v>296</v>
      </c>
      <c r="F1311" s="1929">
        <v>6.7</v>
      </c>
      <c r="G1311" s="1929">
        <v>12.7</v>
      </c>
      <c r="H1311" s="1929">
        <v>0.2</v>
      </c>
      <c r="I1311" s="1929">
        <v>11.1</v>
      </c>
      <c r="J1311" s="1929">
        <v>1414</v>
      </c>
      <c r="K1311" s="1929" t="s">
        <v>2685</v>
      </c>
    </row>
    <row r="1312" spans="1:11" hidden="1" x14ac:dyDescent="0.2">
      <c r="A1312" s="1929" t="s">
        <v>2684</v>
      </c>
      <c r="B1312" s="1929" t="s">
        <v>1258</v>
      </c>
      <c r="C1312" s="1929" t="s">
        <v>1263</v>
      </c>
      <c r="D1312" s="1929" t="s">
        <v>1013</v>
      </c>
      <c r="E1312" s="1929" t="s">
        <v>296</v>
      </c>
      <c r="F1312" s="1929">
        <v>3.3</v>
      </c>
      <c r="G1312" s="1929">
        <v>13.5</v>
      </c>
      <c r="H1312" s="1929">
        <v>0.3</v>
      </c>
      <c r="I1312" s="1929">
        <v>6.4</v>
      </c>
      <c r="J1312" s="1929">
        <v>1587</v>
      </c>
      <c r="K1312" s="1929" t="s">
        <v>2683</v>
      </c>
    </row>
    <row r="1313" spans="1:11" hidden="1" x14ac:dyDescent="0.2">
      <c r="A1313" s="1929" t="s">
        <v>2682</v>
      </c>
      <c r="B1313" s="1929" t="s">
        <v>1238</v>
      </c>
      <c r="C1313" s="1929" t="s">
        <v>1700</v>
      </c>
      <c r="D1313" s="1929" t="s">
        <v>1013</v>
      </c>
      <c r="E1313" s="1929" t="s">
        <v>296</v>
      </c>
      <c r="F1313" s="1929">
        <v>8.5</v>
      </c>
      <c r="G1313" s="1929">
        <v>1.2</v>
      </c>
      <c r="H1313" s="1929">
        <v>0.5</v>
      </c>
      <c r="I1313" s="1929">
        <v>4.7</v>
      </c>
      <c r="J1313" s="1929">
        <v>1612</v>
      </c>
      <c r="K1313" s="1929" t="s">
        <v>2681</v>
      </c>
    </row>
    <row r="1314" spans="1:11" hidden="1" x14ac:dyDescent="0.2">
      <c r="A1314" s="1929" t="s">
        <v>2680</v>
      </c>
      <c r="B1314" s="1929" t="s">
        <v>1217</v>
      </c>
      <c r="C1314" s="1929" t="s">
        <v>1216</v>
      </c>
      <c r="D1314" s="1929" t="s">
        <v>1013</v>
      </c>
      <c r="E1314" s="1929" t="s">
        <v>296</v>
      </c>
      <c r="F1314" s="1929">
        <v>1.4</v>
      </c>
      <c r="G1314" s="1929">
        <v>2.4</v>
      </c>
      <c r="H1314" s="1929">
        <v>0.3</v>
      </c>
      <c r="I1314" s="1929">
        <v>32</v>
      </c>
      <c r="J1314" s="1929">
        <v>1679</v>
      </c>
      <c r="K1314" s="1929" t="s">
        <v>2679</v>
      </c>
    </row>
    <row r="1315" spans="1:11" hidden="1" x14ac:dyDescent="0.2">
      <c r="A1315" s="1929" t="s">
        <v>2678</v>
      </c>
      <c r="D1315" s="1929" t="s">
        <v>1013</v>
      </c>
      <c r="E1315" s="1929" t="s">
        <v>296</v>
      </c>
      <c r="F1315" s="1929">
        <v>7.6</v>
      </c>
      <c r="G1315" s="1929">
        <v>0.3</v>
      </c>
      <c r="H1315" s="1929">
        <v>0.5</v>
      </c>
      <c r="I1315" s="1929">
        <v>1.5</v>
      </c>
      <c r="J1315" s="1929">
        <v>1790</v>
      </c>
      <c r="K1315" s="1929" t="s">
        <v>2677</v>
      </c>
    </row>
    <row r="1316" spans="1:11" hidden="1" x14ac:dyDescent="0.2">
      <c r="A1316" s="1929" t="s">
        <v>2676</v>
      </c>
      <c r="B1316" s="1929" t="s">
        <v>1249</v>
      </c>
      <c r="C1316" s="1929" t="s">
        <v>1248</v>
      </c>
      <c r="D1316" s="1929" t="s">
        <v>1013</v>
      </c>
      <c r="E1316" s="1929" t="s">
        <v>296</v>
      </c>
      <c r="F1316" s="1929">
        <v>8.6999999999999993</v>
      </c>
      <c r="G1316" s="1929">
        <v>3.1</v>
      </c>
      <c r="H1316" s="1929">
        <v>0.3</v>
      </c>
      <c r="I1316" s="1929">
        <v>3.2</v>
      </c>
      <c r="J1316" s="1929">
        <v>1949</v>
      </c>
      <c r="K1316" s="1929" t="s">
        <v>2675</v>
      </c>
    </row>
    <row r="1317" spans="1:11" hidden="1" x14ac:dyDescent="0.2">
      <c r="A1317" s="1929" t="s">
        <v>2674</v>
      </c>
      <c r="B1317" s="1929" t="s">
        <v>1217</v>
      </c>
      <c r="C1317" s="1929" t="s">
        <v>1216</v>
      </c>
      <c r="D1317" s="1929" t="s">
        <v>305</v>
      </c>
      <c r="E1317" s="1929" t="s">
        <v>562</v>
      </c>
      <c r="F1317" s="1929">
        <v>1.4</v>
      </c>
      <c r="G1317" s="1929">
        <v>2.6</v>
      </c>
      <c r="H1317" s="1929">
        <v>0.3</v>
      </c>
      <c r="I1317" s="1929">
        <v>21.5</v>
      </c>
      <c r="J1317" s="1929">
        <v>1785</v>
      </c>
      <c r="K1317" s="1929" t="s">
        <v>2673</v>
      </c>
    </row>
    <row r="1318" spans="1:11" hidden="1" x14ac:dyDescent="0.2">
      <c r="A1318" s="1929" t="s">
        <v>2672</v>
      </c>
      <c r="B1318" s="1929" t="s">
        <v>1217</v>
      </c>
      <c r="C1318" s="1929" t="s">
        <v>1216</v>
      </c>
      <c r="D1318" s="1929" t="s">
        <v>303</v>
      </c>
      <c r="E1318" s="1929" t="s">
        <v>61</v>
      </c>
      <c r="F1318" s="1929">
        <v>9.9</v>
      </c>
      <c r="G1318" s="1929">
        <v>14.6</v>
      </c>
      <c r="H1318" s="1929">
        <v>2.2999999999999998</v>
      </c>
      <c r="I1318" s="1929">
        <v>114.3</v>
      </c>
      <c r="J1318" s="1929">
        <v>392</v>
      </c>
      <c r="K1318" s="1929" t="s">
        <v>2671</v>
      </c>
    </row>
    <row r="1319" spans="1:11" hidden="1" x14ac:dyDescent="0.2">
      <c r="A1319" s="1929" t="s">
        <v>2670</v>
      </c>
      <c r="B1319" s="1929" t="s">
        <v>1217</v>
      </c>
      <c r="C1319" s="1929" t="s">
        <v>1216</v>
      </c>
      <c r="D1319" s="1929" t="s">
        <v>303</v>
      </c>
      <c r="E1319" s="1929" t="s">
        <v>61</v>
      </c>
      <c r="F1319" s="1929">
        <v>14.9</v>
      </c>
      <c r="G1319" s="1929">
        <v>9.5</v>
      </c>
      <c r="H1319" s="1929">
        <v>1.9</v>
      </c>
      <c r="I1319" s="1929">
        <v>101.3</v>
      </c>
      <c r="J1319" s="1929">
        <v>414</v>
      </c>
      <c r="K1319" s="1929" t="s">
        <v>2669</v>
      </c>
    </row>
    <row r="1320" spans="1:11" hidden="1" x14ac:dyDescent="0.2">
      <c r="A1320" s="1929" t="s">
        <v>2668</v>
      </c>
      <c r="B1320" s="1929" t="s">
        <v>1238</v>
      </c>
      <c r="C1320" s="1929" t="s">
        <v>1878</v>
      </c>
      <c r="D1320" s="1929" t="s">
        <v>303</v>
      </c>
      <c r="E1320" s="1929" t="s">
        <v>61</v>
      </c>
      <c r="F1320" s="1929">
        <v>10.6</v>
      </c>
      <c r="G1320" s="1929">
        <v>34.700000000000003</v>
      </c>
      <c r="H1320" s="1929">
        <v>1.4</v>
      </c>
      <c r="I1320" s="1929">
        <v>27.4</v>
      </c>
      <c r="J1320" s="1929">
        <v>450</v>
      </c>
      <c r="K1320" s="1929" t="s">
        <v>2667</v>
      </c>
    </row>
    <row r="1321" spans="1:11" hidden="1" x14ac:dyDescent="0.2">
      <c r="A1321" s="1929" t="s">
        <v>2666</v>
      </c>
      <c r="B1321" s="1929" t="s">
        <v>1217</v>
      </c>
      <c r="C1321" s="1929" t="s">
        <v>1216</v>
      </c>
      <c r="D1321" s="1929" t="s">
        <v>303</v>
      </c>
      <c r="E1321" s="1929" t="s">
        <v>61</v>
      </c>
      <c r="F1321" s="1929">
        <v>13.2</v>
      </c>
      <c r="G1321" s="1929">
        <v>7.9</v>
      </c>
      <c r="H1321" s="1929">
        <v>1.7</v>
      </c>
      <c r="I1321" s="1929">
        <v>90.4</v>
      </c>
      <c r="J1321" s="1929">
        <v>487</v>
      </c>
      <c r="K1321" s="1929" t="s">
        <v>2665</v>
      </c>
    </row>
    <row r="1322" spans="1:11" hidden="1" x14ac:dyDescent="0.2">
      <c r="A1322" s="1929" t="s">
        <v>2664</v>
      </c>
      <c r="B1322" s="1929" t="s">
        <v>1238</v>
      </c>
      <c r="C1322" s="1929" t="s">
        <v>1878</v>
      </c>
      <c r="D1322" s="1929" t="s">
        <v>303</v>
      </c>
      <c r="E1322" s="1929" t="s">
        <v>61</v>
      </c>
      <c r="F1322" s="1929">
        <v>8.1</v>
      </c>
      <c r="G1322" s="1929">
        <v>13</v>
      </c>
      <c r="H1322" s="1929">
        <v>0.9</v>
      </c>
      <c r="I1322" s="1929">
        <v>96.1</v>
      </c>
      <c r="J1322" s="1929">
        <v>563</v>
      </c>
      <c r="K1322" s="1929" t="s">
        <v>2663</v>
      </c>
    </row>
    <row r="1323" spans="1:11" hidden="1" x14ac:dyDescent="0.2">
      <c r="A1323" s="1929" t="s">
        <v>2662</v>
      </c>
      <c r="B1323" s="1929" t="s">
        <v>1217</v>
      </c>
      <c r="C1323" s="1929" t="s">
        <v>1216</v>
      </c>
      <c r="D1323" s="1929" t="s">
        <v>303</v>
      </c>
      <c r="E1323" s="1929" t="s">
        <v>61</v>
      </c>
      <c r="F1323" s="1929">
        <v>7.9</v>
      </c>
      <c r="G1323" s="1929">
        <v>6.4</v>
      </c>
      <c r="H1323" s="1929">
        <v>1.6</v>
      </c>
      <c r="I1323" s="1929">
        <v>61.1</v>
      </c>
      <c r="J1323" s="1929">
        <v>659</v>
      </c>
      <c r="K1323" s="1929" t="s">
        <v>2661</v>
      </c>
    </row>
    <row r="1324" spans="1:11" hidden="1" x14ac:dyDescent="0.2">
      <c r="A1324" s="1929" t="s">
        <v>2660</v>
      </c>
      <c r="B1324" s="1929" t="s">
        <v>1217</v>
      </c>
      <c r="C1324" s="1929" t="s">
        <v>1216</v>
      </c>
      <c r="D1324" s="1929" t="s">
        <v>303</v>
      </c>
      <c r="E1324" s="1929" t="s">
        <v>61</v>
      </c>
      <c r="F1324" s="1929">
        <v>4.8</v>
      </c>
      <c r="G1324" s="1929">
        <v>6.3</v>
      </c>
      <c r="H1324" s="1929">
        <v>0.9</v>
      </c>
      <c r="I1324" s="1929">
        <v>62.9</v>
      </c>
      <c r="J1324" s="1929">
        <v>911</v>
      </c>
      <c r="K1324" s="1929" t="s">
        <v>2659</v>
      </c>
    </row>
    <row r="1325" spans="1:11" hidden="1" x14ac:dyDescent="0.2">
      <c r="A1325" s="1929" t="s">
        <v>2658</v>
      </c>
      <c r="B1325" s="1929" t="s">
        <v>1249</v>
      </c>
      <c r="C1325" s="1929" t="s">
        <v>1248</v>
      </c>
      <c r="D1325" s="1929" t="s">
        <v>303</v>
      </c>
      <c r="E1325" s="1929" t="s">
        <v>61</v>
      </c>
      <c r="F1325" s="1929">
        <v>12.5</v>
      </c>
      <c r="G1325" s="1929">
        <v>6</v>
      </c>
      <c r="H1325" s="1929">
        <v>1.2</v>
      </c>
      <c r="I1325" s="1929">
        <v>10</v>
      </c>
      <c r="J1325" s="1929">
        <v>958</v>
      </c>
      <c r="K1325" s="1929" t="s">
        <v>2657</v>
      </c>
    </row>
    <row r="1326" spans="1:11" hidden="1" x14ac:dyDescent="0.2">
      <c r="A1326" s="1929" t="s">
        <v>2656</v>
      </c>
      <c r="B1326" s="1929" t="s">
        <v>1249</v>
      </c>
      <c r="C1326" s="1929" t="s">
        <v>1248</v>
      </c>
      <c r="D1326" s="1929" t="s">
        <v>303</v>
      </c>
      <c r="E1326" s="1929" t="s">
        <v>61</v>
      </c>
      <c r="F1326" s="1929">
        <v>9.9</v>
      </c>
      <c r="G1326" s="1929">
        <v>6.9</v>
      </c>
      <c r="H1326" s="1929">
        <v>0.7</v>
      </c>
      <c r="I1326" s="1929">
        <v>8.5</v>
      </c>
      <c r="J1326" s="1929">
        <v>1124</v>
      </c>
      <c r="K1326" s="1929" t="s">
        <v>2655</v>
      </c>
    </row>
    <row r="1327" spans="1:11" hidden="1" x14ac:dyDescent="0.2">
      <c r="A1327" s="1929" t="s">
        <v>2654</v>
      </c>
      <c r="B1327" s="1929" t="s">
        <v>1238</v>
      </c>
      <c r="C1327" s="1929" t="s">
        <v>1241</v>
      </c>
      <c r="D1327" s="1929" t="s">
        <v>303</v>
      </c>
      <c r="E1327" s="1929" t="s">
        <v>61</v>
      </c>
      <c r="F1327" s="1929">
        <v>9.6</v>
      </c>
      <c r="G1327" s="1929">
        <v>6.5</v>
      </c>
      <c r="H1327" s="1929">
        <v>0.7</v>
      </c>
      <c r="I1327" s="1929">
        <v>8.5</v>
      </c>
      <c r="J1327" s="1929">
        <v>1170</v>
      </c>
      <c r="K1327" s="1929" t="s">
        <v>2653</v>
      </c>
    </row>
    <row r="1328" spans="1:11" hidden="1" x14ac:dyDescent="0.2">
      <c r="A1328" s="1929" t="s">
        <v>2652</v>
      </c>
      <c r="B1328" s="1929" t="s">
        <v>1306</v>
      </c>
      <c r="C1328" s="1929" t="s">
        <v>1413</v>
      </c>
      <c r="D1328" s="1929" t="s">
        <v>303</v>
      </c>
      <c r="E1328" s="1929" t="s">
        <v>61</v>
      </c>
      <c r="F1328" s="1929">
        <v>6.7</v>
      </c>
      <c r="G1328" s="1929">
        <v>4.8</v>
      </c>
      <c r="H1328" s="1929">
        <v>1.4</v>
      </c>
      <c r="I1328" s="1929">
        <v>10.4</v>
      </c>
      <c r="J1328" s="1929">
        <v>1213</v>
      </c>
      <c r="K1328" s="1929" t="s">
        <v>2651</v>
      </c>
    </row>
    <row r="1329" spans="1:11" hidden="1" x14ac:dyDescent="0.2">
      <c r="A1329" s="1929" t="s">
        <v>2650</v>
      </c>
      <c r="B1329" s="1929" t="s">
        <v>1238</v>
      </c>
      <c r="C1329" s="1929" t="s">
        <v>1485</v>
      </c>
      <c r="D1329" s="1929" t="s">
        <v>303</v>
      </c>
      <c r="E1329" s="1929" t="s">
        <v>61</v>
      </c>
      <c r="F1329" s="1929">
        <v>4.3</v>
      </c>
      <c r="G1329" s="1929">
        <v>9.9</v>
      </c>
      <c r="H1329" s="1929">
        <v>0.4</v>
      </c>
      <c r="I1329" s="1929">
        <v>11.8</v>
      </c>
      <c r="J1329" s="1929">
        <v>1485</v>
      </c>
      <c r="K1329" s="1929" t="s">
        <v>2649</v>
      </c>
    </row>
    <row r="1330" spans="1:11" hidden="1" x14ac:dyDescent="0.2">
      <c r="A1330" s="1929" t="s">
        <v>2648</v>
      </c>
      <c r="B1330" s="1929" t="s">
        <v>1249</v>
      </c>
      <c r="C1330" s="1929" t="s">
        <v>1248</v>
      </c>
      <c r="D1330" s="1929" t="s">
        <v>1013</v>
      </c>
      <c r="E1330" s="1929" t="s">
        <v>290</v>
      </c>
      <c r="F1330" s="1929">
        <v>25.8</v>
      </c>
      <c r="G1330" s="1929">
        <v>10.6</v>
      </c>
      <c r="H1330" s="1929">
        <v>1.9</v>
      </c>
      <c r="I1330" s="1929">
        <v>23.3</v>
      </c>
      <c r="J1330" s="1929">
        <v>458</v>
      </c>
      <c r="K1330" s="1929" t="s">
        <v>2647</v>
      </c>
    </row>
    <row r="1331" spans="1:11" hidden="1" x14ac:dyDescent="0.2">
      <c r="A1331" s="1929" t="s">
        <v>2646</v>
      </c>
      <c r="B1331" s="1929" t="s">
        <v>1217</v>
      </c>
      <c r="C1331" s="1929" t="s">
        <v>1216</v>
      </c>
      <c r="D1331" s="1929" t="s">
        <v>1013</v>
      </c>
      <c r="E1331" s="1929" t="s">
        <v>290</v>
      </c>
      <c r="F1331" s="1929">
        <v>17.899999999999999</v>
      </c>
      <c r="G1331" s="1929">
        <v>3.2</v>
      </c>
      <c r="H1331" s="1929">
        <v>1.2</v>
      </c>
      <c r="I1331" s="1929">
        <v>88.5</v>
      </c>
      <c r="J1331" s="1929">
        <v>639</v>
      </c>
      <c r="K1331" s="1929" t="s">
        <v>2645</v>
      </c>
    </row>
    <row r="1332" spans="1:11" hidden="1" x14ac:dyDescent="0.2">
      <c r="A1332" s="1929" t="s">
        <v>2644</v>
      </c>
      <c r="B1332" s="1929" t="s">
        <v>1217</v>
      </c>
      <c r="C1332" s="1929" t="s">
        <v>1216</v>
      </c>
      <c r="D1332" s="1929" t="s">
        <v>1013</v>
      </c>
      <c r="E1332" s="1929" t="s">
        <v>290</v>
      </c>
      <c r="F1332" s="1929">
        <v>17.5</v>
      </c>
      <c r="G1332" s="1929">
        <v>2.7</v>
      </c>
      <c r="H1332" s="1929">
        <v>1.3</v>
      </c>
      <c r="I1332" s="1929">
        <v>53.1</v>
      </c>
      <c r="J1332" s="1929">
        <v>679</v>
      </c>
      <c r="K1332" s="1929" t="s">
        <v>2643</v>
      </c>
    </row>
    <row r="1333" spans="1:11" hidden="1" x14ac:dyDescent="0.2">
      <c r="A1333" s="1929" t="s">
        <v>2642</v>
      </c>
      <c r="B1333" s="1929" t="s">
        <v>1217</v>
      </c>
      <c r="C1333" s="1929" t="s">
        <v>1216</v>
      </c>
      <c r="D1333" s="1929" t="s">
        <v>1013</v>
      </c>
      <c r="E1333" s="1929" t="s">
        <v>290</v>
      </c>
      <c r="F1333" s="1929">
        <v>12.8</v>
      </c>
      <c r="G1333" s="1929">
        <v>4</v>
      </c>
      <c r="H1333" s="1929">
        <v>0.8</v>
      </c>
      <c r="I1333" s="1929">
        <v>93.1</v>
      </c>
      <c r="J1333" s="1929">
        <v>765</v>
      </c>
      <c r="K1333" s="1929" t="s">
        <v>2641</v>
      </c>
    </row>
    <row r="1334" spans="1:11" hidden="1" x14ac:dyDescent="0.2">
      <c r="A1334" s="1929" t="s">
        <v>2640</v>
      </c>
      <c r="B1334" s="1929" t="s">
        <v>1217</v>
      </c>
      <c r="C1334" s="1929" t="s">
        <v>1216</v>
      </c>
      <c r="D1334" s="1929" t="s">
        <v>1013</v>
      </c>
      <c r="E1334" s="1929" t="s">
        <v>290</v>
      </c>
      <c r="F1334" s="1929">
        <v>11.2</v>
      </c>
      <c r="G1334" s="1929">
        <v>2.5</v>
      </c>
      <c r="H1334" s="1929">
        <v>0.9</v>
      </c>
      <c r="I1334" s="1929">
        <v>49.9</v>
      </c>
      <c r="J1334" s="1929">
        <v>813</v>
      </c>
      <c r="K1334" s="1929" t="s">
        <v>2639</v>
      </c>
    </row>
    <row r="1335" spans="1:11" hidden="1" x14ac:dyDescent="0.2">
      <c r="A1335" s="1929" t="s">
        <v>2638</v>
      </c>
      <c r="B1335" s="1929" t="s">
        <v>1217</v>
      </c>
      <c r="C1335" s="1929" t="s">
        <v>1456</v>
      </c>
      <c r="D1335" s="1929" t="s">
        <v>1013</v>
      </c>
      <c r="E1335" s="1929" t="s">
        <v>290</v>
      </c>
      <c r="F1335" s="1929">
        <v>17.899999999999999</v>
      </c>
      <c r="G1335" s="1929">
        <v>2.9</v>
      </c>
      <c r="H1335" s="1929">
        <v>0.7</v>
      </c>
      <c r="I1335" s="1929">
        <v>17.7</v>
      </c>
      <c r="J1335" s="1929">
        <v>953</v>
      </c>
      <c r="K1335" s="1929" t="s">
        <v>2637</v>
      </c>
    </row>
    <row r="1336" spans="1:11" hidden="1" x14ac:dyDescent="0.2">
      <c r="A1336" s="1929" t="s">
        <v>2636</v>
      </c>
      <c r="B1336" s="1929" t="s">
        <v>1238</v>
      </c>
      <c r="C1336" s="1929" t="s">
        <v>1700</v>
      </c>
      <c r="D1336" s="1929" t="s">
        <v>1013</v>
      </c>
      <c r="E1336" s="1929" t="s">
        <v>290</v>
      </c>
      <c r="F1336" s="1929">
        <v>15.1</v>
      </c>
      <c r="G1336" s="1929">
        <v>3.1</v>
      </c>
      <c r="H1336" s="1929">
        <v>0.6</v>
      </c>
      <c r="I1336" s="1929">
        <v>16.8</v>
      </c>
      <c r="J1336" s="1929">
        <v>1020</v>
      </c>
      <c r="K1336" s="1929" t="s">
        <v>2635</v>
      </c>
    </row>
    <row r="1337" spans="1:11" hidden="1" x14ac:dyDescent="0.2">
      <c r="A1337" s="1929" t="s">
        <v>2634</v>
      </c>
      <c r="B1337" s="1929" t="s">
        <v>1217</v>
      </c>
      <c r="C1337" s="1929" t="s">
        <v>1216</v>
      </c>
      <c r="D1337" s="1929" t="s">
        <v>1013</v>
      </c>
      <c r="E1337" s="1929" t="s">
        <v>290</v>
      </c>
      <c r="F1337" s="1929">
        <v>6.8</v>
      </c>
      <c r="G1337" s="1929">
        <v>1.3</v>
      </c>
      <c r="H1337" s="1929">
        <v>0.4</v>
      </c>
      <c r="I1337" s="1929">
        <v>30.8</v>
      </c>
      <c r="J1337" s="1929">
        <v>1257</v>
      </c>
      <c r="K1337" s="1929" t="s">
        <v>2633</v>
      </c>
    </row>
    <row r="1338" spans="1:11" hidden="1" x14ac:dyDescent="0.2">
      <c r="A1338" s="1929" t="s">
        <v>2632</v>
      </c>
      <c r="B1338" s="1929" t="s">
        <v>1217</v>
      </c>
      <c r="C1338" s="1929" t="s">
        <v>1216</v>
      </c>
      <c r="D1338" s="1929" t="s">
        <v>1013</v>
      </c>
      <c r="E1338" s="1929" t="s">
        <v>290</v>
      </c>
      <c r="F1338" s="1929">
        <v>5.3</v>
      </c>
      <c r="G1338" s="1929">
        <v>1.9</v>
      </c>
      <c r="H1338" s="1929">
        <v>0.5</v>
      </c>
      <c r="I1338" s="1929">
        <v>24.4</v>
      </c>
      <c r="J1338" s="1929">
        <v>1396</v>
      </c>
      <c r="K1338" s="1929" t="s">
        <v>2631</v>
      </c>
    </row>
    <row r="1339" spans="1:11" hidden="1" x14ac:dyDescent="0.2">
      <c r="A1339" s="1929" t="s">
        <v>2630</v>
      </c>
      <c r="B1339" s="1929" t="s">
        <v>1217</v>
      </c>
      <c r="C1339" s="1929" t="s">
        <v>1456</v>
      </c>
      <c r="D1339" s="1929" t="s">
        <v>1013</v>
      </c>
      <c r="E1339" s="1929" t="s">
        <v>290</v>
      </c>
      <c r="F1339" s="1929">
        <v>7.5</v>
      </c>
      <c r="G1339" s="1929">
        <v>1.5</v>
      </c>
      <c r="H1339" s="1929">
        <v>0.6</v>
      </c>
      <c r="I1339" s="1929">
        <v>11.9</v>
      </c>
      <c r="J1339" s="1929">
        <v>1413</v>
      </c>
      <c r="K1339" s="1929" t="s">
        <v>2629</v>
      </c>
    </row>
    <row r="1340" spans="1:11" hidden="1" x14ac:dyDescent="0.2">
      <c r="A1340" s="1929" t="s">
        <v>2628</v>
      </c>
      <c r="B1340" s="1929" t="s">
        <v>1310</v>
      </c>
      <c r="C1340" s="1929" t="s">
        <v>1309</v>
      </c>
      <c r="D1340" s="1929" t="s">
        <v>1013</v>
      </c>
      <c r="E1340" s="1929" t="s">
        <v>290</v>
      </c>
      <c r="F1340" s="1929">
        <v>2.1</v>
      </c>
      <c r="G1340" s="1929">
        <v>7</v>
      </c>
      <c r="H1340" s="1929">
        <v>-0.7</v>
      </c>
      <c r="I1340" s="1929">
        <v>33.200000000000003</v>
      </c>
      <c r="J1340" s="1929">
        <v>1432</v>
      </c>
      <c r="K1340" s="1929" t="s">
        <v>2627</v>
      </c>
    </row>
    <row r="1341" spans="1:11" hidden="1" x14ac:dyDescent="0.2">
      <c r="A1341" s="1929" t="s">
        <v>2626</v>
      </c>
      <c r="B1341" s="1929" t="s">
        <v>1217</v>
      </c>
      <c r="C1341" s="1929" t="s">
        <v>1216</v>
      </c>
      <c r="D1341" s="1929" t="s">
        <v>1013</v>
      </c>
      <c r="E1341" s="1929" t="s">
        <v>290</v>
      </c>
      <c r="F1341" s="1929">
        <v>5.2</v>
      </c>
      <c r="G1341" s="1929">
        <v>1.2</v>
      </c>
      <c r="H1341" s="1929">
        <v>0.4</v>
      </c>
      <c r="I1341" s="1929">
        <v>23.8</v>
      </c>
      <c r="J1341" s="1929">
        <v>1501</v>
      </c>
      <c r="K1341" s="1929" t="s">
        <v>2625</v>
      </c>
    </row>
    <row r="1342" spans="1:11" hidden="1" x14ac:dyDescent="0.2">
      <c r="A1342" s="1929" t="s">
        <v>2624</v>
      </c>
      <c r="B1342" s="1929" t="s">
        <v>1249</v>
      </c>
      <c r="C1342" s="1929" t="s">
        <v>1248</v>
      </c>
      <c r="D1342" s="1929" t="s">
        <v>1013</v>
      </c>
      <c r="E1342" s="1929" t="s">
        <v>290</v>
      </c>
      <c r="F1342" s="1929">
        <v>7.5</v>
      </c>
      <c r="G1342" s="1929">
        <v>2.9</v>
      </c>
      <c r="H1342" s="1929">
        <v>0.5</v>
      </c>
      <c r="I1342" s="1929">
        <v>4.4000000000000004</v>
      </c>
      <c r="J1342" s="1929">
        <v>1694</v>
      </c>
      <c r="K1342" s="1929" t="s">
        <v>2623</v>
      </c>
    </row>
    <row r="1343" spans="1:11" hidden="1" x14ac:dyDescent="0.2">
      <c r="A1343" s="1929" t="s">
        <v>2622</v>
      </c>
      <c r="B1343" s="1929" t="s">
        <v>1217</v>
      </c>
      <c r="C1343" s="1929" t="s">
        <v>1216</v>
      </c>
      <c r="D1343" s="1929" t="s">
        <v>1013</v>
      </c>
      <c r="E1343" s="1929" t="s">
        <v>290</v>
      </c>
      <c r="F1343" s="1929">
        <v>4.8</v>
      </c>
      <c r="G1343" s="1929">
        <v>1.3</v>
      </c>
      <c r="H1343" s="1929">
        <v>0.3</v>
      </c>
      <c r="I1343" s="1929">
        <v>28.1</v>
      </c>
      <c r="J1343" s="1929">
        <v>1736</v>
      </c>
      <c r="K1343" s="1929" t="s">
        <v>2621</v>
      </c>
    </row>
    <row r="1344" spans="1:11" hidden="1" x14ac:dyDescent="0.2">
      <c r="A1344" s="1929" t="s">
        <v>2620</v>
      </c>
      <c r="B1344" s="1929" t="s">
        <v>1217</v>
      </c>
      <c r="C1344" s="1929" t="s">
        <v>2291</v>
      </c>
      <c r="D1344" s="1929" t="s">
        <v>303</v>
      </c>
      <c r="E1344" s="1929" t="s">
        <v>62</v>
      </c>
      <c r="F1344" s="1929">
        <v>192.6</v>
      </c>
      <c r="G1344" s="1929">
        <v>79.599999999999994</v>
      </c>
      <c r="H1344" s="1929">
        <v>16.3</v>
      </c>
      <c r="I1344" s="1929">
        <v>2671.3</v>
      </c>
      <c r="J1344" s="1929">
        <v>14</v>
      </c>
      <c r="K1344" s="1929" t="s">
        <v>2619</v>
      </c>
    </row>
    <row r="1345" spans="1:11" hidden="1" x14ac:dyDescent="0.2">
      <c r="A1345" s="1929" t="s">
        <v>2618</v>
      </c>
      <c r="B1345" s="1929" t="s">
        <v>1258</v>
      </c>
      <c r="C1345" s="1929" t="s">
        <v>1263</v>
      </c>
      <c r="D1345" s="1929" t="s">
        <v>303</v>
      </c>
      <c r="E1345" s="1929" t="s">
        <v>62</v>
      </c>
      <c r="F1345" s="1929">
        <v>148.80000000000001</v>
      </c>
      <c r="G1345" s="1929">
        <v>379.2</v>
      </c>
      <c r="H1345" s="1929">
        <v>23.6</v>
      </c>
      <c r="I1345" s="1929">
        <v>305.7</v>
      </c>
      <c r="J1345" s="1929">
        <v>17</v>
      </c>
      <c r="K1345" s="1929" t="s">
        <v>2617</v>
      </c>
    </row>
    <row r="1346" spans="1:11" hidden="1" x14ac:dyDescent="0.2">
      <c r="A1346" s="1929" t="s">
        <v>2616</v>
      </c>
      <c r="B1346" s="1929" t="s">
        <v>1249</v>
      </c>
      <c r="C1346" s="1929" t="s">
        <v>1248</v>
      </c>
      <c r="D1346" s="1929" t="s">
        <v>303</v>
      </c>
      <c r="E1346" s="1929" t="s">
        <v>62</v>
      </c>
      <c r="F1346" s="1929">
        <v>96.9</v>
      </c>
      <c r="G1346" s="1929">
        <v>65.099999999999994</v>
      </c>
      <c r="H1346" s="1929">
        <v>31.8</v>
      </c>
      <c r="I1346" s="1929">
        <v>235.6</v>
      </c>
      <c r="J1346" s="1929">
        <v>38</v>
      </c>
      <c r="K1346" s="1929" t="s">
        <v>2615</v>
      </c>
    </row>
    <row r="1347" spans="1:11" hidden="1" x14ac:dyDescent="0.2">
      <c r="A1347" s="1929" t="s">
        <v>2614</v>
      </c>
      <c r="B1347" s="1929" t="s">
        <v>1217</v>
      </c>
      <c r="C1347" s="1929" t="s">
        <v>1302</v>
      </c>
      <c r="D1347" s="1929" t="s">
        <v>303</v>
      </c>
      <c r="E1347" s="1929" t="s">
        <v>62</v>
      </c>
      <c r="F1347" s="1929">
        <v>56.1</v>
      </c>
      <c r="G1347" s="1929">
        <v>81.900000000000006</v>
      </c>
      <c r="H1347" s="1929">
        <v>2.1</v>
      </c>
      <c r="I1347" s="1929">
        <v>528.5</v>
      </c>
      <c r="J1347" s="1929">
        <v>107</v>
      </c>
      <c r="K1347" s="1929" t="s">
        <v>2613</v>
      </c>
    </row>
    <row r="1348" spans="1:11" hidden="1" x14ac:dyDescent="0.2">
      <c r="A1348" s="1929" t="s">
        <v>2612</v>
      </c>
      <c r="B1348" s="1929" t="s">
        <v>1234</v>
      </c>
      <c r="C1348" s="1929" t="s">
        <v>1337</v>
      </c>
      <c r="D1348" s="1929" t="s">
        <v>303</v>
      </c>
      <c r="E1348" s="1929" t="s">
        <v>62</v>
      </c>
      <c r="F1348" s="1929">
        <v>103.8</v>
      </c>
      <c r="G1348" s="1929">
        <v>51.2</v>
      </c>
      <c r="H1348" s="1929">
        <v>3.7</v>
      </c>
      <c r="I1348" s="1929">
        <v>111</v>
      </c>
      <c r="J1348" s="1929">
        <v>109</v>
      </c>
      <c r="K1348" s="1929" t="s">
        <v>2611</v>
      </c>
    </row>
    <row r="1349" spans="1:11" hidden="1" x14ac:dyDescent="0.2">
      <c r="A1349" s="1929" t="s">
        <v>2610</v>
      </c>
      <c r="B1349" s="1929" t="s">
        <v>1269</v>
      </c>
      <c r="C1349" s="1929" t="s">
        <v>1504</v>
      </c>
      <c r="D1349" s="1929" t="s">
        <v>303</v>
      </c>
      <c r="E1349" s="1929" t="s">
        <v>62</v>
      </c>
      <c r="F1349" s="1929">
        <v>128.80000000000001</v>
      </c>
      <c r="G1349" s="1929">
        <v>41.4</v>
      </c>
      <c r="H1349" s="1929">
        <v>8.5</v>
      </c>
      <c r="I1349" s="1929">
        <v>69.7</v>
      </c>
      <c r="J1349" s="1929">
        <v>116</v>
      </c>
      <c r="K1349" s="1929" t="s">
        <v>2609</v>
      </c>
    </row>
    <row r="1350" spans="1:11" hidden="1" x14ac:dyDescent="0.2">
      <c r="A1350" s="1929" t="s">
        <v>2608</v>
      </c>
      <c r="B1350" s="1929" t="s">
        <v>1217</v>
      </c>
      <c r="C1350" s="1929" t="s">
        <v>2291</v>
      </c>
      <c r="D1350" s="1929" t="s">
        <v>303</v>
      </c>
      <c r="E1350" s="1929" t="s">
        <v>62</v>
      </c>
      <c r="F1350" s="1929">
        <v>51.1</v>
      </c>
      <c r="G1350" s="1929">
        <v>25.6</v>
      </c>
      <c r="H1350" s="1929">
        <v>4.0999999999999996</v>
      </c>
      <c r="I1350" s="1929">
        <v>674.4</v>
      </c>
      <c r="J1350" s="1929">
        <v>123</v>
      </c>
      <c r="K1350" s="1929" t="s">
        <v>2607</v>
      </c>
    </row>
    <row r="1351" spans="1:11" hidden="1" x14ac:dyDescent="0.2">
      <c r="A1351" s="1929" t="s">
        <v>2606</v>
      </c>
      <c r="B1351" s="1929" t="s">
        <v>1217</v>
      </c>
      <c r="C1351" s="1929" t="s">
        <v>1302</v>
      </c>
      <c r="D1351" s="1929" t="s">
        <v>303</v>
      </c>
      <c r="E1351" s="1929" t="s">
        <v>62</v>
      </c>
      <c r="F1351" s="1929">
        <v>24.1</v>
      </c>
      <c r="G1351" s="1929">
        <v>53.8</v>
      </c>
      <c r="H1351" s="1929">
        <v>3.1</v>
      </c>
      <c r="I1351" s="1929">
        <v>449.9</v>
      </c>
      <c r="J1351" s="1929">
        <v>143</v>
      </c>
      <c r="K1351" s="1929" t="s">
        <v>2605</v>
      </c>
    </row>
    <row r="1352" spans="1:11" hidden="1" x14ac:dyDescent="0.2">
      <c r="A1352" s="1929" t="s">
        <v>2604</v>
      </c>
      <c r="B1352" s="1929" t="s">
        <v>1217</v>
      </c>
      <c r="C1352" s="1929" t="s">
        <v>2291</v>
      </c>
      <c r="D1352" s="1929" t="s">
        <v>303</v>
      </c>
      <c r="E1352" s="1929" t="s">
        <v>62</v>
      </c>
      <c r="F1352" s="1929">
        <v>64.599999999999994</v>
      </c>
      <c r="G1352" s="1929">
        <v>55</v>
      </c>
      <c r="H1352" s="1929">
        <v>0.8</v>
      </c>
      <c r="I1352" s="1929">
        <v>2173.4</v>
      </c>
      <c r="J1352" s="1929">
        <v>160</v>
      </c>
      <c r="K1352" s="1929" t="s">
        <v>2603</v>
      </c>
    </row>
    <row r="1353" spans="1:11" hidden="1" x14ac:dyDescent="0.2">
      <c r="A1353" s="1929" t="s">
        <v>2602</v>
      </c>
      <c r="B1353" s="1929" t="s">
        <v>1310</v>
      </c>
      <c r="C1353" s="1929" t="s">
        <v>1379</v>
      </c>
      <c r="D1353" s="1929" t="s">
        <v>303</v>
      </c>
      <c r="E1353" s="1929" t="s">
        <v>62</v>
      </c>
      <c r="F1353" s="1929">
        <v>49.6</v>
      </c>
      <c r="G1353" s="1929">
        <v>23.4</v>
      </c>
      <c r="H1353" s="1929">
        <v>3.9</v>
      </c>
      <c r="I1353" s="1929">
        <v>83.9</v>
      </c>
      <c r="J1353" s="1929">
        <v>168</v>
      </c>
      <c r="K1353" s="1929" t="s">
        <v>2601</v>
      </c>
    </row>
    <row r="1354" spans="1:11" hidden="1" x14ac:dyDescent="0.2">
      <c r="A1354" s="1929" t="s">
        <v>2600</v>
      </c>
      <c r="B1354" s="1929" t="s">
        <v>1306</v>
      </c>
      <c r="C1354" s="1929" t="s">
        <v>1819</v>
      </c>
      <c r="D1354" s="1929" t="s">
        <v>303</v>
      </c>
      <c r="E1354" s="1929" t="s">
        <v>62</v>
      </c>
      <c r="F1354" s="1929">
        <v>104.3</v>
      </c>
      <c r="G1354" s="1929">
        <v>23.9</v>
      </c>
      <c r="H1354" s="1929">
        <v>6.1</v>
      </c>
      <c r="I1354" s="1929">
        <v>44.5</v>
      </c>
      <c r="J1354" s="1929">
        <v>173</v>
      </c>
      <c r="K1354" s="1929" t="s">
        <v>2599</v>
      </c>
    </row>
    <row r="1355" spans="1:11" hidden="1" x14ac:dyDescent="0.2">
      <c r="A1355" s="1929" t="s">
        <v>2598</v>
      </c>
      <c r="B1355" s="1929" t="s">
        <v>1269</v>
      </c>
      <c r="C1355" s="1929" t="s">
        <v>1504</v>
      </c>
      <c r="D1355" s="1929" t="s">
        <v>303</v>
      </c>
      <c r="E1355" s="1929" t="s">
        <v>62</v>
      </c>
      <c r="F1355" s="1929">
        <v>82.3</v>
      </c>
      <c r="G1355" s="1929">
        <v>25.7</v>
      </c>
      <c r="H1355" s="1929">
        <v>2.6</v>
      </c>
      <c r="I1355" s="1929">
        <v>55.9</v>
      </c>
      <c r="J1355" s="1929">
        <v>183</v>
      </c>
      <c r="K1355" s="1929" t="s">
        <v>2597</v>
      </c>
    </row>
    <row r="1356" spans="1:11" hidden="1" x14ac:dyDescent="0.2">
      <c r="A1356" s="1929" t="s">
        <v>2596</v>
      </c>
      <c r="B1356" s="1929" t="s">
        <v>1217</v>
      </c>
      <c r="C1356" s="1929" t="s">
        <v>1302</v>
      </c>
      <c r="D1356" s="1929" t="s">
        <v>303</v>
      </c>
      <c r="E1356" s="1929" t="s">
        <v>62</v>
      </c>
      <c r="F1356" s="1929">
        <v>20.8</v>
      </c>
      <c r="G1356" s="1929">
        <v>61.2</v>
      </c>
      <c r="H1356" s="1929">
        <v>1.4</v>
      </c>
      <c r="I1356" s="1929">
        <v>596.70000000000005</v>
      </c>
      <c r="J1356" s="1929">
        <v>191</v>
      </c>
      <c r="K1356" s="1929" t="s">
        <v>2595</v>
      </c>
    </row>
    <row r="1357" spans="1:11" hidden="1" x14ac:dyDescent="0.2">
      <c r="A1357" s="1929" t="s">
        <v>2594</v>
      </c>
      <c r="B1357" s="1929" t="s">
        <v>1258</v>
      </c>
      <c r="C1357" s="1929" t="s">
        <v>1263</v>
      </c>
      <c r="D1357" s="1929" t="s">
        <v>303</v>
      </c>
      <c r="E1357" s="1929" t="s">
        <v>62</v>
      </c>
      <c r="F1357" s="1929">
        <v>64</v>
      </c>
      <c r="G1357" s="1929">
        <v>19.2</v>
      </c>
      <c r="H1357" s="1929">
        <v>2.5</v>
      </c>
      <c r="I1357" s="1929">
        <v>66</v>
      </c>
      <c r="J1357" s="1929">
        <v>210</v>
      </c>
      <c r="K1357" s="1929" t="s">
        <v>2593</v>
      </c>
    </row>
    <row r="1358" spans="1:11" hidden="1" x14ac:dyDescent="0.2">
      <c r="A1358" s="1929" t="s">
        <v>2592</v>
      </c>
      <c r="B1358" s="1929" t="s">
        <v>1306</v>
      </c>
      <c r="C1358" s="1929" t="s">
        <v>1413</v>
      </c>
      <c r="D1358" s="1929" t="s">
        <v>303</v>
      </c>
      <c r="E1358" s="1929" t="s">
        <v>62</v>
      </c>
      <c r="F1358" s="1929">
        <v>80.099999999999994</v>
      </c>
      <c r="G1358" s="1929">
        <v>17.5</v>
      </c>
      <c r="H1358" s="1929">
        <v>3.4</v>
      </c>
      <c r="I1358" s="1929">
        <v>53.7</v>
      </c>
      <c r="J1358" s="1929">
        <v>213</v>
      </c>
      <c r="K1358" s="1929" t="s">
        <v>2591</v>
      </c>
    </row>
    <row r="1359" spans="1:11" hidden="1" x14ac:dyDescent="0.2">
      <c r="A1359" s="1929" t="s">
        <v>2590</v>
      </c>
      <c r="B1359" s="1929" t="s">
        <v>1249</v>
      </c>
      <c r="C1359" s="1929" t="s">
        <v>1248</v>
      </c>
      <c r="D1359" s="1929" t="s">
        <v>303</v>
      </c>
      <c r="E1359" s="1929" t="s">
        <v>62</v>
      </c>
      <c r="F1359" s="1929">
        <v>50</v>
      </c>
      <c r="G1359" s="1929">
        <v>28.6</v>
      </c>
      <c r="H1359" s="1929">
        <v>3.2</v>
      </c>
      <c r="I1359" s="1929">
        <v>39.9</v>
      </c>
      <c r="J1359" s="1929">
        <v>218</v>
      </c>
      <c r="K1359" s="1929" t="s">
        <v>2589</v>
      </c>
    </row>
    <row r="1360" spans="1:11" hidden="1" x14ac:dyDescent="0.2">
      <c r="A1360" s="1929" t="s">
        <v>2588</v>
      </c>
      <c r="B1360" s="1929" t="s">
        <v>1306</v>
      </c>
      <c r="C1360" s="1929" t="s">
        <v>1413</v>
      </c>
      <c r="D1360" s="1929" t="s">
        <v>303</v>
      </c>
      <c r="E1360" s="1929" t="s">
        <v>62</v>
      </c>
      <c r="F1360" s="1929">
        <v>77.3</v>
      </c>
      <c r="G1360" s="1929">
        <v>17.7</v>
      </c>
      <c r="H1360" s="1929">
        <v>4</v>
      </c>
      <c r="I1360" s="1929">
        <v>40.200000000000003</v>
      </c>
      <c r="J1360" s="1929">
        <v>228</v>
      </c>
      <c r="K1360" s="1929" t="s">
        <v>2587</v>
      </c>
    </row>
    <row r="1361" spans="1:11" hidden="1" x14ac:dyDescent="0.2">
      <c r="A1361" s="1929" t="s">
        <v>2586</v>
      </c>
      <c r="B1361" s="1929" t="s">
        <v>1238</v>
      </c>
      <c r="C1361" s="1929" t="s">
        <v>1349</v>
      </c>
      <c r="D1361" s="1929" t="s">
        <v>303</v>
      </c>
      <c r="E1361" s="1929" t="s">
        <v>62</v>
      </c>
      <c r="F1361" s="1929">
        <v>34.299999999999997</v>
      </c>
      <c r="G1361" s="1929">
        <v>24.2</v>
      </c>
      <c r="H1361" s="1929">
        <v>2.1</v>
      </c>
      <c r="I1361" s="1929">
        <v>38.200000000000003</v>
      </c>
      <c r="J1361" s="1929">
        <v>281</v>
      </c>
      <c r="K1361" s="1929" t="s">
        <v>2585</v>
      </c>
    </row>
    <row r="1362" spans="1:11" hidden="1" x14ac:dyDescent="0.2">
      <c r="A1362" s="1929" t="s">
        <v>2584</v>
      </c>
      <c r="B1362" s="1929" t="s">
        <v>1306</v>
      </c>
      <c r="C1362" s="1929" t="s">
        <v>1819</v>
      </c>
      <c r="D1362" s="1929" t="s">
        <v>303</v>
      </c>
      <c r="E1362" s="1929" t="s">
        <v>62</v>
      </c>
      <c r="F1362" s="1929">
        <v>38.799999999999997</v>
      </c>
      <c r="G1362" s="1929">
        <v>22.8</v>
      </c>
      <c r="H1362" s="1929">
        <v>1.5</v>
      </c>
      <c r="I1362" s="1929">
        <v>46</v>
      </c>
      <c r="J1362" s="1929">
        <v>283</v>
      </c>
      <c r="K1362" s="1929" t="s">
        <v>2583</v>
      </c>
    </row>
    <row r="1363" spans="1:11" hidden="1" x14ac:dyDescent="0.2">
      <c r="A1363" s="1929" t="s">
        <v>2582</v>
      </c>
      <c r="B1363" s="1929" t="s">
        <v>1310</v>
      </c>
      <c r="C1363" s="1929" t="s">
        <v>1379</v>
      </c>
      <c r="D1363" s="1929" t="s">
        <v>303</v>
      </c>
      <c r="E1363" s="1929" t="s">
        <v>62</v>
      </c>
      <c r="F1363" s="1929">
        <v>27.7</v>
      </c>
      <c r="G1363" s="1929">
        <v>41.5</v>
      </c>
      <c r="H1363" s="1929">
        <v>1.5</v>
      </c>
      <c r="I1363" s="1929">
        <v>38.799999999999997</v>
      </c>
      <c r="J1363" s="1929">
        <v>291</v>
      </c>
      <c r="K1363" s="1929" t="s">
        <v>2581</v>
      </c>
    </row>
    <row r="1364" spans="1:11" hidden="1" x14ac:dyDescent="0.2">
      <c r="A1364" s="1929" t="s">
        <v>2580</v>
      </c>
      <c r="B1364" s="1929" t="s">
        <v>1217</v>
      </c>
      <c r="C1364" s="1929" t="s">
        <v>1368</v>
      </c>
      <c r="D1364" s="1929" t="s">
        <v>303</v>
      </c>
      <c r="E1364" s="1929" t="s">
        <v>62</v>
      </c>
      <c r="F1364" s="1929">
        <v>16.600000000000001</v>
      </c>
      <c r="G1364" s="1929">
        <v>31</v>
      </c>
      <c r="H1364" s="1929">
        <v>1.1000000000000001</v>
      </c>
      <c r="I1364" s="1929">
        <v>229.3</v>
      </c>
      <c r="J1364" s="1929">
        <v>295</v>
      </c>
      <c r="K1364" s="1929" t="s">
        <v>2579</v>
      </c>
    </row>
    <row r="1365" spans="1:11" hidden="1" x14ac:dyDescent="0.2">
      <c r="A1365" s="1929" t="s">
        <v>2578</v>
      </c>
      <c r="B1365" s="1929" t="s">
        <v>1306</v>
      </c>
      <c r="C1365" s="1929" t="s">
        <v>1389</v>
      </c>
      <c r="D1365" s="1929" t="s">
        <v>303</v>
      </c>
      <c r="E1365" s="1929" t="s">
        <v>62</v>
      </c>
      <c r="F1365" s="1929">
        <v>58.7</v>
      </c>
      <c r="G1365" s="1929">
        <v>15.2</v>
      </c>
      <c r="H1365" s="1929">
        <v>2.7</v>
      </c>
      <c r="I1365" s="1929">
        <v>25.1</v>
      </c>
      <c r="J1365" s="1929">
        <v>329</v>
      </c>
      <c r="K1365" s="1929" t="s">
        <v>2577</v>
      </c>
    </row>
    <row r="1366" spans="1:11" hidden="1" x14ac:dyDescent="0.2">
      <c r="A1366" s="1929" t="s">
        <v>2576</v>
      </c>
      <c r="B1366" s="1929" t="s">
        <v>1310</v>
      </c>
      <c r="C1366" s="1929" t="s">
        <v>1309</v>
      </c>
      <c r="D1366" s="1929" t="s">
        <v>303</v>
      </c>
      <c r="E1366" s="1929" t="s">
        <v>62</v>
      </c>
      <c r="F1366" s="1929">
        <v>24.1</v>
      </c>
      <c r="G1366" s="1929">
        <v>47.5</v>
      </c>
      <c r="H1366" s="1929">
        <v>1.2</v>
      </c>
      <c r="I1366" s="1929">
        <v>31.1</v>
      </c>
      <c r="J1366" s="1929">
        <v>336</v>
      </c>
      <c r="K1366" s="1929" t="s">
        <v>2575</v>
      </c>
    </row>
    <row r="1367" spans="1:11" hidden="1" x14ac:dyDescent="0.2">
      <c r="A1367" s="1929" t="s">
        <v>2574</v>
      </c>
      <c r="B1367" s="1929" t="s">
        <v>1217</v>
      </c>
      <c r="C1367" s="1929" t="s">
        <v>1302</v>
      </c>
      <c r="D1367" s="1929" t="s">
        <v>303</v>
      </c>
      <c r="E1367" s="1929" t="s">
        <v>62</v>
      </c>
      <c r="F1367" s="1929">
        <v>15.2</v>
      </c>
      <c r="G1367" s="1929">
        <v>32.200000000000003</v>
      </c>
      <c r="H1367" s="1929">
        <v>0.7</v>
      </c>
      <c r="I1367" s="1929">
        <v>295.5</v>
      </c>
      <c r="J1367" s="1929">
        <v>343</v>
      </c>
      <c r="K1367" s="1929" t="s">
        <v>2573</v>
      </c>
    </row>
    <row r="1368" spans="1:11" hidden="1" x14ac:dyDescent="0.2">
      <c r="A1368" s="1929" t="s">
        <v>2572</v>
      </c>
      <c r="B1368" s="1929" t="s">
        <v>1228</v>
      </c>
      <c r="C1368" s="1929" t="s">
        <v>1568</v>
      </c>
      <c r="D1368" s="1929" t="s">
        <v>303</v>
      </c>
      <c r="E1368" s="1929" t="s">
        <v>62</v>
      </c>
      <c r="F1368" s="1929">
        <v>27.7</v>
      </c>
      <c r="G1368" s="1929">
        <v>17.2</v>
      </c>
      <c r="H1368" s="1929">
        <v>1.5</v>
      </c>
      <c r="I1368" s="1929">
        <v>41.4</v>
      </c>
      <c r="J1368" s="1929">
        <v>346</v>
      </c>
      <c r="K1368" s="1929" t="s">
        <v>2571</v>
      </c>
    </row>
    <row r="1369" spans="1:11" hidden="1" x14ac:dyDescent="0.2">
      <c r="A1369" s="1929" t="s">
        <v>2570</v>
      </c>
      <c r="B1369" s="1929" t="s">
        <v>1217</v>
      </c>
      <c r="C1369" s="1929" t="s">
        <v>2291</v>
      </c>
      <c r="D1369" s="1929" t="s">
        <v>303</v>
      </c>
      <c r="E1369" s="1929" t="s">
        <v>62</v>
      </c>
      <c r="F1369" s="1929">
        <v>89.9</v>
      </c>
      <c r="G1369" s="1929">
        <v>58.6</v>
      </c>
      <c r="H1369" s="1929">
        <v>-1.3</v>
      </c>
      <c r="I1369" s="1929">
        <v>1402.9</v>
      </c>
      <c r="J1369" s="1929">
        <v>391</v>
      </c>
      <c r="K1369" s="1929" t="s">
        <v>2569</v>
      </c>
    </row>
    <row r="1370" spans="1:11" hidden="1" x14ac:dyDescent="0.2">
      <c r="A1370" s="1929" t="s">
        <v>2568</v>
      </c>
      <c r="B1370" s="1929" t="s">
        <v>1217</v>
      </c>
      <c r="C1370" s="1929" t="s">
        <v>2291</v>
      </c>
      <c r="D1370" s="1929" t="s">
        <v>303</v>
      </c>
      <c r="E1370" s="1929" t="s">
        <v>62</v>
      </c>
      <c r="F1370" s="1929">
        <v>59.8</v>
      </c>
      <c r="G1370" s="1929">
        <v>38.299999999999997</v>
      </c>
      <c r="H1370" s="1929">
        <v>-13.4</v>
      </c>
      <c r="I1370" s="1929">
        <v>1702.4</v>
      </c>
      <c r="J1370" s="1929">
        <v>424</v>
      </c>
      <c r="K1370" s="1929" t="s">
        <v>2567</v>
      </c>
    </row>
    <row r="1371" spans="1:11" hidden="1" x14ac:dyDescent="0.2">
      <c r="A1371" s="1929" t="s">
        <v>2566</v>
      </c>
      <c r="B1371" s="1929" t="s">
        <v>1217</v>
      </c>
      <c r="C1371" s="1929" t="s">
        <v>2074</v>
      </c>
      <c r="D1371" s="1929" t="s">
        <v>303</v>
      </c>
      <c r="E1371" s="1929" t="s">
        <v>62</v>
      </c>
      <c r="F1371" s="1929">
        <v>25.5</v>
      </c>
      <c r="G1371" s="1929">
        <v>11.8</v>
      </c>
      <c r="H1371" s="1929">
        <v>1.1000000000000001</v>
      </c>
      <c r="I1371" s="1929">
        <v>30.3</v>
      </c>
      <c r="J1371" s="1929">
        <v>455</v>
      </c>
      <c r="K1371" s="1929" t="s">
        <v>2565</v>
      </c>
    </row>
    <row r="1372" spans="1:11" hidden="1" x14ac:dyDescent="0.2">
      <c r="A1372" s="1929" t="s">
        <v>2564</v>
      </c>
      <c r="B1372" s="1929" t="s">
        <v>1306</v>
      </c>
      <c r="C1372" s="1929" t="s">
        <v>1305</v>
      </c>
      <c r="D1372" s="1929" t="s">
        <v>303</v>
      </c>
      <c r="E1372" s="1929" t="s">
        <v>62</v>
      </c>
      <c r="F1372" s="1929">
        <v>36.700000000000003</v>
      </c>
      <c r="G1372" s="1929">
        <v>20.8</v>
      </c>
      <c r="H1372" s="1929">
        <v>0.9</v>
      </c>
      <c r="I1372" s="1929">
        <v>16.8</v>
      </c>
      <c r="J1372" s="1929">
        <v>465</v>
      </c>
      <c r="K1372" s="1929" t="s">
        <v>2563</v>
      </c>
    </row>
    <row r="1373" spans="1:11" hidden="1" x14ac:dyDescent="0.2">
      <c r="A1373" s="1929" t="s">
        <v>2562</v>
      </c>
      <c r="B1373" s="1929" t="s">
        <v>1306</v>
      </c>
      <c r="C1373" s="1929" t="s">
        <v>1392</v>
      </c>
      <c r="D1373" s="1929" t="s">
        <v>303</v>
      </c>
      <c r="E1373" s="1929" t="s">
        <v>62</v>
      </c>
      <c r="F1373" s="1929">
        <v>39.5</v>
      </c>
      <c r="G1373" s="1929">
        <v>100.6</v>
      </c>
      <c r="H1373" s="1929">
        <v>-0.5</v>
      </c>
      <c r="I1373" s="1929">
        <v>78</v>
      </c>
      <c r="J1373" s="1929">
        <v>465</v>
      </c>
      <c r="K1373" s="1929" t="s">
        <v>2561</v>
      </c>
    </row>
    <row r="1374" spans="1:11" hidden="1" x14ac:dyDescent="0.2">
      <c r="A1374" s="1929" t="s">
        <v>2560</v>
      </c>
      <c r="B1374" s="1929" t="s">
        <v>1234</v>
      </c>
      <c r="C1374" s="1929" t="s">
        <v>1337</v>
      </c>
      <c r="D1374" s="1929" t="s">
        <v>303</v>
      </c>
      <c r="E1374" s="1929" t="s">
        <v>62</v>
      </c>
      <c r="F1374" s="1929">
        <v>35.299999999999997</v>
      </c>
      <c r="G1374" s="1929">
        <v>29.3</v>
      </c>
      <c r="H1374" s="1929">
        <v>-0.9</v>
      </c>
      <c r="I1374" s="1929">
        <v>71.2</v>
      </c>
      <c r="J1374" s="1929">
        <v>551</v>
      </c>
      <c r="K1374" s="1929" t="s">
        <v>2559</v>
      </c>
    </row>
    <row r="1375" spans="1:11" hidden="1" x14ac:dyDescent="0.2">
      <c r="A1375" s="1929" t="s">
        <v>2558</v>
      </c>
      <c r="B1375" s="1929" t="s">
        <v>1228</v>
      </c>
      <c r="C1375" s="1929" t="s">
        <v>1524</v>
      </c>
      <c r="D1375" s="1929" t="s">
        <v>303</v>
      </c>
      <c r="E1375" s="1929" t="s">
        <v>62</v>
      </c>
      <c r="F1375" s="1929">
        <v>27.3</v>
      </c>
      <c r="G1375" s="1929">
        <v>27.4</v>
      </c>
      <c r="H1375" s="1929">
        <v>0.7</v>
      </c>
      <c r="I1375" s="1929">
        <v>14.8</v>
      </c>
      <c r="J1375" s="1929">
        <v>553</v>
      </c>
      <c r="K1375" s="1929" t="s">
        <v>2557</v>
      </c>
    </row>
    <row r="1376" spans="1:11" hidden="1" x14ac:dyDescent="0.2">
      <c r="A1376" s="1929" t="s">
        <v>2556</v>
      </c>
      <c r="B1376" s="1929" t="s">
        <v>1306</v>
      </c>
      <c r="C1376" s="1929" t="s">
        <v>1392</v>
      </c>
      <c r="D1376" s="1929" t="s">
        <v>303</v>
      </c>
      <c r="E1376" s="1929" t="s">
        <v>62</v>
      </c>
      <c r="F1376" s="1929">
        <v>9.8000000000000007</v>
      </c>
      <c r="G1376" s="1929">
        <v>37.200000000000003</v>
      </c>
      <c r="H1376" s="1929">
        <v>1</v>
      </c>
      <c r="I1376" s="1929">
        <v>20.9</v>
      </c>
      <c r="J1376" s="1929">
        <v>559</v>
      </c>
      <c r="K1376" s="1929" t="s">
        <v>2555</v>
      </c>
    </row>
    <row r="1377" spans="1:11" hidden="1" x14ac:dyDescent="0.2">
      <c r="A1377" s="1929" t="s">
        <v>2554</v>
      </c>
      <c r="B1377" s="1929" t="s">
        <v>1228</v>
      </c>
      <c r="C1377" s="1929" t="s">
        <v>1571</v>
      </c>
      <c r="D1377" s="1929" t="s">
        <v>303</v>
      </c>
      <c r="E1377" s="1929" t="s">
        <v>62</v>
      </c>
      <c r="F1377" s="1929">
        <v>17</v>
      </c>
      <c r="G1377" s="1929">
        <v>17.399999999999999</v>
      </c>
      <c r="H1377" s="1929">
        <v>1.1000000000000001</v>
      </c>
      <c r="I1377" s="1929">
        <v>16.100000000000001</v>
      </c>
      <c r="J1377" s="1929">
        <v>569</v>
      </c>
      <c r="K1377" s="1929" t="s">
        <v>2553</v>
      </c>
    </row>
    <row r="1378" spans="1:11" hidden="1" x14ac:dyDescent="0.2">
      <c r="A1378" s="1929" t="s">
        <v>2552</v>
      </c>
      <c r="B1378" s="1929" t="s">
        <v>1228</v>
      </c>
      <c r="C1378" s="1929" t="s">
        <v>1334</v>
      </c>
      <c r="D1378" s="1929" t="s">
        <v>303</v>
      </c>
      <c r="E1378" s="1929" t="s">
        <v>62</v>
      </c>
      <c r="F1378" s="1929">
        <v>21.3</v>
      </c>
      <c r="G1378" s="1929">
        <v>16.5</v>
      </c>
      <c r="H1378" s="1929">
        <v>1.2</v>
      </c>
      <c r="I1378" s="1929">
        <v>11</v>
      </c>
      <c r="J1378" s="1929">
        <v>609</v>
      </c>
      <c r="K1378" s="1929" t="s">
        <v>2551</v>
      </c>
    </row>
    <row r="1379" spans="1:11" hidden="1" x14ac:dyDescent="0.2">
      <c r="A1379" s="1929" t="s">
        <v>2550</v>
      </c>
      <c r="B1379" s="1929" t="s">
        <v>1228</v>
      </c>
      <c r="C1379" s="1929" t="s">
        <v>1315</v>
      </c>
      <c r="D1379" s="1929" t="s">
        <v>303</v>
      </c>
      <c r="E1379" s="1929" t="s">
        <v>62</v>
      </c>
      <c r="F1379" s="1929">
        <v>32.1</v>
      </c>
      <c r="G1379" s="1929">
        <v>14.5</v>
      </c>
      <c r="H1379" s="1929">
        <v>-1</v>
      </c>
      <c r="I1379" s="1929">
        <v>67.7</v>
      </c>
      <c r="J1379" s="1929">
        <v>621</v>
      </c>
      <c r="K1379" s="1929" t="s">
        <v>2549</v>
      </c>
    </row>
    <row r="1380" spans="1:11" hidden="1" x14ac:dyDescent="0.2">
      <c r="A1380" s="1929" t="s">
        <v>2548</v>
      </c>
      <c r="B1380" s="1929" t="s">
        <v>1228</v>
      </c>
      <c r="C1380" s="1929" t="s">
        <v>1315</v>
      </c>
      <c r="D1380" s="1929" t="s">
        <v>303</v>
      </c>
      <c r="E1380" s="1929" t="s">
        <v>62</v>
      </c>
      <c r="F1380" s="1929">
        <v>24.2</v>
      </c>
      <c r="G1380" s="1929">
        <v>11.7</v>
      </c>
      <c r="H1380" s="1929">
        <v>1.4</v>
      </c>
      <c r="I1380" s="1929">
        <v>11</v>
      </c>
      <c r="J1380" s="1929">
        <v>635</v>
      </c>
      <c r="K1380" s="1929" t="s">
        <v>2547</v>
      </c>
    </row>
    <row r="1381" spans="1:11" hidden="1" x14ac:dyDescent="0.2">
      <c r="A1381" s="1929" t="s">
        <v>2546</v>
      </c>
      <c r="B1381" s="1929" t="s">
        <v>1238</v>
      </c>
      <c r="C1381" s="1929" t="s">
        <v>1349</v>
      </c>
      <c r="D1381" s="1929" t="s">
        <v>303</v>
      </c>
      <c r="E1381" s="1929" t="s">
        <v>62</v>
      </c>
      <c r="F1381" s="1929">
        <v>21.8</v>
      </c>
      <c r="G1381" s="1929">
        <v>26.4</v>
      </c>
      <c r="H1381" s="1929">
        <v>0.3</v>
      </c>
      <c r="I1381" s="1929">
        <v>33</v>
      </c>
      <c r="J1381" s="1929">
        <v>654</v>
      </c>
      <c r="K1381" s="1929" t="s">
        <v>2545</v>
      </c>
    </row>
    <row r="1382" spans="1:11" hidden="1" x14ac:dyDescent="0.2">
      <c r="A1382" s="1929" t="s">
        <v>2544</v>
      </c>
      <c r="B1382" s="1929" t="s">
        <v>1228</v>
      </c>
      <c r="C1382" s="1929" t="s">
        <v>1466</v>
      </c>
      <c r="D1382" s="1929" t="s">
        <v>303</v>
      </c>
      <c r="E1382" s="1929" t="s">
        <v>62</v>
      </c>
      <c r="F1382" s="1929">
        <v>12.5</v>
      </c>
      <c r="G1382" s="1929">
        <v>15.9</v>
      </c>
      <c r="H1382" s="1929">
        <v>0.8</v>
      </c>
      <c r="I1382" s="1929">
        <v>12.5</v>
      </c>
      <c r="J1382" s="1929">
        <v>721</v>
      </c>
      <c r="K1382" s="1929" t="s">
        <v>2543</v>
      </c>
    </row>
    <row r="1383" spans="1:11" hidden="1" x14ac:dyDescent="0.2">
      <c r="A1383" s="1929" t="s">
        <v>2542</v>
      </c>
      <c r="B1383" s="1929" t="s">
        <v>1217</v>
      </c>
      <c r="C1383" s="1929" t="s">
        <v>1302</v>
      </c>
      <c r="D1383" s="1929" t="s">
        <v>303</v>
      </c>
      <c r="E1383" s="1929" t="s">
        <v>62</v>
      </c>
      <c r="F1383" s="1929">
        <v>7.2</v>
      </c>
      <c r="G1383" s="1929">
        <v>17.2</v>
      </c>
      <c r="H1383" s="1929">
        <v>0.3</v>
      </c>
      <c r="I1383" s="1929">
        <v>210.8</v>
      </c>
      <c r="J1383" s="1929">
        <v>724</v>
      </c>
      <c r="K1383" s="1929" t="s">
        <v>2541</v>
      </c>
    </row>
    <row r="1384" spans="1:11" hidden="1" x14ac:dyDescent="0.2">
      <c r="A1384" s="1929" t="s">
        <v>2540</v>
      </c>
      <c r="B1384" s="1929" t="s">
        <v>1238</v>
      </c>
      <c r="C1384" s="1929" t="s">
        <v>1485</v>
      </c>
      <c r="D1384" s="1929" t="s">
        <v>303</v>
      </c>
      <c r="E1384" s="1929" t="s">
        <v>62</v>
      </c>
      <c r="F1384" s="1929">
        <v>14.3</v>
      </c>
      <c r="G1384" s="1929">
        <v>24.7</v>
      </c>
      <c r="H1384" s="1929">
        <v>0.2</v>
      </c>
      <c r="I1384" s="1929">
        <v>28.6</v>
      </c>
      <c r="J1384" s="1929">
        <v>773</v>
      </c>
      <c r="K1384" s="1929" t="s">
        <v>2539</v>
      </c>
    </row>
    <row r="1385" spans="1:11" hidden="1" x14ac:dyDescent="0.2">
      <c r="A1385" s="1929" t="s">
        <v>2538</v>
      </c>
      <c r="B1385" s="1929" t="s">
        <v>1258</v>
      </c>
      <c r="C1385" s="1929" t="s">
        <v>1257</v>
      </c>
      <c r="D1385" s="1929" t="s">
        <v>303</v>
      </c>
      <c r="E1385" s="1929" t="s">
        <v>62</v>
      </c>
      <c r="F1385" s="1929">
        <v>12.3</v>
      </c>
      <c r="G1385" s="1929">
        <v>4.9000000000000004</v>
      </c>
      <c r="H1385" s="1929">
        <v>1.4</v>
      </c>
      <c r="I1385" s="1929">
        <v>19.5</v>
      </c>
      <c r="J1385" s="1929">
        <v>818</v>
      </c>
      <c r="K1385" s="1929" t="s">
        <v>2537</v>
      </c>
    </row>
    <row r="1386" spans="1:11" hidden="1" x14ac:dyDescent="0.2">
      <c r="A1386" s="1929" t="s">
        <v>2536</v>
      </c>
      <c r="B1386" s="1929" t="s">
        <v>1228</v>
      </c>
      <c r="C1386" s="1929" t="s">
        <v>1408</v>
      </c>
      <c r="D1386" s="1929" t="s">
        <v>303</v>
      </c>
      <c r="E1386" s="1929" t="s">
        <v>62</v>
      </c>
      <c r="F1386" s="1929">
        <v>14.2</v>
      </c>
      <c r="G1386" s="1929">
        <v>7.9</v>
      </c>
      <c r="H1386" s="1929">
        <v>0.5</v>
      </c>
      <c r="I1386" s="1929">
        <v>18.100000000000001</v>
      </c>
      <c r="J1386" s="1929">
        <v>837</v>
      </c>
      <c r="K1386" s="1929" t="s">
        <v>2535</v>
      </c>
    </row>
    <row r="1387" spans="1:11" hidden="1" x14ac:dyDescent="0.2">
      <c r="A1387" s="1929" t="s">
        <v>2534</v>
      </c>
      <c r="B1387" s="1929" t="s">
        <v>1228</v>
      </c>
      <c r="C1387" s="1929" t="s">
        <v>1408</v>
      </c>
      <c r="D1387" s="1929" t="s">
        <v>303</v>
      </c>
      <c r="E1387" s="1929" t="s">
        <v>62</v>
      </c>
      <c r="F1387" s="1929">
        <v>17.7</v>
      </c>
      <c r="G1387" s="1929">
        <v>9.4</v>
      </c>
      <c r="H1387" s="1929">
        <v>0.9</v>
      </c>
      <c r="I1387" s="1929">
        <v>2.1</v>
      </c>
      <c r="J1387" s="1929">
        <v>865</v>
      </c>
      <c r="K1387" s="1929" t="s">
        <v>2533</v>
      </c>
    </row>
    <row r="1388" spans="1:11" hidden="1" x14ac:dyDescent="0.2">
      <c r="A1388" s="1929" t="s">
        <v>2532</v>
      </c>
      <c r="B1388" s="1929" t="s">
        <v>1217</v>
      </c>
      <c r="C1388" s="1929" t="s">
        <v>1456</v>
      </c>
      <c r="D1388" s="1929" t="s">
        <v>303</v>
      </c>
      <c r="E1388" s="1929" t="s">
        <v>62</v>
      </c>
      <c r="F1388" s="1929">
        <v>13.4</v>
      </c>
      <c r="G1388" s="1929">
        <v>1.2</v>
      </c>
      <c r="H1388" s="1929">
        <v>1.2</v>
      </c>
      <c r="I1388" s="1929">
        <v>19.5</v>
      </c>
      <c r="J1388" s="1929">
        <v>887</v>
      </c>
      <c r="K1388" s="1929" t="s">
        <v>2531</v>
      </c>
    </row>
    <row r="1389" spans="1:11" hidden="1" x14ac:dyDescent="0.2">
      <c r="A1389" s="1929" t="s">
        <v>2530</v>
      </c>
      <c r="B1389" s="1929" t="s">
        <v>1217</v>
      </c>
      <c r="C1389" s="1929" t="s">
        <v>1302</v>
      </c>
      <c r="D1389" s="1929" t="s">
        <v>303</v>
      </c>
      <c r="E1389" s="1929" t="s">
        <v>62</v>
      </c>
      <c r="F1389" s="1929">
        <v>2.6</v>
      </c>
      <c r="G1389" s="1929">
        <v>6.9</v>
      </c>
      <c r="H1389" s="1929">
        <v>0.6</v>
      </c>
      <c r="I1389" s="1929">
        <v>124</v>
      </c>
      <c r="J1389" s="1929">
        <v>924</v>
      </c>
      <c r="K1389" s="1929" t="s">
        <v>2529</v>
      </c>
    </row>
    <row r="1390" spans="1:11" hidden="1" x14ac:dyDescent="0.2">
      <c r="A1390" s="1929" t="s">
        <v>2528</v>
      </c>
      <c r="B1390" s="1929" t="s">
        <v>1228</v>
      </c>
      <c r="C1390" s="1929" t="s">
        <v>1334</v>
      </c>
      <c r="D1390" s="1929" t="s">
        <v>303</v>
      </c>
      <c r="E1390" s="1929" t="s">
        <v>62</v>
      </c>
      <c r="F1390" s="1929">
        <v>10.9</v>
      </c>
      <c r="G1390" s="1929">
        <v>11.2</v>
      </c>
      <c r="H1390" s="1929">
        <v>0.6</v>
      </c>
      <c r="I1390" s="1929">
        <v>10.3</v>
      </c>
      <c r="J1390" s="1929">
        <v>926</v>
      </c>
      <c r="K1390" s="1929" t="s">
        <v>2527</v>
      </c>
    </row>
    <row r="1391" spans="1:11" hidden="1" x14ac:dyDescent="0.2">
      <c r="A1391" s="1929" t="s">
        <v>2526</v>
      </c>
      <c r="B1391" s="1929" t="s">
        <v>1217</v>
      </c>
      <c r="C1391" s="1929" t="s">
        <v>1368</v>
      </c>
      <c r="D1391" s="1929" t="s">
        <v>303</v>
      </c>
      <c r="E1391" s="1929" t="s">
        <v>62</v>
      </c>
      <c r="F1391" s="1929">
        <v>6.8</v>
      </c>
      <c r="G1391" s="1929">
        <v>5.4</v>
      </c>
      <c r="H1391" s="1929">
        <v>0.5</v>
      </c>
      <c r="I1391" s="1929">
        <v>77</v>
      </c>
      <c r="J1391" s="1929">
        <v>939</v>
      </c>
      <c r="K1391" s="1929" t="s">
        <v>2525</v>
      </c>
    </row>
    <row r="1392" spans="1:11" hidden="1" x14ac:dyDescent="0.2">
      <c r="A1392" s="1929" t="s">
        <v>2524</v>
      </c>
      <c r="B1392" s="1929" t="s">
        <v>1217</v>
      </c>
      <c r="C1392" s="1929" t="s">
        <v>1563</v>
      </c>
      <c r="D1392" s="1929" t="s">
        <v>303</v>
      </c>
      <c r="E1392" s="1929" t="s">
        <v>62</v>
      </c>
      <c r="F1392" s="1929">
        <v>8.6999999999999993</v>
      </c>
      <c r="G1392" s="1929">
        <v>14.5</v>
      </c>
      <c r="H1392" s="1929">
        <v>-0.5</v>
      </c>
      <c r="I1392" s="1929">
        <v>33</v>
      </c>
      <c r="J1392" s="1929">
        <v>944</v>
      </c>
      <c r="K1392" s="1929" t="s">
        <v>2523</v>
      </c>
    </row>
    <row r="1393" spans="1:11" hidden="1" x14ac:dyDescent="0.2">
      <c r="A1393" s="1929" t="s">
        <v>2522</v>
      </c>
      <c r="B1393" s="1929" t="s">
        <v>1234</v>
      </c>
      <c r="C1393" s="1929" t="s">
        <v>1461</v>
      </c>
      <c r="D1393" s="1929" t="s">
        <v>303</v>
      </c>
      <c r="E1393" s="1929" t="s">
        <v>62</v>
      </c>
      <c r="F1393" s="1929">
        <v>11.2</v>
      </c>
      <c r="G1393" s="1929">
        <v>19.100000000000001</v>
      </c>
      <c r="H1393" s="1929">
        <v>0.5</v>
      </c>
      <c r="I1393" s="1929">
        <v>6</v>
      </c>
      <c r="J1393" s="1929">
        <v>960</v>
      </c>
      <c r="K1393" s="1929" t="s">
        <v>2521</v>
      </c>
    </row>
    <row r="1394" spans="1:11" hidden="1" x14ac:dyDescent="0.2">
      <c r="A1394" s="1929" t="s">
        <v>2520</v>
      </c>
      <c r="B1394" s="1929" t="s">
        <v>1234</v>
      </c>
      <c r="C1394" s="1929" t="s">
        <v>1337</v>
      </c>
      <c r="D1394" s="1929" t="s">
        <v>303</v>
      </c>
      <c r="E1394" s="1929" t="s">
        <v>62</v>
      </c>
      <c r="F1394" s="1929">
        <v>13.8</v>
      </c>
      <c r="G1394" s="1929">
        <v>6</v>
      </c>
      <c r="H1394" s="1929">
        <v>0.7</v>
      </c>
      <c r="I1394" s="1929">
        <v>12.4</v>
      </c>
      <c r="J1394" s="1929">
        <v>970</v>
      </c>
      <c r="K1394" s="1929" t="s">
        <v>2519</v>
      </c>
    </row>
    <row r="1395" spans="1:11" hidden="1" x14ac:dyDescent="0.2">
      <c r="A1395" s="1929" t="s">
        <v>2518</v>
      </c>
      <c r="B1395" s="1929" t="s">
        <v>1217</v>
      </c>
      <c r="C1395" s="1929" t="s">
        <v>1368</v>
      </c>
      <c r="D1395" s="1929" t="s">
        <v>303</v>
      </c>
      <c r="E1395" s="1929" t="s">
        <v>62</v>
      </c>
      <c r="F1395" s="1929">
        <v>12.5</v>
      </c>
      <c r="G1395" s="1929">
        <v>2.8</v>
      </c>
      <c r="H1395" s="1929">
        <v>0.6</v>
      </c>
      <c r="I1395" s="1929">
        <v>27.5</v>
      </c>
      <c r="J1395" s="1929">
        <v>981</v>
      </c>
      <c r="K1395" s="1929" t="s">
        <v>2517</v>
      </c>
    </row>
    <row r="1396" spans="1:11" hidden="1" x14ac:dyDescent="0.2">
      <c r="A1396" s="1929" t="s">
        <v>2516</v>
      </c>
      <c r="B1396" s="1929" t="s">
        <v>1306</v>
      </c>
      <c r="C1396" s="1929" t="s">
        <v>1392</v>
      </c>
      <c r="D1396" s="1929" t="s">
        <v>303</v>
      </c>
      <c r="E1396" s="1929" t="s">
        <v>62</v>
      </c>
      <c r="F1396" s="1929">
        <v>8.1999999999999993</v>
      </c>
      <c r="G1396" s="1929">
        <v>27.7</v>
      </c>
      <c r="H1396" s="1929">
        <v>-0.4</v>
      </c>
      <c r="I1396" s="1929">
        <v>17.600000000000001</v>
      </c>
      <c r="J1396" s="1929">
        <v>987</v>
      </c>
      <c r="K1396" s="1929" t="s">
        <v>2515</v>
      </c>
    </row>
    <row r="1397" spans="1:11" hidden="1" x14ac:dyDescent="0.2">
      <c r="A1397" s="1929" t="s">
        <v>2514</v>
      </c>
      <c r="B1397" s="1929" t="s">
        <v>1228</v>
      </c>
      <c r="C1397" s="1929" t="s">
        <v>1539</v>
      </c>
      <c r="D1397" s="1929" t="s">
        <v>303</v>
      </c>
      <c r="E1397" s="1929" t="s">
        <v>62</v>
      </c>
      <c r="F1397" s="1929">
        <v>17.2</v>
      </c>
      <c r="G1397" s="1929">
        <v>5.9</v>
      </c>
      <c r="H1397" s="1929">
        <v>0.9</v>
      </c>
      <c r="I1397" s="1929">
        <v>3.5</v>
      </c>
      <c r="J1397" s="1929">
        <v>1002</v>
      </c>
      <c r="K1397" s="1929" t="s">
        <v>2513</v>
      </c>
    </row>
    <row r="1398" spans="1:11" hidden="1" x14ac:dyDescent="0.2">
      <c r="A1398" s="1929" t="s">
        <v>2512</v>
      </c>
      <c r="B1398" s="1929" t="s">
        <v>1310</v>
      </c>
      <c r="C1398" s="1929" t="s">
        <v>1552</v>
      </c>
      <c r="D1398" s="1929" t="s">
        <v>303</v>
      </c>
      <c r="E1398" s="1929" t="s">
        <v>62</v>
      </c>
      <c r="F1398" s="1929">
        <v>9.1</v>
      </c>
      <c r="G1398" s="1929">
        <v>2.6</v>
      </c>
      <c r="H1398" s="1929">
        <v>1.1000000000000001</v>
      </c>
      <c r="I1398" s="1929">
        <v>16.8</v>
      </c>
      <c r="J1398" s="1929">
        <v>1055</v>
      </c>
      <c r="K1398" s="1929" t="s">
        <v>2511</v>
      </c>
    </row>
    <row r="1399" spans="1:11" hidden="1" x14ac:dyDescent="0.2">
      <c r="A1399" s="1929" t="s">
        <v>2510</v>
      </c>
      <c r="B1399" s="1929" t="s">
        <v>1217</v>
      </c>
      <c r="C1399" s="1929" t="s">
        <v>1368</v>
      </c>
      <c r="D1399" s="1929" t="s">
        <v>303</v>
      </c>
      <c r="E1399" s="1929" t="s">
        <v>62</v>
      </c>
      <c r="F1399" s="1929">
        <v>9</v>
      </c>
      <c r="G1399" s="1929">
        <v>1.4</v>
      </c>
      <c r="H1399" s="1929">
        <v>0.3</v>
      </c>
      <c r="I1399" s="1929">
        <v>913.6</v>
      </c>
      <c r="J1399" s="1929">
        <v>1107</v>
      </c>
      <c r="K1399" s="1929" t="s">
        <v>2509</v>
      </c>
    </row>
    <row r="1400" spans="1:11" hidden="1" x14ac:dyDescent="0.2">
      <c r="A1400" s="1929" t="s">
        <v>2508</v>
      </c>
      <c r="B1400" s="1929" t="s">
        <v>1234</v>
      </c>
      <c r="C1400" s="1929" t="s">
        <v>1337</v>
      </c>
      <c r="D1400" s="1929" t="s">
        <v>303</v>
      </c>
      <c r="E1400" s="1929" t="s">
        <v>62</v>
      </c>
      <c r="F1400" s="1929">
        <v>4</v>
      </c>
      <c r="G1400" s="1929">
        <v>13.7</v>
      </c>
      <c r="H1400" s="1929">
        <v>-0.2</v>
      </c>
      <c r="I1400" s="1929">
        <v>43.8</v>
      </c>
      <c r="J1400" s="1929">
        <v>1129</v>
      </c>
      <c r="K1400" s="1929" t="s">
        <v>2507</v>
      </c>
    </row>
    <row r="1401" spans="1:11" hidden="1" x14ac:dyDescent="0.2">
      <c r="A1401" s="1929" t="s">
        <v>2506</v>
      </c>
      <c r="B1401" s="1929" t="s">
        <v>1238</v>
      </c>
      <c r="C1401" s="1929" t="s">
        <v>1485</v>
      </c>
      <c r="D1401" s="1929" t="s">
        <v>303</v>
      </c>
      <c r="E1401" s="1929" t="s">
        <v>62</v>
      </c>
      <c r="F1401" s="1929">
        <v>11.7</v>
      </c>
      <c r="G1401" s="1929">
        <v>6.6</v>
      </c>
      <c r="H1401" s="1929">
        <v>0.6</v>
      </c>
      <c r="I1401" s="1929">
        <v>7.2</v>
      </c>
      <c r="J1401" s="1929">
        <v>1131</v>
      </c>
      <c r="K1401" s="1929" t="s">
        <v>2505</v>
      </c>
    </row>
    <row r="1402" spans="1:11" hidden="1" x14ac:dyDescent="0.2">
      <c r="A1402" s="1929" t="s">
        <v>2504</v>
      </c>
      <c r="B1402" s="1929" t="s">
        <v>1217</v>
      </c>
      <c r="C1402" s="1929" t="s">
        <v>1252</v>
      </c>
      <c r="D1402" s="1929" t="s">
        <v>303</v>
      </c>
      <c r="E1402" s="1929" t="s">
        <v>62</v>
      </c>
      <c r="F1402" s="1929">
        <v>6</v>
      </c>
      <c r="G1402" s="1929">
        <v>6.1</v>
      </c>
      <c r="H1402" s="1929">
        <v>0.5</v>
      </c>
      <c r="I1402" s="1929">
        <v>17.8</v>
      </c>
      <c r="J1402" s="1929">
        <v>1204</v>
      </c>
      <c r="K1402" s="1929" t="s">
        <v>2503</v>
      </c>
    </row>
    <row r="1403" spans="1:11" hidden="1" x14ac:dyDescent="0.2">
      <c r="A1403" s="1929" t="s">
        <v>2502</v>
      </c>
      <c r="B1403" s="1929" t="s">
        <v>1234</v>
      </c>
      <c r="C1403" s="1929" t="s">
        <v>1420</v>
      </c>
      <c r="D1403" s="1929" t="s">
        <v>303</v>
      </c>
      <c r="E1403" s="1929" t="s">
        <v>62</v>
      </c>
      <c r="F1403" s="1929">
        <v>8.4</v>
      </c>
      <c r="G1403" s="1929">
        <v>8.6</v>
      </c>
      <c r="H1403" s="1929">
        <v>0.5</v>
      </c>
      <c r="I1403" s="1929">
        <v>8.6</v>
      </c>
      <c r="J1403" s="1929">
        <v>1211</v>
      </c>
      <c r="K1403" s="1929" t="s">
        <v>2501</v>
      </c>
    </row>
    <row r="1404" spans="1:11" hidden="1" x14ac:dyDescent="0.2">
      <c r="A1404" s="1929" t="s">
        <v>2500</v>
      </c>
      <c r="B1404" s="1929" t="s">
        <v>1258</v>
      </c>
      <c r="C1404" s="1929" t="s">
        <v>1257</v>
      </c>
      <c r="D1404" s="1929" t="s">
        <v>303</v>
      </c>
      <c r="E1404" s="1929" t="s">
        <v>62</v>
      </c>
      <c r="F1404" s="1929">
        <v>8.1999999999999993</v>
      </c>
      <c r="G1404" s="1929">
        <v>6.3</v>
      </c>
      <c r="H1404" s="1929">
        <v>0.6</v>
      </c>
      <c r="I1404" s="1929">
        <v>7.3</v>
      </c>
      <c r="J1404" s="1929">
        <v>1288</v>
      </c>
      <c r="K1404" s="1929" t="s">
        <v>2499</v>
      </c>
    </row>
    <row r="1405" spans="1:11" hidden="1" x14ac:dyDescent="0.2">
      <c r="A1405" s="1929" t="s">
        <v>2498</v>
      </c>
      <c r="B1405" s="1929" t="s">
        <v>1310</v>
      </c>
      <c r="C1405" s="1929" t="s">
        <v>1552</v>
      </c>
      <c r="D1405" s="1929" t="s">
        <v>303</v>
      </c>
      <c r="E1405" s="1929" t="s">
        <v>62</v>
      </c>
      <c r="F1405" s="1929">
        <v>7.4</v>
      </c>
      <c r="G1405" s="1929">
        <v>2.9</v>
      </c>
      <c r="H1405" s="1929">
        <v>0.7</v>
      </c>
      <c r="I1405" s="1929">
        <v>13</v>
      </c>
      <c r="J1405" s="1929">
        <v>1324</v>
      </c>
      <c r="K1405" s="1929" t="s">
        <v>2497</v>
      </c>
    </row>
    <row r="1406" spans="1:11" hidden="1" x14ac:dyDescent="0.2">
      <c r="A1406" s="1929" t="s">
        <v>2496</v>
      </c>
      <c r="B1406" s="1929" t="s">
        <v>1234</v>
      </c>
      <c r="C1406" s="1929" t="s">
        <v>1445</v>
      </c>
      <c r="D1406" s="1929" t="s">
        <v>303</v>
      </c>
      <c r="E1406" s="1929" t="s">
        <v>62</v>
      </c>
      <c r="F1406" s="1929">
        <v>2</v>
      </c>
      <c r="G1406" s="1929">
        <v>14.5</v>
      </c>
      <c r="H1406" s="1929">
        <v>-0.4</v>
      </c>
      <c r="I1406" s="1929">
        <v>18.8</v>
      </c>
      <c r="J1406" s="1929">
        <v>1338</v>
      </c>
      <c r="K1406" s="1929" t="s">
        <v>2495</v>
      </c>
    </row>
    <row r="1407" spans="1:11" hidden="1" x14ac:dyDescent="0.2">
      <c r="A1407" s="1929" t="s">
        <v>2494</v>
      </c>
      <c r="B1407" s="1929" t="s">
        <v>1217</v>
      </c>
      <c r="C1407" s="1929" t="s">
        <v>1456</v>
      </c>
      <c r="D1407" s="1929" t="s">
        <v>303</v>
      </c>
      <c r="E1407" s="1929" t="s">
        <v>62</v>
      </c>
      <c r="F1407" s="1929">
        <v>11</v>
      </c>
      <c r="G1407" s="1929">
        <v>0.5</v>
      </c>
      <c r="H1407" s="1929">
        <v>0.4</v>
      </c>
      <c r="I1407" s="1929">
        <v>12.6</v>
      </c>
      <c r="J1407" s="1929">
        <v>1348</v>
      </c>
      <c r="K1407" s="1929" t="s">
        <v>2493</v>
      </c>
    </row>
    <row r="1408" spans="1:11" hidden="1" x14ac:dyDescent="0.2">
      <c r="A1408" s="1929" t="s">
        <v>2492</v>
      </c>
      <c r="B1408" s="1929" t="s">
        <v>1269</v>
      </c>
      <c r="C1408" s="1929" t="s">
        <v>1294</v>
      </c>
      <c r="D1408" s="1929" t="s">
        <v>303</v>
      </c>
      <c r="E1408" s="1929" t="s">
        <v>62</v>
      </c>
      <c r="F1408" s="1929">
        <v>13.7</v>
      </c>
      <c r="G1408" s="1929">
        <v>4.3</v>
      </c>
      <c r="H1408" s="1929">
        <v>0.6</v>
      </c>
      <c r="I1408" s="1929">
        <v>5.8</v>
      </c>
      <c r="J1408" s="1929">
        <v>1360</v>
      </c>
      <c r="K1408" s="1929" t="s">
        <v>2491</v>
      </c>
    </row>
    <row r="1409" spans="1:11" hidden="1" x14ac:dyDescent="0.2">
      <c r="A1409" s="1929" t="s">
        <v>2490</v>
      </c>
      <c r="B1409" s="1929" t="s">
        <v>1228</v>
      </c>
      <c r="C1409" s="1929" t="s">
        <v>1227</v>
      </c>
      <c r="D1409" s="1929" t="s">
        <v>303</v>
      </c>
      <c r="E1409" s="1929" t="s">
        <v>62</v>
      </c>
      <c r="F1409" s="1929">
        <v>8.9</v>
      </c>
      <c r="G1409" s="1929">
        <v>9.5</v>
      </c>
      <c r="H1409" s="1929">
        <v>0.3</v>
      </c>
      <c r="I1409" s="1929">
        <v>5.3</v>
      </c>
      <c r="J1409" s="1929">
        <v>1377</v>
      </c>
      <c r="K1409" s="1929" t="s">
        <v>2489</v>
      </c>
    </row>
    <row r="1410" spans="1:11" hidden="1" x14ac:dyDescent="0.2">
      <c r="A1410" s="1929" t="s">
        <v>2488</v>
      </c>
      <c r="B1410" s="1929" t="s">
        <v>1228</v>
      </c>
      <c r="C1410" s="1929" t="s">
        <v>1571</v>
      </c>
      <c r="D1410" s="1929" t="s">
        <v>303</v>
      </c>
      <c r="E1410" s="1929" t="s">
        <v>62</v>
      </c>
      <c r="F1410" s="1929">
        <v>7.8</v>
      </c>
      <c r="G1410" s="1929">
        <v>8</v>
      </c>
      <c r="H1410" s="1929">
        <v>0.4</v>
      </c>
      <c r="I1410" s="1929">
        <v>7.4</v>
      </c>
      <c r="J1410" s="1929">
        <v>1387</v>
      </c>
      <c r="K1410" s="1929" t="s">
        <v>2487</v>
      </c>
    </row>
    <row r="1411" spans="1:11" hidden="1" x14ac:dyDescent="0.2">
      <c r="A1411" s="1929" t="s">
        <v>2486</v>
      </c>
      <c r="B1411" s="1929" t="s">
        <v>1228</v>
      </c>
      <c r="C1411" s="1929" t="s">
        <v>1315</v>
      </c>
      <c r="D1411" s="1929" t="s">
        <v>303</v>
      </c>
      <c r="E1411" s="1929" t="s">
        <v>62</v>
      </c>
      <c r="F1411" s="1929">
        <v>12.9</v>
      </c>
      <c r="G1411" s="1929">
        <v>3.7</v>
      </c>
      <c r="H1411" s="1929">
        <v>0.5</v>
      </c>
      <c r="I1411" s="1929">
        <v>4.3</v>
      </c>
      <c r="J1411" s="1929">
        <v>1447</v>
      </c>
      <c r="K1411" s="1929" t="s">
        <v>2485</v>
      </c>
    </row>
    <row r="1412" spans="1:11" hidden="1" x14ac:dyDescent="0.2">
      <c r="A1412" s="1929" t="s">
        <v>2484</v>
      </c>
      <c r="B1412" s="1929" t="s">
        <v>1228</v>
      </c>
      <c r="C1412" s="1929" t="s">
        <v>1606</v>
      </c>
      <c r="D1412" s="1929" t="s">
        <v>303</v>
      </c>
      <c r="E1412" s="1929" t="s">
        <v>62</v>
      </c>
      <c r="F1412" s="1929">
        <v>12.8</v>
      </c>
      <c r="G1412" s="1929">
        <v>3.4</v>
      </c>
      <c r="H1412" s="1929">
        <v>0.5</v>
      </c>
      <c r="I1412" s="1929">
        <v>5</v>
      </c>
      <c r="J1412" s="1929">
        <v>1484</v>
      </c>
      <c r="K1412" s="1929" t="s">
        <v>2483</v>
      </c>
    </row>
    <row r="1413" spans="1:11" hidden="1" x14ac:dyDescent="0.2">
      <c r="A1413" s="1929" t="s">
        <v>2482</v>
      </c>
      <c r="B1413" s="1929" t="s">
        <v>1217</v>
      </c>
      <c r="C1413" s="1929" t="s">
        <v>2074</v>
      </c>
      <c r="D1413" s="1929" t="s">
        <v>303</v>
      </c>
      <c r="E1413" s="1929" t="s">
        <v>62</v>
      </c>
      <c r="F1413" s="1929">
        <v>7.9</v>
      </c>
      <c r="G1413" s="1929">
        <v>3.7</v>
      </c>
      <c r="H1413" s="1929">
        <v>0.4</v>
      </c>
      <c r="I1413" s="1929">
        <v>14.8</v>
      </c>
      <c r="J1413" s="1929">
        <v>1525</v>
      </c>
      <c r="K1413" s="1929" t="s">
        <v>2481</v>
      </c>
    </row>
    <row r="1414" spans="1:11" hidden="1" x14ac:dyDescent="0.2">
      <c r="A1414" s="1929" t="s">
        <v>2480</v>
      </c>
      <c r="B1414" s="1929" t="s">
        <v>1217</v>
      </c>
      <c r="C1414" s="1929" t="s">
        <v>1456</v>
      </c>
      <c r="D1414" s="1929" t="s">
        <v>303</v>
      </c>
      <c r="E1414" s="1929" t="s">
        <v>62</v>
      </c>
      <c r="F1414" s="1929">
        <v>6</v>
      </c>
      <c r="G1414" s="1929">
        <v>0.8</v>
      </c>
      <c r="H1414" s="1929">
        <v>0.6</v>
      </c>
      <c r="I1414" s="1929">
        <v>13.6</v>
      </c>
      <c r="J1414" s="1929">
        <v>1528</v>
      </c>
      <c r="K1414" s="1929" t="s">
        <v>2479</v>
      </c>
    </row>
    <row r="1415" spans="1:11" hidden="1" x14ac:dyDescent="0.2">
      <c r="A1415" s="1929" t="s">
        <v>2478</v>
      </c>
      <c r="B1415" s="1929" t="s">
        <v>1238</v>
      </c>
      <c r="C1415" s="1929" t="s">
        <v>1878</v>
      </c>
      <c r="D1415" s="1929" t="s">
        <v>303</v>
      </c>
      <c r="E1415" s="1929" t="s">
        <v>62</v>
      </c>
      <c r="F1415" s="1929">
        <v>8.4</v>
      </c>
      <c r="G1415" s="1929">
        <v>4.8</v>
      </c>
      <c r="H1415" s="1929">
        <v>0.5</v>
      </c>
      <c r="I1415" s="1929">
        <v>5.8</v>
      </c>
      <c r="J1415" s="1929">
        <v>1534</v>
      </c>
      <c r="K1415" s="1929" t="s">
        <v>2477</v>
      </c>
    </row>
    <row r="1416" spans="1:11" hidden="1" x14ac:dyDescent="0.2">
      <c r="A1416" s="1929" t="s">
        <v>2476</v>
      </c>
      <c r="B1416" s="1929" t="s">
        <v>1217</v>
      </c>
      <c r="C1416" s="1929" t="s">
        <v>1456</v>
      </c>
      <c r="D1416" s="1929" t="s">
        <v>303</v>
      </c>
      <c r="E1416" s="1929" t="s">
        <v>62</v>
      </c>
      <c r="F1416" s="1929">
        <v>3.1</v>
      </c>
      <c r="G1416" s="1929">
        <v>0.6</v>
      </c>
      <c r="H1416" s="1929">
        <v>1</v>
      </c>
      <c r="I1416" s="1929">
        <v>12.2</v>
      </c>
      <c r="J1416" s="1929">
        <v>1538</v>
      </c>
      <c r="K1416" s="1929" t="s">
        <v>2475</v>
      </c>
    </row>
    <row r="1417" spans="1:11" hidden="1" x14ac:dyDescent="0.2">
      <c r="A1417" s="1929" t="s">
        <v>2474</v>
      </c>
      <c r="B1417" s="1929" t="s">
        <v>1228</v>
      </c>
      <c r="C1417" s="1929" t="s">
        <v>1227</v>
      </c>
      <c r="D1417" s="1929" t="s">
        <v>303</v>
      </c>
      <c r="E1417" s="1929" t="s">
        <v>62</v>
      </c>
      <c r="F1417" s="1929">
        <v>12.1</v>
      </c>
      <c r="G1417" s="1929">
        <v>6</v>
      </c>
      <c r="H1417" s="1929">
        <v>0.3</v>
      </c>
      <c r="I1417" s="1929">
        <v>7.6</v>
      </c>
      <c r="J1417" s="1929">
        <v>1554</v>
      </c>
      <c r="K1417" s="1929" t="s">
        <v>2473</v>
      </c>
    </row>
    <row r="1418" spans="1:11" hidden="1" x14ac:dyDescent="0.2">
      <c r="A1418" s="1929" t="s">
        <v>2472</v>
      </c>
      <c r="B1418" s="1929" t="s">
        <v>1217</v>
      </c>
      <c r="C1418" s="1929" t="s">
        <v>1456</v>
      </c>
      <c r="D1418" s="1929" t="s">
        <v>303</v>
      </c>
      <c r="E1418" s="1929" t="s">
        <v>62</v>
      </c>
      <c r="F1418" s="1929">
        <v>6.6</v>
      </c>
      <c r="G1418" s="1929">
        <v>0.6</v>
      </c>
      <c r="H1418" s="1929">
        <v>0.5</v>
      </c>
      <c r="I1418" s="1929">
        <v>11.3</v>
      </c>
      <c r="J1418" s="1929">
        <v>1576</v>
      </c>
      <c r="K1418" s="1929" t="s">
        <v>2471</v>
      </c>
    </row>
    <row r="1419" spans="1:11" hidden="1" x14ac:dyDescent="0.2">
      <c r="A1419" s="1929" t="s">
        <v>2470</v>
      </c>
      <c r="B1419" s="1929" t="s">
        <v>1238</v>
      </c>
      <c r="C1419" s="1929" t="s">
        <v>1609</v>
      </c>
      <c r="D1419" s="1929" t="s">
        <v>303</v>
      </c>
      <c r="E1419" s="1929" t="s">
        <v>62</v>
      </c>
      <c r="F1419" s="1929">
        <v>8.9</v>
      </c>
      <c r="G1419" s="1929">
        <v>3.8</v>
      </c>
      <c r="H1419" s="1929">
        <v>0.5</v>
      </c>
      <c r="I1419" s="1929">
        <v>5.2</v>
      </c>
      <c r="J1419" s="1929">
        <v>1588</v>
      </c>
      <c r="K1419" s="1929" t="s">
        <v>2469</v>
      </c>
    </row>
    <row r="1420" spans="1:11" hidden="1" x14ac:dyDescent="0.2">
      <c r="A1420" s="1929" t="s">
        <v>2468</v>
      </c>
      <c r="B1420" s="1929" t="s">
        <v>1217</v>
      </c>
      <c r="C1420" s="1929" t="s">
        <v>1368</v>
      </c>
      <c r="D1420" s="1929" t="s">
        <v>303</v>
      </c>
      <c r="E1420" s="1929" t="s">
        <v>62</v>
      </c>
      <c r="F1420" s="1929">
        <v>9.1</v>
      </c>
      <c r="G1420" s="1929">
        <v>2.1</v>
      </c>
      <c r="H1420" s="1929">
        <v>0.5</v>
      </c>
      <c r="I1420" s="1929">
        <v>7.3</v>
      </c>
      <c r="J1420" s="1929">
        <v>1589</v>
      </c>
      <c r="K1420" s="1929" t="s">
        <v>2467</v>
      </c>
    </row>
    <row r="1421" spans="1:11" hidden="1" x14ac:dyDescent="0.2">
      <c r="A1421" s="1929" t="s">
        <v>2466</v>
      </c>
      <c r="B1421" s="1929" t="s">
        <v>1258</v>
      </c>
      <c r="C1421" s="1929" t="s">
        <v>1257</v>
      </c>
      <c r="D1421" s="1929" t="s">
        <v>303</v>
      </c>
      <c r="E1421" s="1929" t="s">
        <v>62</v>
      </c>
      <c r="F1421" s="1929">
        <v>6.1</v>
      </c>
      <c r="G1421" s="1929">
        <v>6.3</v>
      </c>
      <c r="H1421" s="1929">
        <v>0.3</v>
      </c>
      <c r="I1421" s="1929">
        <v>10.4</v>
      </c>
      <c r="J1421" s="1929">
        <v>1610</v>
      </c>
      <c r="K1421" s="1929" t="s">
        <v>2465</v>
      </c>
    </row>
    <row r="1422" spans="1:11" hidden="1" x14ac:dyDescent="0.2">
      <c r="A1422" s="1929" t="s">
        <v>2464</v>
      </c>
      <c r="B1422" s="1929" t="s">
        <v>1228</v>
      </c>
      <c r="C1422" s="1929" t="s">
        <v>1276</v>
      </c>
      <c r="D1422" s="1929" t="s">
        <v>303</v>
      </c>
      <c r="E1422" s="1929" t="s">
        <v>62</v>
      </c>
      <c r="F1422" s="1929">
        <v>10.199999999999999</v>
      </c>
      <c r="G1422" s="1929">
        <v>3.4</v>
      </c>
      <c r="H1422" s="1929">
        <v>0.4</v>
      </c>
      <c r="I1422" s="1929">
        <v>2.8</v>
      </c>
      <c r="J1422" s="1929">
        <v>1614</v>
      </c>
      <c r="K1422" s="1929" t="s">
        <v>2463</v>
      </c>
    </row>
    <row r="1423" spans="1:11" hidden="1" x14ac:dyDescent="0.2">
      <c r="A1423" s="1929" t="s">
        <v>2462</v>
      </c>
      <c r="B1423" s="1929" t="s">
        <v>1238</v>
      </c>
      <c r="C1423" s="1929" t="s">
        <v>2461</v>
      </c>
      <c r="D1423" s="1929" t="s">
        <v>303</v>
      </c>
      <c r="E1423" s="1929" t="s">
        <v>62</v>
      </c>
      <c r="F1423" s="1929">
        <v>6.3</v>
      </c>
      <c r="G1423" s="1929">
        <v>11.6</v>
      </c>
      <c r="H1423" s="1929">
        <v>-0.6</v>
      </c>
      <c r="I1423" s="1929">
        <v>8.9</v>
      </c>
      <c r="J1423" s="1929">
        <v>1642</v>
      </c>
      <c r="K1423" s="1929" t="s">
        <v>2460</v>
      </c>
    </row>
    <row r="1424" spans="1:11" hidden="1" x14ac:dyDescent="0.2">
      <c r="A1424" s="1929" t="s">
        <v>2459</v>
      </c>
      <c r="B1424" s="1929" t="s">
        <v>1228</v>
      </c>
      <c r="C1424" s="1929" t="s">
        <v>1227</v>
      </c>
      <c r="D1424" s="1929" t="s">
        <v>303</v>
      </c>
      <c r="E1424" s="1929" t="s">
        <v>62</v>
      </c>
      <c r="F1424" s="1929">
        <v>4.4000000000000004</v>
      </c>
      <c r="G1424" s="1929">
        <v>14.5</v>
      </c>
      <c r="H1424" s="1929">
        <v>-0.3</v>
      </c>
      <c r="I1424" s="1929">
        <v>10.199999999999999</v>
      </c>
      <c r="J1424" s="1929">
        <v>1647</v>
      </c>
      <c r="K1424" s="1929" t="s">
        <v>2458</v>
      </c>
    </row>
    <row r="1425" spans="1:11" hidden="1" x14ac:dyDescent="0.2">
      <c r="A1425" s="1929" t="s">
        <v>2457</v>
      </c>
      <c r="B1425" s="1929" t="s">
        <v>1245</v>
      </c>
      <c r="C1425" s="1929" t="s">
        <v>1320</v>
      </c>
      <c r="D1425" s="1929" t="s">
        <v>303</v>
      </c>
      <c r="E1425" s="1929" t="s">
        <v>62</v>
      </c>
      <c r="F1425" s="1929">
        <v>24.5</v>
      </c>
      <c r="G1425" s="1929">
        <v>1.1000000000000001</v>
      </c>
      <c r="H1425" s="1929">
        <v>0.2</v>
      </c>
      <c r="I1425" s="1929">
        <v>2.7</v>
      </c>
      <c r="J1425" s="1929">
        <v>1682</v>
      </c>
      <c r="K1425" s="1929" t="s">
        <v>2456</v>
      </c>
    </row>
    <row r="1426" spans="1:11" hidden="1" x14ac:dyDescent="0.2">
      <c r="A1426" s="1929" t="s">
        <v>2455</v>
      </c>
      <c r="B1426" s="1929" t="s">
        <v>1234</v>
      </c>
      <c r="C1426" s="1929" t="s">
        <v>1337</v>
      </c>
      <c r="D1426" s="1929" t="s">
        <v>303</v>
      </c>
      <c r="E1426" s="1929" t="s">
        <v>62</v>
      </c>
      <c r="F1426" s="1929">
        <v>10.3</v>
      </c>
      <c r="G1426" s="1929">
        <v>2.6</v>
      </c>
      <c r="H1426" s="1929">
        <v>0.4</v>
      </c>
      <c r="I1426" s="1929">
        <v>5.4</v>
      </c>
      <c r="J1426" s="1929">
        <v>1709</v>
      </c>
      <c r="K1426" s="1929" t="s">
        <v>2454</v>
      </c>
    </row>
    <row r="1427" spans="1:11" hidden="1" x14ac:dyDescent="0.2">
      <c r="A1427" s="1929" t="s">
        <v>2453</v>
      </c>
      <c r="B1427" s="1929" t="s">
        <v>1238</v>
      </c>
      <c r="C1427" s="1929" t="s">
        <v>1241</v>
      </c>
      <c r="D1427" s="1929" t="s">
        <v>303</v>
      </c>
      <c r="E1427" s="1929" t="s">
        <v>62</v>
      </c>
      <c r="F1427" s="1929">
        <v>3.4</v>
      </c>
      <c r="G1427" s="1929">
        <v>13.7</v>
      </c>
      <c r="H1427" s="1929">
        <v>0</v>
      </c>
      <c r="I1427" s="1929">
        <v>9.5</v>
      </c>
      <c r="J1427" s="1929">
        <v>1743</v>
      </c>
      <c r="K1427" s="1929" t="s">
        <v>2452</v>
      </c>
    </row>
    <row r="1428" spans="1:11" hidden="1" x14ac:dyDescent="0.2">
      <c r="A1428" s="1929" t="s">
        <v>2451</v>
      </c>
      <c r="B1428" s="1929" t="s">
        <v>1258</v>
      </c>
      <c r="C1428" s="1929" t="s">
        <v>1263</v>
      </c>
      <c r="D1428" s="1929" t="s">
        <v>303</v>
      </c>
      <c r="E1428" s="1929" t="s">
        <v>62</v>
      </c>
      <c r="F1428" s="1929">
        <v>11.4</v>
      </c>
      <c r="G1428" s="1929">
        <v>2.6</v>
      </c>
      <c r="H1428" s="1929">
        <v>0.2</v>
      </c>
      <c r="I1428" s="1929">
        <v>11.5</v>
      </c>
      <c r="J1428" s="1929">
        <v>1777</v>
      </c>
      <c r="K1428" s="1929" t="s">
        <v>2450</v>
      </c>
    </row>
    <row r="1429" spans="1:11" hidden="1" x14ac:dyDescent="0.2">
      <c r="A1429" s="1929" t="s">
        <v>2449</v>
      </c>
      <c r="B1429" s="1929" t="s">
        <v>1228</v>
      </c>
      <c r="C1429" s="1929" t="s">
        <v>1297</v>
      </c>
      <c r="D1429" s="1929" t="s">
        <v>303</v>
      </c>
      <c r="E1429" s="1929" t="s">
        <v>62</v>
      </c>
      <c r="F1429" s="1929">
        <v>5.0999999999999996</v>
      </c>
      <c r="G1429" s="1929">
        <v>10.199999999999999</v>
      </c>
      <c r="H1429" s="1929">
        <v>0.3</v>
      </c>
      <c r="I1429" s="1929">
        <v>5.6</v>
      </c>
      <c r="J1429" s="1929">
        <v>1811</v>
      </c>
      <c r="K1429" s="1929" t="s">
        <v>2448</v>
      </c>
    </row>
    <row r="1430" spans="1:11" hidden="1" x14ac:dyDescent="0.2">
      <c r="A1430" s="1929" t="s">
        <v>2447</v>
      </c>
      <c r="B1430" s="1929" t="s">
        <v>1217</v>
      </c>
      <c r="C1430" s="1929" t="s">
        <v>1368</v>
      </c>
      <c r="D1430" s="1929" t="s">
        <v>303</v>
      </c>
      <c r="E1430" s="1929" t="s">
        <v>62</v>
      </c>
      <c r="F1430" s="1929">
        <v>4.2</v>
      </c>
      <c r="G1430" s="1929">
        <v>2.2999999999999998</v>
      </c>
      <c r="H1430" s="1929">
        <v>0</v>
      </c>
      <c r="I1430" s="1929">
        <v>32</v>
      </c>
      <c r="J1430" s="1929">
        <v>1878</v>
      </c>
      <c r="K1430" s="1929" t="s">
        <v>2446</v>
      </c>
    </row>
    <row r="1431" spans="1:11" hidden="1" x14ac:dyDescent="0.2">
      <c r="A1431" s="1929" t="s">
        <v>2445</v>
      </c>
      <c r="B1431" s="1929" t="s">
        <v>1228</v>
      </c>
      <c r="C1431" s="1929" t="s">
        <v>1227</v>
      </c>
      <c r="D1431" s="1929" t="s">
        <v>303</v>
      </c>
      <c r="E1431" s="1929" t="s">
        <v>62</v>
      </c>
      <c r="F1431" s="1929">
        <v>8.4</v>
      </c>
      <c r="G1431" s="1929">
        <v>4.9000000000000004</v>
      </c>
      <c r="H1431" s="1929">
        <v>0.3</v>
      </c>
      <c r="I1431" s="1929">
        <v>5</v>
      </c>
      <c r="J1431" s="1929">
        <v>1882</v>
      </c>
      <c r="K1431" s="1929" t="s">
        <v>2444</v>
      </c>
    </row>
    <row r="1432" spans="1:11" hidden="1" x14ac:dyDescent="0.2">
      <c r="A1432" s="1929" t="s">
        <v>2443</v>
      </c>
      <c r="B1432" s="1929" t="s">
        <v>1245</v>
      </c>
      <c r="C1432" s="1929" t="s">
        <v>1384</v>
      </c>
      <c r="D1432" s="1929" t="s">
        <v>303</v>
      </c>
      <c r="E1432" s="1929" t="s">
        <v>62</v>
      </c>
      <c r="F1432" s="1929">
        <v>3</v>
      </c>
      <c r="G1432" s="1929">
        <v>13</v>
      </c>
      <c r="H1432" s="1929">
        <v>-0.2</v>
      </c>
      <c r="I1432" s="1929">
        <v>4.9000000000000004</v>
      </c>
      <c r="J1432" s="1929">
        <v>1895</v>
      </c>
      <c r="K1432" s="1929" t="s">
        <v>2442</v>
      </c>
    </row>
    <row r="1433" spans="1:11" hidden="1" x14ac:dyDescent="0.2">
      <c r="A1433" s="1929" t="s">
        <v>2441</v>
      </c>
      <c r="B1433" s="1929" t="s">
        <v>1228</v>
      </c>
      <c r="C1433" s="1929" t="s">
        <v>1606</v>
      </c>
      <c r="D1433" s="1929" t="s">
        <v>303</v>
      </c>
      <c r="E1433" s="1929" t="s">
        <v>62</v>
      </c>
      <c r="F1433" s="1929">
        <v>8.3000000000000007</v>
      </c>
      <c r="G1433" s="1929">
        <v>1.9</v>
      </c>
      <c r="H1433" s="1929">
        <v>0.4</v>
      </c>
      <c r="I1433" s="1929">
        <v>3</v>
      </c>
      <c r="J1433" s="1929">
        <v>1899</v>
      </c>
      <c r="K1433" s="1929" t="s">
        <v>2440</v>
      </c>
    </row>
    <row r="1434" spans="1:11" hidden="1" x14ac:dyDescent="0.2">
      <c r="A1434" s="1929" t="s">
        <v>2439</v>
      </c>
      <c r="B1434" s="1929" t="s">
        <v>1217</v>
      </c>
      <c r="C1434" s="1929" t="s">
        <v>1563</v>
      </c>
      <c r="D1434" s="1929" t="s">
        <v>303</v>
      </c>
      <c r="E1434" s="1929" t="s">
        <v>62</v>
      </c>
      <c r="F1434" s="1929">
        <v>6.6</v>
      </c>
      <c r="G1434" s="1929">
        <v>1.4</v>
      </c>
      <c r="H1434" s="1929">
        <v>0.4</v>
      </c>
      <c r="I1434" s="1929">
        <v>4.4000000000000004</v>
      </c>
      <c r="J1434" s="1929">
        <v>1984</v>
      </c>
      <c r="K1434" s="1929" t="s">
        <v>2438</v>
      </c>
    </row>
    <row r="1435" spans="1:11" hidden="1" x14ac:dyDescent="0.2">
      <c r="A1435" s="1929" t="s">
        <v>2437</v>
      </c>
      <c r="B1435" s="1929" t="s">
        <v>1217</v>
      </c>
      <c r="C1435" s="1929" t="s">
        <v>2291</v>
      </c>
      <c r="D1435" s="1929" t="s">
        <v>1226</v>
      </c>
      <c r="E1435" s="1929" t="s">
        <v>63</v>
      </c>
      <c r="F1435" s="1929">
        <v>229.7</v>
      </c>
      <c r="G1435" s="1929">
        <v>105.7</v>
      </c>
      <c r="H1435" s="1929">
        <v>17.3</v>
      </c>
      <c r="I1435" s="1929">
        <v>2435.3000000000002</v>
      </c>
      <c r="J1435" s="1929">
        <v>4</v>
      </c>
      <c r="K1435" s="1929" t="s">
        <v>2436</v>
      </c>
    </row>
    <row r="1436" spans="1:11" hidden="1" x14ac:dyDescent="0.2">
      <c r="A1436" s="1929" t="s">
        <v>2435</v>
      </c>
      <c r="B1436" s="1929" t="s">
        <v>1217</v>
      </c>
      <c r="C1436" s="1929" t="s">
        <v>1368</v>
      </c>
      <c r="D1436" s="1929" t="s">
        <v>1226</v>
      </c>
      <c r="E1436" s="1929" t="s">
        <v>63</v>
      </c>
      <c r="F1436" s="1929">
        <v>309.10000000000002</v>
      </c>
      <c r="G1436" s="1929">
        <v>178.8</v>
      </c>
      <c r="H1436" s="1929">
        <v>19.5</v>
      </c>
      <c r="I1436" s="1929">
        <v>493.4</v>
      </c>
      <c r="J1436" s="1929">
        <v>5</v>
      </c>
      <c r="K1436" s="1929" t="s">
        <v>2434</v>
      </c>
    </row>
    <row r="1437" spans="1:11" hidden="1" x14ac:dyDescent="0.2">
      <c r="A1437" s="1929" t="s">
        <v>2433</v>
      </c>
      <c r="B1437" s="1929" t="s">
        <v>1258</v>
      </c>
      <c r="C1437" s="1929" t="s">
        <v>1263</v>
      </c>
      <c r="D1437" s="1929" t="s">
        <v>1226</v>
      </c>
      <c r="E1437" s="1929" t="s">
        <v>63</v>
      </c>
      <c r="F1437" s="1929">
        <v>422.3</v>
      </c>
      <c r="G1437" s="1929">
        <v>394</v>
      </c>
      <c r="H1437" s="1929">
        <v>32.6</v>
      </c>
      <c r="I1437" s="1929">
        <v>346.8</v>
      </c>
      <c r="J1437" s="1929">
        <v>6</v>
      </c>
      <c r="K1437" s="1929" t="s">
        <v>2432</v>
      </c>
    </row>
    <row r="1438" spans="1:11" hidden="1" x14ac:dyDescent="0.2">
      <c r="A1438" s="1929" t="s">
        <v>2431</v>
      </c>
      <c r="B1438" s="1929" t="s">
        <v>1238</v>
      </c>
      <c r="C1438" s="1929" t="s">
        <v>1878</v>
      </c>
      <c r="D1438" s="1929" t="s">
        <v>1226</v>
      </c>
      <c r="E1438" s="1929" t="s">
        <v>63</v>
      </c>
      <c r="F1438" s="1929">
        <v>259.60000000000002</v>
      </c>
      <c r="G1438" s="1929">
        <v>143.30000000000001</v>
      </c>
      <c r="H1438" s="1929">
        <v>14.8</v>
      </c>
      <c r="I1438" s="1929">
        <v>656.6</v>
      </c>
      <c r="J1438" s="1929">
        <v>7</v>
      </c>
      <c r="K1438" s="1929" t="s">
        <v>2430</v>
      </c>
    </row>
    <row r="1439" spans="1:11" hidden="1" x14ac:dyDescent="0.2">
      <c r="A1439" s="1929" t="s">
        <v>2429</v>
      </c>
      <c r="B1439" s="1929" t="s">
        <v>1217</v>
      </c>
      <c r="C1439" s="1929" t="s">
        <v>2291</v>
      </c>
      <c r="D1439" s="1929" t="s">
        <v>1226</v>
      </c>
      <c r="E1439" s="1929" t="s">
        <v>63</v>
      </c>
      <c r="F1439" s="1929">
        <v>261.39999999999998</v>
      </c>
      <c r="G1439" s="1929">
        <v>88.7</v>
      </c>
      <c r="H1439" s="1929">
        <v>21.9</v>
      </c>
      <c r="I1439" s="1929">
        <v>1543</v>
      </c>
      <c r="J1439" s="1929">
        <v>8</v>
      </c>
      <c r="K1439" s="1929" t="s">
        <v>2428</v>
      </c>
    </row>
    <row r="1440" spans="1:11" hidden="1" x14ac:dyDescent="0.2">
      <c r="A1440" s="1929" t="s">
        <v>2427</v>
      </c>
      <c r="B1440" s="1929" t="s">
        <v>1217</v>
      </c>
      <c r="C1440" s="1929" t="s">
        <v>2291</v>
      </c>
      <c r="D1440" s="1929" t="s">
        <v>1226</v>
      </c>
      <c r="E1440" s="1929" t="s">
        <v>63</v>
      </c>
      <c r="F1440" s="1929">
        <v>183.3</v>
      </c>
      <c r="G1440" s="1929">
        <v>101.5</v>
      </c>
      <c r="H1440" s="1929">
        <v>11.4</v>
      </c>
      <c r="I1440" s="1929">
        <v>2113.8000000000002</v>
      </c>
      <c r="J1440" s="1929">
        <v>13</v>
      </c>
      <c r="K1440" s="1929" t="s">
        <v>2426</v>
      </c>
    </row>
    <row r="1441" spans="1:11" hidden="1" x14ac:dyDescent="0.2">
      <c r="A1441" s="1929" t="s">
        <v>2425</v>
      </c>
      <c r="B1441" s="1929" t="s">
        <v>1245</v>
      </c>
      <c r="C1441" s="1929" t="s">
        <v>1479</v>
      </c>
      <c r="D1441" s="1929" t="s">
        <v>1226</v>
      </c>
      <c r="E1441" s="1929" t="s">
        <v>63</v>
      </c>
      <c r="F1441" s="1929">
        <v>483.1</v>
      </c>
      <c r="G1441" s="1929">
        <v>173.8</v>
      </c>
      <c r="H1441" s="1929">
        <v>37</v>
      </c>
      <c r="I1441" s="1929">
        <v>225.2</v>
      </c>
      <c r="J1441" s="1929">
        <v>15</v>
      </c>
      <c r="K1441" s="1929" t="s">
        <v>2424</v>
      </c>
    </row>
    <row r="1442" spans="1:11" hidden="1" x14ac:dyDescent="0.2">
      <c r="A1442" s="1929" t="s">
        <v>2423</v>
      </c>
      <c r="B1442" s="1929" t="s">
        <v>1217</v>
      </c>
      <c r="C1442" s="1929" t="s">
        <v>2291</v>
      </c>
      <c r="D1442" s="1929" t="s">
        <v>1226</v>
      </c>
      <c r="E1442" s="1929" t="s">
        <v>63</v>
      </c>
      <c r="F1442" s="1929">
        <v>145.1</v>
      </c>
      <c r="G1442" s="1929">
        <v>94.1</v>
      </c>
      <c r="H1442" s="1929">
        <v>13.4</v>
      </c>
      <c r="I1442" s="1929">
        <v>1883.4</v>
      </c>
      <c r="J1442" s="1929">
        <v>16</v>
      </c>
      <c r="K1442" s="1929" t="s">
        <v>2422</v>
      </c>
    </row>
    <row r="1443" spans="1:11" hidden="1" x14ac:dyDescent="0.2">
      <c r="A1443" s="1929" t="s">
        <v>2421</v>
      </c>
      <c r="B1443" s="1929" t="s">
        <v>1258</v>
      </c>
      <c r="C1443" s="1929" t="s">
        <v>1263</v>
      </c>
      <c r="D1443" s="1929" t="s">
        <v>1226</v>
      </c>
      <c r="E1443" s="1929" t="s">
        <v>63</v>
      </c>
      <c r="F1443" s="1929">
        <v>227.2</v>
      </c>
      <c r="G1443" s="1929">
        <v>211.8</v>
      </c>
      <c r="H1443" s="1929">
        <v>21.4</v>
      </c>
      <c r="I1443" s="1929">
        <v>253.8</v>
      </c>
      <c r="J1443" s="1929">
        <v>18</v>
      </c>
      <c r="K1443" s="1929" t="s">
        <v>2420</v>
      </c>
    </row>
    <row r="1444" spans="1:11" hidden="1" x14ac:dyDescent="0.2">
      <c r="A1444" s="1929" t="s">
        <v>2419</v>
      </c>
      <c r="B1444" s="1929" t="s">
        <v>1228</v>
      </c>
      <c r="C1444" s="1929" t="s">
        <v>1639</v>
      </c>
      <c r="D1444" s="1929" t="s">
        <v>1226</v>
      </c>
      <c r="E1444" s="1929" t="s">
        <v>63</v>
      </c>
      <c r="F1444" s="1929">
        <v>247.9</v>
      </c>
      <c r="G1444" s="1929">
        <v>476.5</v>
      </c>
      <c r="H1444" s="1929">
        <v>16</v>
      </c>
      <c r="I1444" s="1929">
        <v>204.8</v>
      </c>
      <c r="J1444" s="1929">
        <v>20</v>
      </c>
      <c r="K1444" s="1929" t="s">
        <v>2418</v>
      </c>
    </row>
    <row r="1445" spans="1:11" hidden="1" x14ac:dyDescent="0.2">
      <c r="A1445" s="1929" t="s">
        <v>2417</v>
      </c>
      <c r="B1445" s="1929" t="s">
        <v>1249</v>
      </c>
      <c r="C1445" s="1929" t="s">
        <v>1248</v>
      </c>
      <c r="D1445" s="1929" t="s">
        <v>1226</v>
      </c>
      <c r="E1445" s="1929" t="s">
        <v>63</v>
      </c>
      <c r="F1445" s="1929">
        <v>182.7</v>
      </c>
      <c r="G1445" s="1929">
        <v>128.80000000000001</v>
      </c>
      <c r="H1445" s="1929">
        <v>18.2</v>
      </c>
      <c r="I1445" s="1929">
        <v>277.8</v>
      </c>
      <c r="J1445" s="1929">
        <v>23</v>
      </c>
      <c r="K1445" s="1929" t="s">
        <v>2416</v>
      </c>
    </row>
    <row r="1446" spans="1:11" hidden="1" x14ac:dyDescent="0.2">
      <c r="A1446" s="1929" t="s">
        <v>2415</v>
      </c>
      <c r="B1446" s="1929" t="s">
        <v>1249</v>
      </c>
      <c r="C1446" s="1929" t="s">
        <v>1248</v>
      </c>
      <c r="D1446" s="1929" t="s">
        <v>1226</v>
      </c>
      <c r="E1446" s="1929" t="s">
        <v>63</v>
      </c>
      <c r="F1446" s="1929">
        <v>197.7</v>
      </c>
      <c r="G1446" s="1929">
        <v>120.6</v>
      </c>
      <c r="H1446" s="1929">
        <v>11.5</v>
      </c>
      <c r="I1446" s="1929">
        <v>274.10000000000002</v>
      </c>
      <c r="J1446" s="1929">
        <v>26</v>
      </c>
      <c r="K1446" s="1929" t="s">
        <v>2414</v>
      </c>
    </row>
    <row r="1447" spans="1:11" hidden="1" x14ac:dyDescent="0.2">
      <c r="A1447" s="1929" t="s">
        <v>2413</v>
      </c>
      <c r="B1447" s="1929" t="s">
        <v>1245</v>
      </c>
      <c r="C1447" s="1929" t="s">
        <v>1286</v>
      </c>
      <c r="D1447" s="1929" t="s">
        <v>1226</v>
      </c>
      <c r="E1447" s="1929" t="s">
        <v>63</v>
      </c>
      <c r="F1447" s="1929">
        <v>343.8</v>
      </c>
      <c r="G1447" s="1929">
        <v>83.3</v>
      </c>
      <c r="H1447" s="1929">
        <v>22.8</v>
      </c>
      <c r="I1447" s="1929">
        <v>153.5</v>
      </c>
      <c r="J1447" s="1929">
        <v>32</v>
      </c>
      <c r="K1447" s="1929" t="s">
        <v>2412</v>
      </c>
    </row>
    <row r="1448" spans="1:11" hidden="1" x14ac:dyDescent="0.2">
      <c r="A1448" s="1929" t="s">
        <v>2411</v>
      </c>
      <c r="B1448" s="1929" t="s">
        <v>1245</v>
      </c>
      <c r="C1448" s="1929" t="s">
        <v>1244</v>
      </c>
      <c r="D1448" s="1929" t="s">
        <v>1226</v>
      </c>
      <c r="E1448" s="1929" t="s">
        <v>63</v>
      </c>
      <c r="F1448" s="1929">
        <v>202.5</v>
      </c>
      <c r="G1448" s="1929">
        <v>99.8</v>
      </c>
      <c r="H1448" s="1929">
        <v>16.5</v>
      </c>
      <c r="I1448" s="1929">
        <v>126.2</v>
      </c>
      <c r="J1448" s="1929">
        <v>35</v>
      </c>
      <c r="K1448" s="1929" t="s">
        <v>2410</v>
      </c>
    </row>
    <row r="1449" spans="1:11" hidden="1" x14ac:dyDescent="0.2">
      <c r="A1449" s="1929" t="s">
        <v>2409</v>
      </c>
      <c r="B1449" s="1929" t="s">
        <v>1306</v>
      </c>
      <c r="C1449" s="1929" t="s">
        <v>1389</v>
      </c>
      <c r="D1449" s="1929" t="s">
        <v>1226</v>
      </c>
      <c r="E1449" s="1929" t="s">
        <v>63</v>
      </c>
      <c r="F1449" s="1929">
        <v>217.8</v>
      </c>
      <c r="G1449" s="1929">
        <v>84.7</v>
      </c>
      <c r="H1449" s="1929">
        <v>10.9</v>
      </c>
      <c r="I1449" s="1929">
        <v>142.9</v>
      </c>
      <c r="J1449" s="1929">
        <v>40</v>
      </c>
      <c r="K1449" s="1929" t="s">
        <v>2408</v>
      </c>
    </row>
    <row r="1450" spans="1:11" hidden="1" x14ac:dyDescent="0.2">
      <c r="A1450" s="1929" t="s">
        <v>2407</v>
      </c>
      <c r="B1450" s="1929" t="s">
        <v>1269</v>
      </c>
      <c r="C1450" s="1929" t="s">
        <v>1294</v>
      </c>
      <c r="D1450" s="1929" t="s">
        <v>1226</v>
      </c>
      <c r="E1450" s="1929" t="s">
        <v>63</v>
      </c>
      <c r="F1450" s="1929">
        <v>277</v>
      </c>
      <c r="G1450" s="1929">
        <v>71.3</v>
      </c>
      <c r="H1450" s="1929">
        <v>13.8</v>
      </c>
      <c r="I1450" s="1929">
        <v>132.69999999999999</v>
      </c>
      <c r="J1450" s="1929">
        <v>41</v>
      </c>
      <c r="K1450" s="1929" t="s">
        <v>2406</v>
      </c>
    </row>
    <row r="1451" spans="1:11" hidden="1" x14ac:dyDescent="0.2">
      <c r="A1451" s="1929" t="s">
        <v>2405</v>
      </c>
      <c r="B1451" s="1929" t="s">
        <v>1217</v>
      </c>
      <c r="C1451" s="1929" t="s">
        <v>1252</v>
      </c>
      <c r="D1451" s="1929" t="s">
        <v>1226</v>
      </c>
      <c r="E1451" s="1929" t="s">
        <v>63</v>
      </c>
      <c r="F1451" s="1929">
        <v>73.2</v>
      </c>
      <c r="G1451" s="1929">
        <v>68.099999999999994</v>
      </c>
      <c r="H1451" s="1929">
        <v>9.1</v>
      </c>
      <c r="I1451" s="1929">
        <v>540.70000000000005</v>
      </c>
      <c r="J1451" s="1929">
        <v>42</v>
      </c>
      <c r="K1451" s="1929" t="s">
        <v>2404</v>
      </c>
    </row>
    <row r="1452" spans="1:11" hidden="1" x14ac:dyDescent="0.2">
      <c r="A1452" s="1929" t="s">
        <v>2403</v>
      </c>
      <c r="B1452" s="1929" t="s">
        <v>1269</v>
      </c>
      <c r="C1452" s="1929" t="s">
        <v>1504</v>
      </c>
      <c r="D1452" s="1929" t="s">
        <v>1226</v>
      </c>
      <c r="E1452" s="1929" t="s">
        <v>63</v>
      </c>
      <c r="F1452" s="1929">
        <v>203.9</v>
      </c>
      <c r="G1452" s="1929">
        <v>52.7</v>
      </c>
      <c r="H1452" s="1929">
        <v>22</v>
      </c>
      <c r="I1452" s="1929">
        <v>172.1</v>
      </c>
      <c r="J1452" s="1929">
        <v>45</v>
      </c>
      <c r="K1452" s="1929" t="s">
        <v>2402</v>
      </c>
    </row>
    <row r="1453" spans="1:11" hidden="1" x14ac:dyDescent="0.2">
      <c r="A1453" s="1929" t="s">
        <v>2401</v>
      </c>
      <c r="B1453" s="1929" t="s">
        <v>1228</v>
      </c>
      <c r="C1453" s="1929" t="s">
        <v>2392</v>
      </c>
      <c r="D1453" s="1929" t="s">
        <v>1226</v>
      </c>
      <c r="E1453" s="1929" t="s">
        <v>63</v>
      </c>
      <c r="F1453" s="1929">
        <v>64.5</v>
      </c>
      <c r="G1453" s="1929">
        <v>146.9</v>
      </c>
      <c r="H1453" s="1929">
        <v>7.2</v>
      </c>
      <c r="I1453" s="1929">
        <v>202</v>
      </c>
      <c r="J1453" s="1929">
        <v>47</v>
      </c>
      <c r="K1453" s="1929" t="s">
        <v>2400</v>
      </c>
    </row>
    <row r="1454" spans="1:11" hidden="1" x14ac:dyDescent="0.2">
      <c r="A1454" s="1929" t="s">
        <v>2399</v>
      </c>
      <c r="B1454" s="1929" t="s">
        <v>1245</v>
      </c>
      <c r="C1454" s="1929" t="s">
        <v>1244</v>
      </c>
      <c r="D1454" s="1929" t="s">
        <v>1226</v>
      </c>
      <c r="E1454" s="1929" t="s">
        <v>63</v>
      </c>
      <c r="F1454" s="1929">
        <v>382.5</v>
      </c>
      <c r="G1454" s="1929">
        <v>59.7</v>
      </c>
      <c r="H1454" s="1929">
        <v>12.2</v>
      </c>
      <c r="I1454" s="1929">
        <v>110.9</v>
      </c>
      <c r="J1454" s="1929">
        <v>52</v>
      </c>
      <c r="K1454" s="1929" t="s">
        <v>2398</v>
      </c>
    </row>
    <row r="1455" spans="1:11" hidden="1" x14ac:dyDescent="0.2">
      <c r="A1455" s="1929" t="s">
        <v>2397</v>
      </c>
      <c r="B1455" s="1929" t="s">
        <v>1228</v>
      </c>
      <c r="C1455" s="1929" t="s">
        <v>1315</v>
      </c>
      <c r="D1455" s="1929" t="s">
        <v>1226</v>
      </c>
      <c r="E1455" s="1929" t="s">
        <v>63</v>
      </c>
      <c r="F1455" s="1929">
        <v>130</v>
      </c>
      <c r="G1455" s="1929">
        <v>64.7</v>
      </c>
      <c r="H1455" s="1929">
        <v>6.8</v>
      </c>
      <c r="I1455" s="1929">
        <v>158.80000000000001</v>
      </c>
      <c r="J1455" s="1929">
        <v>57</v>
      </c>
      <c r="K1455" s="1929" t="s">
        <v>2396</v>
      </c>
    </row>
    <row r="1456" spans="1:11" hidden="1" x14ac:dyDescent="0.2">
      <c r="A1456" s="1929" t="s">
        <v>2395</v>
      </c>
      <c r="B1456" s="1929" t="s">
        <v>1217</v>
      </c>
      <c r="C1456" s="1929" t="s">
        <v>1368</v>
      </c>
      <c r="D1456" s="1929" t="s">
        <v>1226</v>
      </c>
      <c r="E1456" s="1929" t="s">
        <v>63</v>
      </c>
      <c r="F1456" s="1929">
        <v>75.099999999999994</v>
      </c>
      <c r="G1456" s="1929">
        <v>39.5</v>
      </c>
      <c r="H1456" s="1929">
        <v>8</v>
      </c>
      <c r="I1456" s="1929">
        <v>911.5</v>
      </c>
      <c r="J1456" s="1929">
        <v>59</v>
      </c>
      <c r="K1456" s="1929" t="s">
        <v>2394</v>
      </c>
    </row>
    <row r="1457" spans="1:11" hidden="1" x14ac:dyDescent="0.2">
      <c r="A1457" s="1929" t="s">
        <v>2393</v>
      </c>
      <c r="B1457" s="1929" t="s">
        <v>1228</v>
      </c>
      <c r="C1457" s="1929" t="s">
        <v>2392</v>
      </c>
      <c r="D1457" s="1929" t="s">
        <v>1226</v>
      </c>
      <c r="E1457" s="1929" t="s">
        <v>63</v>
      </c>
      <c r="F1457" s="1929">
        <v>54.6</v>
      </c>
      <c r="G1457" s="1929">
        <v>155.4</v>
      </c>
      <c r="H1457" s="1929">
        <v>5.3</v>
      </c>
      <c r="I1457" s="1929">
        <v>166.3</v>
      </c>
      <c r="J1457" s="1929">
        <v>67</v>
      </c>
      <c r="K1457" s="1929" t="s">
        <v>2391</v>
      </c>
    </row>
    <row r="1458" spans="1:11" hidden="1" x14ac:dyDescent="0.2">
      <c r="A1458" s="1929" t="s">
        <v>2390</v>
      </c>
      <c r="B1458" s="1929" t="s">
        <v>1217</v>
      </c>
      <c r="C1458" s="1929" t="s">
        <v>1252</v>
      </c>
      <c r="D1458" s="1929" t="s">
        <v>1226</v>
      </c>
      <c r="E1458" s="1929" t="s">
        <v>63</v>
      </c>
      <c r="F1458" s="1929">
        <v>60</v>
      </c>
      <c r="G1458" s="1929">
        <v>71</v>
      </c>
      <c r="H1458" s="1929">
        <v>3.4</v>
      </c>
      <c r="I1458" s="1929">
        <v>885.3</v>
      </c>
      <c r="J1458" s="1929">
        <v>69</v>
      </c>
      <c r="K1458" s="1929" t="s">
        <v>2389</v>
      </c>
    </row>
    <row r="1459" spans="1:11" hidden="1" x14ac:dyDescent="0.2">
      <c r="A1459" s="1929" t="s">
        <v>2388</v>
      </c>
      <c r="B1459" s="1929" t="s">
        <v>1258</v>
      </c>
      <c r="C1459" s="1929" t="s">
        <v>1263</v>
      </c>
      <c r="D1459" s="1929" t="s">
        <v>1226</v>
      </c>
      <c r="E1459" s="1929" t="s">
        <v>63</v>
      </c>
      <c r="F1459" s="1929">
        <v>86.3</v>
      </c>
      <c r="G1459" s="1929">
        <v>55.6</v>
      </c>
      <c r="H1459" s="1929">
        <v>9.1999999999999993</v>
      </c>
      <c r="I1459" s="1929">
        <v>118.1</v>
      </c>
      <c r="J1459" s="1929">
        <v>76</v>
      </c>
      <c r="K1459" s="1929" t="s">
        <v>2387</v>
      </c>
    </row>
    <row r="1460" spans="1:11" hidden="1" x14ac:dyDescent="0.2">
      <c r="A1460" s="1929" t="s">
        <v>2386</v>
      </c>
      <c r="B1460" s="1929" t="s">
        <v>1245</v>
      </c>
      <c r="C1460" s="1929" t="s">
        <v>1320</v>
      </c>
      <c r="D1460" s="1929" t="s">
        <v>1226</v>
      </c>
      <c r="E1460" s="1929" t="s">
        <v>63</v>
      </c>
      <c r="F1460" s="1929">
        <v>129.19999999999999</v>
      </c>
      <c r="G1460" s="1929">
        <v>52.7</v>
      </c>
      <c r="H1460" s="1929">
        <v>9.6</v>
      </c>
      <c r="I1460" s="1929">
        <v>92.4</v>
      </c>
      <c r="J1460" s="1929">
        <v>78</v>
      </c>
      <c r="K1460" s="1929" t="s">
        <v>2385</v>
      </c>
    </row>
    <row r="1461" spans="1:11" hidden="1" x14ac:dyDescent="0.2">
      <c r="A1461" s="1929" t="s">
        <v>2384</v>
      </c>
      <c r="B1461" s="1929" t="s">
        <v>1245</v>
      </c>
      <c r="C1461" s="1929" t="s">
        <v>1479</v>
      </c>
      <c r="D1461" s="1929" t="s">
        <v>1226</v>
      </c>
      <c r="E1461" s="1929" t="s">
        <v>63</v>
      </c>
      <c r="F1461" s="1929">
        <v>63</v>
      </c>
      <c r="G1461" s="1929">
        <v>112.1</v>
      </c>
      <c r="H1461" s="1929">
        <v>5.3</v>
      </c>
      <c r="I1461" s="1929">
        <v>105</v>
      </c>
      <c r="J1461" s="1929">
        <v>80</v>
      </c>
      <c r="K1461" s="1929" t="s">
        <v>2383</v>
      </c>
    </row>
    <row r="1462" spans="1:11" hidden="1" x14ac:dyDescent="0.2">
      <c r="A1462" s="1929" t="s">
        <v>2382</v>
      </c>
      <c r="B1462" s="1929" t="s">
        <v>1306</v>
      </c>
      <c r="C1462" s="1929" t="s">
        <v>1413</v>
      </c>
      <c r="D1462" s="1929" t="s">
        <v>1226</v>
      </c>
      <c r="E1462" s="1929" t="s">
        <v>63</v>
      </c>
      <c r="F1462" s="1929">
        <v>168.7</v>
      </c>
      <c r="G1462" s="1929">
        <v>46.3</v>
      </c>
      <c r="H1462" s="1929">
        <v>8.5</v>
      </c>
      <c r="I1462" s="1929">
        <v>91.3</v>
      </c>
      <c r="J1462" s="1929">
        <v>81</v>
      </c>
      <c r="K1462" s="1929" t="s">
        <v>2381</v>
      </c>
    </row>
    <row r="1463" spans="1:11" hidden="1" x14ac:dyDescent="0.2">
      <c r="A1463" s="1929" t="s">
        <v>2380</v>
      </c>
      <c r="B1463" s="1929" t="s">
        <v>1245</v>
      </c>
      <c r="C1463" s="1929" t="s">
        <v>1507</v>
      </c>
      <c r="D1463" s="1929" t="s">
        <v>1226</v>
      </c>
      <c r="E1463" s="1929" t="s">
        <v>63</v>
      </c>
      <c r="F1463" s="1929">
        <v>119</v>
      </c>
      <c r="G1463" s="1929">
        <v>47.9</v>
      </c>
      <c r="H1463" s="1929">
        <v>8.1999999999999993</v>
      </c>
      <c r="I1463" s="1929">
        <v>98.4</v>
      </c>
      <c r="J1463" s="1929">
        <v>82</v>
      </c>
      <c r="K1463" s="1929" t="s">
        <v>2379</v>
      </c>
    </row>
    <row r="1464" spans="1:11" hidden="1" x14ac:dyDescent="0.2">
      <c r="A1464" s="1929" t="s">
        <v>2378</v>
      </c>
      <c r="B1464" s="1929" t="s">
        <v>1238</v>
      </c>
      <c r="C1464" s="1929" t="s">
        <v>1349</v>
      </c>
      <c r="D1464" s="1929" t="s">
        <v>1226</v>
      </c>
      <c r="E1464" s="1929" t="s">
        <v>63</v>
      </c>
      <c r="F1464" s="1929">
        <v>95.3</v>
      </c>
      <c r="G1464" s="1929">
        <v>86.6</v>
      </c>
      <c r="H1464" s="1929">
        <v>4.5999999999999996</v>
      </c>
      <c r="I1464" s="1929">
        <v>92.7</v>
      </c>
      <c r="J1464" s="1929">
        <v>84</v>
      </c>
      <c r="K1464" s="1929" t="s">
        <v>2377</v>
      </c>
    </row>
    <row r="1465" spans="1:11" hidden="1" x14ac:dyDescent="0.2">
      <c r="A1465" s="1929" t="s">
        <v>2376</v>
      </c>
      <c r="B1465" s="1929" t="s">
        <v>1269</v>
      </c>
      <c r="C1465" s="1929" t="s">
        <v>2146</v>
      </c>
      <c r="D1465" s="1929" t="s">
        <v>1226</v>
      </c>
      <c r="E1465" s="1929" t="s">
        <v>63</v>
      </c>
      <c r="F1465" s="1929">
        <v>81</v>
      </c>
      <c r="G1465" s="1929">
        <v>122.5</v>
      </c>
      <c r="H1465" s="1929">
        <v>5.6</v>
      </c>
      <c r="I1465" s="1929">
        <v>81.900000000000006</v>
      </c>
      <c r="J1465" s="1929">
        <v>84</v>
      </c>
      <c r="K1465" s="1929" t="s">
        <v>2375</v>
      </c>
    </row>
    <row r="1466" spans="1:11" hidden="1" x14ac:dyDescent="0.2">
      <c r="A1466" s="1929" t="s">
        <v>2374</v>
      </c>
      <c r="B1466" s="1929" t="s">
        <v>1238</v>
      </c>
      <c r="C1466" s="1929" t="s">
        <v>1878</v>
      </c>
      <c r="D1466" s="1929" t="s">
        <v>1226</v>
      </c>
      <c r="E1466" s="1929" t="s">
        <v>63</v>
      </c>
      <c r="F1466" s="1929">
        <v>108.1</v>
      </c>
      <c r="G1466" s="1929">
        <v>62.7</v>
      </c>
      <c r="H1466" s="1929">
        <v>5.7</v>
      </c>
      <c r="I1466" s="1929">
        <v>90.6</v>
      </c>
      <c r="J1466" s="1929">
        <v>90</v>
      </c>
      <c r="K1466" s="1929" t="s">
        <v>2373</v>
      </c>
    </row>
    <row r="1467" spans="1:11" hidden="1" x14ac:dyDescent="0.2">
      <c r="A1467" s="1929" t="s">
        <v>2372</v>
      </c>
      <c r="B1467" s="1929" t="s">
        <v>1306</v>
      </c>
      <c r="C1467" s="1929" t="s">
        <v>1413</v>
      </c>
      <c r="D1467" s="1929" t="s">
        <v>1226</v>
      </c>
      <c r="E1467" s="1929" t="s">
        <v>63</v>
      </c>
      <c r="F1467" s="1929">
        <v>126.2</v>
      </c>
      <c r="G1467" s="1929">
        <v>66.400000000000006</v>
      </c>
      <c r="H1467" s="1929">
        <v>6.7</v>
      </c>
      <c r="I1467" s="1929">
        <v>77.5</v>
      </c>
      <c r="J1467" s="1929">
        <v>93</v>
      </c>
      <c r="K1467" s="1929" t="s">
        <v>2371</v>
      </c>
    </row>
    <row r="1468" spans="1:11" hidden="1" x14ac:dyDescent="0.2">
      <c r="A1468" s="1929" t="s">
        <v>2370</v>
      </c>
      <c r="B1468" s="1929" t="s">
        <v>1245</v>
      </c>
      <c r="C1468" s="1929" t="s">
        <v>1286</v>
      </c>
      <c r="D1468" s="1929" t="s">
        <v>1226</v>
      </c>
      <c r="E1468" s="1929" t="s">
        <v>63</v>
      </c>
      <c r="F1468" s="1929">
        <v>185</v>
      </c>
      <c r="G1468" s="1929">
        <v>37.9</v>
      </c>
      <c r="H1468" s="1929">
        <v>11.1</v>
      </c>
      <c r="I1468" s="1929">
        <v>86.6</v>
      </c>
      <c r="J1468" s="1929">
        <v>94</v>
      </c>
      <c r="K1468" s="1929" t="s">
        <v>2369</v>
      </c>
    </row>
    <row r="1469" spans="1:11" hidden="1" x14ac:dyDescent="0.2">
      <c r="A1469" s="1929" t="s">
        <v>2368</v>
      </c>
      <c r="B1469" s="1929" t="s">
        <v>1306</v>
      </c>
      <c r="C1469" s="1929" t="s">
        <v>1626</v>
      </c>
      <c r="D1469" s="1929" t="s">
        <v>1226</v>
      </c>
      <c r="E1469" s="1929" t="s">
        <v>63</v>
      </c>
      <c r="F1469" s="1929">
        <v>87.8</v>
      </c>
      <c r="G1469" s="1929">
        <v>126.8</v>
      </c>
      <c r="H1469" s="1929">
        <v>4.5999999999999996</v>
      </c>
      <c r="I1469" s="1929">
        <v>71.5</v>
      </c>
      <c r="J1469" s="1929">
        <v>96</v>
      </c>
      <c r="K1469" s="1929" t="s">
        <v>2367</v>
      </c>
    </row>
    <row r="1470" spans="1:11" hidden="1" x14ac:dyDescent="0.2">
      <c r="A1470" s="1929" t="s">
        <v>2366</v>
      </c>
      <c r="B1470" s="1929" t="s">
        <v>1269</v>
      </c>
      <c r="C1470" s="1929" t="s">
        <v>1504</v>
      </c>
      <c r="D1470" s="1929" t="s">
        <v>1226</v>
      </c>
      <c r="E1470" s="1929" t="s">
        <v>63</v>
      </c>
      <c r="F1470" s="1929">
        <v>165.8</v>
      </c>
      <c r="G1470" s="1929">
        <v>44.1</v>
      </c>
      <c r="H1470" s="1929">
        <v>4.4000000000000004</v>
      </c>
      <c r="I1470" s="1929">
        <v>105.6</v>
      </c>
      <c r="J1470" s="1929">
        <v>99</v>
      </c>
      <c r="K1470" s="1929" t="s">
        <v>2365</v>
      </c>
    </row>
    <row r="1471" spans="1:11" hidden="1" x14ac:dyDescent="0.2">
      <c r="A1471" s="1929" t="s">
        <v>2364</v>
      </c>
      <c r="B1471" s="1929" t="s">
        <v>1228</v>
      </c>
      <c r="C1471" s="1929" t="s">
        <v>1315</v>
      </c>
      <c r="D1471" s="1929" t="s">
        <v>1226</v>
      </c>
      <c r="E1471" s="1929" t="s">
        <v>63</v>
      </c>
      <c r="F1471" s="1929">
        <v>142.9</v>
      </c>
      <c r="G1471" s="1929">
        <v>46</v>
      </c>
      <c r="H1471" s="1929">
        <v>6.6</v>
      </c>
      <c r="I1471" s="1929">
        <v>83.2</v>
      </c>
      <c r="J1471" s="1929">
        <v>100</v>
      </c>
      <c r="K1471" s="1929" t="s">
        <v>2363</v>
      </c>
    </row>
    <row r="1472" spans="1:11" hidden="1" x14ac:dyDescent="0.2">
      <c r="A1472" s="1929" t="s">
        <v>2362</v>
      </c>
      <c r="B1472" s="1929" t="s">
        <v>1217</v>
      </c>
      <c r="C1472" s="1929" t="s">
        <v>1403</v>
      </c>
      <c r="D1472" s="1929" t="s">
        <v>1226</v>
      </c>
      <c r="E1472" s="1929" t="s">
        <v>63</v>
      </c>
      <c r="F1472" s="1929">
        <v>96.9</v>
      </c>
      <c r="G1472" s="1929">
        <v>34.9</v>
      </c>
      <c r="H1472" s="1929">
        <v>5.3</v>
      </c>
      <c r="I1472" s="1929">
        <v>155.9</v>
      </c>
      <c r="J1472" s="1929">
        <v>104</v>
      </c>
      <c r="K1472" s="1929" t="s">
        <v>2361</v>
      </c>
    </row>
    <row r="1473" spans="1:12" hidden="1" x14ac:dyDescent="0.2">
      <c r="A1473" s="1929" t="s">
        <v>2360</v>
      </c>
      <c r="B1473" s="1929" t="s">
        <v>1217</v>
      </c>
      <c r="C1473" s="1929" t="s">
        <v>1368</v>
      </c>
      <c r="D1473" s="1929" t="s">
        <v>1226</v>
      </c>
      <c r="E1473" s="1929" t="s">
        <v>63</v>
      </c>
      <c r="F1473" s="1929">
        <v>61.7</v>
      </c>
      <c r="G1473" s="1929">
        <v>40.799999999999997</v>
      </c>
      <c r="H1473" s="1929">
        <v>2.8</v>
      </c>
      <c r="I1473" s="1929">
        <v>832.7</v>
      </c>
      <c r="J1473" s="1929">
        <v>106</v>
      </c>
      <c r="K1473" s="1929" t="s">
        <v>2359</v>
      </c>
    </row>
    <row r="1474" spans="1:12" hidden="1" x14ac:dyDescent="0.2">
      <c r="A1474" s="1929" t="s">
        <v>2358</v>
      </c>
      <c r="B1474" s="1929" t="s">
        <v>1258</v>
      </c>
      <c r="C1474" s="1929" t="s">
        <v>1257</v>
      </c>
      <c r="D1474" s="1929" t="s">
        <v>1226</v>
      </c>
      <c r="E1474" s="1929" t="s">
        <v>63</v>
      </c>
      <c r="F1474" s="1929">
        <v>128</v>
      </c>
      <c r="G1474" s="1929">
        <v>45.4</v>
      </c>
      <c r="H1474" s="1929">
        <v>6.7</v>
      </c>
      <c r="I1474" s="1929">
        <v>67.099999999999994</v>
      </c>
      <c r="J1474" s="1929">
        <v>117</v>
      </c>
      <c r="K1474" s="1929" t="s">
        <v>2357</v>
      </c>
    </row>
    <row r="1475" spans="1:12" hidden="1" x14ac:dyDescent="0.2">
      <c r="A1475" s="1929" t="s">
        <v>2356</v>
      </c>
      <c r="B1475" s="1929" t="s">
        <v>1238</v>
      </c>
      <c r="C1475" s="1929" t="s">
        <v>1237</v>
      </c>
      <c r="D1475" s="1929" t="s">
        <v>1226</v>
      </c>
      <c r="E1475" s="1929" t="s">
        <v>63</v>
      </c>
      <c r="F1475" s="1929">
        <v>63.7</v>
      </c>
      <c r="G1475" s="1929">
        <v>55.7</v>
      </c>
      <c r="H1475" s="1929">
        <v>3.8</v>
      </c>
      <c r="I1475" s="1929">
        <v>84.9</v>
      </c>
      <c r="J1475" s="1929">
        <v>122</v>
      </c>
      <c r="K1475" s="1929" t="s">
        <v>2355</v>
      </c>
    </row>
    <row r="1476" spans="1:12" hidden="1" x14ac:dyDescent="0.2">
      <c r="A1476" s="1929" t="s">
        <v>2354</v>
      </c>
      <c r="B1476" s="1929" t="s">
        <v>1217</v>
      </c>
      <c r="C1476" s="1929" t="s">
        <v>2291</v>
      </c>
      <c r="D1476" s="1929" t="s">
        <v>1226</v>
      </c>
      <c r="E1476" s="1929" t="s">
        <v>63</v>
      </c>
      <c r="F1476" s="1929">
        <v>78.2</v>
      </c>
      <c r="G1476" s="1929">
        <v>20.2</v>
      </c>
      <c r="H1476" s="1929">
        <v>5.8</v>
      </c>
      <c r="I1476" s="1929">
        <v>364</v>
      </c>
      <c r="J1476" s="1929">
        <v>125</v>
      </c>
      <c r="K1476" s="1929" t="s">
        <v>2353</v>
      </c>
    </row>
    <row r="1477" spans="1:12" hidden="1" x14ac:dyDescent="0.2">
      <c r="A1477" s="1929" t="s">
        <v>2352</v>
      </c>
      <c r="B1477" s="1929" t="s">
        <v>1234</v>
      </c>
      <c r="C1477" s="1929" t="s">
        <v>1461</v>
      </c>
      <c r="D1477" s="1929" t="s">
        <v>1226</v>
      </c>
      <c r="E1477" s="1929" t="s">
        <v>63</v>
      </c>
      <c r="F1477" s="1929">
        <v>60.1</v>
      </c>
      <c r="G1477" s="1929">
        <v>57.1</v>
      </c>
      <c r="H1477" s="1929">
        <v>4.8</v>
      </c>
      <c r="I1477" s="1929">
        <v>69.5</v>
      </c>
      <c r="J1477" s="1929">
        <v>127</v>
      </c>
      <c r="K1477" s="1929" t="s">
        <v>2351</v>
      </c>
    </row>
    <row r="1478" spans="1:12" hidden="1" x14ac:dyDescent="0.2">
      <c r="A1478" s="1929" t="s">
        <v>2350</v>
      </c>
      <c r="B1478" s="1929" t="s">
        <v>1228</v>
      </c>
      <c r="C1478" s="1929" t="s">
        <v>1571</v>
      </c>
      <c r="D1478" s="1929" t="s">
        <v>1226</v>
      </c>
      <c r="E1478" s="1929" t="s">
        <v>63</v>
      </c>
      <c r="F1478" s="1929">
        <v>109.7</v>
      </c>
      <c r="G1478" s="1929">
        <v>78.8</v>
      </c>
      <c r="H1478" s="1929">
        <v>5.4</v>
      </c>
      <c r="I1478" s="1929">
        <v>40.5</v>
      </c>
      <c r="J1478" s="1929">
        <v>137</v>
      </c>
      <c r="K1478" s="1929" t="s">
        <v>2349</v>
      </c>
    </row>
    <row r="1479" spans="1:12" hidden="1" x14ac:dyDescent="0.2">
      <c r="A1479" s="1929" t="s">
        <v>2348</v>
      </c>
      <c r="B1479" s="1929" t="s">
        <v>1258</v>
      </c>
      <c r="C1479" s="1929" t="s">
        <v>1263</v>
      </c>
      <c r="D1479" s="1929" t="s">
        <v>1226</v>
      </c>
      <c r="E1479" s="1929" t="s">
        <v>63</v>
      </c>
      <c r="F1479" s="1929">
        <v>46.8</v>
      </c>
      <c r="G1479" s="1929">
        <v>157.9</v>
      </c>
      <c r="H1479" s="1929">
        <v>3.7</v>
      </c>
      <c r="I1479" s="1929">
        <v>51</v>
      </c>
      <c r="J1479" s="1929">
        <v>140</v>
      </c>
      <c r="K1479" s="1929" t="s">
        <v>2347</v>
      </c>
    </row>
    <row r="1480" spans="1:12" hidden="1" x14ac:dyDescent="0.2">
      <c r="A1480" s="1929" t="s">
        <v>2346</v>
      </c>
      <c r="B1480" s="1929" t="s">
        <v>1217</v>
      </c>
      <c r="C1480" s="1929" t="s">
        <v>1403</v>
      </c>
      <c r="D1480" s="1929" t="s">
        <v>1226</v>
      </c>
      <c r="E1480" s="1929" t="s">
        <v>63</v>
      </c>
      <c r="F1480" s="1929">
        <v>44</v>
      </c>
      <c r="G1480" s="1929">
        <v>24.2</v>
      </c>
      <c r="H1480" s="1929">
        <v>4.0999999999999996</v>
      </c>
      <c r="I1480" s="1929">
        <v>298.5</v>
      </c>
      <c r="J1480" s="1929">
        <v>141</v>
      </c>
      <c r="K1480" s="1929" t="s">
        <v>2345</v>
      </c>
    </row>
    <row r="1481" spans="1:12" hidden="1" x14ac:dyDescent="0.2">
      <c r="A1481" s="1929" t="s">
        <v>2344</v>
      </c>
      <c r="B1481" s="1929" t="s">
        <v>1306</v>
      </c>
      <c r="C1481" s="1929" t="s">
        <v>1305</v>
      </c>
      <c r="D1481" s="1929" t="s">
        <v>1226</v>
      </c>
      <c r="E1481" s="1929" t="s">
        <v>63</v>
      </c>
      <c r="F1481" s="1929">
        <v>59.2</v>
      </c>
      <c r="G1481" s="1929">
        <v>35.299999999999997</v>
      </c>
      <c r="H1481" s="1929">
        <v>3.9</v>
      </c>
      <c r="I1481" s="1929">
        <v>72.599999999999994</v>
      </c>
      <c r="J1481" s="1929">
        <v>148</v>
      </c>
      <c r="K1481" s="1929" t="s">
        <v>2343</v>
      </c>
    </row>
    <row r="1482" spans="1:12" hidden="1" x14ac:dyDescent="0.2">
      <c r="A1482" s="1929" t="s">
        <v>2342</v>
      </c>
      <c r="B1482" s="1929" t="s">
        <v>1258</v>
      </c>
      <c r="C1482" s="1929" t="s">
        <v>1263</v>
      </c>
      <c r="D1482" s="1929" t="s">
        <v>1226</v>
      </c>
      <c r="E1482" s="1929" t="s">
        <v>63</v>
      </c>
      <c r="F1482" s="1929">
        <v>75</v>
      </c>
      <c r="G1482" s="1929">
        <v>24.4</v>
      </c>
      <c r="H1482" s="1929">
        <v>5.9</v>
      </c>
      <c r="I1482" s="1929">
        <v>70.900000000000006</v>
      </c>
      <c r="J1482" s="1929">
        <v>151</v>
      </c>
      <c r="K1482" s="1929" t="s">
        <v>2341</v>
      </c>
    </row>
    <row r="1483" spans="1:12" hidden="1" x14ac:dyDescent="0.2">
      <c r="A1483" s="1929" t="s">
        <v>2340</v>
      </c>
      <c r="B1483" s="1929" t="s">
        <v>1359</v>
      </c>
      <c r="E1483" s="1929" t="s">
        <v>1226</v>
      </c>
      <c r="F1483" s="1929" t="s">
        <v>63</v>
      </c>
      <c r="G1483" s="1929">
        <v>74.599999999999994</v>
      </c>
      <c r="H1483" s="1929">
        <v>32</v>
      </c>
      <c r="I1483" s="1929">
        <v>4.9000000000000004</v>
      </c>
      <c r="J1483" s="1929">
        <v>53.3</v>
      </c>
      <c r="K1483" s="1929">
        <v>152</v>
      </c>
      <c r="L1483" s="1929" t="s">
        <v>2339</v>
      </c>
    </row>
    <row r="1484" spans="1:12" hidden="1" x14ac:dyDescent="0.2">
      <c r="A1484" s="1929" t="s">
        <v>2338</v>
      </c>
      <c r="B1484" s="1929" t="s">
        <v>1245</v>
      </c>
      <c r="C1484" s="1929" t="s">
        <v>1320</v>
      </c>
      <c r="D1484" s="1929" t="s">
        <v>1226</v>
      </c>
      <c r="E1484" s="1929" t="s">
        <v>63</v>
      </c>
      <c r="F1484" s="1929">
        <v>135.5</v>
      </c>
      <c r="G1484" s="1929">
        <v>25.5</v>
      </c>
      <c r="H1484" s="1929">
        <v>6.8</v>
      </c>
      <c r="I1484" s="1929">
        <v>46.3</v>
      </c>
      <c r="J1484" s="1929">
        <v>154</v>
      </c>
      <c r="K1484" s="1929" t="s">
        <v>2337</v>
      </c>
    </row>
    <row r="1485" spans="1:12" hidden="1" x14ac:dyDescent="0.2">
      <c r="A1485" s="1929" t="s">
        <v>2336</v>
      </c>
      <c r="B1485" s="1929" t="s">
        <v>1228</v>
      </c>
      <c r="C1485" s="1929" t="s">
        <v>1315</v>
      </c>
      <c r="D1485" s="1929" t="s">
        <v>1226</v>
      </c>
      <c r="E1485" s="1929" t="s">
        <v>63</v>
      </c>
      <c r="F1485" s="1929">
        <v>58.9</v>
      </c>
      <c r="G1485" s="1929">
        <v>29.8</v>
      </c>
      <c r="H1485" s="1929">
        <v>3.6</v>
      </c>
      <c r="I1485" s="1929">
        <v>69.900000000000006</v>
      </c>
      <c r="J1485" s="1929">
        <v>156</v>
      </c>
      <c r="K1485" s="1929" t="s">
        <v>2335</v>
      </c>
    </row>
    <row r="1486" spans="1:12" hidden="1" x14ac:dyDescent="0.2">
      <c r="A1486" s="1929" t="s">
        <v>2334</v>
      </c>
      <c r="B1486" s="1929" t="s">
        <v>1306</v>
      </c>
      <c r="C1486" s="1929" t="s">
        <v>1819</v>
      </c>
      <c r="D1486" s="1929" t="s">
        <v>1226</v>
      </c>
      <c r="E1486" s="1929" t="s">
        <v>63</v>
      </c>
      <c r="F1486" s="1929">
        <v>130.30000000000001</v>
      </c>
      <c r="G1486" s="1929">
        <v>30.9</v>
      </c>
      <c r="H1486" s="1929">
        <v>8.6</v>
      </c>
      <c r="I1486" s="1929">
        <v>38.200000000000003</v>
      </c>
      <c r="J1486" s="1929">
        <v>157</v>
      </c>
      <c r="K1486" s="1929" t="s">
        <v>2333</v>
      </c>
    </row>
    <row r="1487" spans="1:12" hidden="1" x14ac:dyDescent="0.2">
      <c r="A1487" s="1929" t="s">
        <v>2332</v>
      </c>
      <c r="B1487" s="1929" t="s">
        <v>1238</v>
      </c>
      <c r="C1487" s="1929" t="s">
        <v>1878</v>
      </c>
      <c r="D1487" s="1929" t="s">
        <v>1226</v>
      </c>
      <c r="E1487" s="1929" t="s">
        <v>63</v>
      </c>
      <c r="F1487" s="1929">
        <v>72.900000000000006</v>
      </c>
      <c r="G1487" s="1929">
        <v>39.1</v>
      </c>
      <c r="H1487" s="1929">
        <v>3.9</v>
      </c>
      <c r="I1487" s="1929">
        <v>45.4</v>
      </c>
      <c r="J1487" s="1929">
        <v>158</v>
      </c>
      <c r="K1487" s="1929" t="s">
        <v>2331</v>
      </c>
    </row>
    <row r="1488" spans="1:12" hidden="1" x14ac:dyDescent="0.2">
      <c r="A1488" s="1929" t="s">
        <v>2330</v>
      </c>
      <c r="B1488" s="1929" t="s">
        <v>1269</v>
      </c>
      <c r="C1488" s="1929" t="s">
        <v>1268</v>
      </c>
      <c r="D1488" s="1929" t="s">
        <v>1226</v>
      </c>
      <c r="E1488" s="1929" t="s">
        <v>63</v>
      </c>
      <c r="F1488" s="1929">
        <v>59</v>
      </c>
      <c r="G1488" s="1929">
        <v>104.2</v>
      </c>
      <c r="H1488" s="1929">
        <v>1.8</v>
      </c>
      <c r="I1488" s="1929">
        <v>53.5</v>
      </c>
      <c r="J1488" s="1929">
        <v>158</v>
      </c>
      <c r="K1488" s="1929" t="s">
        <v>2329</v>
      </c>
    </row>
    <row r="1489" spans="1:11" hidden="1" x14ac:dyDescent="0.2">
      <c r="A1489" s="1929" t="s">
        <v>2328</v>
      </c>
      <c r="B1489" s="1929" t="s">
        <v>1238</v>
      </c>
      <c r="C1489" s="1929" t="s">
        <v>1501</v>
      </c>
      <c r="D1489" s="1929" t="s">
        <v>1226</v>
      </c>
      <c r="E1489" s="1929" t="s">
        <v>63</v>
      </c>
      <c r="F1489" s="1929">
        <v>89.6</v>
      </c>
      <c r="G1489" s="1929">
        <v>55.5</v>
      </c>
      <c r="H1489" s="1929">
        <v>4.4000000000000004</v>
      </c>
      <c r="I1489" s="1929">
        <v>36.200000000000003</v>
      </c>
      <c r="J1489" s="1929">
        <v>160</v>
      </c>
      <c r="K1489" s="1929" t="s">
        <v>2327</v>
      </c>
    </row>
    <row r="1490" spans="1:11" hidden="1" x14ac:dyDescent="0.2">
      <c r="A1490" s="1929" t="s">
        <v>2326</v>
      </c>
      <c r="B1490" s="1929" t="s">
        <v>1217</v>
      </c>
      <c r="C1490" s="1929" t="s">
        <v>1216</v>
      </c>
      <c r="D1490" s="1929" t="s">
        <v>1226</v>
      </c>
      <c r="E1490" s="1929" t="s">
        <v>63</v>
      </c>
      <c r="F1490" s="1929">
        <v>46.6</v>
      </c>
      <c r="G1490" s="1929">
        <v>16.5</v>
      </c>
      <c r="H1490" s="1929">
        <v>4.2</v>
      </c>
      <c r="I1490" s="1929">
        <v>324.10000000000002</v>
      </c>
      <c r="J1490" s="1929">
        <v>162</v>
      </c>
      <c r="K1490" s="1929" t="s">
        <v>2325</v>
      </c>
    </row>
    <row r="1491" spans="1:11" hidden="1" x14ac:dyDescent="0.2">
      <c r="A1491" s="1929" t="s">
        <v>2324</v>
      </c>
      <c r="B1491" s="1929" t="s">
        <v>1310</v>
      </c>
      <c r="C1491" s="1929" t="s">
        <v>1309</v>
      </c>
      <c r="D1491" s="1929" t="s">
        <v>1226</v>
      </c>
      <c r="E1491" s="1929" t="s">
        <v>63</v>
      </c>
      <c r="F1491" s="1929">
        <v>49.9</v>
      </c>
      <c r="G1491" s="1929">
        <v>24.6</v>
      </c>
      <c r="H1491" s="1929">
        <v>2.7</v>
      </c>
      <c r="I1491" s="1929">
        <v>114.8</v>
      </c>
      <c r="J1491" s="1929">
        <v>165</v>
      </c>
      <c r="K1491" s="1929" t="s">
        <v>2323</v>
      </c>
    </row>
    <row r="1492" spans="1:11" hidden="1" x14ac:dyDescent="0.2">
      <c r="A1492" s="1929" t="s">
        <v>2322</v>
      </c>
      <c r="B1492" s="1929" t="s">
        <v>1238</v>
      </c>
      <c r="C1492" s="1929" t="s">
        <v>1485</v>
      </c>
      <c r="D1492" s="1929" t="s">
        <v>1226</v>
      </c>
      <c r="E1492" s="1929" t="s">
        <v>63</v>
      </c>
      <c r="F1492" s="1929">
        <v>30.4</v>
      </c>
      <c r="G1492" s="1929">
        <v>37.700000000000003</v>
      </c>
      <c r="H1492" s="1929">
        <v>10.5</v>
      </c>
      <c r="I1492" s="1929">
        <v>59.4</v>
      </c>
      <c r="J1492" s="1929">
        <v>166</v>
      </c>
      <c r="K1492" s="1929" t="s">
        <v>2321</v>
      </c>
    </row>
    <row r="1493" spans="1:11" hidden="1" x14ac:dyDescent="0.2">
      <c r="A1493" s="1929" t="s">
        <v>2320</v>
      </c>
      <c r="B1493" s="1929" t="s">
        <v>1269</v>
      </c>
      <c r="C1493" s="1929" t="s">
        <v>1340</v>
      </c>
      <c r="D1493" s="1929" t="s">
        <v>1226</v>
      </c>
      <c r="E1493" s="1929" t="s">
        <v>63</v>
      </c>
      <c r="F1493" s="1929">
        <v>95.2</v>
      </c>
      <c r="G1493" s="1929">
        <v>18.7</v>
      </c>
      <c r="H1493" s="1929">
        <v>5.0999999999999996</v>
      </c>
      <c r="I1493" s="1929">
        <v>66.099999999999994</v>
      </c>
      <c r="J1493" s="1929">
        <v>170</v>
      </c>
      <c r="K1493" s="1929" t="s">
        <v>2319</v>
      </c>
    </row>
    <row r="1494" spans="1:11" hidden="1" x14ac:dyDescent="0.2">
      <c r="A1494" s="1929" t="s">
        <v>2318</v>
      </c>
      <c r="B1494" s="1929" t="s">
        <v>1234</v>
      </c>
      <c r="C1494" s="1929" t="s">
        <v>1461</v>
      </c>
      <c r="D1494" s="1929" t="s">
        <v>1226</v>
      </c>
      <c r="E1494" s="1929" t="s">
        <v>63</v>
      </c>
      <c r="F1494" s="1929">
        <v>62.1</v>
      </c>
      <c r="G1494" s="1929">
        <v>35.9</v>
      </c>
      <c r="H1494" s="1929">
        <v>2.9</v>
      </c>
      <c r="I1494" s="1929">
        <v>51.5</v>
      </c>
      <c r="J1494" s="1929">
        <v>171</v>
      </c>
      <c r="K1494" s="1929" t="s">
        <v>2317</v>
      </c>
    </row>
    <row r="1495" spans="1:11" hidden="1" x14ac:dyDescent="0.2">
      <c r="A1495" s="1929" t="s">
        <v>2316</v>
      </c>
      <c r="B1495" s="1929" t="s">
        <v>1306</v>
      </c>
      <c r="C1495" s="1929" t="s">
        <v>1626</v>
      </c>
      <c r="D1495" s="1929" t="s">
        <v>1226</v>
      </c>
      <c r="E1495" s="1929" t="s">
        <v>63</v>
      </c>
      <c r="F1495" s="1929">
        <v>62.8</v>
      </c>
      <c r="G1495" s="1929">
        <v>74.2</v>
      </c>
      <c r="H1495" s="1929">
        <v>2.7</v>
      </c>
      <c r="I1495" s="1929">
        <v>37.1</v>
      </c>
      <c r="J1495" s="1929">
        <v>177</v>
      </c>
      <c r="K1495" s="1929" t="s">
        <v>2315</v>
      </c>
    </row>
    <row r="1496" spans="1:11" hidden="1" x14ac:dyDescent="0.2">
      <c r="A1496" s="1929" t="s">
        <v>2314</v>
      </c>
      <c r="B1496" s="1929" t="s">
        <v>1258</v>
      </c>
      <c r="C1496" s="1929" t="s">
        <v>1263</v>
      </c>
      <c r="D1496" s="1929" t="s">
        <v>1226</v>
      </c>
      <c r="E1496" s="1929" t="s">
        <v>63</v>
      </c>
      <c r="F1496" s="1929">
        <v>29.6</v>
      </c>
      <c r="G1496" s="1929">
        <v>138.1</v>
      </c>
      <c r="H1496" s="1929">
        <v>2.7</v>
      </c>
      <c r="I1496" s="1929">
        <v>47.3</v>
      </c>
      <c r="J1496" s="1929">
        <v>179</v>
      </c>
      <c r="K1496" s="1929" t="s">
        <v>2313</v>
      </c>
    </row>
    <row r="1497" spans="1:11" hidden="1" x14ac:dyDescent="0.2">
      <c r="A1497" s="1929" t="s">
        <v>2312</v>
      </c>
      <c r="B1497" s="1929" t="s">
        <v>1217</v>
      </c>
      <c r="C1497" s="1929" t="s">
        <v>1563</v>
      </c>
      <c r="D1497" s="1929" t="s">
        <v>1226</v>
      </c>
      <c r="E1497" s="1929" t="s">
        <v>63</v>
      </c>
      <c r="F1497" s="1929">
        <v>29.7</v>
      </c>
      <c r="G1497" s="1929">
        <v>26.2</v>
      </c>
      <c r="H1497" s="1929">
        <v>3.6</v>
      </c>
      <c r="I1497" s="1929">
        <v>105.6</v>
      </c>
      <c r="J1497" s="1929">
        <v>181</v>
      </c>
      <c r="K1497" s="1929" t="s">
        <v>2311</v>
      </c>
    </row>
    <row r="1498" spans="1:11" hidden="1" x14ac:dyDescent="0.2">
      <c r="A1498" s="1929" t="s">
        <v>2310</v>
      </c>
      <c r="B1498" s="1929" t="s">
        <v>1238</v>
      </c>
      <c r="C1498" s="1929" t="s">
        <v>1237</v>
      </c>
      <c r="D1498" s="1929" t="s">
        <v>1226</v>
      </c>
      <c r="E1498" s="1929" t="s">
        <v>63</v>
      </c>
      <c r="F1498" s="1929">
        <v>33.799999999999997</v>
      </c>
      <c r="G1498" s="1929">
        <v>38</v>
      </c>
      <c r="H1498" s="1929">
        <v>3.6</v>
      </c>
      <c r="I1498" s="1929">
        <v>57.7</v>
      </c>
      <c r="J1498" s="1929">
        <v>184</v>
      </c>
      <c r="K1498" s="1929" t="s">
        <v>2309</v>
      </c>
    </row>
    <row r="1499" spans="1:11" hidden="1" x14ac:dyDescent="0.2">
      <c r="A1499" s="1929" t="s">
        <v>2308</v>
      </c>
      <c r="B1499" s="1929" t="s">
        <v>1238</v>
      </c>
      <c r="C1499" s="1929" t="s">
        <v>1434</v>
      </c>
      <c r="D1499" s="1929" t="s">
        <v>1226</v>
      </c>
      <c r="E1499" s="1929" t="s">
        <v>63</v>
      </c>
      <c r="F1499" s="1929">
        <v>85.8</v>
      </c>
      <c r="G1499" s="1929">
        <v>22</v>
      </c>
      <c r="H1499" s="1929">
        <v>4.4000000000000004</v>
      </c>
      <c r="I1499" s="1929">
        <v>49.7</v>
      </c>
      <c r="J1499" s="1929">
        <v>185</v>
      </c>
      <c r="K1499" s="1929" t="s">
        <v>2307</v>
      </c>
    </row>
    <row r="1500" spans="1:11" hidden="1" x14ac:dyDescent="0.2">
      <c r="A1500" s="1929" t="s">
        <v>2306</v>
      </c>
      <c r="B1500" s="1929" t="s">
        <v>1228</v>
      </c>
      <c r="C1500" s="1929" t="s">
        <v>1524</v>
      </c>
      <c r="D1500" s="1929" t="s">
        <v>1226</v>
      </c>
      <c r="E1500" s="1929" t="s">
        <v>63</v>
      </c>
      <c r="F1500" s="1929">
        <v>96.9</v>
      </c>
      <c r="G1500" s="1929">
        <v>28.1</v>
      </c>
      <c r="H1500" s="1929">
        <v>5.6</v>
      </c>
      <c r="I1500" s="1929">
        <v>36.6</v>
      </c>
      <c r="J1500" s="1929">
        <v>186</v>
      </c>
      <c r="K1500" s="1929" t="s">
        <v>2305</v>
      </c>
    </row>
    <row r="1501" spans="1:11" hidden="1" x14ac:dyDescent="0.2">
      <c r="A1501" s="1929" t="s">
        <v>2304</v>
      </c>
      <c r="B1501" s="1929" t="s">
        <v>1269</v>
      </c>
      <c r="C1501" s="1929" t="s">
        <v>2146</v>
      </c>
      <c r="D1501" s="1929" t="s">
        <v>1226</v>
      </c>
      <c r="E1501" s="1929" t="s">
        <v>63</v>
      </c>
      <c r="F1501" s="1929">
        <v>28</v>
      </c>
      <c r="G1501" s="1929">
        <v>71.5</v>
      </c>
      <c r="H1501" s="1929">
        <v>2.5</v>
      </c>
      <c r="I1501" s="1929">
        <v>59.6</v>
      </c>
      <c r="J1501" s="1929">
        <v>187</v>
      </c>
      <c r="K1501" s="1929" t="s">
        <v>2303</v>
      </c>
    </row>
    <row r="1502" spans="1:11" hidden="1" x14ac:dyDescent="0.2">
      <c r="A1502" s="1929" t="s">
        <v>2302</v>
      </c>
      <c r="B1502" s="1929" t="s">
        <v>1217</v>
      </c>
      <c r="C1502" s="1929" t="s">
        <v>1302</v>
      </c>
      <c r="D1502" s="1929" t="s">
        <v>1226</v>
      </c>
      <c r="E1502" s="1929" t="s">
        <v>63</v>
      </c>
      <c r="F1502" s="1929">
        <v>28.8</v>
      </c>
      <c r="G1502" s="1929">
        <v>24.1</v>
      </c>
      <c r="H1502" s="1929">
        <v>3.2</v>
      </c>
      <c r="I1502" s="1929">
        <v>124.3</v>
      </c>
      <c r="J1502" s="1929">
        <v>188</v>
      </c>
      <c r="K1502" s="1929" t="s">
        <v>2301</v>
      </c>
    </row>
    <row r="1503" spans="1:11" hidden="1" x14ac:dyDescent="0.2">
      <c r="A1503" s="1929" t="s">
        <v>2300</v>
      </c>
      <c r="B1503" s="1929" t="s">
        <v>1238</v>
      </c>
      <c r="C1503" s="1929" t="s">
        <v>1878</v>
      </c>
      <c r="D1503" s="1929" t="s">
        <v>1226</v>
      </c>
      <c r="E1503" s="1929" t="s">
        <v>63</v>
      </c>
      <c r="F1503" s="1929">
        <v>89.8</v>
      </c>
      <c r="G1503" s="1929">
        <v>30.9</v>
      </c>
      <c r="H1503" s="1929">
        <v>4.7</v>
      </c>
      <c r="I1503" s="1929">
        <v>33.6</v>
      </c>
      <c r="J1503" s="1929">
        <v>194</v>
      </c>
      <c r="K1503" s="1929" t="s">
        <v>2299</v>
      </c>
    </row>
    <row r="1504" spans="1:11" hidden="1" x14ac:dyDescent="0.2">
      <c r="A1504" s="1929" t="s">
        <v>2298</v>
      </c>
      <c r="B1504" s="1929" t="s">
        <v>1217</v>
      </c>
      <c r="C1504" s="1929" t="s">
        <v>1252</v>
      </c>
      <c r="D1504" s="1929" t="s">
        <v>1226</v>
      </c>
      <c r="E1504" s="1929" t="s">
        <v>63</v>
      </c>
      <c r="F1504" s="1929">
        <v>25.3</v>
      </c>
      <c r="G1504" s="1929">
        <v>34.200000000000003</v>
      </c>
      <c r="H1504" s="1929">
        <v>2.2999999999999998</v>
      </c>
      <c r="I1504" s="1929">
        <v>123.5</v>
      </c>
      <c r="J1504" s="1929">
        <v>195</v>
      </c>
      <c r="K1504" s="1929" t="s">
        <v>2297</v>
      </c>
    </row>
    <row r="1505" spans="1:11" hidden="1" x14ac:dyDescent="0.2">
      <c r="A1505" s="1929" t="s">
        <v>2296</v>
      </c>
      <c r="B1505" s="1929" t="s">
        <v>1238</v>
      </c>
      <c r="C1505" s="1929" t="s">
        <v>1349</v>
      </c>
      <c r="D1505" s="1929" t="s">
        <v>1226</v>
      </c>
      <c r="E1505" s="1929" t="s">
        <v>63</v>
      </c>
      <c r="F1505" s="1929">
        <v>52.3</v>
      </c>
      <c r="G1505" s="1929">
        <v>45.4</v>
      </c>
      <c r="H1505" s="1929">
        <v>3</v>
      </c>
      <c r="I1505" s="1929">
        <v>36.200000000000003</v>
      </c>
      <c r="J1505" s="1929">
        <v>198</v>
      </c>
      <c r="K1505" s="1929" t="s">
        <v>2295</v>
      </c>
    </row>
    <row r="1506" spans="1:11" hidden="1" x14ac:dyDescent="0.2">
      <c r="A1506" s="1929" t="s">
        <v>2294</v>
      </c>
      <c r="B1506" s="1929" t="s">
        <v>1228</v>
      </c>
      <c r="C1506" s="1929" t="s">
        <v>1639</v>
      </c>
      <c r="D1506" s="1929" t="s">
        <v>1226</v>
      </c>
      <c r="E1506" s="1929" t="s">
        <v>63</v>
      </c>
      <c r="F1506" s="1929">
        <v>38.4</v>
      </c>
      <c r="G1506" s="1929">
        <v>72.599999999999994</v>
      </c>
      <c r="H1506" s="1929">
        <v>2</v>
      </c>
      <c r="I1506" s="1929">
        <v>44.6</v>
      </c>
      <c r="J1506" s="1929">
        <v>200</v>
      </c>
      <c r="K1506" s="1929" t="s">
        <v>2293</v>
      </c>
    </row>
    <row r="1507" spans="1:11" hidden="1" x14ac:dyDescent="0.2">
      <c r="A1507" s="1929" t="s">
        <v>2292</v>
      </c>
      <c r="B1507" s="1929" t="s">
        <v>1217</v>
      </c>
      <c r="C1507" s="1929" t="s">
        <v>2291</v>
      </c>
      <c r="D1507" s="1929" t="s">
        <v>1226</v>
      </c>
      <c r="E1507" s="1929" t="s">
        <v>63</v>
      </c>
      <c r="F1507" s="1929">
        <v>40.299999999999997</v>
      </c>
      <c r="G1507" s="1929">
        <v>15.1</v>
      </c>
      <c r="H1507" s="1929">
        <v>2.1</v>
      </c>
      <c r="I1507" s="1929">
        <v>374.3</v>
      </c>
      <c r="J1507" s="1929">
        <v>214</v>
      </c>
      <c r="K1507" s="1929" t="s">
        <v>2290</v>
      </c>
    </row>
    <row r="1508" spans="1:11" hidden="1" x14ac:dyDescent="0.2">
      <c r="A1508" s="1929" t="s">
        <v>2289</v>
      </c>
      <c r="B1508" s="1929" t="s">
        <v>1245</v>
      </c>
      <c r="C1508" s="1929" t="s">
        <v>1759</v>
      </c>
      <c r="D1508" s="1929" t="s">
        <v>1226</v>
      </c>
      <c r="E1508" s="1929" t="s">
        <v>63</v>
      </c>
      <c r="F1508" s="1929">
        <v>56.3</v>
      </c>
      <c r="G1508" s="1929">
        <v>23.2</v>
      </c>
      <c r="H1508" s="1929">
        <v>2.9</v>
      </c>
      <c r="I1508" s="1929">
        <v>45.8</v>
      </c>
      <c r="J1508" s="1929">
        <v>216</v>
      </c>
      <c r="K1508" s="1929" t="s">
        <v>2288</v>
      </c>
    </row>
    <row r="1509" spans="1:11" hidden="1" x14ac:dyDescent="0.2">
      <c r="A1509" s="1929" t="s">
        <v>2287</v>
      </c>
      <c r="B1509" s="1929" t="s">
        <v>1228</v>
      </c>
      <c r="C1509" s="1929" t="s">
        <v>1639</v>
      </c>
      <c r="D1509" s="1929" t="s">
        <v>1226</v>
      </c>
      <c r="E1509" s="1929" t="s">
        <v>63</v>
      </c>
      <c r="F1509" s="1929">
        <v>49.2</v>
      </c>
      <c r="G1509" s="1929">
        <v>107.9</v>
      </c>
      <c r="H1509" s="1929">
        <v>2</v>
      </c>
      <c r="I1509" s="1929">
        <v>31.6</v>
      </c>
      <c r="J1509" s="1929">
        <v>217</v>
      </c>
      <c r="K1509" s="1929" t="s">
        <v>2286</v>
      </c>
    </row>
    <row r="1510" spans="1:11" hidden="1" x14ac:dyDescent="0.2">
      <c r="A1510" s="1929" t="s">
        <v>2285</v>
      </c>
      <c r="B1510" s="1929" t="s">
        <v>1269</v>
      </c>
      <c r="C1510" s="1929" t="s">
        <v>1504</v>
      </c>
      <c r="D1510" s="1929" t="s">
        <v>1226</v>
      </c>
      <c r="E1510" s="1929" t="s">
        <v>63</v>
      </c>
      <c r="F1510" s="1929">
        <v>65.900000000000006</v>
      </c>
      <c r="G1510" s="1929">
        <v>23.1</v>
      </c>
      <c r="H1510" s="1929">
        <v>4.7</v>
      </c>
      <c r="I1510" s="1929">
        <v>35.200000000000003</v>
      </c>
      <c r="J1510" s="1929">
        <v>219</v>
      </c>
      <c r="K1510" s="1929" t="s">
        <v>2284</v>
      </c>
    </row>
    <row r="1511" spans="1:11" hidden="1" x14ac:dyDescent="0.2">
      <c r="A1511" s="1929" t="s">
        <v>2283</v>
      </c>
      <c r="B1511" s="1929" t="s">
        <v>1228</v>
      </c>
      <c r="C1511" s="1929" t="s">
        <v>1571</v>
      </c>
      <c r="D1511" s="1929" t="s">
        <v>1226</v>
      </c>
      <c r="E1511" s="1929" t="s">
        <v>63</v>
      </c>
      <c r="F1511" s="1929">
        <v>50.9</v>
      </c>
      <c r="G1511" s="1929">
        <v>53.4</v>
      </c>
      <c r="H1511" s="1929">
        <v>2.2999999999999998</v>
      </c>
      <c r="I1511" s="1929">
        <v>32.700000000000003</v>
      </c>
      <c r="J1511" s="1929">
        <v>221</v>
      </c>
      <c r="K1511" s="1929" t="s">
        <v>2282</v>
      </c>
    </row>
    <row r="1512" spans="1:11" hidden="1" x14ac:dyDescent="0.2">
      <c r="A1512" s="1929" t="s">
        <v>2281</v>
      </c>
      <c r="B1512" s="1929" t="s">
        <v>1234</v>
      </c>
      <c r="C1512" s="1929" t="s">
        <v>1337</v>
      </c>
      <c r="D1512" s="1929" t="s">
        <v>1226</v>
      </c>
      <c r="E1512" s="1929" t="s">
        <v>63</v>
      </c>
      <c r="F1512" s="1929">
        <v>34.200000000000003</v>
      </c>
      <c r="G1512" s="1929">
        <v>21.6</v>
      </c>
      <c r="H1512" s="1929">
        <v>2.7</v>
      </c>
      <c r="I1512" s="1929">
        <v>63.5</v>
      </c>
      <c r="J1512" s="1929">
        <v>224</v>
      </c>
      <c r="K1512" s="1929" t="s">
        <v>2280</v>
      </c>
    </row>
    <row r="1513" spans="1:11" hidden="1" x14ac:dyDescent="0.2">
      <c r="A1513" s="1929" t="s">
        <v>2279</v>
      </c>
      <c r="B1513" s="1929" t="s">
        <v>1269</v>
      </c>
      <c r="C1513" s="1929" t="s">
        <v>1504</v>
      </c>
      <c r="D1513" s="1929" t="s">
        <v>1226</v>
      </c>
      <c r="E1513" s="1929" t="s">
        <v>63</v>
      </c>
      <c r="F1513" s="1929">
        <v>59.4</v>
      </c>
      <c r="G1513" s="1929">
        <v>21.8</v>
      </c>
      <c r="H1513" s="1929">
        <v>2.6</v>
      </c>
      <c r="I1513" s="1929">
        <v>43</v>
      </c>
      <c r="J1513" s="1929">
        <v>229</v>
      </c>
      <c r="K1513" s="1929" t="s">
        <v>2278</v>
      </c>
    </row>
    <row r="1514" spans="1:11" hidden="1" x14ac:dyDescent="0.2">
      <c r="A1514" s="1929" t="s">
        <v>2277</v>
      </c>
      <c r="B1514" s="1929" t="s">
        <v>1269</v>
      </c>
      <c r="C1514" s="1929" t="s">
        <v>2146</v>
      </c>
      <c r="D1514" s="1929" t="s">
        <v>1226</v>
      </c>
      <c r="E1514" s="1929" t="s">
        <v>63</v>
      </c>
      <c r="F1514" s="1929">
        <v>27.2</v>
      </c>
      <c r="G1514" s="1929">
        <v>47.3</v>
      </c>
      <c r="H1514" s="1929">
        <v>1.9</v>
      </c>
      <c r="I1514" s="1929">
        <v>49.9</v>
      </c>
      <c r="J1514" s="1929">
        <v>232</v>
      </c>
      <c r="K1514" s="1929" t="s">
        <v>2276</v>
      </c>
    </row>
    <row r="1515" spans="1:11" hidden="1" x14ac:dyDescent="0.2">
      <c r="A1515" s="1929" t="s">
        <v>2275</v>
      </c>
      <c r="B1515" s="1929" t="s">
        <v>1306</v>
      </c>
      <c r="C1515" s="1929" t="s">
        <v>1819</v>
      </c>
      <c r="D1515" s="1929" t="s">
        <v>1226</v>
      </c>
      <c r="E1515" s="1929" t="s">
        <v>63</v>
      </c>
      <c r="F1515" s="1929">
        <v>74.5</v>
      </c>
      <c r="G1515" s="1929">
        <v>17.7</v>
      </c>
      <c r="H1515" s="1929">
        <v>4.5</v>
      </c>
      <c r="I1515" s="1929">
        <v>34.9</v>
      </c>
      <c r="J1515" s="1929">
        <v>239</v>
      </c>
      <c r="K1515" s="1929" t="s">
        <v>2274</v>
      </c>
    </row>
    <row r="1516" spans="1:11" hidden="1" x14ac:dyDescent="0.2">
      <c r="A1516" s="1929" t="s">
        <v>2273</v>
      </c>
      <c r="B1516" s="1929" t="s">
        <v>1217</v>
      </c>
      <c r="C1516" s="1929" t="s">
        <v>1368</v>
      </c>
      <c r="D1516" s="1929" t="s">
        <v>1226</v>
      </c>
      <c r="E1516" s="1929" t="s">
        <v>63</v>
      </c>
      <c r="F1516" s="1929">
        <v>53.1</v>
      </c>
      <c r="G1516" s="1929">
        <v>10.4</v>
      </c>
      <c r="H1516" s="1929">
        <v>2.9</v>
      </c>
      <c r="I1516" s="1929">
        <v>220.6</v>
      </c>
      <c r="J1516" s="1929">
        <v>240</v>
      </c>
      <c r="K1516" s="1929" t="s">
        <v>2272</v>
      </c>
    </row>
    <row r="1517" spans="1:11" hidden="1" x14ac:dyDescent="0.2">
      <c r="A1517" s="1929" t="s">
        <v>2271</v>
      </c>
      <c r="B1517" s="1929" t="s">
        <v>1310</v>
      </c>
      <c r="C1517" s="1929" t="s">
        <v>1309</v>
      </c>
      <c r="D1517" s="1929" t="s">
        <v>1226</v>
      </c>
      <c r="E1517" s="1929" t="s">
        <v>63</v>
      </c>
      <c r="F1517" s="1929">
        <v>28.7</v>
      </c>
      <c r="G1517" s="1929">
        <v>24.6</v>
      </c>
      <c r="H1517" s="1929">
        <v>1.7</v>
      </c>
      <c r="I1517" s="1929">
        <v>79.900000000000006</v>
      </c>
      <c r="J1517" s="1929">
        <v>241</v>
      </c>
      <c r="K1517" s="1929" t="s">
        <v>2270</v>
      </c>
    </row>
    <row r="1518" spans="1:11" hidden="1" x14ac:dyDescent="0.2">
      <c r="A1518" s="1929" t="s">
        <v>2269</v>
      </c>
      <c r="B1518" s="1929" t="s">
        <v>1306</v>
      </c>
      <c r="C1518" s="1929" t="s">
        <v>1305</v>
      </c>
      <c r="D1518" s="1929" t="s">
        <v>1226</v>
      </c>
      <c r="E1518" s="1929" t="s">
        <v>63</v>
      </c>
      <c r="F1518" s="1929">
        <v>28.5</v>
      </c>
      <c r="G1518" s="1929">
        <v>89.7</v>
      </c>
      <c r="H1518" s="1929">
        <v>1.3</v>
      </c>
      <c r="I1518" s="1929">
        <v>43.8</v>
      </c>
      <c r="J1518" s="1929">
        <v>243</v>
      </c>
      <c r="K1518" s="1929" t="s">
        <v>2268</v>
      </c>
    </row>
    <row r="1519" spans="1:11" hidden="1" x14ac:dyDescent="0.2">
      <c r="A1519" s="1929" t="s">
        <v>2267</v>
      </c>
      <c r="B1519" s="1929" t="s">
        <v>1269</v>
      </c>
      <c r="C1519" s="1929" t="s">
        <v>1504</v>
      </c>
      <c r="D1519" s="1929" t="s">
        <v>1226</v>
      </c>
      <c r="E1519" s="1929" t="s">
        <v>63</v>
      </c>
      <c r="F1519" s="1929">
        <v>40.5</v>
      </c>
      <c r="G1519" s="1929">
        <v>130.1</v>
      </c>
      <c r="H1519" s="1929">
        <v>1.2</v>
      </c>
      <c r="I1519" s="1929">
        <v>36.5</v>
      </c>
      <c r="J1519" s="1929">
        <v>243</v>
      </c>
      <c r="K1519" s="1929" t="s">
        <v>2266</v>
      </c>
    </row>
    <row r="1520" spans="1:11" hidden="1" x14ac:dyDescent="0.2">
      <c r="A1520" s="1929" t="s">
        <v>2265</v>
      </c>
      <c r="B1520" s="1929" t="s">
        <v>1258</v>
      </c>
      <c r="C1520" s="1929" t="s">
        <v>1263</v>
      </c>
      <c r="D1520" s="1929" t="s">
        <v>1226</v>
      </c>
      <c r="E1520" s="1929" t="s">
        <v>63</v>
      </c>
      <c r="F1520" s="1929">
        <v>27.3</v>
      </c>
      <c r="G1520" s="1929">
        <v>22.2</v>
      </c>
      <c r="H1520" s="1929">
        <v>5.0999999999999996</v>
      </c>
      <c r="I1520" s="1929">
        <v>42.8</v>
      </c>
      <c r="J1520" s="1929">
        <v>246</v>
      </c>
      <c r="K1520" s="1929" t="s">
        <v>2264</v>
      </c>
    </row>
    <row r="1521" spans="1:11" hidden="1" x14ac:dyDescent="0.2">
      <c r="A1521" s="1929" t="s">
        <v>2263</v>
      </c>
      <c r="B1521" s="1929" t="s">
        <v>1228</v>
      </c>
      <c r="C1521" s="1929" t="s">
        <v>1469</v>
      </c>
      <c r="D1521" s="1929" t="s">
        <v>1226</v>
      </c>
      <c r="E1521" s="1929" t="s">
        <v>63</v>
      </c>
      <c r="F1521" s="1929">
        <v>71</v>
      </c>
      <c r="G1521" s="1929">
        <v>16</v>
      </c>
      <c r="H1521" s="1929">
        <v>2.9</v>
      </c>
      <c r="I1521" s="1929">
        <v>41.5</v>
      </c>
      <c r="J1521" s="1929">
        <v>250</v>
      </c>
      <c r="K1521" s="1929" t="s">
        <v>2262</v>
      </c>
    </row>
    <row r="1522" spans="1:11" hidden="1" x14ac:dyDescent="0.2">
      <c r="A1522" s="1929" t="s">
        <v>2261</v>
      </c>
      <c r="B1522" s="1929" t="s">
        <v>1228</v>
      </c>
      <c r="C1522" s="1929" t="s">
        <v>1315</v>
      </c>
      <c r="D1522" s="1929" t="s">
        <v>1226</v>
      </c>
      <c r="E1522" s="1929" t="s">
        <v>63</v>
      </c>
      <c r="F1522" s="1929">
        <v>38.200000000000003</v>
      </c>
      <c r="G1522" s="1929">
        <v>22.1</v>
      </c>
      <c r="H1522" s="1929">
        <v>1.9</v>
      </c>
      <c r="I1522" s="1929">
        <v>48.3</v>
      </c>
      <c r="J1522" s="1929">
        <v>252</v>
      </c>
      <c r="K1522" s="1929" t="s">
        <v>2260</v>
      </c>
    </row>
    <row r="1523" spans="1:11" hidden="1" x14ac:dyDescent="0.2">
      <c r="A1523" s="1929" t="s">
        <v>2259</v>
      </c>
      <c r="B1523" s="1929" t="s">
        <v>1238</v>
      </c>
      <c r="C1523" s="1929" t="s">
        <v>1349</v>
      </c>
      <c r="D1523" s="1929" t="s">
        <v>1226</v>
      </c>
      <c r="E1523" s="1929" t="s">
        <v>63</v>
      </c>
      <c r="F1523" s="1929">
        <v>37.700000000000003</v>
      </c>
      <c r="G1523" s="1929">
        <v>31.2</v>
      </c>
      <c r="H1523" s="1929">
        <v>2.4</v>
      </c>
      <c r="I1523" s="1929">
        <v>35.4</v>
      </c>
      <c r="J1523" s="1929">
        <v>253</v>
      </c>
      <c r="K1523" s="1929" t="s">
        <v>2258</v>
      </c>
    </row>
    <row r="1524" spans="1:11" hidden="1" x14ac:dyDescent="0.2">
      <c r="A1524" s="1929" t="s">
        <v>2257</v>
      </c>
      <c r="B1524" s="1929" t="s">
        <v>1269</v>
      </c>
      <c r="C1524" s="1929" t="s">
        <v>1504</v>
      </c>
      <c r="D1524" s="1929" t="s">
        <v>1226</v>
      </c>
      <c r="E1524" s="1929" t="s">
        <v>63</v>
      </c>
      <c r="F1524" s="1929">
        <v>82.8</v>
      </c>
      <c r="G1524" s="1929">
        <v>18.8</v>
      </c>
      <c r="H1524" s="1929">
        <v>4.0999999999999996</v>
      </c>
      <c r="I1524" s="1929">
        <v>29.2</v>
      </c>
      <c r="J1524" s="1929">
        <v>254</v>
      </c>
      <c r="K1524" s="1929" t="s">
        <v>2256</v>
      </c>
    </row>
    <row r="1525" spans="1:11" hidden="1" x14ac:dyDescent="0.2">
      <c r="A1525" s="1929" t="s">
        <v>2255</v>
      </c>
      <c r="B1525" s="1929" t="s">
        <v>1269</v>
      </c>
      <c r="C1525" s="1929" t="s">
        <v>1294</v>
      </c>
      <c r="D1525" s="1929" t="s">
        <v>1226</v>
      </c>
      <c r="E1525" s="1929" t="s">
        <v>63</v>
      </c>
      <c r="F1525" s="1929">
        <v>61.7</v>
      </c>
      <c r="G1525" s="1929">
        <v>16.899999999999999</v>
      </c>
      <c r="H1525" s="1929">
        <v>3.6</v>
      </c>
      <c r="I1525" s="1929">
        <v>37.200000000000003</v>
      </c>
      <c r="J1525" s="1929">
        <v>255</v>
      </c>
      <c r="K1525" s="1929" t="s">
        <v>2254</v>
      </c>
    </row>
    <row r="1526" spans="1:11" hidden="1" x14ac:dyDescent="0.2">
      <c r="A1526" s="1929" t="s">
        <v>2253</v>
      </c>
      <c r="B1526" s="1929" t="s">
        <v>1269</v>
      </c>
      <c r="C1526" s="1929" t="s">
        <v>1504</v>
      </c>
      <c r="D1526" s="1929" t="s">
        <v>1226</v>
      </c>
      <c r="E1526" s="1929" t="s">
        <v>63</v>
      </c>
      <c r="F1526" s="1929">
        <v>85.9</v>
      </c>
      <c r="G1526" s="1929">
        <v>16.399999999999999</v>
      </c>
      <c r="H1526" s="1929">
        <v>2.6</v>
      </c>
      <c r="I1526" s="1929">
        <v>38.6</v>
      </c>
      <c r="J1526" s="1929">
        <v>257</v>
      </c>
      <c r="K1526" s="1929" t="s">
        <v>2252</v>
      </c>
    </row>
    <row r="1527" spans="1:11" hidden="1" x14ac:dyDescent="0.2">
      <c r="A1527" s="1929" t="s">
        <v>2251</v>
      </c>
      <c r="B1527" s="1929" t="s">
        <v>1238</v>
      </c>
      <c r="C1527" s="1929" t="s">
        <v>1501</v>
      </c>
      <c r="D1527" s="1929" t="s">
        <v>1226</v>
      </c>
      <c r="E1527" s="1929" t="s">
        <v>63</v>
      </c>
      <c r="F1527" s="1929">
        <v>39.6</v>
      </c>
      <c r="G1527" s="1929">
        <v>45.2</v>
      </c>
      <c r="H1527" s="1929">
        <v>1.7</v>
      </c>
      <c r="I1527" s="1929">
        <v>32.700000000000003</v>
      </c>
      <c r="J1527" s="1929">
        <v>261</v>
      </c>
      <c r="K1527" s="1929" t="s">
        <v>2250</v>
      </c>
    </row>
    <row r="1528" spans="1:11" hidden="1" x14ac:dyDescent="0.2">
      <c r="A1528" s="1929" t="s">
        <v>2249</v>
      </c>
      <c r="B1528" s="1929" t="s">
        <v>1258</v>
      </c>
      <c r="C1528" s="1929" t="s">
        <v>1257</v>
      </c>
      <c r="D1528" s="1929" t="s">
        <v>1226</v>
      </c>
      <c r="E1528" s="1929" t="s">
        <v>63</v>
      </c>
      <c r="F1528" s="1929">
        <v>50.7</v>
      </c>
      <c r="G1528" s="1929">
        <v>29.4</v>
      </c>
      <c r="H1528" s="1929">
        <v>2.1</v>
      </c>
      <c r="I1528" s="1929">
        <v>29.2</v>
      </c>
      <c r="J1528" s="1929">
        <v>268</v>
      </c>
      <c r="K1528" s="1929" t="s">
        <v>2248</v>
      </c>
    </row>
    <row r="1529" spans="1:11" hidden="1" x14ac:dyDescent="0.2">
      <c r="A1529" s="1929" t="s">
        <v>2247</v>
      </c>
      <c r="B1529" s="1929" t="s">
        <v>1238</v>
      </c>
      <c r="C1529" s="1929" t="s">
        <v>1878</v>
      </c>
      <c r="D1529" s="1929" t="s">
        <v>1226</v>
      </c>
      <c r="E1529" s="1929" t="s">
        <v>63</v>
      </c>
      <c r="F1529" s="1929">
        <v>52.6</v>
      </c>
      <c r="G1529" s="1929">
        <v>19.100000000000001</v>
      </c>
      <c r="H1529" s="1929">
        <v>2.7</v>
      </c>
      <c r="I1529" s="1929">
        <v>34.700000000000003</v>
      </c>
      <c r="J1529" s="1929">
        <v>269</v>
      </c>
      <c r="K1529" s="1929" t="s">
        <v>2246</v>
      </c>
    </row>
    <row r="1530" spans="1:11" hidden="1" x14ac:dyDescent="0.2">
      <c r="A1530" s="1929" t="s">
        <v>2245</v>
      </c>
      <c r="B1530" s="1929" t="s">
        <v>1258</v>
      </c>
      <c r="C1530" s="1929" t="s">
        <v>1263</v>
      </c>
      <c r="D1530" s="1929" t="s">
        <v>1226</v>
      </c>
      <c r="E1530" s="1929" t="s">
        <v>63</v>
      </c>
      <c r="F1530" s="1929">
        <v>33.1</v>
      </c>
      <c r="G1530" s="1929">
        <v>16.5</v>
      </c>
      <c r="H1530" s="1929">
        <v>2.2000000000000002</v>
      </c>
      <c r="I1530" s="1929">
        <v>61.6</v>
      </c>
      <c r="J1530" s="1929">
        <v>270</v>
      </c>
      <c r="K1530" s="1929" t="s">
        <v>2244</v>
      </c>
    </row>
    <row r="1531" spans="1:11" hidden="1" x14ac:dyDescent="0.2">
      <c r="A1531" s="1929" t="s">
        <v>2243</v>
      </c>
      <c r="B1531" s="1929" t="s">
        <v>1258</v>
      </c>
      <c r="C1531" s="1929" t="s">
        <v>1263</v>
      </c>
      <c r="D1531" s="1929" t="s">
        <v>1226</v>
      </c>
      <c r="E1531" s="1929" t="s">
        <v>63</v>
      </c>
      <c r="F1531" s="1929">
        <v>26.2</v>
      </c>
      <c r="G1531" s="1929">
        <v>93.9</v>
      </c>
      <c r="H1531" s="1929">
        <v>2.1</v>
      </c>
      <c r="I1531" s="1929">
        <v>28.4</v>
      </c>
      <c r="J1531" s="1929">
        <v>271</v>
      </c>
      <c r="K1531" s="1929" t="s">
        <v>2242</v>
      </c>
    </row>
    <row r="1532" spans="1:11" hidden="1" x14ac:dyDescent="0.2">
      <c r="A1532" s="1929" t="s">
        <v>2241</v>
      </c>
      <c r="B1532" s="1929" t="s">
        <v>1310</v>
      </c>
      <c r="C1532" s="1929" t="s">
        <v>1309</v>
      </c>
      <c r="D1532" s="1929" t="s">
        <v>1226</v>
      </c>
      <c r="E1532" s="1929" t="s">
        <v>63</v>
      </c>
      <c r="F1532" s="1929">
        <v>38.6</v>
      </c>
      <c r="G1532" s="1929">
        <v>17.100000000000001</v>
      </c>
      <c r="H1532" s="1929">
        <v>1.7</v>
      </c>
      <c r="I1532" s="1929">
        <v>64.5</v>
      </c>
      <c r="J1532" s="1929">
        <v>273</v>
      </c>
      <c r="K1532" s="1929" t="s">
        <v>2240</v>
      </c>
    </row>
    <row r="1533" spans="1:11" hidden="1" x14ac:dyDescent="0.2">
      <c r="A1533" s="1929" t="s">
        <v>2239</v>
      </c>
      <c r="B1533" s="1929" t="s">
        <v>1310</v>
      </c>
      <c r="C1533" s="1929" t="s">
        <v>1309</v>
      </c>
      <c r="D1533" s="1929" t="s">
        <v>1226</v>
      </c>
      <c r="E1533" s="1929" t="s">
        <v>63</v>
      </c>
      <c r="F1533" s="1929">
        <v>40.9</v>
      </c>
      <c r="G1533" s="1929">
        <v>14.6</v>
      </c>
      <c r="H1533" s="1929">
        <v>1.9</v>
      </c>
      <c r="I1533" s="1929">
        <v>69.3</v>
      </c>
      <c r="J1533" s="1929">
        <v>276</v>
      </c>
      <c r="K1533" s="1929" t="s">
        <v>2238</v>
      </c>
    </row>
    <row r="1534" spans="1:11" hidden="1" x14ac:dyDescent="0.2">
      <c r="A1534" s="1929" t="s">
        <v>2237</v>
      </c>
      <c r="B1534" s="1929" t="s">
        <v>1217</v>
      </c>
      <c r="C1534" s="1929" t="s">
        <v>1403</v>
      </c>
      <c r="D1534" s="1929" t="s">
        <v>1226</v>
      </c>
      <c r="E1534" s="1929" t="s">
        <v>63</v>
      </c>
      <c r="F1534" s="1929">
        <v>136</v>
      </c>
      <c r="G1534" s="1929">
        <v>12.1</v>
      </c>
      <c r="H1534" s="1929">
        <v>5.0999999999999996</v>
      </c>
      <c r="I1534" s="1929">
        <v>36.200000000000003</v>
      </c>
      <c r="J1534" s="1929">
        <v>280</v>
      </c>
      <c r="K1534" s="1929" t="s">
        <v>2236</v>
      </c>
    </row>
    <row r="1535" spans="1:11" hidden="1" x14ac:dyDescent="0.2">
      <c r="A1535" s="1929" t="s">
        <v>2235</v>
      </c>
      <c r="B1535" s="1929" t="s">
        <v>1269</v>
      </c>
      <c r="C1535" s="1929" t="s">
        <v>2146</v>
      </c>
      <c r="D1535" s="1929" t="s">
        <v>1226</v>
      </c>
      <c r="E1535" s="1929" t="s">
        <v>63</v>
      </c>
      <c r="F1535" s="1929">
        <v>22.5</v>
      </c>
      <c r="G1535" s="1929">
        <v>32.4</v>
      </c>
      <c r="H1535" s="1929">
        <v>1.5</v>
      </c>
      <c r="I1535" s="1929">
        <v>55.5</v>
      </c>
      <c r="J1535" s="1929">
        <v>286</v>
      </c>
      <c r="K1535" s="1929" t="s">
        <v>2234</v>
      </c>
    </row>
    <row r="1536" spans="1:11" hidden="1" x14ac:dyDescent="0.2">
      <c r="A1536" s="1929" t="s">
        <v>2233</v>
      </c>
      <c r="B1536" s="1929" t="s">
        <v>1258</v>
      </c>
      <c r="C1536" s="1929" t="s">
        <v>1257</v>
      </c>
      <c r="D1536" s="1929" t="s">
        <v>1226</v>
      </c>
      <c r="E1536" s="1929" t="s">
        <v>63</v>
      </c>
      <c r="F1536" s="1929">
        <v>33.5</v>
      </c>
      <c r="G1536" s="1929">
        <v>22.9</v>
      </c>
      <c r="H1536" s="1929">
        <v>2.2999999999999998</v>
      </c>
      <c r="I1536" s="1929">
        <v>34.799999999999997</v>
      </c>
      <c r="J1536" s="1929">
        <v>292</v>
      </c>
      <c r="K1536" s="1929" t="s">
        <v>2232</v>
      </c>
    </row>
    <row r="1537" spans="1:11" hidden="1" x14ac:dyDescent="0.2">
      <c r="A1537" s="1929" t="s">
        <v>2231</v>
      </c>
      <c r="B1537" s="1929" t="s">
        <v>1228</v>
      </c>
      <c r="C1537" s="1929" t="s">
        <v>1315</v>
      </c>
      <c r="D1537" s="1929" t="s">
        <v>1226</v>
      </c>
      <c r="E1537" s="1929" t="s">
        <v>63</v>
      </c>
      <c r="F1537" s="1929">
        <v>39.6</v>
      </c>
      <c r="G1537" s="1929">
        <v>31.8</v>
      </c>
      <c r="H1537" s="1929">
        <v>2.9</v>
      </c>
      <c r="I1537" s="1929">
        <v>21.9</v>
      </c>
      <c r="J1537" s="1929">
        <v>300</v>
      </c>
      <c r="K1537" s="1929" t="s">
        <v>2230</v>
      </c>
    </row>
    <row r="1538" spans="1:11" hidden="1" x14ac:dyDescent="0.2">
      <c r="A1538" s="1929" t="s">
        <v>2229</v>
      </c>
      <c r="B1538" s="1929" t="s">
        <v>1217</v>
      </c>
      <c r="C1538" s="1929" t="s">
        <v>1368</v>
      </c>
      <c r="D1538" s="1929" t="s">
        <v>1226</v>
      </c>
      <c r="E1538" s="1929" t="s">
        <v>63</v>
      </c>
      <c r="F1538" s="1929">
        <v>30</v>
      </c>
      <c r="G1538" s="1929">
        <v>9.6999999999999993</v>
      </c>
      <c r="H1538" s="1929">
        <v>2.1</v>
      </c>
      <c r="I1538" s="1929">
        <v>243.3</v>
      </c>
      <c r="J1538" s="1929">
        <v>307</v>
      </c>
      <c r="K1538" s="1929" t="s">
        <v>2228</v>
      </c>
    </row>
    <row r="1539" spans="1:11" hidden="1" x14ac:dyDescent="0.2">
      <c r="A1539" s="1929" t="s">
        <v>2227</v>
      </c>
      <c r="B1539" s="1929" t="s">
        <v>1306</v>
      </c>
      <c r="C1539" s="1929" t="s">
        <v>1392</v>
      </c>
      <c r="D1539" s="1929" t="s">
        <v>1226</v>
      </c>
      <c r="E1539" s="1929" t="s">
        <v>63</v>
      </c>
      <c r="F1539" s="1929">
        <v>22.2</v>
      </c>
      <c r="G1539" s="1929">
        <v>98.5</v>
      </c>
      <c r="H1539" s="1929">
        <v>1.5</v>
      </c>
      <c r="I1539" s="1929">
        <v>29.3</v>
      </c>
      <c r="J1539" s="1929">
        <v>309</v>
      </c>
      <c r="K1539" s="1929" t="s">
        <v>2226</v>
      </c>
    </row>
    <row r="1540" spans="1:11" hidden="1" x14ac:dyDescent="0.2">
      <c r="A1540" s="1929" t="s">
        <v>2225</v>
      </c>
      <c r="B1540" s="1929" t="s">
        <v>1228</v>
      </c>
      <c r="C1540" s="1929" t="s">
        <v>1334</v>
      </c>
      <c r="D1540" s="1929" t="s">
        <v>1226</v>
      </c>
      <c r="E1540" s="1929" t="s">
        <v>63</v>
      </c>
      <c r="F1540" s="1929">
        <v>32</v>
      </c>
      <c r="G1540" s="1929">
        <v>43.2</v>
      </c>
      <c r="H1540" s="1929">
        <v>1.3</v>
      </c>
      <c r="I1540" s="1929">
        <v>30.8</v>
      </c>
      <c r="J1540" s="1929">
        <v>310</v>
      </c>
      <c r="K1540" s="1929" t="s">
        <v>2224</v>
      </c>
    </row>
    <row r="1541" spans="1:11" hidden="1" x14ac:dyDescent="0.2">
      <c r="A1541" s="1929" t="s">
        <v>2223</v>
      </c>
      <c r="B1541" s="1929" t="s">
        <v>1238</v>
      </c>
      <c r="C1541" s="1929" t="s">
        <v>1584</v>
      </c>
      <c r="D1541" s="1929" t="s">
        <v>1226</v>
      </c>
      <c r="E1541" s="1929" t="s">
        <v>63</v>
      </c>
      <c r="F1541" s="1929">
        <v>47.3</v>
      </c>
      <c r="G1541" s="1929">
        <v>24.7</v>
      </c>
      <c r="H1541" s="1929">
        <v>2</v>
      </c>
      <c r="I1541" s="1929">
        <v>24.1</v>
      </c>
      <c r="J1541" s="1929">
        <v>314</v>
      </c>
      <c r="K1541" s="1929" t="s">
        <v>2222</v>
      </c>
    </row>
    <row r="1542" spans="1:11" hidden="1" x14ac:dyDescent="0.2">
      <c r="A1542" s="1929" t="s">
        <v>2221</v>
      </c>
      <c r="B1542" s="1929" t="s">
        <v>1310</v>
      </c>
      <c r="C1542" s="1929" t="s">
        <v>1309</v>
      </c>
      <c r="D1542" s="1929" t="s">
        <v>1226</v>
      </c>
      <c r="E1542" s="1929" t="s">
        <v>63</v>
      </c>
      <c r="F1542" s="1929">
        <v>40.9</v>
      </c>
      <c r="G1542" s="1929">
        <v>13.2</v>
      </c>
      <c r="H1542" s="1929">
        <v>1.7</v>
      </c>
      <c r="I1542" s="1929">
        <v>50.1</v>
      </c>
      <c r="J1542" s="1929">
        <v>318</v>
      </c>
      <c r="K1542" s="1929" t="s">
        <v>2220</v>
      </c>
    </row>
    <row r="1543" spans="1:11" hidden="1" x14ac:dyDescent="0.2">
      <c r="A1543" s="1929" t="s">
        <v>2219</v>
      </c>
      <c r="B1543" s="1929" t="s">
        <v>1217</v>
      </c>
      <c r="C1543" s="1929" t="s">
        <v>1216</v>
      </c>
      <c r="D1543" s="1929" t="s">
        <v>1226</v>
      </c>
      <c r="E1543" s="1929" t="s">
        <v>63</v>
      </c>
      <c r="F1543" s="1929">
        <v>28.8</v>
      </c>
      <c r="G1543" s="1929">
        <v>10.6</v>
      </c>
      <c r="H1543" s="1929">
        <v>1.7</v>
      </c>
      <c r="I1543" s="1929">
        <v>184.5</v>
      </c>
      <c r="J1543" s="1929">
        <v>319</v>
      </c>
      <c r="K1543" s="1929" t="s">
        <v>2218</v>
      </c>
    </row>
    <row r="1544" spans="1:11" hidden="1" x14ac:dyDescent="0.2">
      <c r="A1544" s="1929" t="s">
        <v>2217</v>
      </c>
      <c r="B1544" s="1929" t="s">
        <v>1228</v>
      </c>
      <c r="C1544" s="1929" t="s">
        <v>1276</v>
      </c>
      <c r="D1544" s="1929" t="s">
        <v>1226</v>
      </c>
      <c r="E1544" s="1929" t="s">
        <v>63</v>
      </c>
      <c r="F1544" s="1929">
        <v>65.900000000000006</v>
      </c>
      <c r="G1544" s="1929">
        <v>27</v>
      </c>
      <c r="H1544" s="1929">
        <v>2.7</v>
      </c>
      <c r="I1544" s="1929">
        <v>17.8</v>
      </c>
      <c r="J1544" s="1929">
        <v>322</v>
      </c>
      <c r="K1544" s="1929" t="s">
        <v>2216</v>
      </c>
    </row>
    <row r="1545" spans="1:11" hidden="1" x14ac:dyDescent="0.2">
      <c r="A1545" s="1929" t="s">
        <v>2215</v>
      </c>
      <c r="B1545" s="1929" t="s">
        <v>1258</v>
      </c>
      <c r="C1545" s="1929" t="s">
        <v>1257</v>
      </c>
      <c r="D1545" s="1929" t="s">
        <v>1226</v>
      </c>
      <c r="E1545" s="1929" t="s">
        <v>63</v>
      </c>
      <c r="F1545" s="1929">
        <v>33.9</v>
      </c>
      <c r="G1545" s="1929">
        <v>14.1</v>
      </c>
      <c r="H1545" s="1929">
        <v>1.2</v>
      </c>
      <c r="I1545" s="1929">
        <v>75.2</v>
      </c>
      <c r="J1545" s="1929">
        <v>323</v>
      </c>
      <c r="K1545" s="1929" t="s">
        <v>2214</v>
      </c>
    </row>
    <row r="1546" spans="1:11" hidden="1" x14ac:dyDescent="0.2">
      <c r="A1546" s="1929" t="s">
        <v>2213</v>
      </c>
      <c r="B1546" s="1929" t="s">
        <v>1258</v>
      </c>
      <c r="C1546" s="1929" t="s">
        <v>1263</v>
      </c>
      <c r="D1546" s="1929" t="s">
        <v>1226</v>
      </c>
      <c r="E1546" s="1929" t="s">
        <v>63</v>
      </c>
      <c r="F1546" s="1929">
        <v>54.1</v>
      </c>
      <c r="G1546" s="1929">
        <v>14.5</v>
      </c>
      <c r="H1546" s="1929">
        <v>2.2000000000000002</v>
      </c>
      <c r="I1546" s="1929">
        <v>30.6</v>
      </c>
      <c r="J1546" s="1929">
        <v>331</v>
      </c>
      <c r="K1546" s="1929" t="s">
        <v>2212</v>
      </c>
    </row>
    <row r="1547" spans="1:11" hidden="1" x14ac:dyDescent="0.2">
      <c r="A1547" s="1929" t="s">
        <v>2211</v>
      </c>
      <c r="B1547" s="1929" t="s">
        <v>1234</v>
      </c>
      <c r="C1547" s="1929" t="s">
        <v>1233</v>
      </c>
      <c r="D1547" s="1929" t="s">
        <v>1226</v>
      </c>
      <c r="E1547" s="1929" t="s">
        <v>63</v>
      </c>
      <c r="F1547" s="1929">
        <v>59.8</v>
      </c>
      <c r="G1547" s="1929">
        <v>15.4</v>
      </c>
      <c r="H1547" s="1929">
        <v>2.7</v>
      </c>
      <c r="I1547" s="1929">
        <v>23.5</v>
      </c>
      <c r="J1547" s="1929">
        <v>334</v>
      </c>
      <c r="K1547" s="1929" t="s">
        <v>2210</v>
      </c>
    </row>
    <row r="1548" spans="1:11" hidden="1" x14ac:dyDescent="0.2">
      <c r="A1548" s="1929" t="s">
        <v>2209</v>
      </c>
      <c r="B1548" s="1929" t="s">
        <v>1238</v>
      </c>
      <c r="C1548" s="1929" t="s">
        <v>1349</v>
      </c>
      <c r="D1548" s="1929" t="s">
        <v>1226</v>
      </c>
      <c r="E1548" s="1929" t="s">
        <v>63</v>
      </c>
      <c r="F1548" s="1929">
        <v>31.2</v>
      </c>
      <c r="G1548" s="1929">
        <v>23.7</v>
      </c>
      <c r="H1548" s="1929">
        <v>2</v>
      </c>
      <c r="I1548" s="1929">
        <v>26</v>
      </c>
      <c r="J1548" s="1929">
        <v>335</v>
      </c>
      <c r="K1548" s="1929" t="s">
        <v>2208</v>
      </c>
    </row>
    <row r="1549" spans="1:11" hidden="1" x14ac:dyDescent="0.2">
      <c r="A1549" s="1929" t="s">
        <v>2207</v>
      </c>
      <c r="B1549" s="1929" t="s">
        <v>1217</v>
      </c>
      <c r="C1549" s="1929" t="s">
        <v>1563</v>
      </c>
      <c r="D1549" s="1929" t="s">
        <v>1226</v>
      </c>
      <c r="E1549" s="1929" t="s">
        <v>63</v>
      </c>
      <c r="F1549" s="1929">
        <v>21.8</v>
      </c>
      <c r="G1549" s="1929">
        <v>13.9</v>
      </c>
      <c r="H1549" s="1929">
        <v>2.2999999999999998</v>
      </c>
      <c r="I1549" s="1929">
        <v>52.7</v>
      </c>
      <c r="J1549" s="1929">
        <v>338</v>
      </c>
      <c r="K1549" s="1929" t="s">
        <v>2206</v>
      </c>
    </row>
    <row r="1550" spans="1:11" hidden="1" x14ac:dyDescent="0.2">
      <c r="A1550" s="1929" t="s">
        <v>2205</v>
      </c>
      <c r="B1550" s="1929" t="s">
        <v>1310</v>
      </c>
      <c r="C1550" s="1929" t="s">
        <v>1309</v>
      </c>
      <c r="D1550" s="1929" t="s">
        <v>1226</v>
      </c>
      <c r="E1550" s="1929" t="s">
        <v>63</v>
      </c>
      <c r="F1550" s="1929">
        <v>24.6</v>
      </c>
      <c r="G1550" s="1929">
        <v>15.3</v>
      </c>
      <c r="H1550" s="1929">
        <v>1.5</v>
      </c>
      <c r="I1550" s="1929">
        <v>56.4</v>
      </c>
      <c r="J1550" s="1929">
        <v>341</v>
      </c>
      <c r="K1550" s="1929" t="s">
        <v>2204</v>
      </c>
    </row>
    <row r="1551" spans="1:11" hidden="1" x14ac:dyDescent="0.2">
      <c r="A1551" s="1929" t="s">
        <v>2203</v>
      </c>
      <c r="B1551" s="1929" t="s">
        <v>1269</v>
      </c>
      <c r="C1551" s="1929" t="s">
        <v>1268</v>
      </c>
      <c r="D1551" s="1929" t="s">
        <v>1226</v>
      </c>
      <c r="E1551" s="1929" t="s">
        <v>63</v>
      </c>
      <c r="F1551" s="1929">
        <v>22.9</v>
      </c>
      <c r="G1551" s="1929">
        <v>34.200000000000003</v>
      </c>
      <c r="H1551" s="1929">
        <v>1.6</v>
      </c>
      <c r="I1551" s="1929">
        <v>28.8</v>
      </c>
      <c r="J1551" s="1929">
        <v>342</v>
      </c>
      <c r="K1551" s="1929" t="s">
        <v>2202</v>
      </c>
    </row>
    <row r="1552" spans="1:11" hidden="1" x14ac:dyDescent="0.2">
      <c r="A1552" s="1929" t="s">
        <v>2201</v>
      </c>
      <c r="B1552" s="1929" t="s">
        <v>1238</v>
      </c>
      <c r="C1552" s="1929" t="s">
        <v>1349</v>
      </c>
      <c r="D1552" s="1929" t="s">
        <v>1226</v>
      </c>
      <c r="E1552" s="1929" t="s">
        <v>63</v>
      </c>
      <c r="F1552" s="1929">
        <v>26.9</v>
      </c>
      <c r="G1552" s="1929">
        <v>24.7</v>
      </c>
      <c r="H1552" s="1929">
        <v>2</v>
      </c>
      <c r="I1552" s="1929">
        <v>26.4</v>
      </c>
      <c r="J1552" s="1929">
        <v>345</v>
      </c>
      <c r="K1552" s="1929" t="s">
        <v>2200</v>
      </c>
    </row>
    <row r="1553" spans="1:11" hidden="1" x14ac:dyDescent="0.2">
      <c r="A1553" s="1929" t="s">
        <v>2199</v>
      </c>
      <c r="B1553" s="1929" t="s">
        <v>1306</v>
      </c>
      <c r="C1553" s="1929" t="s">
        <v>1305</v>
      </c>
      <c r="D1553" s="1929" t="s">
        <v>1226</v>
      </c>
      <c r="E1553" s="1929" t="s">
        <v>63</v>
      </c>
      <c r="F1553" s="1929">
        <v>33.5</v>
      </c>
      <c r="G1553" s="1929">
        <v>18.3</v>
      </c>
      <c r="H1553" s="1929">
        <v>2.7</v>
      </c>
      <c r="I1553" s="1929">
        <v>23.1</v>
      </c>
      <c r="J1553" s="1929">
        <v>347</v>
      </c>
      <c r="K1553" s="1929" t="s">
        <v>2198</v>
      </c>
    </row>
    <row r="1554" spans="1:11" hidden="1" x14ac:dyDescent="0.2">
      <c r="A1554" s="1929" t="s">
        <v>2197</v>
      </c>
      <c r="B1554" s="1929" t="s">
        <v>1217</v>
      </c>
      <c r="C1554" s="1929" t="s">
        <v>1403</v>
      </c>
      <c r="D1554" s="1929" t="s">
        <v>1226</v>
      </c>
      <c r="E1554" s="1929" t="s">
        <v>63</v>
      </c>
      <c r="F1554" s="1929">
        <v>27.8</v>
      </c>
      <c r="G1554" s="1929">
        <v>9.1999999999999993</v>
      </c>
      <c r="H1554" s="1929">
        <v>2.5</v>
      </c>
      <c r="I1554" s="1929">
        <v>79.599999999999994</v>
      </c>
      <c r="J1554" s="1929">
        <v>349</v>
      </c>
      <c r="K1554" s="1929" t="s">
        <v>2196</v>
      </c>
    </row>
    <row r="1555" spans="1:11" hidden="1" x14ac:dyDescent="0.2">
      <c r="A1555" s="1929" t="s">
        <v>2195</v>
      </c>
      <c r="B1555" s="1929" t="s">
        <v>1217</v>
      </c>
      <c r="C1555" s="1929" t="s">
        <v>1368</v>
      </c>
      <c r="D1555" s="1929" t="s">
        <v>1226</v>
      </c>
      <c r="E1555" s="1929" t="s">
        <v>63</v>
      </c>
      <c r="F1555" s="1929">
        <v>4.5999999999999996</v>
      </c>
      <c r="G1555" s="1929">
        <v>122.9</v>
      </c>
      <c r="H1555" s="1929">
        <v>84</v>
      </c>
      <c r="I1555" s="1929">
        <v>3270.1</v>
      </c>
      <c r="J1555" s="1929">
        <v>355</v>
      </c>
      <c r="K1555" s="1929" t="s">
        <v>2194</v>
      </c>
    </row>
    <row r="1556" spans="1:11" hidden="1" x14ac:dyDescent="0.2">
      <c r="A1556" s="1929" t="s">
        <v>2193</v>
      </c>
      <c r="B1556" s="1929" t="s">
        <v>1228</v>
      </c>
      <c r="C1556" s="1929" t="s">
        <v>1589</v>
      </c>
      <c r="D1556" s="1929" t="s">
        <v>1226</v>
      </c>
      <c r="E1556" s="1929" t="s">
        <v>63</v>
      </c>
      <c r="F1556" s="1929">
        <v>67.2</v>
      </c>
      <c r="G1556" s="1929">
        <v>13.8</v>
      </c>
      <c r="H1556" s="1929">
        <v>2.2999999999999998</v>
      </c>
      <c r="I1556" s="1929">
        <v>22.7</v>
      </c>
      <c r="J1556" s="1929">
        <v>357</v>
      </c>
      <c r="K1556" s="1929" t="s">
        <v>2192</v>
      </c>
    </row>
    <row r="1557" spans="1:11" hidden="1" x14ac:dyDescent="0.2">
      <c r="A1557" s="1929" t="s">
        <v>2191</v>
      </c>
      <c r="B1557" s="1929" t="s">
        <v>1269</v>
      </c>
      <c r="C1557" s="1929" t="s">
        <v>1294</v>
      </c>
      <c r="D1557" s="1929" t="s">
        <v>1226</v>
      </c>
      <c r="E1557" s="1929" t="s">
        <v>63</v>
      </c>
      <c r="F1557" s="1929">
        <v>39.9</v>
      </c>
      <c r="G1557" s="1929">
        <v>15.3</v>
      </c>
      <c r="H1557" s="1929">
        <v>2</v>
      </c>
      <c r="I1557" s="1929">
        <v>25.9</v>
      </c>
      <c r="J1557" s="1929">
        <v>358</v>
      </c>
      <c r="K1557" s="1929" t="s">
        <v>2190</v>
      </c>
    </row>
    <row r="1558" spans="1:11" hidden="1" x14ac:dyDescent="0.2">
      <c r="A1558" s="1929" t="s">
        <v>2189</v>
      </c>
      <c r="B1558" s="1929" t="s">
        <v>1258</v>
      </c>
      <c r="C1558" s="1929" t="s">
        <v>1263</v>
      </c>
      <c r="D1558" s="1929" t="s">
        <v>1226</v>
      </c>
      <c r="E1558" s="1929" t="s">
        <v>63</v>
      </c>
      <c r="F1558" s="1929">
        <v>44.3</v>
      </c>
      <c r="G1558" s="1929">
        <v>14.9</v>
      </c>
      <c r="H1558" s="1929">
        <v>0.8</v>
      </c>
      <c r="I1558" s="1929">
        <v>55.8</v>
      </c>
      <c r="J1558" s="1929">
        <v>359</v>
      </c>
      <c r="K1558" s="1929" t="s">
        <v>2188</v>
      </c>
    </row>
    <row r="1559" spans="1:11" hidden="1" x14ac:dyDescent="0.2">
      <c r="A1559" s="1929" t="s">
        <v>2187</v>
      </c>
      <c r="B1559" s="1929" t="s">
        <v>1217</v>
      </c>
      <c r="C1559" s="1929" t="s">
        <v>1368</v>
      </c>
      <c r="D1559" s="1929" t="s">
        <v>1226</v>
      </c>
      <c r="E1559" s="1929" t="s">
        <v>63</v>
      </c>
      <c r="F1559" s="1929">
        <v>21.3</v>
      </c>
      <c r="G1559" s="1929">
        <v>11.2</v>
      </c>
      <c r="H1559" s="1929">
        <v>1.3</v>
      </c>
      <c r="I1559" s="1929">
        <v>144.6</v>
      </c>
      <c r="J1559" s="1929">
        <v>362</v>
      </c>
      <c r="K1559" s="1929" t="s">
        <v>2186</v>
      </c>
    </row>
    <row r="1560" spans="1:11" hidden="1" x14ac:dyDescent="0.2">
      <c r="A1560" s="1929" t="s">
        <v>2185</v>
      </c>
      <c r="B1560" s="1929" t="s">
        <v>1234</v>
      </c>
      <c r="C1560" s="1929" t="s">
        <v>1420</v>
      </c>
      <c r="D1560" s="1929" t="s">
        <v>1226</v>
      </c>
      <c r="E1560" s="1929" t="s">
        <v>63</v>
      </c>
      <c r="F1560" s="1929">
        <v>20.100000000000001</v>
      </c>
      <c r="G1560" s="1929">
        <v>29.1</v>
      </c>
      <c r="H1560" s="1929">
        <v>1.4</v>
      </c>
      <c r="I1560" s="1929">
        <v>31.5</v>
      </c>
      <c r="J1560" s="1929">
        <v>363</v>
      </c>
      <c r="K1560" s="1929" t="s">
        <v>2184</v>
      </c>
    </row>
    <row r="1561" spans="1:11" hidden="1" x14ac:dyDescent="0.2">
      <c r="A1561" s="1929" t="s">
        <v>2183</v>
      </c>
      <c r="B1561" s="1929" t="s">
        <v>1269</v>
      </c>
      <c r="C1561" s="1929" t="s">
        <v>1340</v>
      </c>
      <c r="D1561" s="1929" t="s">
        <v>1226</v>
      </c>
      <c r="E1561" s="1929" t="s">
        <v>63</v>
      </c>
      <c r="F1561" s="1929">
        <v>113.2</v>
      </c>
      <c r="G1561" s="1929">
        <v>11.2</v>
      </c>
      <c r="H1561" s="1929">
        <v>3.1</v>
      </c>
      <c r="I1561" s="1929">
        <v>22.5</v>
      </c>
      <c r="J1561" s="1929">
        <v>364</v>
      </c>
      <c r="K1561" s="1929" t="s">
        <v>2182</v>
      </c>
    </row>
    <row r="1562" spans="1:11" hidden="1" x14ac:dyDescent="0.2">
      <c r="A1562" s="1929" t="s">
        <v>2181</v>
      </c>
      <c r="B1562" s="1929" t="s">
        <v>1306</v>
      </c>
      <c r="C1562" s="1929" t="s">
        <v>1389</v>
      </c>
      <c r="D1562" s="1929" t="s">
        <v>1226</v>
      </c>
      <c r="E1562" s="1929" t="s">
        <v>63</v>
      </c>
      <c r="F1562" s="1929">
        <v>41.5</v>
      </c>
      <c r="G1562" s="1929">
        <v>21.2</v>
      </c>
      <c r="H1562" s="1929">
        <v>2.1</v>
      </c>
      <c r="I1562" s="1929">
        <v>18.899999999999999</v>
      </c>
      <c r="J1562" s="1929">
        <v>366</v>
      </c>
      <c r="K1562" s="1929" t="s">
        <v>2180</v>
      </c>
    </row>
    <row r="1563" spans="1:11" hidden="1" x14ac:dyDescent="0.2">
      <c r="A1563" s="1929" t="s">
        <v>2179</v>
      </c>
      <c r="B1563" s="1929" t="s">
        <v>1228</v>
      </c>
      <c r="C1563" s="1929" t="s">
        <v>1315</v>
      </c>
      <c r="D1563" s="1929" t="s">
        <v>1226</v>
      </c>
      <c r="E1563" s="1929" t="s">
        <v>63</v>
      </c>
      <c r="F1563" s="1929">
        <v>37.5</v>
      </c>
      <c r="G1563" s="1929">
        <v>15.3</v>
      </c>
      <c r="H1563" s="1929">
        <v>1.9</v>
      </c>
      <c r="I1563" s="1929">
        <v>26.4</v>
      </c>
      <c r="J1563" s="1929">
        <v>368</v>
      </c>
      <c r="K1563" s="1929" t="s">
        <v>2178</v>
      </c>
    </row>
    <row r="1564" spans="1:11" hidden="1" x14ac:dyDescent="0.2">
      <c r="A1564" s="1929" t="s">
        <v>2177</v>
      </c>
      <c r="B1564" s="1929" t="s">
        <v>1258</v>
      </c>
      <c r="C1564" s="1929" t="s">
        <v>1263</v>
      </c>
      <c r="D1564" s="1929" t="s">
        <v>1226</v>
      </c>
      <c r="E1564" s="1929" t="s">
        <v>63</v>
      </c>
      <c r="F1564" s="1929">
        <v>24.5</v>
      </c>
      <c r="G1564" s="1929">
        <v>14.8</v>
      </c>
      <c r="H1564" s="1929">
        <v>1.8</v>
      </c>
      <c r="I1564" s="1929">
        <v>35.799999999999997</v>
      </c>
      <c r="J1564" s="1929">
        <v>373</v>
      </c>
      <c r="K1564" s="1929" t="s">
        <v>2176</v>
      </c>
    </row>
    <row r="1565" spans="1:11" hidden="1" x14ac:dyDescent="0.2">
      <c r="A1565" s="1929" t="s">
        <v>2175</v>
      </c>
      <c r="B1565" s="1929" t="s">
        <v>1228</v>
      </c>
      <c r="C1565" s="1929" t="s">
        <v>1606</v>
      </c>
      <c r="D1565" s="1929" t="s">
        <v>1226</v>
      </c>
      <c r="E1565" s="1929" t="s">
        <v>63</v>
      </c>
      <c r="F1565" s="1929">
        <v>31</v>
      </c>
      <c r="G1565" s="1929">
        <v>15.5</v>
      </c>
      <c r="H1565" s="1929">
        <v>1.1000000000000001</v>
      </c>
      <c r="I1565" s="1929">
        <v>40.1</v>
      </c>
      <c r="J1565" s="1929">
        <v>375</v>
      </c>
      <c r="K1565" s="1929" t="s">
        <v>2174</v>
      </c>
    </row>
    <row r="1566" spans="1:11" hidden="1" x14ac:dyDescent="0.2">
      <c r="A1566" s="1929" t="s">
        <v>2173</v>
      </c>
      <c r="B1566" s="1929" t="s">
        <v>1217</v>
      </c>
      <c r="C1566" s="1929" t="s">
        <v>1368</v>
      </c>
      <c r="D1566" s="1929" t="s">
        <v>1226</v>
      </c>
      <c r="E1566" s="1929" t="s">
        <v>63</v>
      </c>
      <c r="F1566" s="1929">
        <v>2.6</v>
      </c>
      <c r="G1566" s="1929">
        <v>62.2</v>
      </c>
      <c r="H1566" s="1929">
        <v>48.7</v>
      </c>
      <c r="I1566" s="1929">
        <v>1981.8</v>
      </c>
      <c r="J1566" s="1929">
        <v>377</v>
      </c>
      <c r="K1566" s="1929" t="s">
        <v>2172</v>
      </c>
    </row>
    <row r="1567" spans="1:11" hidden="1" x14ac:dyDescent="0.2">
      <c r="A1567" s="1929" t="s">
        <v>2171</v>
      </c>
      <c r="B1567" s="1929" t="s">
        <v>1306</v>
      </c>
      <c r="C1567" s="1929" t="s">
        <v>1305</v>
      </c>
      <c r="D1567" s="1929" t="s">
        <v>1226</v>
      </c>
      <c r="E1567" s="1929" t="s">
        <v>63</v>
      </c>
      <c r="F1567" s="1929">
        <v>31.8</v>
      </c>
      <c r="G1567" s="1929">
        <v>18</v>
      </c>
      <c r="H1567" s="1929">
        <v>1.8</v>
      </c>
      <c r="I1567" s="1929">
        <v>22.9</v>
      </c>
      <c r="J1567" s="1929">
        <v>379</v>
      </c>
      <c r="K1567" s="1929" t="s">
        <v>2170</v>
      </c>
    </row>
    <row r="1568" spans="1:11" hidden="1" x14ac:dyDescent="0.2">
      <c r="A1568" s="1929" t="s">
        <v>2169</v>
      </c>
      <c r="B1568" s="1929" t="s">
        <v>1228</v>
      </c>
      <c r="C1568" s="1929" t="s">
        <v>1315</v>
      </c>
      <c r="D1568" s="1929" t="s">
        <v>1226</v>
      </c>
      <c r="E1568" s="1929" t="s">
        <v>63</v>
      </c>
      <c r="F1568" s="1929">
        <v>38</v>
      </c>
      <c r="G1568" s="1929">
        <v>13.7</v>
      </c>
      <c r="H1568" s="1929">
        <v>2.5</v>
      </c>
      <c r="I1568" s="1929">
        <v>22.8</v>
      </c>
      <c r="J1568" s="1929">
        <v>380</v>
      </c>
      <c r="K1568" s="1929" t="s">
        <v>2168</v>
      </c>
    </row>
    <row r="1569" spans="1:11" hidden="1" x14ac:dyDescent="0.2">
      <c r="A1569" s="1929" t="s">
        <v>2167</v>
      </c>
      <c r="C1569" s="1929" t="s">
        <v>1289</v>
      </c>
      <c r="D1569" s="1929" t="s">
        <v>1226</v>
      </c>
      <c r="E1569" s="1929" t="s">
        <v>63</v>
      </c>
      <c r="F1569" s="1929">
        <v>47.8</v>
      </c>
      <c r="G1569" s="1929">
        <v>13.1</v>
      </c>
      <c r="H1569" s="1929">
        <v>1.3</v>
      </c>
      <c r="I1569" s="1929">
        <v>31.9</v>
      </c>
      <c r="J1569" s="1929">
        <v>383</v>
      </c>
      <c r="K1569" s="1929" t="s">
        <v>2166</v>
      </c>
    </row>
    <row r="1570" spans="1:11" hidden="1" x14ac:dyDescent="0.2">
      <c r="A1570" s="1929" t="s">
        <v>2165</v>
      </c>
      <c r="B1570" s="1929" t="s">
        <v>1258</v>
      </c>
      <c r="C1570" s="1929" t="s">
        <v>1257</v>
      </c>
      <c r="D1570" s="1929" t="s">
        <v>1226</v>
      </c>
      <c r="E1570" s="1929" t="s">
        <v>63</v>
      </c>
      <c r="F1570" s="1929">
        <v>28.7</v>
      </c>
      <c r="G1570" s="1929">
        <v>22.4</v>
      </c>
      <c r="H1570" s="1929">
        <v>1.1000000000000001</v>
      </c>
      <c r="I1570" s="1929">
        <v>27.9</v>
      </c>
      <c r="J1570" s="1929">
        <v>385</v>
      </c>
      <c r="K1570" s="1929" t="s">
        <v>2164</v>
      </c>
    </row>
    <row r="1571" spans="1:11" hidden="1" x14ac:dyDescent="0.2">
      <c r="A1571" s="1929" t="s">
        <v>2163</v>
      </c>
      <c r="B1571" s="1929" t="s">
        <v>1228</v>
      </c>
      <c r="C1571" s="1929" t="s">
        <v>1227</v>
      </c>
      <c r="D1571" s="1929" t="s">
        <v>1226</v>
      </c>
      <c r="E1571" s="1929" t="s">
        <v>63</v>
      </c>
      <c r="F1571" s="1929">
        <v>37.299999999999997</v>
      </c>
      <c r="G1571" s="1929">
        <v>11.7</v>
      </c>
      <c r="H1571" s="1929">
        <v>1.4</v>
      </c>
      <c r="I1571" s="1929">
        <v>38.299999999999997</v>
      </c>
      <c r="J1571" s="1929">
        <v>386</v>
      </c>
      <c r="K1571" s="1929" t="s">
        <v>2162</v>
      </c>
    </row>
    <row r="1572" spans="1:11" hidden="1" x14ac:dyDescent="0.2">
      <c r="A1572" s="1929" t="s">
        <v>2161</v>
      </c>
      <c r="B1572" s="1929" t="s">
        <v>1238</v>
      </c>
      <c r="C1572" s="1929" t="s">
        <v>1434</v>
      </c>
      <c r="D1572" s="1929" t="s">
        <v>1226</v>
      </c>
      <c r="E1572" s="1929" t="s">
        <v>63</v>
      </c>
      <c r="F1572" s="1929">
        <v>29.3</v>
      </c>
      <c r="G1572" s="1929">
        <v>12</v>
      </c>
      <c r="H1572" s="1929">
        <v>1.9</v>
      </c>
      <c r="I1572" s="1929">
        <v>31.8</v>
      </c>
      <c r="J1572" s="1929">
        <v>394</v>
      </c>
      <c r="K1572" s="1929" t="s">
        <v>2160</v>
      </c>
    </row>
    <row r="1573" spans="1:11" hidden="1" x14ac:dyDescent="0.2">
      <c r="A1573" s="1929" t="s">
        <v>2159</v>
      </c>
      <c r="B1573" s="1929" t="s">
        <v>1238</v>
      </c>
      <c r="C1573" s="1929" t="s">
        <v>1434</v>
      </c>
      <c r="D1573" s="1929" t="s">
        <v>1226</v>
      </c>
      <c r="E1573" s="1929" t="s">
        <v>63</v>
      </c>
      <c r="F1573" s="1929">
        <v>30.4</v>
      </c>
      <c r="G1573" s="1929">
        <v>11.2</v>
      </c>
      <c r="H1573" s="1929">
        <v>1.9</v>
      </c>
      <c r="I1573" s="1929">
        <v>32.9</v>
      </c>
      <c r="J1573" s="1929">
        <v>395</v>
      </c>
      <c r="K1573" s="1929" t="s">
        <v>2158</v>
      </c>
    </row>
    <row r="1574" spans="1:11" hidden="1" x14ac:dyDescent="0.2">
      <c r="A1574" s="1929" t="s">
        <v>2157</v>
      </c>
      <c r="B1574" s="1929" t="s">
        <v>1217</v>
      </c>
      <c r="C1574" s="1929" t="s">
        <v>1302</v>
      </c>
      <c r="D1574" s="1929" t="s">
        <v>1226</v>
      </c>
      <c r="E1574" s="1929" t="s">
        <v>63</v>
      </c>
      <c r="F1574" s="1929">
        <v>13.4</v>
      </c>
      <c r="G1574" s="1929">
        <v>12.2</v>
      </c>
      <c r="H1574" s="1929">
        <v>1.2</v>
      </c>
      <c r="I1574" s="1929">
        <v>239</v>
      </c>
      <c r="J1574" s="1929">
        <v>396</v>
      </c>
      <c r="K1574" s="1929" t="s">
        <v>2156</v>
      </c>
    </row>
    <row r="1575" spans="1:11" hidden="1" x14ac:dyDescent="0.2">
      <c r="A1575" s="1929" t="s">
        <v>2155</v>
      </c>
      <c r="B1575" s="1929" t="s">
        <v>1228</v>
      </c>
      <c r="C1575" s="1929" t="s">
        <v>1466</v>
      </c>
      <c r="D1575" s="1929" t="s">
        <v>1226</v>
      </c>
      <c r="E1575" s="1929" t="s">
        <v>63</v>
      </c>
      <c r="F1575" s="1929">
        <v>21.7</v>
      </c>
      <c r="G1575" s="1929">
        <v>27.9</v>
      </c>
      <c r="H1575" s="1929">
        <v>1.5</v>
      </c>
      <c r="I1575" s="1929">
        <v>21.6</v>
      </c>
      <c r="J1575" s="1929">
        <v>397</v>
      </c>
      <c r="K1575" s="1929" t="s">
        <v>2154</v>
      </c>
    </row>
    <row r="1576" spans="1:11" hidden="1" x14ac:dyDescent="0.2">
      <c r="A1576" s="1929" t="s">
        <v>2153</v>
      </c>
      <c r="B1576" s="1929" t="s">
        <v>1217</v>
      </c>
      <c r="C1576" s="1929" t="s">
        <v>1216</v>
      </c>
      <c r="D1576" s="1929" t="s">
        <v>1226</v>
      </c>
      <c r="E1576" s="1929" t="s">
        <v>63</v>
      </c>
      <c r="F1576" s="1929">
        <v>21.5</v>
      </c>
      <c r="G1576" s="1929">
        <v>8.3000000000000007</v>
      </c>
      <c r="H1576" s="1929">
        <v>1.3</v>
      </c>
      <c r="I1576" s="1929">
        <v>175.3</v>
      </c>
      <c r="J1576" s="1929">
        <v>403</v>
      </c>
      <c r="K1576" s="1929" t="s">
        <v>2152</v>
      </c>
    </row>
    <row r="1577" spans="1:11" hidden="1" x14ac:dyDescent="0.2">
      <c r="A1577" s="1929" t="s">
        <v>2151</v>
      </c>
      <c r="B1577" s="1929" t="s">
        <v>1310</v>
      </c>
      <c r="C1577" s="1929" t="s">
        <v>1309</v>
      </c>
      <c r="D1577" s="1929" t="s">
        <v>1226</v>
      </c>
      <c r="E1577" s="1929" t="s">
        <v>63</v>
      </c>
      <c r="F1577" s="1929">
        <v>19.399999999999999</v>
      </c>
      <c r="G1577" s="1929">
        <v>15.6</v>
      </c>
      <c r="H1577" s="1929">
        <v>0.8</v>
      </c>
      <c r="I1577" s="1929">
        <v>57.3</v>
      </c>
      <c r="J1577" s="1929">
        <v>413</v>
      </c>
      <c r="K1577" s="1929" t="s">
        <v>2150</v>
      </c>
    </row>
    <row r="1578" spans="1:11" hidden="1" x14ac:dyDescent="0.2">
      <c r="A1578" s="1929" t="s">
        <v>2149</v>
      </c>
      <c r="B1578" s="1929" t="s">
        <v>1238</v>
      </c>
      <c r="C1578" s="1929" t="s">
        <v>1609</v>
      </c>
      <c r="D1578" s="1929" t="s">
        <v>1226</v>
      </c>
      <c r="E1578" s="1929" t="s">
        <v>63</v>
      </c>
      <c r="F1578" s="1929">
        <v>34.9</v>
      </c>
      <c r="G1578" s="1929">
        <v>15.4</v>
      </c>
      <c r="H1578" s="1929">
        <v>1.7</v>
      </c>
      <c r="I1578" s="1929">
        <v>20</v>
      </c>
      <c r="J1578" s="1929">
        <v>415</v>
      </c>
      <c r="K1578" s="1929" t="s">
        <v>2148</v>
      </c>
    </row>
    <row r="1579" spans="1:11" hidden="1" x14ac:dyDescent="0.2">
      <c r="A1579" s="1929" t="s">
        <v>2147</v>
      </c>
      <c r="B1579" s="1929" t="s">
        <v>1269</v>
      </c>
      <c r="C1579" s="1929" t="s">
        <v>2146</v>
      </c>
      <c r="D1579" s="1929" t="s">
        <v>1226</v>
      </c>
      <c r="E1579" s="1929" t="s">
        <v>63</v>
      </c>
      <c r="F1579" s="1929">
        <v>17.5</v>
      </c>
      <c r="G1579" s="1929">
        <v>41.3</v>
      </c>
      <c r="H1579" s="1929">
        <v>1.2</v>
      </c>
      <c r="I1579" s="1929">
        <v>21.3</v>
      </c>
      <c r="J1579" s="1929">
        <v>418</v>
      </c>
      <c r="K1579" s="1929" t="s">
        <v>2145</v>
      </c>
    </row>
    <row r="1580" spans="1:11" hidden="1" x14ac:dyDescent="0.2">
      <c r="A1580" s="1929" t="s">
        <v>2144</v>
      </c>
      <c r="B1580" s="1929" t="s">
        <v>1245</v>
      </c>
      <c r="C1580" s="1929" t="s">
        <v>1320</v>
      </c>
      <c r="D1580" s="1929" t="s">
        <v>1226</v>
      </c>
      <c r="E1580" s="1929" t="s">
        <v>63</v>
      </c>
      <c r="F1580" s="1929">
        <v>51.4</v>
      </c>
      <c r="G1580" s="1929">
        <v>12.2</v>
      </c>
      <c r="H1580" s="1929">
        <v>2.1</v>
      </c>
      <c r="I1580" s="1929">
        <v>18.899999999999999</v>
      </c>
      <c r="J1580" s="1929">
        <v>421</v>
      </c>
      <c r="K1580" s="1929" t="s">
        <v>2143</v>
      </c>
    </row>
    <row r="1581" spans="1:11" hidden="1" x14ac:dyDescent="0.2">
      <c r="A1581" s="1929" t="s">
        <v>2142</v>
      </c>
      <c r="B1581" s="1929" t="s">
        <v>1306</v>
      </c>
      <c r="C1581" s="1929" t="s">
        <v>1389</v>
      </c>
      <c r="D1581" s="1929" t="s">
        <v>1226</v>
      </c>
      <c r="E1581" s="1929" t="s">
        <v>63</v>
      </c>
      <c r="F1581" s="1929">
        <v>59</v>
      </c>
      <c r="G1581" s="1929">
        <v>17.399999999999999</v>
      </c>
      <c r="H1581" s="1929">
        <v>2.2000000000000002</v>
      </c>
      <c r="I1581" s="1929">
        <v>13.9</v>
      </c>
      <c r="J1581" s="1929">
        <v>423</v>
      </c>
      <c r="K1581" s="1929" t="s">
        <v>2141</v>
      </c>
    </row>
    <row r="1582" spans="1:11" hidden="1" x14ac:dyDescent="0.2">
      <c r="A1582" s="1929" t="s">
        <v>2140</v>
      </c>
      <c r="B1582" s="1929" t="s">
        <v>1310</v>
      </c>
      <c r="C1582" s="1929" t="s">
        <v>1309</v>
      </c>
      <c r="D1582" s="1929" t="s">
        <v>1226</v>
      </c>
      <c r="E1582" s="1929" t="s">
        <v>63</v>
      </c>
      <c r="F1582" s="1929">
        <v>20.7</v>
      </c>
      <c r="G1582" s="1929">
        <v>11.9</v>
      </c>
      <c r="H1582" s="1929">
        <v>1.1000000000000001</v>
      </c>
      <c r="I1582" s="1929">
        <v>46.3</v>
      </c>
      <c r="J1582" s="1929">
        <v>430</v>
      </c>
      <c r="K1582" s="1929" t="s">
        <v>2139</v>
      </c>
    </row>
    <row r="1583" spans="1:11" hidden="1" x14ac:dyDescent="0.2">
      <c r="A1583" s="1929" t="s">
        <v>2138</v>
      </c>
      <c r="B1583" s="1929" t="s">
        <v>1217</v>
      </c>
      <c r="C1583" s="1929" t="s">
        <v>1302</v>
      </c>
      <c r="D1583" s="1929" t="s">
        <v>1226</v>
      </c>
      <c r="E1583" s="1929" t="s">
        <v>63</v>
      </c>
      <c r="F1583" s="1929">
        <v>39.700000000000003</v>
      </c>
      <c r="G1583" s="1929">
        <v>48.7</v>
      </c>
      <c r="H1583" s="1929">
        <v>-0.7</v>
      </c>
      <c r="I1583" s="1929">
        <v>731.8</v>
      </c>
      <c r="J1583" s="1929">
        <v>433</v>
      </c>
      <c r="K1583" s="1929" t="s">
        <v>2137</v>
      </c>
    </row>
    <row r="1584" spans="1:11" hidden="1" x14ac:dyDescent="0.2">
      <c r="A1584" s="1929" t="s">
        <v>2136</v>
      </c>
      <c r="B1584" s="1929" t="s">
        <v>1234</v>
      </c>
      <c r="C1584" s="1929" t="s">
        <v>1233</v>
      </c>
      <c r="D1584" s="1929" t="s">
        <v>1226</v>
      </c>
      <c r="E1584" s="1929" t="s">
        <v>63</v>
      </c>
      <c r="F1584" s="1929">
        <v>38.5</v>
      </c>
      <c r="G1584" s="1929">
        <v>11.9</v>
      </c>
      <c r="H1584" s="1929">
        <v>1.8</v>
      </c>
      <c r="I1584" s="1929">
        <v>20.3</v>
      </c>
      <c r="J1584" s="1929">
        <v>437</v>
      </c>
      <c r="K1584" s="1929" t="s">
        <v>2135</v>
      </c>
    </row>
    <row r="1585" spans="1:11" hidden="1" x14ac:dyDescent="0.2">
      <c r="A1585" s="1929" t="s">
        <v>2134</v>
      </c>
      <c r="B1585" s="1929" t="s">
        <v>1310</v>
      </c>
      <c r="C1585" s="1929" t="s">
        <v>1309</v>
      </c>
      <c r="D1585" s="1929" t="s">
        <v>1226</v>
      </c>
      <c r="E1585" s="1929" t="s">
        <v>63</v>
      </c>
      <c r="F1585" s="1929">
        <v>18.399999999999999</v>
      </c>
      <c r="G1585" s="1929">
        <v>12.6</v>
      </c>
      <c r="H1585" s="1929">
        <v>1</v>
      </c>
      <c r="I1585" s="1929">
        <v>46.6</v>
      </c>
      <c r="J1585" s="1929">
        <v>438</v>
      </c>
      <c r="K1585" s="1929" t="s">
        <v>2133</v>
      </c>
    </row>
    <row r="1586" spans="1:11" hidden="1" x14ac:dyDescent="0.2">
      <c r="A1586" s="1929" t="s">
        <v>2132</v>
      </c>
      <c r="B1586" s="1929" t="s">
        <v>1234</v>
      </c>
      <c r="C1586" s="1929" t="s">
        <v>1461</v>
      </c>
      <c r="D1586" s="1929" t="s">
        <v>1226</v>
      </c>
      <c r="E1586" s="1929" t="s">
        <v>63</v>
      </c>
      <c r="F1586" s="1929">
        <v>27.3</v>
      </c>
      <c r="G1586" s="1929">
        <v>15.1</v>
      </c>
      <c r="H1586" s="1929">
        <v>3.2</v>
      </c>
      <c r="I1586" s="1929">
        <v>15.9</v>
      </c>
      <c r="J1586" s="1929">
        <v>440</v>
      </c>
      <c r="K1586" s="1929" t="s">
        <v>2131</v>
      </c>
    </row>
    <row r="1587" spans="1:11" hidden="1" x14ac:dyDescent="0.2">
      <c r="A1587" s="1929" t="s">
        <v>2130</v>
      </c>
      <c r="B1587" s="1929" t="s">
        <v>1217</v>
      </c>
      <c r="C1587" s="1929" t="s">
        <v>1216</v>
      </c>
      <c r="D1587" s="1929" t="s">
        <v>1226</v>
      </c>
      <c r="E1587" s="1929" t="s">
        <v>63</v>
      </c>
      <c r="F1587" s="1929">
        <v>19.7</v>
      </c>
      <c r="G1587" s="1929">
        <v>6.2</v>
      </c>
      <c r="H1587" s="1929">
        <v>1.8</v>
      </c>
      <c r="I1587" s="1929">
        <v>131.5</v>
      </c>
      <c r="J1587" s="1929">
        <v>447</v>
      </c>
      <c r="K1587" s="1929" t="s">
        <v>2129</v>
      </c>
    </row>
    <row r="1588" spans="1:11" hidden="1" x14ac:dyDescent="0.2">
      <c r="A1588" s="1929" t="s">
        <v>2128</v>
      </c>
      <c r="B1588" s="1929" t="s">
        <v>1238</v>
      </c>
      <c r="C1588" s="1929" t="s">
        <v>1485</v>
      </c>
      <c r="D1588" s="1929" t="s">
        <v>1226</v>
      </c>
      <c r="E1588" s="1929" t="s">
        <v>63</v>
      </c>
      <c r="F1588" s="1929">
        <v>17.399999999999999</v>
      </c>
      <c r="G1588" s="1929">
        <v>38.299999999999997</v>
      </c>
      <c r="H1588" s="1929">
        <v>0.6</v>
      </c>
      <c r="I1588" s="1929">
        <v>36.799999999999997</v>
      </c>
      <c r="J1588" s="1929">
        <v>448</v>
      </c>
      <c r="K1588" s="1929" t="s">
        <v>2127</v>
      </c>
    </row>
    <row r="1589" spans="1:11" hidden="1" x14ac:dyDescent="0.2">
      <c r="A1589" s="1929" t="s">
        <v>2126</v>
      </c>
      <c r="B1589" s="1929" t="s">
        <v>1258</v>
      </c>
      <c r="C1589" s="1929" t="s">
        <v>1263</v>
      </c>
      <c r="D1589" s="1929" t="s">
        <v>1226</v>
      </c>
      <c r="E1589" s="1929" t="s">
        <v>63</v>
      </c>
      <c r="F1589" s="1929">
        <v>17.399999999999999</v>
      </c>
      <c r="G1589" s="1929">
        <v>17.8</v>
      </c>
      <c r="H1589" s="1929">
        <v>0.7</v>
      </c>
      <c r="I1589" s="1929">
        <v>41.8</v>
      </c>
      <c r="J1589" s="1929">
        <v>451</v>
      </c>
      <c r="K1589" s="1929" t="s">
        <v>2125</v>
      </c>
    </row>
    <row r="1590" spans="1:11" hidden="1" x14ac:dyDescent="0.2">
      <c r="A1590" s="1929" t="s">
        <v>2124</v>
      </c>
      <c r="B1590" s="1929" t="s">
        <v>1228</v>
      </c>
      <c r="C1590" s="1929" t="s">
        <v>1469</v>
      </c>
      <c r="D1590" s="1929" t="s">
        <v>1226</v>
      </c>
      <c r="E1590" s="1929" t="s">
        <v>63</v>
      </c>
      <c r="F1590" s="1929">
        <v>157.5</v>
      </c>
      <c r="G1590" s="1929">
        <v>74.5</v>
      </c>
      <c r="H1590" s="1929">
        <v>0.3</v>
      </c>
      <c r="I1590" s="1929">
        <v>41.4</v>
      </c>
      <c r="J1590" s="1929">
        <v>452</v>
      </c>
      <c r="K1590" s="1929" t="s">
        <v>2123</v>
      </c>
    </row>
    <row r="1591" spans="1:11" hidden="1" x14ac:dyDescent="0.2">
      <c r="A1591" s="1929" t="s">
        <v>2122</v>
      </c>
      <c r="B1591" s="1929" t="s">
        <v>1238</v>
      </c>
      <c r="C1591" s="1929" t="s">
        <v>1237</v>
      </c>
      <c r="D1591" s="1929" t="s">
        <v>1226</v>
      </c>
      <c r="E1591" s="1929" t="s">
        <v>63</v>
      </c>
      <c r="F1591" s="1929">
        <v>24</v>
      </c>
      <c r="G1591" s="1929">
        <v>17.100000000000001</v>
      </c>
      <c r="H1591" s="1929">
        <v>1.2</v>
      </c>
      <c r="I1591" s="1929">
        <v>20.7</v>
      </c>
      <c r="J1591" s="1929">
        <v>454</v>
      </c>
      <c r="K1591" s="1929" t="s">
        <v>2121</v>
      </c>
    </row>
    <row r="1592" spans="1:11" hidden="1" x14ac:dyDescent="0.2">
      <c r="A1592" s="1929" t="s">
        <v>2120</v>
      </c>
      <c r="B1592" s="1929" t="s">
        <v>1238</v>
      </c>
      <c r="C1592" s="1929" t="s">
        <v>2119</v>
      </c>
      <c r="D1592" s="1929" t="s">
        <v>1226</v>
      </c>
      <c r="E1592" s="1929" t="s">
        <v>63</v>
      </c>
      <c r="F1592" s="1929">
        <v>13.6</v>
      </c>
      <c r="G1592" s="1929">
        <v>21.6</v>
      </c>
      <c r="H1592" s="1929">
        <v>1.2</v>
      </c>
      <c r="I1592" s="1929">
        <v>29</v>
      </c>
      <c r="J1592" s="1929">
        <v>456</v>
      </c>
      <c r="K1592" s="1929" t="s">
        <v>2118</v>
      </c>
    </row>
    <row r="1593" spans="1:11" hidden="1" x14ac:dyDescent="0.2">
      <c r="A1593" s="1929" t="s">
        <v>2117</v>
      </c>
      <c r="B1593" s="1929" t="s">
        <v>1217</v>
      </c>
      <c r="C1593" s="1929" t="s">
        <v>1252</v>
      </c>
      <c r="D1593" s="1929" t="s">
        <v>1226</v>
      </c>
      <c r="E1593" s="1929" t="s">
        <v>63</v>
      </c>
      <c r="F1593" s="1929">
        <v>17.2</v>
      </c>
      <c r="G1593" s="1929">
        <v>14.7</v>
      </c>
      <c r="H1593" s="1929">
        <v>0.6</v>
      </c>
      <c r="I1593" s="1929">
        <v>79.900000000000006</v>
      </c>
      <c r="J1593" s="1929">
        <v>459</v>
      </c>
      <c r="K1593" s="1929" t="s">
        <v>2116</v>
      </c>
    </row>
    <row r="1594" spans="1:11" hidden="1" x14ac:dyDescent="0.2">
      <c r="A1594" s="1929" t="s">
        <v>2115</v>
      </c>
      <c r="B1594" s="1929" t="s">
        <v>1228</v>
      </c>
      <c r="C1594" s="1929" t="s">
        <v>1466</v>
      </c>
      <c r="D1594" s="1929" t="s">
        <v>1226</v>
      </c>
      <c r="E1594" s="1929" t="s">
        <v>63</v>
      </c>
      <c r="F1594" s="1929">
        <v>43.5</v>
      </c>
      <c r="G1594" s="1929">
        <v>27.4</v>
      </c>
      <c r="H1594" s="1929">
        <v>2.1</v>
      </c>
      <c r="I1594" s="1929">
        <v>10.199999999999999</v>
      </c>
      <c r="J1594" s="1929">
        <v>463</v>
      </c>
      <c r="K1594" s="1929" t="s">
        <v>2114</v>
      </c>
    </row>
    <row r="1595" spans="1:11" hidden="1" x14ac:dyDescent="0.2">
      <c r="A1595" s="1929" t="s">
        <v>2113</v>
      </c>
      <c r="B1595" s="1929" t="s">
        <v>1217</v>
      </c>
      <c r="C1595" s="1929" t="s">
        <v>1368</v>
      </c>
      <c r="D1595" s="1929" t="s">
        <v>1226</v>
      </c>
      <c r="E1595" s="1929" t="s">
        <v>63</v>
      </c>
      <c r="F1595" s="1929">
        <v>35.6</v>
      </c>
      <c r="G1595" s="1929">
        <v>5.5</v>
      </c>
      <c r="H1595" s="1929">
        <v>1.1000000000000001</v>
      </c>
      <c r="I1595" s="1929">
        <v>143.9</v>
      </c>
      <c r="J1595" s="1929">
        <v>464</v>
      </c>
      <c r="K1595" s="1929" t="s">
        <v>2112</v>
      </c>
    </row>
    <row r="1596" spans="1:11" hidden="1" x14ac:dyDescent="0.2">
      <c r="A1596" s="1929" t="s">
        <v>2111</v>
      </c>
      <c r="B1596" s="1929" t="s">
        <v>1217</v>
      </c>
      <c r="C1596" s="1929" t="s">
        <v>1302</v>
      </c>
      <c r="D1596" s="1929" t="s">
        <v>1226</v>
      </c>
      <c r="E1596" s="1929" t="s">
        <v>63</v>
      </c>
      <c r="F1596" s="1929">
        <v>13.9</v>
      </c>
      <c r="G1596" s="1929">
        <v>9.5</v>
      </c>
      <c r="H1596" s="1929">
        <v>0.9</v>
      </c>
      <c r="I1596" s="1929">
        <v>208.2</v>
      </c>
      <c r="J1596" s="1929">
        <v>465</v>
      </c>
      <c r="K1596" s="1929" t="s">
        <v>2110</v>
      </c>
    </row>
    <row r="1597" spans="1:11" hidden="1" x14ac:dyDescent="0.2">
      <c r="A1597" s="1929" t="s">
        <v>2109</v>
      </c>
      <c r="B1597" s="1929" t="s">
        <v>1310</v>
      </c>
      <c r="C1597" s="1929" t="s">
        <v>1379</v>
      </c>
      <c r="D1597" s="1929" t="s">
        <v>1226</v>
      </c>
      <c r="E1597" s="1929" t="s">
        <v>63</v>
      </c>
      <c r="F1597" s="1929">
        <v>23.6</v>
      </c>
      <c r="G1597" s="1929">
        <v>10.6</v>
      </c>
      <c r="H1597" s="1929">
        <v>1</v>
      </c>
      <c r="I1597" s="1929">
        <v>37.200000000000003</v>
      </c>
      <c r="J1597" s="1929">
        <v>472</v>
      </c>
      <c r="K1597" s="1929" t="s">
        <v>2108</v>
      </c>
    </row>
    <row r="1598" spans="1:11" hidden="1" x14ac:dyDescent="0.2">
      <c r="A1598" s="1929" t="s">
        <v>2107</v>
      </c>
      <c r="B1598" s="1929" t="s">
        <v>1245</v>
      </c>
      <c r="C1598" s="1929" t="s">
        <v>1507</v>
      </c>
      <c r="D1598" s="1929" t="s">
        <v>1226</v>
      </c>
      <c r="E1598" s="1929" t="s">
        <v>63</v>
      </c>
      <c r="F1598" s="1929">
        <v>29.2</v>
      </c>
      <c r="G1598" s="1929">
        <v>7.8</v>
      </c>
      <c r="H1598" s="1929">
        <v>2</v>
      </c>
      <c r="I1598" s="1929">
        <v>28.5</v>
      </c>
      <c r="J1598" s="1929">
        <v>482</v>
      </c>
      <c r="K1598" s="1929" t="s">
        <v>2106</v>
      </c>
    </row>
    <row r="1599" spans="1:11" hidden="1" x14ac:dyDescent="0.2">
      <c r="A1599" s="1929" t="s">
        <v>2105</v>
      </c>
      <c r="B1599" s="1929" t="s">
        <v>1310</v>
      </c>
      <c r="C1599" s="1929" t="s">
        <v>1309</v>
      </c>
      <c r="D1599" s="1929" t="s">
        <v>1226</v>
      </c>
      <c r="E1599" s="1929" t="s">
        <v>63</v>
      </c>
      <c r="F1599" s="1929">
        <v>15.6</v>
      </c>
      <c r="G1599" s="1929">
        <v>12.3</v>
      </c>
      <c r="H1599" s="1929">
        <v>1.1000000000000001</v>
      </c>
      <c r="I1599" s="1929">
        <v>40.6</v>
      </c>
      <c r="J1599" s="1929">
        <v>486</v>
      </c>
      <c r="K1599" s="1929" t="s">
        <v>2104</v>
      </c>
    </row>
    <row r="1600" spans="1:11" hidden="1" x14ac:dyDescent="0.2">
      <c r="A1600" s="1929" t="s">
        <v>2103</v>
      </c>
      <c r="B1600" s="1929" t="s">
        <v>1245</v>
      </c>
      <c r="C1600" s="1929" t="s">
        <v>1320</v>
      </c>
      <c r="D1600" s="1929" t="s">
        <v>1226</v>
      </c>
      <c r="E1600" s="1929" t="s">
        <v>63</v>
      </c>
      <c r="F1600" s="1929">
        <v>25.9</v>
      </c>
      <c r="G1600" s="1929">
        <v>11.3</v>
      </c>
      <c r="H1600" s="1929">
        <v>1.8</v>
      </c>
      <c r="I1600" s="1929">
        <v>19.8</v>
      </c>
      <c r="J1600" s="1929">
        <v>488</v>
      </c>
      <c r="K1600" s="1929" t="s">
        <v>2102</v>
      </c>
    </row>
    <row r="1601" spans="1:11" hidden="1" x14ac:dyDescent="0.2">
      <c r="A1601" s="1929" t="s">
        <v>2101</v>
      </c>
      <c r="B1601" s="1929" t="s">
        <v>1217</v>
      </c>
      <c r="C1601" s="1929" t="s">
        <v>1563</v>
      </c>
      <c r="D1601" s="1929" t="s">
        <v>1226</v>
      </c>
      <c r="E1601" s="1929" t="s">
        <v>63</v>
      </c>
      <c r="F1601" s="1929">
        <v>14.3</v>
      </c>
      <c r="G1601" s="1929">
        <v>18.2</v>
      </c>
      <c r="H1601" s="1929">
        <v>1.2</v>
      </c>
      <c r="I1601" s="1929">
        <v>25.2</v>
      </c>
      <c r="J1601" s="1929">
        <v>490</v>
      </c>
      <c r="K1601" s="1929" t="s">
        <v>2100</v>
      </c>
    </row>
    <row r="1602" spans="1:11" hidden="1" x14ac:dyDescent="0.2">
      <c r="A1602" s="1929" t="s">
        <v>2099</v>
      </c>
      <c r="B1602" s="1929" t="s">
        <v>1238</v>
      </c>
      <c r="C1602" s="1929" t="s">
        <v>1237</v>
      </c>
      <c r="D1602" s="1929" t="s">
        <v>1226</v>
      </c>
      <c r="E1602" s="1929" t="s">
        <v>63</v>
      </c>
      <c r="F1602" s="1929">
        <v>27.4</v>
      </c>
      <c r="G1602" s="1929">
        <v>17.3</v>
      </c>
      <c r="H1602" s="1929">
        <v>1.5</v>
      </c>
      <c r="I1602" s="1929">
        <v>14.7</v>
      </c>
      <c r="J1602" s="1929">
        <v>496</v>
      </c>
      <c r="K1602" s="1929" t="s">
        <v>2098</v>
      </c>
    </row>
    <row r="1603" spans="1:11" hidden="1" x14ac:dyDescent="0.2">
      <c r="A1603" s="1929" t="s">
        <v>2097</v>
      </c>
      <c r="B1603" s="1929" t="s">
        <v>1234</v>
      </c>
      <c r="C1603" s="1929" t="s">
        <v>1233</v>
      </c>
      <c r="D1603" s="1929" t="s">
        <v>1226</v>
      </c>
      <c r="E1603" s="1929" t="s">
        <v>63</v>
      </c>
      <c r="F1603" s="1929">
        <v>32.700000000000003</v>
      </c>
      <c r="G1603" s="1929">
        <v>13.3</v>
      </c>
      <c r="H1603" s="1929">
        <v>1</v>
      </c>
      <c r="I1603" s="1929">
        <v>19.600000000000001</v>
      </c>
      <c r="J1603" s="1929">
        <v>499</v>
      </c>
      <c r="K1603" s="1929" t="s">
        <v>2096</v>
      </c>
    </row>
    <row r="1604" spans="1:11" hidden="1" x14ac:dyDescent="0.2">
      <c r="A1604" s="1929" t="s">
        <v>2095</v>
      </c>
      <c r="B1604" s="1929" t="s">
        <v>1310</v>
      </c>
      <c r="C1604" s="1929" t="s">
        <v>1309</v>
      </c>
      <c r="D1604" s="1929" t="s">
        <v>1226</v>
      </c>
      <c r="E1604" s="1929" t="s">
        <v>63</v>
      </c>
      <c r="F1604" s="1929">
        <v>19</v>
      </c>
      <c r="G1604" s="1929">
        <v>10</v>
      </c>
      <c r="H1604" s="1929">
        <v>1.2</v>
      </c>
      <c r="I1604" s="1929">
        <v>32.6</v>
      </c>
      <c r="J1604" s="1929">
        <v>502</v>
      </c>
      <c r="K1604" s="1929" t="s">
        <v>2094</v>
      </c>
    </row>
    <row r="1605" spans="1:11" hidden="1" x14ac:dyDescent="0.2">
      <c r="A1605" s="1929" t="s">
        <v>2093</v>
      </c>
      <c r="B1605" s="1929" t="s">
        <v>1238</v>
      </c>
      <c r="C1605" s="1929" t="s">
        <v>1349</v>
      </c>
      <c r="D1605" s="1929" t="s">
        <v>1226</v>
      </c>
      <c r="E1605" s="1929" t="s">
        <v>63</v>
      </c>
      <c r="F1605" s="1929">
        <v>37.700000000000003</v>
      </c>
      <c r="G1605" s="1929">
        <v>9.5</v>
      </c>
      <c r="H1605" s="1929">
        <v>1.7</v>
      </c>
      <c r="I1605" s="1929">
        <v>18.3</v>
      </c>
      <c r="J1605" s="1929">
        <v>504</v>
      </c>
      <c r="K1605" s="1929" t="s">
        <v>2092</v>
      </c>
    </row>
    <row r="1606" spans="1:11" hidden="1" x14ac:dyDescent="0.2">
      <c r="A1606" s="1929" t="s">
        <v>2091</v>
      </c>
      <c r="B1606" s="1929" t="s">
        <v>1217</v>
      </c>
      <c r="C1606" s="1929" t="s">
        <v>1403</v>
      </c>
      <c r="D1606" s="1929" t="s">
        <v>1226</v>
      </c>
      <c r="E1606" s="1929" t="s">
        <v>63</v>
      </c>
      <c r="F1606" s="1929">
        <v>88.8</v>
      </c>
      <c r="G1606" s="1929">
        <v>8.3000000000000007</v>
      </c>
      <c r="H1606" s="1929">
        <v>3.1</v>
      </c>
      <c r="I1606" s="1929">
        <v>14.2</v>
      </c>
      <c r="J1606" s="1929">
        <v>506</v>
      </c>
      <c r="K1606" s="1929" t="s">
        <v>2090</v>
      </c>
    </row>
    <row r="1607" spans="1:11" hidden="1" x14ac:dyDescent="0.2">
      <c r="A1607" s="1929" t="s">
        <v>2089</v>
      </c>
      <c r="B1607" s="1929" t="s">
        <v>1306</v>
      </c>
      <c r="C1607" s="1929" t="s">
        <v>1305</v>
      </c>
      <c r="D1607" s="1929" t="s">
        <v>1226</v>
      </c>
      <c r="E1607" s="1929" t="s">
        <v>63</v>
      </c>
      <c r="F1607" s="1929">
        <v>22.5</v>
      </c>
      <c r="G1607" s="1929">
        <v>14.8</v>
      </c>
      <c r="H1607" s="1929">
        <v>1.8</v>
      </c>
      <c r="I1607" s="1929">
        <v>15.5</v>
      </c>
      <c r="J1607" s="1929">
        <v>508</v>
      </c>
      <c r="K1607" s="1929" t="s">
        <v>2088</v>
      </c>
    </row>
    <row r="1608" spans="1:11" hidden="1" x14ac:dyDescent="0.2">
      <c r="A1608" s="1929" t="s">
        <v>2087</v>
      </c>
      <c r="B1608" s="1929" t="s">
        <v>1245</v>
      </c>
      <c r="C1608" s="1929" t="s">
        <v>1244</v>
      </c>
      <c r="D1608" s="1929" t="s">
        <v>1226</v>
      </c>
      <c r="E1608" s="1929" t="s">
        <v>63</v>
      </c>
      <c r="F1608" s="1929">
        <v>159.69999999999999</v>
      </c>
      <c r="G1608" s="1929">
        <v>7.9</v>
      </c>
      <c r="H1608" s="1929">
        <v>1.5</v>
      </c>
      <c r="I1608" s="1929">
        <v>17.899999999999999</v>
      </c>
      <c r="J1608" s="1929">
        <v>510</v>
      </c>
      <c r="K1608" s="1929" t="s">
        <v>2086</v>
      </c>
    </row>
    <row r="1609" spans="1:11" hidden="1" x14ac:dyDescent="0.2">
      <c r="A1609" s="1929" t="s">
        <v>2085</v>
      </c>
      <c r="B1609" s="1929" t="s">
        <v>1306</v>
      </c>
      <c r="C1609" s="1929" t="s">
        <v>1392</v>
      </c>
      <c r="D1609" s="1929" t="s">
        <v>1226</v>
      </c>
      <c r="E1609" s="1929" t="s">
        <v>63</v>
      </c>
      <c r="F1609" s="1929">
        <v>21.1</v>
      </c>
      <c r="G1609" s="1929">
        <v>45.5</v>
      </c>
      <c r="H1609" s="1929">
        <v>1</v>
      </c>
      <c r="I1609" s="1929">
        <v>13</v>
      </c>
      <c r="J1609" s="1929">
        <v>518</v>
      </c>
      <c r="K1609" s="1929" t="s">
        <v>2084</v>
      </c>
    </row>
    <row r="1610" spans="1:11" hidden="1" x14ac:dyDescent="0.2">
      <c r="A1610" s="1929" t="s">
        <v>2083</v>
      </c>
      <c r="B1610" s="1929" t="s">
        <v>1228</v>
      </c>
      <c r="C1610" s="1929" t="s">
        <v>1315</v>
      </c>
      <c r="D1610" s="1929" t="s">
        <v>1226</v>
      </c>
      <c r="E1610" s="1929" t="s">
        <v>63</v>
      </c>
      <c r="F1610" s="1929">
        <v>29.3</v>
      </c>
      <c r="G1610" s="1929">
        <v>13.9</v>
      </c>
      <c r="H1610" s="1929">
        <v>0.8</v>
      </c>
      <c r="I1610" s="1929">
        <v>20.399999999999999</v>
      </c>
      <c r="J1610" s="1929">
        <v>520</v>
      </c>
      <c r="K1610" s="1929" t="s">
        <v>2082</v>
      </c>
    </row>
    <row r="1611" spans="1:11" hidden="1" x14ac:dyDescent="0.2">
      <c r="A1611" s="1929" t="s">
        <v>2081</v>
      </c>
      <c r="B1611" s="1929" t="s">
        <v>1306</v>
      </c>
      <c r="C1611" s="1929" t="s">
        <v>1392</v>
      </c>
      <c r="D1611" s="1929" t="s">
        <v>1226</v>
      </c>
      <c r="E1611" s="1929" t="s">
        <v>63</v>
      </c>
      <c r="F1611" s="1929">
        <v>8.6999999999999993</v>
      </c>
      <c r="G1611" s="1929">
        <v>37.6</v>
      </c>
      <c r="H1611" s="1929">
        <v>3.5</v>
      </c>
      <c r="I1611" s="1929">
        <v>17.2</v>
      </c>
      <c r="J1611" s="1929">
        <v>521</v>
      </c>
      <c r="K1611" s="1929" t="s">
        <v>2080</v>
      </c>
    </row>
    <row r="1612" spans="1:11" hidden="1" x14ac:dyDescent="0.2">
      <c r="A1612" s="1929" t="s">
        <v>2079</v>
      </c>
      <c r="B1612" s="1929" t="s">
        <v>1228</v>
      </c>
      <c r="C1612" s="1929" t="s">
        <v>1568</v>
      </c>
      <c r="D1612" s="1929" t="s">
        <v>1226</v>
      </c>
      <c r="E1612" s="1929" t="s">
        <v>63</v>
      </c>
      <c r="F1612" s="1929">
        <v>18.7</v>
      </c>
      <c r="G1612" s="1929">
        <v>14.6</v>
      </c>
      <c r="H1612" s="1929">
        <v>1</v>
      </c>
      <c r="I1612" s="1929">
        <v>22.1</v>
      </c>
      <c r="J1612" s="1929">
        <v>525</v>
      </c>
      <c r="K1612" s="1929" t="s">
        <v>2078</v>
      </c>
    </row>
    <row r="1613" spans="1:11" hidden="1" x14ac:dyDescent="0.2">
      <c r="A1613" s="1929" t="s">
        <v>2077</v>
      </c>
      <c r="B1613" s="1929" t="s">
        <v>1269</v>
      </c>
      <c r="C1613" s="1929" t="s">
        <v>1504</v>
      </c>
      <c r="D1613" s="1929" t="s">
        <v>1226</v>
      </c>
      <c r="E1613" s="1929" t="s">
        <v>63</v>
      </c>
      <c r="F1613" s="1929">
        <v>23.9</v>
      </c>
      <c r="G1613" s="1929">
        <v>96.7</v>
      </c>
      <c r="H1613" s="1929">
        <v>0.4</v>
      </c>
      <c r="I1613" s="1929">
        <v>25</v>
      </c>
      <c r="J1613" s="1929">
        <v>526</v>
      </c>
      <c r="K1613" s="1929" t="s">
        <v>2076</v>
      </c>
    </row>
    <row r="1614" spans="1:11" hidden="1" x14ac:dyDescent="0.2">
      <c r="A1614" s="1929" t="s">
        <v>2075</v>
      </c>
      <c r="B1614" s="1929" t="s">
        <v>1217</v>
      </c>
      <c r="C1614" s="1929" t="s">
        <v>2074</v>
      </c>
      <c r="D1614" s="1929" t="s">
        <v>1226</v>
      </c>
      <c r="E1614" s="1929" t="s">
        <v>63</v>
      </c>
      <c r="F1614" s="1929">
        <v>27.2</v>
      </c>
      <c r="G1614" s="1929">
        <v>12.3</v>
      </c>
      <c r="H1614" s="1929">
        <v>1.4</v>
      </c>
      <c r="I1614" s="1929">
        <v>17</v>
      </c>
      <c r="J1614" s="1929">
        <v>531</v>
      </c>
      <c r="K1614" s="1929" t="s">
        <v>2073</v>
      </c>
    </row>
    <row r="1615" spans="1:11" hidden="1" x14ac:dyDescent="0.2">
      <c r="A1615" s="1929" t="s">
        <v>2072</v>
      </c>
      <c r="B1615" s="1929" t="s">
        <v>1310</v>
      </c>
      <c r="C1615" s="1929" t="s">
        <v>1309</v>
      </c>
      <c r="D1615" s="1929" t="s">
        <v>1226</v>
      </c>
      <c r="E1615" s="1929" t="s">
        <v>63</v>
      </c>
      <c r="F1615" s="1929">
        <v>15.1</v>
      </c>
      <c r="G1615" s="1929">
        <v>10.9</v>
      </c>
      <c r="H1615" s="1929">
        <v>0.9</v>
      </c>
      <c r="I1615" s="1929">
        <v>33.9</v>
      </c>
      <c r="J1615" s="1929">
        <v>558</v>
      </c>
      <c r="K1615" s="1929" t="s">
        <v>2071</v>
      </c>
    </row>
    <row r="1616" spans="1:11" hidden="1" x14ac:dyDescent="0.2">
      <c r="A1616" s="1929" t="s">
        <v>2070</v>
      </c>
      <c r="B1616" s="1929" t="s">
        <v>1217</v>
      </c>
      <c r="C1616" s="1929" t="s">
        <v>1368</v>
      </c>
      <c r="D1616" s="1929" t="s">
        <v>1226</v>
      </c>
      <c r="E1616" s="1929" t="s">
        <v>63</v>
      </c>
      <c r="F1616" s="1929">
        <v>34.299999999999997</v>
      </c>
      <c r="G1616" s="1929">
        <v>8.1999999999999993</v>
      </c>
      <c r="H1616" s="1929">
        <v>2.2000000000000002</v>
      </c>
      <c r="I1616" s="1929">
        <v>15.9</v>
      </c>
      <c r="J1616" s="1929">
        <v>561</v>
      </c>
      <c r="K1616" s="1929" t="s">
        <v>2069</v>
      </c>
    </row>
    <row r="1617" spans="1:11" hidden="1" x14ac:dyDescent="0.2">
      <c r="A1617" s="1929" t="s">
        <v>2068</v>
      </c>
      <c r="B1617" s="1929" t="s">
        <v>1217</v>
      </c>
      <c r="C1617" s="1929" t="s">
        <v>1252</v>
      </c>
      <c r="D1617" s="1929" t="s">
        <v>1226</v>
      </c>
      <c r="E1617" s="1929" t="s">
        <v>63</v>
      </c>
      <c r="F1617" s="1929">
        <v>15.9</v>
      </c>
      <c r="G1617" s="1929">
        <v>26.4</v>
      </c>
      <c r="H1617" s="1929">
        <v>0.3</v>
      </c>
      <c r="I1617" s="1929">
        <v>279.60000000000002</v>
      </c>
      <c r="J1617" s="1929">
        <v>568</v>
      </c>
      <c r="K1617" s="1929" t="s">
        <v>2067</v>
      </c>
    </row>
    <row r="1618" spans="1:11" hidden="1" x14ac:dyDescent="0.2">
      <c r="A1618" s="1929" t="s">
        <v>2066</v>
      </c>
      <c r="B1618" s="1929" t="s">
        <v>1217</v>
      </c>
      <c r="C1618" s="1929" t="s">
        <v>1456</v>
      </c>
      <c r="D1618" s="1929" t="s">
        <v>1226</v>
      </c>
      <c r="E1618" s="1929" t="s">
        <v>63</v>
      </c>
      <c r="F1618" s="1929">
        <v>51.8</v>
      </c>
      <c r="G1618" s="1929">
        <v>5.2</v>
      </c>
      <c r="H1618" s="1929">
        <v>1.3</v>
      </c>
      <c r="I1618" s="1929">
        <v>33.299999999999997</v>
      </c>
      <c r="J1618" s="1929">
        <v>571</v>
      </c>
      <c r="K1618" s="1929" t="s">
        <v>2065</v>
      </c>
    </row>
    <row r="1619" spans="1:11" hidden="1" x14ac:dyDescent="0.2">
      <c r="A1619" s="1929" t="s">
        <v>2064</v>
      </c>
      <c r="B1619" s="1929" t="s">
        <v>1217</v>
      </c>
      <c r="C1619" s="1929" t="s">
        <v>1216</v>
      </c>
      <c r="D1619" s="1929" t="s">
        <v>1226</v>
      </c>
      <c r="E1619" s="1929" t="s">
        <v>63</v>
      </c>
      <c r="F1619" s="1929">
        <v>16</v>
      </c>
      <c r="G1619" s="1929">
        <v>5.6</v>
      </c>
      <c r="H1619" s="1929">
        <v>1.1000000000000001</v>
      </c>
      <c r="I1619" s="1929">
        <v>118.1</v>
      </c>
      <c r="J1619" s="1929">
        <v>573</v>
      </c>
      <c r="K1619" s="1929" t="s">
        <v>2063</v>
      </c>
    </row>
    <row r="1620" spans="1:11" hidden="1" x14ac:dyDescent="0.2">
      <c r="A1620" s="1929" t="s">
        <v>2062</v>
      </c>
      <c r="B1620" s="1929" t="s">
        <v>1238</v>
      </c>
      <c r="C1620" s="1929" t="s">
        <v>1485</v>
      </c>
      <c r="D1620" s="1929" t="s">
        <v>1226</v>
      </c>
      <c r="E1620" s="1929" t="s">
        <v>63</v>
      </c>
      <c r="F1620" s="1929">
        <v>16.8</v>
      </c>
      <c r="G1620" s="1929">
        <v>17.7</v>
      </c>
      <c r="H1620" s="1929">
        <v>0.8</v>
      </c>
      <c r="I1620" s="1929">
        <v>19.3</v>
      </c>
      <c r="J1620" s="1929">
        <v>575</v>
      </c>
      <c r="K1620" s="1929" t="s">
        <v>2061</v>
      </c>
    </row>
    <row r="1621" spans="1:11" hidden="1" x14ac:dyDescent="0.2">
      <c r="A1621" s="1929" t="s">
        <v>2060</v>
      </c>
      <c r="B1621" s="1929" t="s">
        <v>1245</v>
      </c>
      <c r="C1621" s="1929" t="s">
        <v>1759</v>
      </c>
      <c r="D1621" s="1929" t="s">
        <v>1226</v>
      </c>
      <c r="E1621" s="1929" t="s">
        <v>63</v>
      </c>
      <c r="F1621" s="1929">
        <v>22.1</v>
      </c>
      <c r="G1621" s="1929">
        <v>15.3</v>
      </c>
      <c r="H1621" s="1929">
        <v>1</v>
      </c>
      <c r="I1621" s="1929">
        <v>15.3</v>
      </c>
      <c r="J1621" s="1929">
        <v>576</v>
      </c>
      <c r="K1621" s="1929" t="s">
        <v>2059</v>
      </c>
    </row>
    <row r="1622" spans="1:11" hidden="1" x14ac:dyDescent="0.2">
      <c r="A1622" s="1929" t="s">
        <v>2058</v>
      </c>
      <c r="B1622" s="1929" t="s">
        <v>1234</v>
      </c>
      <c r="C1622" s="1929" t="s">
        <v>1233</v>
      </c>
      <c r="D1622" s="1929" t="s">
        <v>1226</v>
      </c>
      <c r="E1622" s="1929" t="s">
        <v>63</v>
      </c>
      <c r="F1622" s="1929">
        <v>25.4</v>
      </c>
      <c r="G1622" s="1929">
        <v>10.199999999999999</v>
      </c>
      <c r="H1622" s="1929">
        <v>1</v>
      </c>
      <c r="I1622" s="1929">
        <v>17.899999999999999</v>
      </c>
      <c r="J1622" s="1929">
        <v>587</v>
      </c>
      <c r="K1622" s="1929" t="s">
        <v>2057</v>
      </c>
    </row>
    <row r="1623" spans="1:11" hidden="1" x14ac:dyDescent="0.2">
      <c r="A1623" s="1929" t="s">
        <v>2056</v>
      </c>
      <c r="B1623" s="1929" t="s">
        <v>1310</v>
      </c>
      <c r="C1623" s="1929" t="s">
        <v>1309</v>
      </c>
      <c r="D1623" s="1929" t="s">
        <v>1226</v>
      </c>
      <c r="E1623" s="1929" t="s">
        <v>63</v>
      </c>
      <c r="F1623" s="1929">
        <v>12</v>
      </c>
      <c r="G1623" s="1929">
        <v>11.4</v>
      </c>
      <c r="H1623" s="1929">
        <v>0.7</v>
      </c>
      <c r="I1623" s="1929">
        <v>43.4</v>
      </c>
      <c r="J1623" s="1929">
        <v>590</v>
      </c>
      <c r="K1623" s="1929" t="s">
        <v>2055</v>
      </c>
    </row>
    <row r="1624" spans="1:11" hidden="1" x14ac:dyDescent="0.2">
      <c r="A1624" s="1929" t="s">
        <v>2054</v>
      </c>
      <c r="B1624" s="1929" t="s">
        <v>1217</v>
      </c>
      <c r="C1624" s="1929" t="s">
        <v>1403</v>
      </c>
      <c r="D1624" s="1929" t="s">
        <v>1226</v>
      </c>
      <c r="E1624" s="1929" t="s">
        <v>63</v>
      </c>
      <c r="F1624" s="1929">
        <v>10.6</v>
      </c>
      <c r="G1624" s="1929">
        <v>5.8</v>
      </c>
      <c r="H1624" s="1929">
        <v>1.4</v>
      </c>
      <c r="I1624" s="1929">
        <v>159.5</v>
      </c>
      <c r="J1624" s="1929">
        <v>592</v>
      </c>
      <c r="K1624" s="1929" t="s">
        <v>2053</v>
      </c>
    </row>
    <row r="1625" spans="1:11" hidden="1" x14ac:dyDescent="0.2">
      <c r="A1625" s="1929" t="s">
        <v>2052</v>
      </c>
      <c r="B1625" s="1929" t="s">
        <v>1306</v>
      </c>
      <c r="C1625" s="1929" t="s">
        <v>1305</v>
      </c>
      <c r="D1625" s="1929" t="s">
        <v>1226</v>
      </c>
      <c r="E1625" s="1929" t="s">
        <v>63</v>
      </c>
      <c r="F1625" s="1929">
        <v>13</v>
      </c>
      <c r="G1625" s="1929">
        <v>17.899999999999999</v>
      </c>
      <c r="H1625" s="1929">
        <v>0.8</v>
      </c>
      <c r="I1625" s="1929">
        <v>20.399999999999999</v>
      </c>
      <c r="J1625" s="1929">
        <v>593</v>
      </c>
      <c r="K1625" s="1929" t="s">
        <v>2051</v>
      </c>
    </row>
    <row r="1626" spans="1:11" hidden="1" x14ac:dyDescent="0.2">
      <c r="A1626" s="1929" t="s">
        <v>2050</v>
      </c>
      <c r="B1626" s="1929" t="s">
        <v>1306</v>
      </c>
      <c r="C1626" s="1929" t="s">
        <v>1819</v>
      </c>
      <c r="D1626" s="1929" t="s">
        <v>1226</v>
      </c>
      <c r="E1626" s="1929" t="s">
        <v>63</v>
      </c>
      <c r="F1626" s="1929">
        <v>28.8</v>
      </c>
      <c r="G1626" s="1929">
        <v>8.1999999999999993</v>
      </c>
      <c r="H1626" s="1929">
        <v>1.7</v>
      </c>
      <c r="I1626" s="1929">
        <v>15.4</v>
      </c>
      <c r="J1626" s="1929">
        <v>594</v>
      </c>
      <c r="K1626" s="1929" t="s">
        <v>2049</v>
      </c>
    </row>
    <row r="1627" spans="1:11" hidden="1" x14ac:dyDescent="0.2">
      <c r="A1627" s="1929" t="s">
        <v>2048</v>
      </c>
      <c r="B1627" s="1929" t="s">
        <v>1217</v>
      </c>
      <c r="C1627" s="1929" t="s">
        <v>1302</v>
      </c>
      <c r="D1627" s="1929" t="s">
        <v>1226</v>
      </c>
      <c r="E1627" s="1929" t="s">
        <v>63</v>
      </c>
      <c r="F1627" s="1929">
        <v>9.1999999999999993</v>
      </c>
      <c r="G1627" s="1929">
        <v>10.4</v>
      </c>
      <c r="H1627" s="1929">
        <v>0.9</v>
      </c>
      <c r="I1627" s="1929">
        <v>60.7</v>
      </c>
      <c r="J1627" s="1929">
        <v>597</v>
      </c>
      <c r="K1627" s="1929" t="s">
        <v>2047</v>
      </c>
    </row>
    <row r="1628" spans="1:11" hidden="1" x14ac:dyDescent="0.2">
      <c r="A1628" s="1929" t="s">
        <v>2046</v>
      </c>
      <c r="B1628" s="1929" t="s">
        <v>1234</v>
      </c>
      <c r="C1628" s="1929" t="s">
        <v>1233</v>
      </c>
      <c r="D1628" s="1929" t="s">
        <v>1226</v>
      </c>
      <c r="E1628" s="1929" t="s">
        <v>63</v>
      </c>
      <c r="F1628" s="1929">
        <v>19.899999999999999</v>
      </c>
      <c r="G1628" s="1929">
        <v>8.1999999999999993</v>
      </c>
      <c r="H1628" s="1929">
        <v>1.3</v>
      </c>
      <c r="I1628" s="1929">
        <v>19.600000000000001</v>
      </c>
      <c r="J1628" s="1929">
        <v>601</v>
      </c>
      <c r="K1628" s="1929" t="s">
        <v>2045</v>
      </c>
    </row>
    <row r="1629" spans="1:11" hidden="1" x14ac:dyDescent="0.2">
      <c r="A1629" s="1929" t="s">
        <v>2044</v>
      </c>
      <c r="B1629" s="1929" t="s">
        <v>1269</v>
      </c>
      <c r="C1629" s="1929" t="s">
        <v>1294</v>
      </c>
      <c r="D1629" s="1929" t="s">
        <v>1226</v>
      </c>
      <c r="E1629" s="1929" t="s">
        <v>63</v>
      </c>
      <c r="F1629" s="1929">
        <v>31</v>
      </c>
      <c r="G1629" s="1929">
        <v>9</v>
      </c>
      <c r="H1629" s="1929">
        <v>1</v>
      </c>
      <c r="I1629" s="1929">
        <v>15.7</v>
      </c>
      <c r="J1629" s="1929">
        <v>608</v>
      </c>
      <c r="K1629" s="1929" t="s">
        <v>2043</v>
      </c>
    </row>
    <row r="1630" spans="1:11" hidden="1" x14ac:dyDescent="0.2">
      <c r="A1630" s="1929" t="s">
        <v>2042</v>
      </c>
      <c r="B1630" s="1929" t="s">
        <v>1258</v>
      </c>
      <c r="C1630" s="1929" t="s">
        <v>1257</v>
      </c>
      <c r="D1630" s="1929" t="s">
        <v>1226</v>
      </c>
      <c r="E1630" s="1929" t="s">
        <v>63</v>
      </c>
      <c r="F1630" s="1929">
        <v>25.3</v>
      </c>
      <c r="G1630" s="1929">
        <v>5.5</v>
      </c>
      <c r="H1630" s="1929">
        <v>1</v>
      </c>
      <c r="I1630" s="1929">
        <v>33.5</v>
      </c>
      <c r="J1630" s="1929">
        <v>610</v>
      </c>
      <c r="K1630" s="1929" t="s">
        <v>2041</v>
      </c>
    </row>
    <row r="1631" spans="1:11" hidden="1" x14ac:dyDescent="0.2">
      <c r="A1631" s="1929" t="s">
        <v>2040</v>
      </c>
      <c r="B1631" s="1929" t="s">
        <v>1306</v>
      </c>
      <c r="C1631" s="1929" t="s">
        <v>1305</v>
      </c>
      <c r="D1631" s="1929" t="s">
        <v>1226</v>
      </c>
      <c r="E1631" s="1929" t="s">
        <v>63</v>
      </c>
      <c r="F1631" s="1929">
        <v>14.8</v>
      </c>
      <c r="G1631" s="1929">
        <v>34.799999999999997</v>
      </c>
      <c r="H1631" s="1929">
        <v>0.9</v>
      </c>
      <c r="I1631" s="1929">
        <v>11.8</v>
      </c>
      <c r="J1631" s="1929">
        <v>611</v>
      </c>
      <c r="K1631" s="1929" t="s">
        <v>2039</v>
      </c>
    </row>
    <row r="1632" spans="1:11" hidden="1" x14ac:dyDescent="0.2">
      <c r="A1632" s="1929" t="s">
        <v>2038</v>
      </c>
      <c r="B1632" s="1929" t="s">
        <v>1310</v>
      </c>
      <c r="C1632" s="1929" t="s">
        <v>1309</v>
      </c>
      <c r="D1632" s="1929" t="s">
        <v>1226</v>
      </c>
      <c r="E1632" s="1929" t="s">
        <v>63</v>
      </c>
      <c r="F1632" s="1929">
        <v>14</v>
      </c>
      <c r="G1632" s="1929">
        <v>14.9</v>
      </c>
      <c r="H1632" s="1929">
        <v>0.4</v>
      </c>
      <c r="I1632" s="1929">
        <v>50.4</v>
      </c>
      <c r="J1632" s="1929">
        <v>612</v>
      </c>
      <c r="K1632" s="1929" t="s">
        <v>2037</v>
      </c>
    </row>
    <row r="1633" spans="1:11" hidden="1" x14ac:dyDescent="0.2">
      <c r="A1633" s="1929" t="s">
        <v>2036</v>
      </c>
      <c r="B1633" s="1929" t="s">
        <v>1269</v>
      </c>
      <c r="C1633" s="1929" t="s">
        <v>1340</v>
      </c>
      <c r="D1633" s="1929" t="s">
        <v>1226</v>
      </c>
      <c r="E1633" s="1929" t="s">
        <v>63</v>
      </c>
      <c r="F1633" s="1929">
        <v>73.2</v>
      </c>
      <c r="G1633" s="1929">
        <v>6.9</v>
      </c>
      <c r="H1633" s="1929">
        <v>1.9</v>
      </c>
      <c r="I1633" s="1929">
        <v>11.9</v>
      </c>
      <c r="J1633" s="1929">
        <v>614</v>
      </c>
      <c r="K1633" s="1929" t="s">
        <v>2035</v>
      </c>
    </row>
    <row r="1634" spans="1:11" hidden="1" x14ac:dyDescent="0.2">
      <c r="A1634" s="1929" t="s">
        <v>2034</v>
      </c>
      <c r="B1634" s="1929" t="s">
        <v>1217</v>
      </c>
      <c r="C1634" s="1929" t="s">
        <v>1216</v>
      </c>
      <c r="D1634" s="1929" t="s">
        <v>1226</v>
      </c>
      <c r="E1634" s="1929" t="s">
        <v>63</v>
      </c>
      <c r="F1634" s="1929">
        <v>16</v>
      </c>
      <c r="G1634" s="1929">
        <v>4.8</v>
      </c>
      <c r="H1634" s="1929">
        <v>1.1000000000000001</v>
      </c>
      <c r="I1634" s="1929">
        <v>85.6</v>
      </c>
      <c r="J1634" s="1929">
        <v>615</v>
      </c>
      <c r="K1634" s="1929" t="s">
        <v>2033</v>
      </c>
    </row>
    <row r="1635" spans="1:11" hidden="1" x14ac:dyDescent="0.2">
      <c r="A1635" s="1929" t="s">
        <v>2032</v>
      </c>
      <c r="B1635" s="1929" t="s">
        <v>1258</v>
      </c>
      <c r="C1635" s="1929" t="s">
        <v>1263</v>
      </c>
      <c r="D1635" s="1929" t="s">
        <v>1226</v>
      </c>
      <c r="E1635" s="1929" t="s">
        <v>63</v>
      </c>
      <c r="F1635" s="1929">
        <v>11.3</v>
      </c>
      <c r="G1635" s="1929">
        <v>16.8</v>
      </c>
      <c r="H1635" s="1929">
        <v>1</v>
      </c>
      <c r="I1635" s="1929">
        <v>17.5</v>
      </c>
      <c r="J1635" s="1929">
        <v>618</v>
      </c>
      <c r="K1635" s="1929" t="s">
        <v>2031</v>
      </c>
    </row>
    <row r="1636" spans="1:11" hidden="1" x14ac:dyDescent="0.2">
      <c r="A1636" s="1929" t="s">
        <v>2030</v>
      </c>
      <c r="B1636" s="1929" t="s">
        <v>1269</v>
      </c>
      <c r="C1636" s="1929" t="s">
        <v>1340</v>
      </c>
      <c r="D1636" s="1929" t="s">
        <v>1226</v>
      </c>
      <c r="E1636" s="1929" t="s">
        <v>63</v>
      </c>
      <c r="F1636" s="1929">
        <v>59.5</v>
      </c>
      <c r="G1636" s="1929">
        <v>6.5</v>
      </c>
      <c r="H1636" s="1929">
        <v>1.4</v>
      </c>
      <c r="I1636" s="1929">
        <v>13.4</v>
      </c>
      <c r="J1636" s="1929">
        <v>629</v>
      </c>
      <c r="K1636" s="1929" t="s">
        <v>2029</v>
      </c>
    </row>
    <row r="1637" spans="1:11" hidden="1" x14ac:dyDescent="0.2">
      <c r="A1637" s="1929" t="s">
        <v>2028</v>
      </c>
      <c r="B1637" s="1929" t="s">
        <v>1228</v>
      </c>
      <c r="C1637" s="1929" t="s">
        <v>1639</v>
      </c>
      <c r="D1637" s="1929" t="s">
        <v>1226</v>
      </c>
      <c r="E1637" s="1929" t="s">
        <v>63</v>
      </c>
      <c r="F1637" s="1929">
        <v>18.100000000000001</v>
      </c>
      <c r="G1637" s="1929">
        <v>17.5</v>
      </c>
      <c r="H1637" s="1929">
        <v>1</v>
      </c>
      <c r="I1637" s="1929">
        <v>10.9</v>
      </c>
      <c r="J1637" s="1929">
        <v>640</v>
      </c>
      <c r="K1637" s="1929" t="s">
        <v>2027</v>
      </c>
    </row>
    <row r="1638" spans="1:11" hidden="1" x14ac:dyDescent="0.2">
      <c r="A1638" s="1929" t="s">
        <v>2026</v>
      </c>
      <c r="B1638" s="1929" t="s">
        <v>1238</v>
      </c>
      <c r="C1638" s="1929" t="s">
        <v>1609</v>
      </c>
      <c r="D1638" s="1929" t="s">
        <v>1226</v>
      </c>
      <c r="E1638" s="1929" t="s">
        <v>63</v>
      </c>
      <c r="F1638" s="1929">
        <v>18.2</v>
      </c>
      <c r="G1638" s="1929">
        <v>13.1</v>
      </c>
      <c r="H1638" s="1929">
        <v>1</v>
      </c>
      <c r="I1638" s="1929">
        <v>12.9</v>
      </c>
      <c r="J1638" s="1929">
        <v>642</v>
      </c>
      <c r="K1638" s="1929" t="s">
        <v>2025</v>
      </c>
    </row>
    <row r="1639" spans="1:11" hidden="1" x14ac:dyDescent="0.2">
      <c r="A1639" s="1929" t="s">
        <v>2024</v>
      </c>
      <c r="B1639" s="1929" t="s">
        <v>1228</v>
      </c>
      <c r="C1639" s="1929" t="s">
        <v>2023</v>
      </c>
      <c r="D1639" s="1929" t="s">
        <v>1226</v>
      </c>
      <c r="E1639" s="1929" t="s">
        <v>63</v>
      </c>
      <c r="F1639" s="1929">
        <v>11.9</v>
      </c>
      <c r="G1639" s="1929">
        <v>18.8</v>
      </c>
      <c r="H1639" s="1929">
        <v>0.8</v>
      </c>
      <c r="I1639" s="1929">
        <v>15.5</v>
      </c>
      <c r="J1639" s="1929">
        <v>648</v>
      </c>
      <c r="K1639" s="1929" t="s">
        <v>2022</v>
      </c>
    </row>
    <row r="1640" spans="1:11" hidden="1" x14ac:dyDescent="0.2">
      <c r="A1640" s="1929" t="s">
        <v>2021</v>
      </c>
      <c r="B1640" s="1929" t="s">
        <v>1228</v>
      </c>
      <c r="C1640" s="1929" t="s">
        <v>1315</v>
      </c>
      <c r="D1640" s="1929" t="s">
        <v>1226</v>
      </c>
      <c r="E1640" s="1929" t="s">
        <v>63</v>
      </c>
      <c r="F1640" s="1929">
        <v>15.1</v>
      </c>
      <c r="G1640" s="1929">
        <v>4</v>
      </c>
      <c r="H1640" s="1929">
        <v>8.8000000000000007</v>
      </c>
      <c r="I1640" s="1929">
        <v>34.5</v>
      </c>
      <c r="J1640" s="1929">
        <v>651</v>
      </c>
      <c r="K1640" s="1929" t="s">
        <v>2020</v>
      </c>
    </row>
    <row r="1641" spans="1:11" hidden="1" x14ac:dyDescent="0.2">
      <c r="A1641" s="1929" t="s">
        <v>2019</v>
      </c>
      <c r="B1641" s="1929" t="s">
        <v>1228</v>
      </c>
      <c r="C1641" s="1929" t="s">
        <v>1466</v>
      </c>
      <c r="D1641" s="1929" t="s">
        <v>1226</v>
      </c>
      <c r="E1641" s="1929" t="s">
        <v>63</v>
      </c>
      <c r="F1641" s="1929">
        <v>11.9</v>
      </c>
      <c r="G1641" s="1929">
        <v>19</v>
      </c>
      <c r="H1641" s="1929">
        <v>0.9</v>
      </c>
      <c r="I1641" s="1929">
        <v>14.4</v>
      </c>
      <c r="J1641" s="1929">
        <v>652</v>
      </c>
      <c r="K1641" s="1929" t="s">
        <v>2018</v>
      </c>
    </row>
    <row r="1642" spans="1:11" hidden="1" x14ac:dyDescent="0.2">
      <c r="A1642" s="1929" t="s">
        <v>2017</v>
      </c>
      <c r="B1642" s="1929" t="s">
        <v>1217</v>
      </c>
      <c r="C1642" s="1929" t="s">
        <v>1252</v>
      </c>
      <c r="D1642" s="1929" t="s">
        <v>1226</v>
      </c>
      <c r="E1642" s="1929" t="s">
        <v>63</v>
      </c>
      <c r="F1642" s="1929">
        <v>8.9</v>
      </c>
      <c r="G1642" s="1929">
        <v>9.6</v>
      </c>
      <c r="H1642" s="1929">
        <v>0.6</v>
      </c>
      <c r="I1642" s="1929">
        <v>111</v>
      </c>
      <c r="J1642" s="1929">
        <v>653</v>
      </c>
      <c r="K1642" s="1929" t="s">
        <v>2016</v>
      </c>
    </row>
    <row r="1643" spans="1:11" hidden="1" x14ac:dyDescent="0.2">
      <c r="A1643" s="1929" t="s">
        <v>2015</v>
      </c>
      <c r="B1643" s="1929" t="s">
        <v>1228</v>
      </c>
      <c r="C1643" s="1929" t="s">
        <v>1227</v>
      </c>
      <c r="D1643" s="1929" t="s">
        <v>1226</v>
      </c>
      <c r="E1643" s="1929" t="s">
        <v>63</v>
      </c>
      <c r="F1643" s="1929">
        <v>65.2</v>
      </c>
      <c r="G1643" s="1929">
        <v>6.8</v>
      </c>
      <c r="H1643" s="1929">
        <v>1.9</v>
      </c>
      <c r="I1643" s="1929">
        <v>10.4</v>
      </c>
      <c r="J1643" s="1929">
        <v>654</v>
      </c>
      <c r="K1643" s="1929" t="s">
        <v>2014</v>
      </c>
    </row>
    <row r="1644" spans="1:11" hidden="1" x14ac:dyDescent="0.2">
      <c r="A1644" s="1929" t="s">
        <v>2013</v>
      </c>
      <c r="B1644" s="1929" t="s">
        <v>1217</v>
      </c>
      <c r="C1644" s="1929" t="s">
        <v>1456</v>
      </c>
      <c r="D1644" s="1929" t="s">
        <v>1226</v>
      </c>
      <c r="E1644" s="1929" t="s">
        <v>63</v>
      </c>
      <c r="F1644" s="1929">
        <v>10.4</v>
      </c>
      <c r="G1644" s="1929">
        <v>3.6</v>
      </c>
      <c r="H1644" s="1929">
        <v>3.7</v>
      </c>
      <c r="I1644" s="1929">
        <v>81.900000000000006</v>
      </c>
      <c r="J1644" s="1929">
        <v>656</v>
      </c>
      <c r="K1644" s="1929" t="s">
        <v>2012</v>
      </c>
    </row>
    <row r="1645" spans="1:11" hidden="1" x14ac:dyDescent="0.2">
      <c r="A1645" s="1929" t="s">
        <v>2011</v>
      </c>
      <c r="B1645" s="1929" t="s">
        <v>1228</v>
      </c>
      <c r="C1645" s="1929" t="s">
        <v>1276</v>
      </c>
      <c r="D1645" s="1929" t="s">
        <v>1226</v>
      </c>
      <c r="E1645" s="1929" t="s">
        <v>63</v>
      </c>
      <c r="F1645" s="1929">
        <v>27.4</v>
      </c>
      <c r="G1645" s="1929">
        <v>11.4</v>
      </c>
      <c r="H1645" s="1929">
        <v>1.2</v>
      </c>
      <c r="I1645" s="1929">
        <v>10.3</v>
      </c>
      <c r="J1645" s="1929">
        <v>658</v>
      </c>
      <c r="K1645" s="1929" t="s">
        <v>2010</v>
      </c>
    </row>
    <row r="1646" spans="1:11" hidden="1" x14ac:dyDescent="0.2">
      <c r="A1646" s="1929" t="s">
        <v>2009</v>
      </c>
      <c r="B1646" s="1929" t="s">
        <v>1217</v>
      </c>
      <c r="C1646" s="1929" t="s">
        <v>1368</v>
      </c>
      <c r="D1646" s="1929" t="s">
        <v>1226</v>
      </c>
      <c r="E1646" s="1929" t="s">
        <v>63</v>
      </c>
      <c r="F1646" s="1929">
        <v>24.4</v>
      </c>
      <c r="G1646" s="1929">
        <v>2.9</v>
      </c>
      <c r="H1646" s="1929">
        <v>1</v>
      </c>
      <c r="I1646" s="1929">
        <v>54.5</v>
      </c>
      <c r="J1646" s="1929">
        <v>662</v>
      </c>
      <c r="K1646" s="1929" t="s">
        <v>2008</v>
      </c>
    </row>
    <row r="1647" spans="1:11" hidden="1" x14ac:dyDescent="0.2">
      <c r="A1647" s="1929" t="s">
        <v>2007</v>
      </c>
      <c r="B1647" s="1929" t="s">
        <v>1249</v>
      </c>
      <c r="C1647" s="1929" t="s">
        <v>1248</v>
      </c>
      <c r="D1647" s="1929" t="s">
        <v>1226</v>
      </c>
      <c r="E1647" s="1929" t="s">
        <v>63</v>
      </c>
      <c r="F1647" s="1929">
        <v>19.100000000000001</v>
      </c>
      <c r="G1647" s="1929">
        <v>18.100000000000001</v>
      </c>
      <c r="H1647" s="1929">
        <v>-0.2</v>
      </c>
      <c r="I1647" s="1929">
        <v>51.8</v>
      </c>
      <c r="J1647" s="1929">
        <v>665</v>
      </c>
      <c r="K1647" s="1929" t="s">
        <v>2006</v>
      </c>
    </row>
    <row r="1648" spans="1:11" hidden="1" x14ac:dyDescent="0.2">
      <c r="A1648" s="1929" t="s">
        <v>2005</v>
      </c>
      <c r="B1648" s="1929" t="s">
        <v>1228</v>
      </c>
      <c r="C1648" s="1929" t="s">
        <v>1524</v>
      </c>
      <c r="D1648" s="1929" t="s">
        <v>1226</v>
      </c>
      <c r="E1648" s="1929" t="s">
        <v>63</v>
      </c>
      <c r="F1648" s="1929">
        <v>33.700000000000003</v>
      </c>
      <c r="G1648" s="1929">
        <v>13.1</v>
      </c>
      <c r="H1648" s="1929">
        <v>1.1000000000000001</v>
      </c>
      <c r="I1648" s="1929">
        <v>8.6999999999999993</v>
      </c>
      <c r="J1648" s="1929">
        <v>673</v>
      </c>
      <c r="K1648" s="1929" t="s">
        <v>2004</v>
      </c>
    </row>
    <row r="1649" spans="1:12" hidden="1" x14ac:dyDescent="0.2">
      <c r="A1649" s="1929" t="s">
        <v>2003</v>
      </c>
      <c r="B1649" s="1929" t="s">
        <v>1269</v>
      </c>
      <c r="C1649" s="1929" t="s">
        <v>1504</v>
      </c>
      <c r="D1649" s="1929" t="s">
        <v>1226</v>
      </c>
      <c r="E1649" s="1929" t="s">
        <v>63</v>
      </c>
      <c r="F1649" s="1929">
        <v>15.1</v>
      </c>
      <c r="G1649" s="1929">
        <v>96.1</v>
      </c>
      <c r="H1649" s="1929">
        <v>0.3</v>
      </c>
      <c r="I1649" s="1929">
        <v>19.8</v>
      </c>
      <c r="J1649" s="1929">
        <v>674</v>
      </c>
      <c r="K1649" s="1929" t="s">
        <v>2002</v>
      </c>
    </row>
    <row r="1650" spans="1:12" hidden="1" x14ac:dyDescent="0.2">
      <c r="A1650" s="1929" t="s">
        <v>2001</v>
      </c>
      <c r="B1650" s="1929" t="s">
        <v>1310</v>
      </c>
      <c r="C1650" s="1929" t="s">
        <v>1309</v>
      </c>
      <c r="D1650" s="1929" t="s">
        <v>1226</v>
      </c>
      <c r="E1650" s="1929" t="s">
        <v>63</v>
      </c>
      <c r="F1650" s="1929">
        <v>13.2</v>
      </c>
      <c r="G1650" s="1929">
        <v>9.6</v>
      </c>
      <c r="H1650" s="1929">
        <v>0.7</v>
      </c>
      <c r="I1650" s="1929">
        <v>25.9</v>
      </c>
      <c r="J1650" s="1929">
        <v>678</v>
      </c>
      <c r="K1650" s="1929" t="s">
        <v>2000</v>
      </c>
    </row>
    <row r="1651" spans="1:12" hidden="1" x14ac:dyDescent="0.2">
      <c r="A1651" s="1929" t="s">
        <v>1999</v>
      </c>
      <c r="B1651" s="1929" t="s">
        <v>1310</v>
      </c>
      <c r="C1651" s="1929" t="s">
        <v>1309</v>
      </c>
      <c r="D1651" s="1929" t="s">
        <v>1226</v>
      </c>
      <c r="E1651" s="1929" t="s">
        <v>63</v>
      </c>
      <c r="F1651" s="1929">
        <v>14.2</v>
      </c>
      <c r="G1651" s="1929">
        <v>7.3</v>
      </c>
      <c r="H1651" s="1929">
        <v>0.8</v>
      </c>
      <c r="I1651" s="1929">
        <v>27.8</v>
      </c>
      <c r="J1651" s="1929">
        <v>679</v>
      </c>
      <c r="K1651" s="1929" t="s">
        <v>1998</v>
      </c>
    </row>
    <row r="1652" spans="1:12" hidden="1" x14ac:dyDescent="0.2">
      <c r="A1652" s="1929" t="s">
        <v>1997</v>
      </c>
      <c r="B1652" s="1929" t="s">
        <v>1228</v>
      </c>
      <c r="C1652" s="1929" t="s">
        <v>1469</v>
      </c>
      <c r="D1652" s="1929" t="s">
        <v>1226</v>
      </c>
      <c r="E1652" s="1929" t="s">
        <v>63</v>
      </c>
      <c r="F1652" s="1929">
        <v>14.9</v>
      </c>
      <c r="G1652" s="1929">
        <v>11.3</v>
      </c>
      <c r="H1652" s="1929">
        <v>0.5</v>
      </c>
      <c r="I1652" s="1929">
        <v>24.4</v>
      </c>
      <c r="J1652" s="1929">
        <v>691</v>
      </c>
      <c r="K1652" s="1929" t="s">
        <v>1996</v>
      </c>
    </row>
    <row r="1653" spans="1:12" hidden="1" x14ac:dyDescent="0.2">
      <c r="A1653" s="1929" t="s">
        <v>1995</v>
      </c>
      <c r="B1653" s="1929" t="s">
        <v>1234</v>
      </c>
      <c r="C1653" s="1929" t="s">
        <v>1445</v>
      </c>
      <c r="D1653" s="1929" t="s">
        <v>1226</v>
      </c>
      <c r="E1653" s="1929" t="s">
        <v>63</v>
      </c>
      <c r="F1653" s="1929">
        <v>16.100000000000001</v>
      </c>
      <c r="G1653" s="1929">
        <v>19.100000000000001</v>
      </c>
      <c r="H1653" s="1929">
        <v>0.5</v>
      </c>
      <c r="I1653" s="1929">
        <v>15.2</v>
      </c>
      <c r="J1653" s="1929">
        <v>698</v>
      </c>
      <c r="K1653" s="1929" t="s">
        <v>1994</v>
      </c>
    </row>
    <row r="1654" spans="1:12" hidden="1" x14ac:dyDescent="0.2">
      <c r="A1654" s="1929" t="s">
        <v>1993</v>
      </c>
      <c r="B1654" s="1929" t="s">
        <v>1228</v>
      </c>
      <c r="C1654" s="1929" t="s">
        <v>1606</v>
      </c>
      <c r="D1654" s="1929" t="s">
        <v>1226</v>
      </c>
      <c r="E1654" s="1929" t="s">
        <v>63</v>
      </c>
      <c r="F1654" s="1929">
        <v>22.2</v>
      </c>
      <c r="G1654" s="1929">
        <v>9.6999999999999993</v>
      </c>
      <c r="H1654" s="1929">
        <v>0.4</v>
      </c>
      <c r="I1654" s="1929">
        <v>26.7</v>
      </c>
      <c r="J1654" s="1929">
        <v>700</v>
      </c>
      <c r="K1654" s="1929" t="s">
        <v>1992</v>
      </c>
    </row>
    <row r="1655" spans="1:12" hidden="1" x14ac:dyDescent="0.2">
      <c r="A1655" s="1929" t="s">
        <v>222</v>
      </c>
      <c r="B1655" s="1929" t="s">
        <v>1228</v>
      </c>
      <c r="C1655" s="1929" t="s">
        <v>1539</v>
      </c>
      <c r="D1655" s="1929" t="s">
        <v>1226</v>
      </c>
      <c r="E1655" s="1929" t="s">
        <v>63</v>
      </c>
      <c r="F1655" s="1929">
        <v>18.3</v>
      </c>
      <c r="G1655" s="1929">
        <v>16.100000000000001</v>
      </c>
      <c r="H1655" s="1929">
        <v>1.3</v>
      </c>
      <c r="I1655" s="1929">
        <v>7.8</v>
      </c>
      <c r="J1655" s="1929">
        <v>705</v>
      </c>
      <c r="K1655" s="1929" t="s">
        <v>1991</v>
      </c>
    </row>
    <row r="1656" spans="1:12" hidden="1" x14ac:dyDescent="0.2">
      <c r="A1656" s="1929" t="s">
        <v>1990</v>
      </c>
      <c r="B1656" s="1929" t="s">
        <v>1217</v>
      </c>
      <c r="C1656" s="1929" t="s">
        <v>1216</v>
      </c>
      <c r="D1656" s="1929" t="s">
        <v>1226</v>
      </c>
      <c r="E1656" s="1929" t="s">
        <v>63</v>
      </c>
      <c r="F1656" s="1929">
        <v>12.8</v>
      </c>
      <c r="G1656" s="1929">
        <v>4.3</v>
      </c>
      <c r="H1656" s="1929">
        <v>0.9</v>
      </c>
      <c r="I1656" s="1929">
        <v>92.9</v>
      </c>
      <c r="J1656" s="1929">
        <v>713</v>
      </c>
      <c r="K1656" s="1929" t="s">
        <v>1989</v>
      </c>
    </row>
    <row r="1657" spans="1:12" hidden="1" x14ac:dyDescent="0.2">
      <c r="A1657" s="1929" t="s">
        <v>1988</v>
      </c>
      <c r="B1657" s="1929" t="s">
        <v>1269</v>
      </c>
      <c r="C1657" s="1929" t="s">
        <v>1268</v>
      </c>
      <c r="D1657" s="1929" t="s">
        <v>1226</v>
      </c>
      <c r="E1657" s="1929" t="s">
        <v>63</v>
      </c>
      <c r="F1657" s="1929">
        <v>14.8</v>
      </c>
      <c r="G1657" s="1929">
        <v>11.8</v>
      </c>
      <c r="H1657" s="1929">
        <v>0.6</v>
      </c>
      <c r="I1657" s="1929">
        <v>17.100000000000001</v>
      </c>
      <c r="J1657" s="1929">
        <v>714</v>
      </c>
      <c r="K1657" s="1929" t="s">
        <v>1987</v>
      </c>
    </row>
    <row r="1658" spans="1:12" hidden="1" x14ac:dyDescent="0.2">
      <c r="A1658" s="1929" t="s">
        <v>1986</v>
      </c>
      <c r="B1658" s="1929" t="s">
        <v>1245</v>
      </c>
      <c r="C1658" s="1929" t="s">
        <v>1244</v>
      </c>
      <c r="D1658" s="1929" t="s">
        <v>1226</v>
      </c>
      <c r="E1658" s="1929" t="s">
        <v>63</v>
      </c>
      <c r="F1658" s="1929">
        <v>36.799999999999997</v>
      </c>
      <c r="G1658" s="1929">
        <v>4.7</v>
      </c>
      <c r="H1658" s="1929">
        <v>1.4</v>
      </c>
      <c r="I1658" s="1929">
        <v>16.8</v>
      </c>
      <c r="J1658" s="1929">
        <v>715</v>
      </c>
      <c r="K1658" s="1929" t="s">
        <v>1985</v>
      </c>
    </row>
    <row r="1659" spans="1:12" hidden="1" x14ac:dyDescent="0.2">
      <c r="A1659" s="1929" t="s">
        <v>1984</v>
      </c>
      <c r="B1659" s="1929" t="s">
        <v>1217</v>
      </c>
      <c r="C1659" s="1929" t="s">
        <v>1216</v>
      </c>
      <c r="D1659" s="1929" t="s">
        <v>1226</v>
      </c>
      <c r="E1659" s="1929" t="s">
        <v>63</v>
      </c>
      <c r="F1659" s="1929">
        <v>15.6</v>
      </c>
      <c r="G1659" s="1929">
        <v>4</v>
      </c>
      <c r="H1659" s="1929">
        <v>0.7</v>
      </c>
      <c r="I1659" s="1929">
        <v>102.9</v>
      </c>
      <c r="J1659" s="1929">
        <v>725</v>
      </c>
      <c r="K1659" s="1929" t="s">
        <v>1983</v>
      </c>
    </row>
    <row r="1660" spans="1:12" hidden="1" x14ac:dyDescent="0.2">
      <c r="A1660" s="1929" t="s">
        <v>1982</v>
      </c>
      <c r="D1660" s="1929" t="s">
        <v>1226</v>
      </c>
      <c r="E1660" s="1929" t="s">
        <v>63</v>
      </c>
      <c r="F1660" s="1929">
        <v>17.899999999999999</v>
      </c>
      <c r="G1660" s="1929">
        <v>25.8</v>
      </c>
      <c r="H1660" s="1929">
        <v>-1.9</v>
      </c>
      <c r="I1660" s="1929">
        <v>26.8</v>
      </c>
      <c r="J1660" s="1929">
        <v>726</v>
      </c>
      <c r="K1660" s="1929" t="s">
        <v>1981</v>
      </c>
    </row>
    <row r="1661" spans="1:12" hidden="1" x14ac:dyDescent="0.2">
      <c r="A1661" s="1929" t="s">
        <v>1980</v>
      </c>
      <c r="B1661" s="1929" t="s">
        <v>1258</v>
      </c>
      <c r="C1661" s="1929" t="s">
        <v>1257</v>
      </c>
      <c r="D1661" s="1929" t="s">
        <v>1226</v>
      </c>
      <c r="E1661" s="1929" t="s">
        <v>63</v>
      </c>
      <c r="F1661" s="1929">
        <v>28.1</v>
      </c>
      <c r="G1661" s="1929">
        <v>6.9</v>
      </c>
      <c r="H1661" s="1929">
        <v>0.4</v>
      </c>
      <c r="I1661" s="1929">
        <v>27.1</v>
      </c>
      <c r="J1661" s="1929">
        <v>733</v>
      </c>
      <c r="K1661" s="1929" t="s">
        <v>1979</v>
      </c>
    </row>
    <row r="1662" spans="1:12" hidden="1" x14ac:dyDescent="0.2">
      <c r="A1662" s="1929" t="s">
        <v>1978</v>
      </c>
      <c r="B1662" s="1929" t="s">
        <v>1258</v>
      </c>
      <c r="C1662" s="1929" t="s">
        <v>1263</v>
      </c>
      <c r="D1662" s="1929" t="s">
        <v>1226</v>
      </c>
      <c r="E1662" s="1929" t="s">
        <v>63</v>
      </c>
      <c r="F1662" s="1929">
        <v>27.6</v>
      </c>
      <c r="G1662" s="1929">
        <v>10.8</v>
      </c>
      <c r="H1662" s="1929">
        <v>0</v>
      </c>
      <c r="I1662" s="1929">
        <v>42.9</v>
      </c>
      <c r="J1662" s="1929">
        <v>741</v>
      </c>
      <c r="K1662" s="1929" t="s">
        <v>1977</v>
      </c>
    </row>
    <row r="1663" spans="1:12" hidden="1" x14ac:dyDescent="0.2">
      <c r="A1663" s="1929" t="s">
        <v>1976</v>
      </c>
      <c r="B1663" s="1929" t="s">
        <v>1975</v>
      </c>
      <c r="C1663" s="1929" t="s">
        <v>1269</v>
      </c>
      <c r="D1663" s="1929" t="s">
        <v>1294</v>
      </c>
      <c r="E1663" s="1929" t="s">
        <v>1226</v>
      </c>
      <c r="F1663" s="1929" t="s">
        <v>63</v>
      </c>
      <c r="G1663" s="1929">
        <v>22.6</v>
      </c>
      <c r="H1663" s="1929">
        <v>8.1999999999999993</v>
      </c>
      <c r="I1663" s="1929">
        <v>0.9</v>
      </c>
      <c r="J1663" s="1929">
        <v>12</v>
      </c>
      <c r="K1663" s="1929">
        <v>744</v>
      </c>
      <c r="L1663" s="1929" t="s">
        <v>1974</v>
      </c>
    </row>
    <row r="1664" spans="1:12" hidden="1" x14ac:dyDescent="0.2">
      <c r="A1664" s="1929" t="s">
        <v>1973</v>
      </c>
      <c r="B1664" s="1929" t="s">
        <v>1234</v>
      </c>
      <c r="C1664" s="1929" t="s">
        <v>1972</v>
      </c>
      <c r="D1664" s="1929" t="s">
        <v>1226</v>
      </c>
      <c r="E1664" s="1929" t="s">
        <v>63</v>
      </c>
      <c r="F1664" s="1929">
        <v>14.1</v>
      </c>
      <c r="G1664" s="1929">
        <v>23</v>
      </c>
      <c r="H1664" s="1929">
        <v>-2.2999999999999998</v>
      </c>
      <c r="I1664" s="1929">
        <v>35.700000000000003</v>
      </c>
      <c r="J1664" s="1929">
        <v>746</v>
      </c>
      <c r="K1664" s="1929" t="s">
        <v>1971</v>
      </c>
    </row>
    <row r="1665" spans="1:11" hidden="1" x14ac:dyDescent="0.2">
      <c r="A1665" s="1929" t="s">
        <v>1970</v>
      </c>
      <c r="B1665" s="1929" t="s">
        <v>1228</v>
      </c>
      <c r="C1665" s="1929" t="s">
        <v>1408</v>
      </c>
      <c r="D1665" s="1929" t="s">
        <v>1226</v>
      </c>
      <c r="E1665" s="1929" t="s">
        <v>63</v>
      </c>
      <c r="F1665" s="1929">
        <v>28.3</v>
      </c>
      <c r="G1665" s="1929">
        <v>12.7</v>
      </c>
      <c r="H1665" s="1929">
        <v>0.1</v>
      </c>
      <c r="I1665" s="1929">
        <v>32.4</v>
      </c>
      <c r="J1665" s="1929">
        <v>747</v>
      </c>
      <c r="K1665" s="1929" t="s">
        <v>1969</v>
      </c>
    </row>
    <row r="1666" spans="1:11" hidden="1" x14ac:dyDescent="0.2">
      <c r="A1666" s="1929" t="s">
        <v>1968</v>
      </c>
      <c r="B1666" s="1929" t="s">
        <v>1245</v>
      </c>
      <c r="C1666" s="1929" t="s">
        <v>1384</v>
      </c>
      <c r="D1666" s="1929" t="s">
        <v>1226</v>
      </c>
      <c r="E1666" s="1929" t="s">
        <v>63</v>
      </c>
      <c r="F1666" s="1929">
        <v>9.1999999999999993</v>
      </c>
      <c r="G1666" s="1929">
        <v>42.4</v>
      </c>
      <c r="H1666" s="1929">
        <v>0.5</v>
      </c>
      <c r="I1666" s="1929">
        <v>14</v>
      </c>
      <c r="J1666" s="1929">
        <v>748</v>
      </c>
      <c r="K1666" s="1929" t="s">
        <v>1967</v>
      </c>
    </row>
    <row r="1667" spans="1:11" hidden="1" x14ac:dyDescent="0.2">
      <c r="A1667" s="1929" t="s">
        <v>1966</v>
      </c>
      <c r="B1667" s="1929" t="s">
        <v>1269</v>
      </c>
      <c r="C1667" s="1929" t="s">
        <v>1504</v>
      </c>
      <c r="D1667" s="1929" t="s">
        <v>1226</v>
      </c>
      <c r="E1667" s="1929" t="s">
        <v>63</v>
      </c>
      <c r="F1667" s="1929">
        <v>36.9</v>
      </c>
      <c r="G1667" s="1929">
        <v>6.3</v>
      </c>
      <c r="H1667" s="1929">
        <v>1.3</v>
      </c>
      <c r="I1667" s="1929">
        <v>10.6</v>
      </c>
      <c r="J1667" s="1929">
        <v>753</v>
      </c>
      <c r="K1667" s="1929" t="s">
        <v>1965</v>
      </c>
    </row>
    <row r="1668" spans="1:11" hidden="1" x14ac:dyDescent="0.2">
      <c r="A1668" s="1929" t="s">
        <v>1964</v>
      </c>
      <c r="B1668" s="1929" t="s">
        <v>1228</v>
      </c>
      <c r="C1668" s="1929" t="s">
        <v>1334</v>
      </c>
      <c r="D1668" s="1929" t="s">
        <v>1226</v>
      </c>
      <c r="E1668" s="1929" t="s">
        <v>63</v>
      </c>
      <c r="F1668" s="1929">
        <v>9.3000000000000007</v>
      </c>
      <c r="G1668" s="1929">
        <v>17.399999999999999</v>
      </c>
      <c r="H1668" s="1929">
        <v>1</v>
      </c>
      <c r="I1668" s="1929">
        <v>12.3</v>
      </c>
      <c r="J1668" s="1929">
        <v>758</v>
      </c>
      <c r="K1668" s="1929" t="s">
        <v>1963</v>
      </c>
    </row>
    <row r="1669" spans="1:11" hidden="1" x14ac:dyDescent="0.2">
      <c r="A1669" s="1929" t="s">
        <v>1962</v>
      </c>
      <c r="B1669" s="1929" t="s">
        <v>1306</v>
      </c>
      <c r="C1669" s="1929" t="s">
        <v>1305</v>
      </c>
      <c r="D1669" s="1929" t="s">
        <v>1226</v>
      </c>
      <c r="E1669" s="1929" t="s">
        <v>63</v>
      </c>
      <c r="F1669" s="1929">
        <v>11.7</v>
      </c>
      <c r="G1669" s="1929">
        <v>61.4</v>
      </c>
      <c r="H1669" s="1929">
        <v>0.2</v>
      </c>
      <c r="I1669" s="1929">
        <v>26.8</v>
      </c>
      <c r="J1669" s="1929">
        <v>759</v>
      </c>
      <c r="K1669" s="1929" t="s">
        <v>1961</v>
      </c>
    </row>
    <row r="1670" spans="1:11" hidden="1" x14ac:dyDescent="0.2">
      <c r="A1670" s="1929" t="s">
        <v>1960</v>
      </c>
      <c r="B1670" s="1929" t="s">
        <v>1245</v>
      </c>
      <c r="C1670" s="1929" t="s">
        <v>1507</v>
      </c>
      <c r="D1670" s="1929" t="s">
        <v>1226</v>
      </c>
      <c r="E1670" s="1929" t="s">
        <v>63</v>
      </c>
      <c r="F1670" s="1929">
        <v>16.5</v>
      </c>
      <c r="G1670" s="1929">
        <v>8.6999999999999993</v>
      </c>
      <c r="H1670" s="1929">
        <v>1.1000000000000001</v>
      </c>
      <c r="I1670" s="1929">
        <v>11.9</v>
      </c>
      <c r="J1670" s="1929">
        <v>767</v>
      </c>
      <c r="K1670" s="1929" t="s">
        <v>1959</v>
      </c>
    </row>
    <row r="1671" spans="1:11" hidden="1" x14ac:dyDescent="0.2">
      <c r="A1671" s="1929" t="s">
        <v>1958</v>
      </c>
      <c r="B1671" s="1929" t="s">
        <v>1258</v>
      </c>
      <c r="C1671" s="1929" t="s">
        <v>1263</v>
      </c>
      <c r="D1671" s="1929" t="s">
        <v>1226</v>
      </c>
      <c r="E1671" s="1929" t="s">
        <v>63</v>
      </c>
      <c r="F1671" s="1929">
        <v>25.5</v>
      </c>
      <c r="G1671" s="1929">
        <v>4.8</v>
      </c>
      <c r="H1671" s="1929">
        <v>0.9</v>
      </c>
      <c r="I1671" s="1929">
        <v>19.600000000000001</v>
      </c>
      <c r="J1671" s="1929">
        <v>769</v>
      </c>
      <c r="K1671" s="1929" t="s">
        <v>1957</v>
      </c>
    </row>
    <row r="1672" spans="1:11" hidden="1" x14ac:dyDescent="0.2">
      <c r="A1672" s="1929" t="s">
        <v>1956</v>
      </c>
      <c r="B1672" s="1929" t="s">
        <v>1245</v>
      </c>
      <c r="C1672" s="1929" t="s">
        <v>1244</v>
      </c>
      <c r="D1672" s="1929" t="s">
        <v>1226</v>
      </c>
      <c r="E1672" s="1929" t="s">
        <v>63</v>
      </c>
      <c r="F1672" s="1929">
        <v>31.4</v>
      </c>
      <c r="G1672" s="1929">
        <v>8.8000000000000007</v>
      </c>
      <c r="H1672" s="1929">
        <v>1.2</v>
      </c>
      <c r="I1672" s="1929">
        <v>8.1999999999999993</v>
      </c>
      <c r="J1672" s="1929">
        <v>772</v>
      </c>
      <c r="K1672" s="1929" t="s">
        <v>1955</v>
      </c>
    </row>
    <row r="1673" spans="1:11" hidden="1" x14ac:dyDescent="0.2">
      <c r="A1673" s="1929" t="s">
        <v>1954</v>
      </c>
      <c r="B1673" s="1929" t="s">
        <v>1306</v>
      </c>
      <c r="C1673" s="1929" t="s">
        <v>1389</v>
      </c>
      <c r="D1673" s="1929" t="s">
        <v>1226</v>
      </c>
      <c r="E1673" s="1929" t="s">
        <v>63</v>
      </c>
      <c r="F1673" s="1929">
        <v>26.4</v>
      </c>
      <c r="G1673" s="1929">
        <v>10.4</v>
      </c>
      <c r="H1673" s="1929">
        <v>1</v>
      </c>
      <c r="I1673" s="1929">
        <v>7.8</v>
      </c>
      <c r="J1673" s="1929">
        <v>779</v>
      </c>
      <c r="K1673" s="1929" t="s">
        <v>1953</v>
      </c>
    </row>
    <row r="1674" spans="1:11" hidden="1" x14ac:dyDescent="0.2">
      <c r="A1674" s="1929" t="s">
        <v>1952</v>
      </c>
      <c r="B1674" s="1929" t="s">
        <v>1238</v>
      </c>
      <c r="C1674" s="1929" t="s">
        <v>1349</v>
      </c>
      <c r="D1674" s="1929" t="s">
        <v>1226</v>
      </c>
      <c r="E1674" s="1929" t="s">
        <v>63</v>
      </c>
      <c r="F1674" s="1929">
        <v>10.199999999999999</v>
      </c>
      <c r="G1674" s="1929">
        <v>12.6</v>
      </c>
      <c r="H1674" s="1929">
        <v>0.8</v>
      </c>
      <c r="I1674" s="1929">
        <v>14</v>
      </c>
      <c r="J1674" s="1929">
        <v>782</v>
      </c>
      <c r="K1674" s="1929" t="s">
        <v>1951</v>
      </c>
    </row>
    <row r="1675" spans="1:11" hidden="1" x14ac:dyDescent="0.2">
      <c r="A1675" s="1929" t="s">
        <v>1950</v>
      </c>
      <c r="B1675" s="1929" t="s">
        <v>1238</v>
      </c>
      <c r="C1675" s="1929" t="s">
        <v>1878</v>
      </c>
      <c r="D1675" s="1929" t="s">
        <v>1226</v>
      </c>
      <c r="E1675" s="1929" t="s">
        <v>63</v>
      </c>
      <c r="F1675" s="1929">
        <v>10.1</v>
      </c>
      <c r="G1675" s="1929">
        <v>10.6</v>
      </c>
      <c r="H1675" s="1929">
        <v>0.4</v>
      </c>
      <c r="I1675" s="1929">
        <v>47.9</v>
      </c>
      <c r="J1675" s="1929">
        <v>783</v>
      </c>
      <c r="K1675" s="1929" t="s">
        <v>1949</v>
      </c>
    </row>
    <row r="1676" spans="1:11" hidden="1" x14ac:dyDescent="0.2">
      <c r="A1676" s="1929" t="s">
        <v>1948</v>
      </c>
      <c r="B1676" s="1929" t="s">
        <v>1245</v>
      </c>
      <c r="C1676" s="1929" t="s">
        <v>1286</v>
      </c>
      <c r="D1676" s="1929" t="s">
        <v>1226</v>
      </c>
      <c r="E1676" s="1929" t="s">
        <v>63</v>
      </c>
      <c r="F1676" s="1929">
        <v>48.2</v>
      </c>
      <c r="G1676" s="1929">
        <v>5.2</v>
      </c>
      <c r="H1676" s="1929">
        <v>1</v>
      </c>
      <c r="I1676" s="1929">
        <v>12.3</v>
      </c>
      <c r="J1676" s="1929">
        <v>784</v>
      </c>
      <c r="K1676" s="1929" t="s">
        <v>1947</v>
      </c>
    </row>
    <row r="1677" spans="1:11" hidden="1" x14ac:dyDescent="0.2">
      <c r="A1677" s="1929" t="s">
        <v>1946</v>
      </c>
      <c r="B1677" s="1929" t="s">
        <v>1234</v>
      </c>
      <c r="C1677" s="1929" t="s">
        <v>1233</v>
      </c>
      <c r="D1677" s="1929" t="s">
        <v>1226</v>
      </c>
      <c r="E1677" s="1929" t="s">
        <v>63</v>
      </c>
      <c r="F1677" s="1929">
        <v>13.1</v>
      </c>
      <c r="G1677" s="1929">
        <v>9.4</v>
      </c>
      <c r="H1677" s="1929">
        <v>1.2</v>
      </c>
      <c r="I1677" s="1929">
        <v>11.8</v>
      </c>
      <c r="J1677" s="1929">
        <v>786</v>
      </c>
      <c r="K1677" s="1929" t="s">
        <v>1945</v>
      </c>
    </row>
    <row r="1678" spans="1:11" hidden="1" x14ac:dyDescent="0.2">
      <c r="A1678" s="1929" t="s">
        <v>1944</v>
      </c>
      <c r="B1678" s="1929" t="s">
        <v>1258</v>
      </c>
      <c r="C1678" s="1929" t="s">
        <v>1257</v>
      </c>
      <c r="D1678" s="1929" t="s">
        <v>1226</v>
      </c>
      <c r="E1678" s="1929" t="s">
        <v>63</v>
      </c>
      <c r="F1678" s="1929">
        <v>13.6</v>
      </c>
      <c r="G1678" s="1929">
        <v>9.8000000000000007</v>
      </c>
      <c r="H1678" s="1929">
        <v>0.7</v>
      </c>
      <c r="I1678" s="1929">
        <v>14.2</v>
      </c>
      <c r="J1678" s="1929">
        <v>791</v>
      </c>
      <c r="K1678" s="1929" t="s">
        <v>1943</v>
      </c>
    </row>
    <row r="1679" spans="1:11" hidden="1" x14ac:dyDescent="0.2">
      <c r="A1679" s="1929" t="s">
        <v>1942</v>
      </c>
      <c r="B1679" s="1929" t="s">
        <v>1228</v>
      </c>
      <c r="C1679" s="1929" t="s">
        <v>1315</v>
      </c>
      <c r="D1679" s="1929" t="s">
        <v>1226</v>
      </c>
      <c r="E1679" s="1929" t="s">
        <v>63</v>
      </c>
      <c r="F1679" s="1929">
        <v>19.600000000000001</v>
      </c>
      <c r="G1679" s="1929">
        <v>5.5</v>
      </c>
      <c r="H1679" s="1929">
        <v>1.1000000000000001</v>
      </c>
      <c r="I1679" s="1929">
        <v>15</v>
      </c>
      <c r="J1679" s="1929">
        <v>793</v>
      </c>
      <c r="K1679" s="1929" t="s">
        <v>1941</v>
      </c>
    </row>
    <row r="1680" spans="1:11" hidden="1" x14ac:dyDescent="0.2">
      <c r="A1680" s="1929" t="s">
        <v>1940</v>
      </c>
      <c r="B1680" s="1929" t="s">
        <v>1238</v>
      </c>
      <c r="C1680" s="1929" t="s">
        <v>1919</v>
      </c>
      <c r="D1680" s="1929" t="s">
        <v>1226</v>
      </c>
      <c r="E1680" s="1929" t="s">
        <v>63</v>
      </c>
      <c r="F1680" s="1929">
        <v>12.3</v>
      </c>
      <c r="G1680" s="1929">
        <v>8.4</v>
      </c>
      <c r="H1680" s="1929">
        <v>0.6</v>
      </c>
      <c r="I1680" s="1929">
        <v>19.899999999999999</v>
      </c>
      <c r="J1680" s="1929">
        <v>800</v>
      </c>
      <c r="K1680" s="1929" t="s">
        <v>1939</v>
      </c>
    </row>
    <row r="1681" spans="1:11" hidden="1" x14ac:dyDescent="0.2">
      <c r="A1681" s="1929" t="s">
        <v>1938</v>
      </c>
      <c r="B1681" s="1929" t="s">
        <v>1228</v>
      </c>
      <c r="C1681" s="1929" t="s">
        <v>1334</v>
      </c>
      <c r="D1681" s="1929" t="s">
        <v>1226</v>
      </c>
      <c r="E1681" s="1929" t="s">
        <v>63</v>
      </c>
      <c r="F1681" s="1929">
        <v>6.7</v>
      </c>
      <c r="G1681" s="1929">
        <v>19.5</v>
      </c>
      <c r="H1681" s="1929">
        <v>0.6</v>
      </c>
      <c r="I1681" s="1929">
        <v>17.5</v>
      </c>
      <c r="J1681" s="1929">
        <v>810</v>
      </c>
      <c r="K1681" s="1929" t="s">
        <v>1937</v>
      </c>
    </row>
    <row r="1682" spans="1:11" hidden="1" x14ac:dyDescent="0.2">
      <c r="A1682" s="1929" t="s">
        <v>1936</v>
      </c>
      <c r="B1682" s="1929" t="s">
        <v>1310</v>
      </c>
      <c r="C1682" s="1929" t="s">
        <v>1309</v>
      </c>
      <c r="D1682" s="1929" t="s">
        <v>1226</v>
      </c>
      <c r="E1682" s="1929" t="s">
        <v>63</v>
      </c>
      <c r="F1682" s="1929">
        <v>10.4</v>
      </c>
      <c r="G1682" s="1929">
        <v>16.100000000000001</v>
      </c>
      <c r="H1682" s="1929">
        <v>0.3</v>
      </c>
      <c r="I1682" s="1929">
        <v>40.4</v>
      </c>
      <c r="J1682" s="1929">
        <v>812</v>
      </c>
      <c r="K1682" s="1929" t="s">
        <v>1935</v>
      </c>
    </row>
    <row r="1683" spans="1:11" hidden="1" x14ac:dyDescent="0.2">
      <c r="A1683" s="1929" t="s">
        <v>1934</v>
      </c>
      <c r="B1683" s="1929" t="s">
        <v>1238</v>
      </c>
      <c r="C1683" s="1929" t="s">
        <v>1241</v>
      </c>
      <c r="D1683" s="1929" t="s">
        <v>1226</v>
      </c>
      <c r="E1683" s="1929" t="s">
        <v>63</v>
      </c>
      <c r="F1683" s="1929">
        <v>12.4</v>
      </c>
      <c r="G1683" s="1929">
        <v>27.4</v>
      </c>
      <c r="H1683" s="1929">
        <v>0.7</v>
      </c>
      <c r="I1683" s="1929">
        <v>8.3000000000000007</v>
      </c>
      <c r="J1683" s="1929">
        <v>813</v>
      </c>
      <c r="K1683" s="1929" t="s">
        <v>1933</v>
      </c>
    </row>
    <row r="1684" spans="1:11" hidden="1" x14ac:dyDescent="0.2">
      <c r="A1684" s="1929" t="s">
        <v>1932</v>
      </c>
      <c r="B1684" s="1929" t="s">
        <v>1217</v>
      </c>
      <c r="C1684" s="1929" t="s">
        <v>1456</v>
      </c>
      <c r="D1684" s="1929" t="s">
        <v>1226</v>
      </c>
      <c r="E1684" s="1929" t="s">
        <v>63</v>
      </c>
      <c r="F1684" s="1929">
        <v>17.399999999999999</v>
      </c>
      <c r="G1684" s="1929">
        <v>8.6</v>
      </c>
      <c r="H1684" s="1929">
        <v>0.6</v>
      </c>
      <c r="I1684" s="1929">
        <v>14.5</v>
      </c>
      <c r="J1684" s="1929">
        <v>815</v>
      </c>
      <c r="K1684" s="1929" t="s">
        <v>1931</v>
      </c>
    </row>
    <row r="1685" spans="1:11" hidden="1" x14ac:dyDescent="0.2">
      <c r="A1685" s="1929" t="s">
        <v>1930</v>
      </c>
      <c r="B1685" s="1929" t="s">
        <v>1269</v>
      </c>
      <c r="C1685" s="1929" t="s">
        <v>1504</v>
      </c>
      <c r="D1685" s="1929" t="s">
        <v>1226</v>
      </c>
      <c r="E1685" s="1929" t="s">
        <v>63</v>
      </c>
      <c r="F1685" s="1929">
        <v>18.3</v>
      </c>
      <c r="G1685" s="1929">
        <v>7</v>
      </c>
      <c r="H1685" s="1929">
        <v>0.6</v>
      </c>
      <c r="I1685" s="1929">
        <v>15.2</v>
      </c>
      <c r="J1685" s="1929">
        <v>816</v>
      </c>
      <c r="K1685" s="1929" t="s">
        <v>1929</v>
      </c>
    </row>
    <row r="1686" spans="1:11" hidden="1" x14ac:dyDescent="0.2">
      <c r="A1686" s="1929" t="s">
        <v>1928</v>
      </c>
      <c r="B1686" s="1929" t="s">
        <v>1258</v>
      </c>
      <c r="C1686" s="1929" t="s">
        <v>1263</v>
      </c>
      <c r="D1686" s="1929" t="s">
        <v>1226</v>
      </c>
      <c r="E1686" s="1929" t="s">
        <v>63</v>
      </c>
      <c r="F1686" s="1929">
        <v>9.6</v>
      </c>
      <c r="G1686" s="1929">
        <v>20.2</v>
      </c>
      <c r="H1686" s="1929">
        <v>0.7</v>
      </c>
      <c r="I1686" s="1929">
        <v>10.1</v>
      </c>
      <c r="J1686" s="1929">
        <v>820</v>
      </c>
      <c r="K1686" s="1929" t="s">
        <v>1927</v>
      </c>
    </row>
    <row r="1687" spans="1:11" hidden="1" x14ac:dyDescent="0.2">
      <c r="A1687" s="1929" t="s">
        <v>1926</v>
      </c>
      <c r="B1687" s="1929" t="s">
        <v>1306</v>
      </c>
      <c r="C1687" s="1929" t="s">
        <v>1389</v>
      </c>
      <c r="D1687" s="1929" t="s">
        <v>1226</v>
      </c>
      <c r="E1687" s="1929" t="s">
        <v>63</v>
      </c>
      <c r="F1687" s="1929">
        <v>12.7</v>
      </c>
      <c r="G1687" s="1929">
        <v>11</v>
      </c>
      <c r="H1687" s="1929">
        <v>0.5</v>
      </c>
      <c r="I1687" s="1929">
        <v>16.5</v>
      </c>
      <c r="J1687" s="1929">
        <v>824</v>
      </c>
      <c r="K1687" s="1929" t="s">
        <v>1925</v>
      </c>
    </row>
    <row r="1688" spans="1:11" hidden="1" x14ac:dyDescent="0.2">
      <c r="A1688" s="1929" t="s">
        <v>1924</v>
      </c>
      <c r="B1688" s="1929" t="s">
        <v>1238</v>
      </c>
      <c r="C1688" s="1929" t="s">
        <v>1878</v>
      </c>
      <c r="D1688" s="1929" t="s">
        <v>1226</v>
      </c>
      <c r="E1688" s="1929" t="s">
        <v>63</v>
      </c>
      <c r="F1688" s="1929">
        <v>14.1</v>
      </c>
      <c r="G1688" s="1929">
        <v>8.6999999999999993</v>
      </c>
      <c r="H1688" s="1929">
        <v>1</v>
      </c>
      <c r="I1688" s="1929">
        <v>10.8</v>
      </c>
      <c r="J1688" s="1929">
        <v>827</v>
      </c>
      <c r="K1688" s="1929" t="s">
        <v>1923</v>
      </c>
    </row>
    <row r="1689" spans="1:11" hidden="1" x14ac:dyDescent="0.2">
      <c r="A1689" s="1929" t="s">
        <v>1922</v>
      </c>
      <c r="B1689" s="1929" t="s">
        <v>1228</v>
      </c>
      <c r="C1689" s="1929" t="s">
        <v>1297</v>
      </c>
      <c r="D1689" s="1929" t="s">
        <v>1226</v>
      </c>
      <c r="E1689" s="1929" t="s">
        <v>63</v>
      </c>
      <c r="F1689" s="1929">
        <v>14.9</v>
      </c>
      <c r="G1689" s="1929">
        <v>11.7</v>
      </c>
      <c r="H1689" s="1929">
        <v>1.1000000000000001</v>
      </c>
      <c r="I1689" s="1929">
        <v>6.5</v>
      </c>
      <c r="J1689" s="1929">
        <v>827</v>
      </c>
      <c r="K1689" s="1929" t="s">
        <v>1921</v>
      </c>
    </row>
    <row r="1690" spans="1:11" hidden="1" x14ac:dyDescent="0.2">
      <c r="A1690" s="1929" t="s">
        <v>1920</v>
      </c>
      <c r="B1690" s="1929" t="s">
        <v>1238</v>
      </c>
      <c r="C1690" s="1929" t="s">
        <v>1919</v>
      </c>
      <c r="D1690" s="1929" t="s">
        <v>1226</v>
      </c>
      <c r="E1690" s="1929" t="s">
        <v>63</v>
      </c>
      <c r="F1690" s="1929">
        <v>19.5</v>
      </c>
      <c r="G1690" s="1929">
        <v>14</v>
      </c>
      <c r="H1690" s="1929">
        <v>0.1</v>
      </c>
      <c r="I1690" s="1929">
        <v>22.6</v>
      </c>
      <c r="J1690" s="1929">
        <v>831</v>
      </c>
      <c r="K1690" s="1929" t="s">
        <v>1918</v>
      </c>
    </row>
    <row r="1691" spans="1:11" hidden="1" x14ac:dyDescent="0.2">
      <c r="A1691" s="1929" t="s">
        <v>1917</v>
      </c>
      <c r="B1691" s="1929" t="s">
        <v>1217</v>
      </c>
      <c r="C1691" s="1929" t="s">
        <v>1368</v>
      </c>
      <c r="D1691" s="1929" t="s">
        <v>1226</v>
      </c>
      <c r="E1691" s="1929" t="s">
        <v>63</v>
      </c>
      <c r="F1691" s="1929">
        <v>16.2</v>
      </c>
      <c r="G1691" s="1929">
        <v>4.7</v>
      </c>
      <c r="H1691" s="1929">
        <v>0.9</v>
      </c>
      <c r="I1691" s="1929">
        <v>19.3</v>
      </c>
      <c r="J1691" s="1929">
        <v>834</v>
      </c>
      <c r="K1691" s="1929" t="s">
        <v>1916</v>
      </c>
    </row>
    <row r="1692" spans="1:11" hidden="1" x14ac:dyDescent="0.2">
      <c r="A1692" s="1929" t="s">
        <v>1915</v>
      </c>
      <c r="B1692" s="1929" t="s">
        <v>1217</v>
      </c>
      <c r="C1692" s="1929" t="s">
        <v>1456</v>
      </c>
      <c r="D1692" s="1929" t="s">
        <v>1226</v>
      </c>
      <c r="E1692" s="1929" t="s">
        <v>63</v>
      </c>
      <c r="F1692" s="1929">
        <v>7.7</v>
      </c>
      <c r="G1692" s="1929">
        <v>2</v>
      </c>
      <c r="H1692" s="1929">
        <v>1.3</v>
      </c>
      <c r="I1692" s="1929">
        <v>76.3</v>
      </c>
      <c r="J1692" s="1929">
        <v>835</v>
      </c>
      <c r="K1692" s="1929" t="s">
        <v>1914</v>
      </c>
    </row>
    <row r="1693" spans="1:11" hidden="1" x14ac:dyDescent="0.2">
      <c r="A1693" s="1929" t="s">
        <v>1913</v>
      </c>
      <c r="B1693" s="1929" t="s">
        <v>1217</v>
      </c>
      <c r="C1693" s="1929" t="s">
        <v>1517</v>
      </c>
      <c r="D1693" s="1929" t="s">
        <v>1226</v>
      </c>
      <c r="E1693" s="1929" t="s">
        <v>63</v>
      </c>
      <c r="F1693" s="1929">
        <v>12.3</v>
      </c>
      <c r="G1693" s="1929">
        <v>10.8</v>
      </c>
      <c r="H1693" s="1929">
        <v>0.4</v>
      </c>
      <c r="I1693" s="1929">
        <v>24.6</v>
      </c>
      <c r="J1693" s="1929">
        <v>843</v>
      </c>
      <c r="K1693" s="1929" t="s">
        <v>1912</v>
      </c>
    </row>
    <row r="1694" spans="1:11" hidden="1" x14ac:dyDescent="0.2">
      <c r="A1694" s="1929" t="s">
        <v>1911</v>
      </c>
      <c r="B1694" s="1929" t="s">
        <v>1228</v>
      </c>
      <c r="C1694" s="1929" t="s">
        <v>1297</v>
      </c>
      <c r="D1694" s="1929" t="s">
        <v>1226</v>
      </c>
      <c r="E1694" s="1929" t="s">
        <v>63</v>
      </c>
      <c r="F1694" s="1929">
        <v>17.8</v>
      </c>
      <c r="G1694" s="1929">
        <v>9.4</v>
      </c>
      <c r="H1694" s="1929">
        <v>1</v>
      </c>
      <c r="I1694" s="1929">
        <v>7.3</v>
      </c>
      <c r="J1694" s="1929">
        <v>846</v>
      </c>
      <c r="K1694" s="1929" t="s">
        <v>1910</v>
      </c>
    </row>
    <row r="1695" spans="1:11" hidden="1" x14ac:dyDescent="0.2">
      <c r="A1695" s="1929" t="s">
        <v>1909</v>
      </c>
      <c r="B1695" s="1929" t="s">
        <v>1245</v>
      </c>
      <c r="C1695" s="1929" t="s">
        <v>1286</v>
      </c>
      <c r="D1695" s="1929" t="s">
        <v>1226</v>
      </c>
      <c r="E1695" s="1929" t="s">
        <v>63</v>
      </c>
      <c r="F1695" s="1929">
        <v>14</v>
      </c>
      <c r="G1695" s="1929">
        <v>6.8</v>
      </c>
      <c r="H1695" s="1929">
        <v>0.9</v>
      </c>
      <c r="I1695" s="1929">
        <v>13.3</v>
      </c>
      <c r="J1695" s="1929">
        <v>848</v>
      </c>
      <c r="K1695" s="1929" t="s">
        <v>1908</v>
      </c>
    </row>
    <row r="1696" spans="1:11" hidden="1" x14ac:dyDescent="0.2">
      <c r="A1696" s="1929" t="s">
        <v>1907</v>
      </c>
      <c r="B1696" s="1929" t="s">
        <v>1228</v>
      </c>
      <c r="C1696" s="1929" t="s">
        <v>1408</v>
      </c>
      <c r="D1696" s="1929" t="s">
        <v>1226</v>
      </c>
      <c r="E1696" s="1929" t="s">
        <v>63</v>
      </c>
      <c r="F1696" s="1929">
        <v>17.100000000000001</v>
      </c>
      <c r="G1696" s="1929">
        <v>5.8</v>
      </c>
      <c r="H1696" s="1929">
        <v>0.7</v>
      </c>
      <c r="I1696" s="1929">
        <v>15.5</v>
      </c>
      <c r="J1696" s="1929">
        <v>850</v>
      </c>
      <c r="K1696" s="1929" t="s">
        <v>1906</v>
      </c>
    </row>
    <row r="1697" spans="1:11" hidden="1" x14ac:dyDescent="0.2">
      <c r="A1697" s="1929" t="s">
        <v>1905</v>
      </c>
      <c r="B1697" s="1929" t="s">
        <v>1228</v>
      </c>
      <c r="C1697" s="1929" t="s">
        <v>1539</v>
      </c>
      <c r="D1697" s="1929" t="s">
        <v>1226</v>
      </c>
      <c r="E1697" s="1929" t="s">
        <v>63</v>
      </c>
      <c r="F1697" s="1929">
        <v>16.7</v>
      </c>
      <c r="G1697" s="1929">
        <v>10.8</v>
      </c>
      <c r="H1697" s="1929">
        <v>0.9</v>
      </c>
      <c r="I1697" s="1929">
        <v>7.2</v>
      </c>
      <c r="J1697" s="1929">
        <v>851</v>
      </c>
      <c r="K1697" s="1929" t="s">
        <v>1904</v>
      </c>
    </row>
    <row r="1698" spans="1:11" hidden="1" x14ac:dyDescent="0.2">
      <c r="A1698" s="1929" t="s">
        <v>1903</v>
      </c>
      <c r="B1698" s="1929" t="s">
        <v>1228</v>
      </c>
      <c r="C1698" s="1929" t="s">
        <v>1571</v>
      </c>
      <c r="D1698" s="1929" t="s">
        <v>1226</v>
      </c>
      <c r="E1698" s="1929" t="s">
        <v>63</v>
      </c>
      <c r="F1698" s="1929">
        <v>19.899999999999999</v>
      </c>
      <c r="G1698" s="1929">
        <v>10.199999999999999</v>
      </c>
      <c r="H1698" s="1929">
        <v>0.7</v>
      </c>
      <c r="I1698" s="1929">
        <v>6.4</v>
      </c>
      <c r="J1698" s="1929">
        <v>856</v>
      </c>
      <c r="K1698" s="1929" t="s">
        <v>1902</v>
      </c>
    </row>
    <row r="1699" spans="1:11" hidden="1" x14ac:dyDescent="0.2">
      <c r="A1699" s="1929" t="s">
        <v>1901</v>
      </c>
      <c r="B1699" s="1929" t="s">
        <v>1228</v>
      </c>
      <c r="C1699" s="1929" t="s">
        <v>1606</v>
      </c>
      <c r="D1699" s="1929" t="s">
        <v>1226</v>
      </c>
      <c r="E1699" s="1929" t="s">
        <v>63</v>
      </c>
      <c r="F1699" s="1929">
        <v>12.4</v>
      </c>
      <c r="G1699" s="1929">
        <v>8</v>
      </c>
      <c r="H1699" s="1929">
        <v>0.5</v>
      </c>
      <c r="I1699" s="1929">
        <v>20.100000000000001</v>
      </c>
      <c r="J1699" s="1929">
        <v>860</v>
      </c>
      <c r="K1699" s="1929" t="s">
        <v>1900</v>
      </c>
    </row>
    <row r="1700" spans="1:11" hidden="1" x14ac:dyDescent="0.2">
      <c r="A1700" s="1929" t="s">
        <v>1899</v>
      </c>
      <c r="B1700" s="1929" t="s">
        <v>1306</v>
      </c>
      <c r="C1700" s="1929" t="s">
        <v>1413</v>
      </c>
      <c r="D1700" s="1929" t="s">
        <v>1226</v>
      </c>
      <c r="E1700" s="1929" t="s">
        <v>63</v>
      </c>
      <c r="F1700" s="1929">
        <v>16.2</v>
      </c>
      <c r="G1700" s="1929">
        <v>4.3</v>
      </c>
      <c r="H1700" s="1929">
        <v>1.9</v>
      </c>
      <c r="I1700" s="1929">
        <v>14.3</v>
      </c>
      <c r="J1700" s="1929">
        <v>866</v>
      </c>
      <c r="K1700" s="1929" t="s">
        <v>1898</v>
      </c>
    </row>
    <row r="1701" spans="1:11" hidden="1" x14ac:dyDescent="0.2">
      <c r="A1701" s="1929" t="s">
        <v>1897</v>
      </c>
      <c r="B1701" s="1929" t="s">
        <v>1245</v>
      </c>
      <c r="C1701" s="1929" t="s">
        <v>1759</v>
      </c>
      <c r="D1701" s="1929" t="s">
        <v>1226</v>
      </c>
      <c r="E1701" s="1929" t="s">
        <v>63</v>
      </c>
      <c r="F1701" s="1929">
        <v>18.7</v>
      </c>
      <c r="G1701" s="1929">
        <v>6.2</v>
      </c>
      <c r="H1701" s="1929">
        <v>1</v>
      </c>
      <c r="I1701" s="1929">
        <v>10.5</v>
      </c>
      <c r="J1701" s="1929">
        <v>866</v>
      </c>
      <c r="K1701" s="1929" t="s">
        <v>1896</v>
      </c>
    </row>
    <row r="1702" spans="1:11" hidden="1" x14ac:dyDescent="0.2">
      <c r="A1702" s="1929" t="s">
        <v>1895</v>
      </c>
      <c r="B1702" s="1929" t="s">
        <v>1245</v>
      </c>
      <c r="C1702" s="1929" t="s">
        <v>1320</v>
      </c>
      <c r="D1702" s="1929" t="s">
        <v>1226</v>
      </c>
      <c r="E1702" s="1929" t="s">
        <v>63</v>
      </c>
      <c r="F1702" s="1929">
        <v>25</v>
      </c>
      <c r="G1702" s="1929">
        <v>8.1</v>
      </c>
      <c r="H1702" s="1929">
        <v>0.5</v>
      </c>
      <c r="I1702" s="1929">
        <v>12.2</v>
      </c>
      <c r="J1702" s="1929">
        <v>868</v>
      </c>
      <c r="K1702" s="1929" t="s">
        <v>1894</v>
      </c>
    </row>
    <row r="1703" spans="1:11" hidden="1" x14ac:dyDescent="0.2">
      <c r="A1703" s="1929" t="s">
        <v>1893</v>
      </c>
      <c r="B1703" s="1929" t="s">
        <v>1306</v>
      </c>
      <c r="C1703" s="1929" t="s">
        <v>1392</v>
      </c>
      <c r="D1703" s="1929" t="s">
        <v>1226</v>
      </c>
      <c r="E1703" s="1929" t="s">
        <v>63</v>
      </c>
      <c r="F1703" s="1929">
        <v>19.399999999999999</v>
      </c>
      <c r="G1703" s="1929">
        <v>13.3</v>
      </c>
      <c r="H1703" s="1929">
        <v>0.6</v>
      </c>
      <c r="I1703" s="1929">
        <v>5.7</v>
      </c>
      <c r="J1703" s="1929">
        <v>869</v>
      </c>
      <c r="K1703" s="1929" t="s">
        <v>1892</v>
      </c>
    </row>
    <row r="1704" spans="1:11" hidden="1" x14ac:dyDescent="0.2">
      <c r="A1704" s="1929" t="s">
        <v>1891</v>
      </c>
      <c r="B1704" s="1929" t="s">
        <v>1217</v>
      </c>
      <c r="C1704" s="1929" t="s">
        <v>1456</v>
      </c>
      <c r="D1704" s="1929" t="s">
        <v>1226</v>
      </c>
      <c r="E1704" s="1929" t="s">
        <v>63</v>
      </c>
      <c r="F1704" s="1929">
        <v>17.7</v>
      </c>
      <c r="G1704" s="1929">
        <v>2.1</v>
      </c>
      <c r="H1704" s="1929">
        <v>0.9</v>
      </c>
      <c r="I1704" s="1929">
        <v>20.100000000000001</v>
      </c>
      <c r="J1704" s="1929">
        <v>870</v>
      </c>
      <c r="K1704" s="1929" t="s">
        <v>1890</v>
      </c>
    </row>
    <row r="1705" spans="1:11" hidden="1" x14ac:dyDescent="0.2">
      <c r="A1705" s="1929" t="s">
        <v>1889</v>
      </c>
      <c r="B1705" s="1929" t="s">
        <v>1217</v>
      </c>
      <c r="C1705" s="1929" t="s">
        <v>1368</v>
      </c>
      <c r="D1705" s="1929" t="s">
        <v>1226</v>
      </c>
      <c r="E1705" s="1929" t="s">
        <v>63</v>
      </c>
      <c r="F1705" s="1929">
        <v>18.8</v>
      </c>
      <c r="G1705" s="1929">
        <v>2.9</v>
      </c>
      <c r="H1705" s="1929">
        <v>0.7</v>
      </c>
      <c r="I1705" s="1929">
        <v>22.2</v>
      </c>
      <c r="J1705" s="1929">
        <v>876</v>
      </c>
      <c r="K1705" s="1929" t="s">
        <v>1888</v>
      </c>
    </row>
    <row r="1706" spans="1:11" hidden="1" x14ac:dyDescent="0.2">
      <c r="A1706" s="1929" t="s">
        <v>1887</v>
      </c>
      <c r="B1706" s="1929" t="s">
        <v>1228</v>
      </c>
      <c r="C1706" s="1929" t="s">
        <v>1606</v>
      </c>
      <c r="D1706" s="1929" t="s">
        <v>1226</v>
      </c>
      <c r="E1706" s="1929" t="s">
        <v>63</v>
      </c>
      <c r="F1706" s="1929">
        <v>16.8</v>
      </c>
      <c r="G1706" s="1929">
        <v>12.8</v>
      </c>
      <c r="H1706" s="1929">
        <v>0.6</v>
      </c>
      <c r="I1706" s="1929">
        <v>6.8</v>
      </c>
      <c r="J1706" s="1929">
        <v>878</v>
      </c>
      <c r="K1706" s="1929" t="s">
        <v>1886</v>
      </c>
    </row>
    <row r="1707" spans="1:11" hidden="1" x14ac:dyDescent="0.2">
      <c r="A1707" s="1929" t="s">
        <v>1885</v>
      </c>
      <c r="B1707" s="1929" t="s">
        <v>1228</v>
      </c>
      <c r="C1707" s="1929" t="s">
        <v>1297</v>
      </c>
      <c r="D1707" s="1929" t="s">
        <v>1226</v>
      </c>
      <c r="E1707" s="1929" t="s">
        <v>63</v>
      </c>
      <c r="F1707" s="1929">
        <v>13.3</v>
      </c>
      <c r="G1707" s="1929">
        <v>14.1</v>
      </c>
      <c r="H1707" s="1929">
        <v>0.7</v>
      </c>
      <c r="I1707" s="1929">
        <v>7.7</v>
      </c>
      <c r="J1707" s="1929">
        <v>879</v>
      </c>
      <c r="K1707" s="1929" t="s">
        <v>1884</v>
      </c>
    </row>
    <row r="1708" spans="1:11" hidden="1" x14ac:dyDescent="0.2">
      <c r="A1708" s="1929" t="s">
        <v>1883</v>
      </c>
      <c r="B1708" s="1929" t="s">
        <v>1228</v>
      </c>
      <c r="C1708" s="1929" t="s">
        <v>1539</v>
      </c>
      <c r="D1708" s="1929" t="s">
        <v>1226</v>
      </c>
      <c r="E1708" s="1929" t="s">
        <v>63</v>
      </c>
      <c r="F1708" s="1929">
        <v>15.5</v>
      </c>
      <c r="G1708" s="1929">
        <v>10.199999999999999</v>
      </c>
      <c r="H1708" s="1929">
        <v>0.8</v>
      </c>
      <c r="I1708" s="1929">
        <v>4.0999999999999996</v>
      </c>
      <c r="J1708" s="1929">
        <v>881</v>
      </c>
      <c r="K1708" s="1929" t="s">
        <v>1882</v>
      </c>
    </row>
    <row r="1709" spans="1:11" hidden="1" x14ac:dyDescent="0.2">
      <c r="A1709" s="1929" t="s">
        <v>1881</v>
      </c>
      <c r="B1709" s="1929" t="s">
        <v>1245</v>
      </c>
      <c r="C1709" s="1929" t="s">
        <v>1429</v>
      </c>
      <c r="D1709" s="1929" t="s">
        <v>1226</v>
      </c>
      <c r="E1709" s="1929" t="s">
        <v>63</v>
      </c>
      <c r="F1709" s="1929">
        <v>18.8</v>
      </c>
      <c r="G1709" s="1929">
        <v>6.8</v>
      </c>
      <c r="H1709" s="1929">
        <v>0.7</v>
      </c>
      <c r="I1709" s="1929">
        <v>10.6</v>
      </c>
      <c r="J1709" s="1929">
        <v>883</v>
      </c>
      <c r="K1709" s="1929" t="s">
        <v>1880</v>
      </c>
    </row>
    <row r="1710" spans="1:11" hidden="1" x14ac:dyDescent="0.2">
      <c r="A1710" s="1929" t="s">
        <v>1879</v>
      </c>
      <c r="B1710" s="1929" t="s">
        <v>1238</v>
      </c>
      <c r="C1710" s="1929" t="s">
        <v>1878</v>
      </c>
      <c r="D1710" s="1929" t="s">
        <v>1226</v>
      </c>
      <c r="E1710" s="1929" t="s">
        <v>63</v>
      </c>
      <c r="F1710" s="1929">
        <v>11.1</v>
      </c>
      <c r="G1710" s="1929">
        <v>12.1</v>
      </c>
      <c r="H1710" s="1929">
        <v>0.5</v>
      </c>
      <c r="I1710" s="1929">
        <v>12.9</v>
      </c>
      <c r="J1710" s="1929">
        <v>884</v>
      </c>
      <c r="K1710" s="1929" t="s">
        <v>1877</v>
      </c>
    </row>
    <row r="1711" spans="1:11" hidden="1" x14ac:dyDescent="0.2">
      <c r="A1711" s="1929" t="s">
        <v>1876</v>
      </c>
      <c r="B1711" s="1929" t="s">
        <v>1228</v>
      </c>
      <c r="C1711" s="1929" t="s">
        <v>1297</v>
      </c>
      <c r="D1711" s="1929" t="s">
        <v>1226</v>
      </c>
      <c r="E1711" s="1929" t="s">
        <v>63</v>
      </c>
      <c r="F1711" s="1929">
        <v>7.4</v>
      </c>
      <c r="G1711" s="1929">
        <v>23.1</v>
      </c>
      <c r="H1711" s="1929">
        <v>0.6</v>
      </c>
      <c r="I1711" s="1929">
        <v>11.2</v>
      </c>
      <c r="J1711" s="1929">
        <v>885</v>
      </c>
      <c r="K1711" s="1929" t="s">
        <v>1875</v>
      </c>
    </row>
    <row r="1712" spans="1:11" hidden="1" x14ac:dyDescent="0.2">
      <c r="A1712" s="1929" t="s">
        <v>1874</v>
      </c>
      <c r="B1712" s="1929" t="s">
        <v>1238</v>
      </c>
      <c r="C1712" s="1929" t="s">
        <v>1584</v>
      </c>
      <c r="D1712" s="1929" t="s">
        <v>1226</v>
      </c>
      <c r="E1712" s="1929" t="s">
        <v>63</v>
      </c>
      <c r="F1712" s="1929">
        <v>17.399999999999999</v>
      </c>
      <c r="G1712" s="1929">
        <v>9.4</v>
      </c>
      <c r="H1712" s="1929">
        <v>0.8</v>
      </c>
      <c r="I1712" s="1929">
        <v>5.3</v>
      </c>
      <c r="J1712" s="1929">
        <v>889</v>
      </c>
      <c r="K1712" s="1929" t="s">
        <v>1873</v>
      </c>
    </row>
    <row r="1713" spans="1:11" hidden="1" x14ac:dyDescent="0.2">
      <c r="A1713" s="1929" t="s">
        <v>1872</v>
      </c>
      <c r="B1713" s="1929" t="s">
        <v>1217</v>
      </c>
      <c r="C1713" s="1929" t="s">
        <v>1456</v>
      </c>
      <c r="D1713" s="1929" t="s">
        <v>1226</v>
      </c>
      <c r="E1713" s="1929" t="s">
        <v>63</v>
      </c>
      <c r="F1713" s="1929">
        <v>32.200000000000003</v>
      </c>
      <c r="G1713" s="1929">
        <v>3.4</v>
      </c>
      <c r="H1713" s="1929">
        <v>0.6</v>
      </c>
      <c r="I1713" s="1929">
        <v>20.3</v>
      </c>
      <c r="J1713" s="1929">
        <v>890</v>
      </c>
      <c r="K1713" s="1929" t="s">
        <v>1871</v>
      </c>
    </row>
    <row r="1714" spans="1:11" hidden="1" x14ac:dyDescent="0.2">
      <c r="A1714" s="1929" t="s">
        <v>1870</v>
      </c>
      <c r="B1714" s="1929" t="s">
        <v>1245</v>
      </c>
      <c r="C1714" s="1929" t="s">
        <v>1244</v>
      </c>
      <c r="D1714" s="1929" t="s">
        <v>1226</v>
      </c>
      <c r="E1714" s="1929" t="s">
        <v>63</v>
      </c>
      <c r="F1714" s="1929">
        <v>9</v>
      </c>
      <c r="G1714" s="1929">
        <v>13.2</v>
      </c>
      <c r="H1714" s="1929">
        <v>0.7</v>
      </c>
      <c r="I1714" s="1929">
        <v>11.2</v>
      </c>
      <c r="J1714" s="1929">
        <v>896</v>
      </c>
      <c r="K1714" s="1929" t="s">
        <v>1869</v>
      </c>
    </row>
    <row r="1715" spans="1:11" hidden="1" x14ac:dyDescent="0.2">
      <c r="A1715" s="1929" t="s">
        <v>1868</v>
      </c>
      <c r="B1715" s="1929" t="s">
        <v>1234</v>
      </c>
      <c r="C1715" s="1929" t="s">
        <v>1233</v>
      </c>
      <c r="D1715" s="1929" t="s">
        <v>1226</v>
      </c>
      <c r="E1715" s="1929" t="s">
        <v>63</v>
      </c>
      <c r="F1715" s="1929">
        <v>14.8</v>
      </c>
      <c r="G1715" s="1929">
        <v>5.5</v>
      </c>
      <c r="H1715" s="1929">
        <v>1.5</v>
      </c>
      <c r="I1715" s="1929">
        <v>10.9</v>
      </c>
      <c r="J1715" s="1929">
        <v>899</v>
      </c>
      <c r="K1715" s="1929" t="s">
        <v>1867</v>
      </c>
    </row>
    <row r="1716" spans="1:11" hidden="1" x14ac:dyDescent="0.2">
      <c r="A1716" s="1929" t="s">
        <v>1866</v>
      </c>
      <c r="B1716" s="1929" t="s">
        <v>1306</v>
      </c>
      <c r="C1716" s="1929" t="s">
        <v>1305</v>
      </c>
      <c r="D1716" s="1929" t="s">
        <v>1226</v>
      </c>
      <c r="E1716" s="1929" t="s">
        <v>63</v>
      </c>
      <c r="F1716" s="1929">
        <v>23.3</v>
      </c>
      <c r="G1716" s="1929">
        <v>7.1</v>
      </c>
      <c r="H1716" s="1929">
        <v>0.8</v>
      </c>
      <c r="I1716" s="1929">
        <v>5.4</v>
      </c>
      <c r="J1716" s="1929">
        <v>902</v>
      </c>
      <c r="K1716" s="1929" t="s">
        <v>1865</v>
      </c>
    </row>
    <row r="1717" spans="1:11" hidden="1" x14ac:dyDescent="0.2">
      <c r="A1717" s="1929" t="s">
        <v>1864</v>
      </c>
      <c r="B1717" s="1929" t="s">
        <v>1217</v>
      </c>
      <c r="C1717" s="1929" t="s">
        <v>1403</v>
      </c>
      <c r="D1717" s="1929" t="s">
        <v>1226</v>
      </c>
      <c r="E1717" s="1929" t="s">
        <v>63</v>
      </c>
      <c r="F1717" s="1929">
        <v>9.6999999999999993</v>
      </c>
      <c r="G1717" s="1929">
        <v>3.5</v>
      </c>
      <c r="H1717" s="1929">
        <v>0.7</v>
      </c>
      <c r="I1717" s="1929">
        <v>47.1</v>
      </c>
      <c r="J1717" s="1929">
        <v>909</v>
      </c>
      <c r="K1717" s="1929" t="s">
        <v>1863</v>
      </c>
    </row>
    <row r="1718" spans="1:11" hidden="1" x14ac:dyDescent="0.2">
      <c r="A1718" s="1929" t="s">
        <v>1862</v>
      </c>
      <c r="B1718" s="1929" t="s">
        <v>1228</v>
      </c>
      <c r="C1718" s="1929" t="s">
        <v>1466</v>
      </c>
      <c r="D1718" s="1929" t="s">
        <v>1226</v>
      </c>
      <c r="E1718" s="1929" t="s">
        <v>63</v>
      </c>
      <c r="F1718" s="1929">
        <v>11.9</v>
      </c>
      <c r="G1718" s="1929">
        <v>12.5</v>
      </c>
      <c r="H1718" s="1929">
        <v>0.7</v>
      </c>
      <c r="I1718" s="1929">
        <v>8.6</v>
      </c>
      <c r="J1718" s="1929">
        <v>909</v>
      </c>
      <c r="K1718" s="1929" t="s">
        <v>1861</v>
      </c>
    </row>
    <row r="1719" spans="1:11" hidden="1" x14ac:dyDescent="0.2">
      <c r="A1719" s="1929" t="s">
        <v>1860</v>
      </c>
      <c r="B1719" s="1929" t="s">
        <v>1217</v>
      </c>
      <c r="C1719" s="1929" t="s">
        <v>1456</v>
      </c>
      <c r="D1719" s="1929" t="s">
        <v>1226</v>
      </c>
      <c r="E1719" s="1929" t="s">
        <v>63</v>
      </c>
      <c r="F1719" s="1929">
        <v>17.7</v>
      </c>
      <c r="G1719" s="1929">
        <v>2.1</v>
      </c>
      <c r="H1719" s="1929">
        <v>0.7</v>
      </c>
      <c r="I1719" s="1929">
        <v>20.2</v>
      </c>
      <c r="J1719" s="1929">
        <v>917</v>
      </c>
      <c r="K1719" s="1929" t="s">
        <v>1859</v>
      </c>
    </row>
    <row r="1720" spans="1:11" hidden="1" x14ac:dyDescent="0.2">
      <c r="A1720" s="1929" t="s">
        <v>1858</v>
      </c>
      <c r="B1720" s="1929" t="s">
        <v>1228</v>
      </c>
      <c r="C1720" s="1929" t="s">
        <v>1524</v>
      </c>
      <c r="D1720" s="1929" t="s">
        <v>1226</v>
      </c>
      <c r="E1720" s="1929" t="s">
        <v>63</v>
      </c>
      <c r="F1720" s="1929">
        <v>55.9</v>
      </c>
      <c r="G1720" s="1929">
        <v>15.3</v>
      </c>
      <c r="H1720" s="1929">
        <v>0</v>
      </c>
      <c r="I1720" s="1929">
        <v>10.3</v>
      </c>
      <c r="J1720" s="1929">
        <v>919</v>
      </c>
      <c r="K1720" s="1929" t="s">
        <v>1857</v>
      </c>
    </row>
    <row r="1721" spans="1:11" hidden="1" x14ac:dyDescent="0.2">
      <c r="A1721" s="1929" t="s">
        <v>1856</v>
      </c>
      <c r="B1721" s="1929" t="s">
        <v>1228</v>
      </c>
      <c r="C1721" s="1929" t="s">
        <v>1315</v>
      </c>
      <c r="D1721" s="1929" t="s">
        <v>1226</v>
      </c>
      <c r="E1721" s="1929" t="s">
        <v>63</v>
      </c>
      <c r="F1721" s="1929">
        <v>10.1</v>
      </c>
      <c r="G1721" s="1929">
        <v>8.8000000000000007</v>
      </c>
      <c r="H1721" s="1929">
        <v>0.5</v>
      </c>
      <c r="I1721" s="1929">
        <v>16</v>
      </c>
      <c r="J1721" s="1929">
        <v>922</v>
      </c>
      <c r="K1721" s="1929" t="s">
        <v>1855</v>
      </c>
    </row>
    <row r="1722" spans="1:11" hidden="1" x14ac:dyDescent="0.2">
      <c r="A1722" s="1929" t="s">
        <v>1854</v>
      </c>
      <c r="B1722" s="1929" t="s">
        <v>1258</v>
      </c>
      <c r="C1722" s="1929" t="s">
        <v>1263</v>
      </c>
      <c r="D1722" s="1929" t="s">
        <v>1226</v>
      </c>
      <c r="E1722" s="1929" t="s">
        <v>63</v>
      </c>
      <c r="F1722" s="1929">
        <v>6.8</v>
      </c>
      <c r="G1722" s="1929">
        <v>38.4</v>
      </c>
      <c r="H1722" s="1929">
        <v>0.4</v>
      </c>
      <c r="I1722" s="1929">
        <v>13.4</v>
      </c>
      <c r="J1722" s="1929">
        <v>925</v>
      </c>
      <c r="K1722" s="1929" t="s">
        <v>1853</v>
      </c>
    </row>
    <row r="1723" spans="1:11" hidden="1" x14ac:dyDescent="0.2">
      <c r="A1723" s="1929" t="s">
        <v>1852</v>
      </c>
      <c r="B1723" s="1929" t="s">
        <v>1310</v>
      </c>
      <c r="C1723" s="1929" t="s">
        <v>1309</v>
      </c>
      <c r="D1723" s="1929" t="s">
        <v>1226</v>
      </c>
      <c r="E1723" s="1929" t="s">
        <v>63</v>
      </c>
      <c r="F1723" s="1929">
        <v>10.3</v>
      </c>
      <c r="G1723" s="1929">
        <v>11.8</v>
      </c>
      <c r="H1723" s="1929">
        <v>-0.4</v>
      </c>
      <c r="I1723" s="1929">
        <v>33.9</v>
      </c>
      <c r="J1723" s="1929">
        <v>930</v>
      </c>
      <c r="K1723" s="1929" t="s">
        <v>1851</v>
      </c>
    </row>
    <row r="1724" spans="1:11" hidden="1" x14ac:dyDescent="0.2">
      <c r="A1724" s="1929" t="s">
        <v>1850</v>
      </c>
      <c r="B1724" s="1929" t="s">
        <v>1228</v>
      </c>
      <c r="C1724" s="1929" t="s">
        <v>1297</v>
      </c>
      <c r="D1724" s="1929" t="s">
        <v>1226</v>
      </c>
      <c r="E1724" s="1929" t="s">
        <v>63</v>
      </c>
      <c r="F1724" s="1929">
        <v>10.6</v>
      </c>
      <c r="G1724" s="1929">
        <v>12.3</v>
      </c>
      <c r="H1724" s="1929">
        <v>0.5</v>
      </c>
      <c r="I1724" s="1929">
        <v>11.3</v>
      </c>
      <c r="J1724" s="1929">
        <v>936</v>
      </c>
      <c r="K1724" s="1929" t="s">
        <v>1849</v>
      </c>
    </row>
    <row r="1725" spans="1:11" hidden="1" x14ac:dyDescent="0.2">
      <c r="A1725" s="1929" t="s">
        <v>1848</v>
      </c>
      <c r="B1725" s="1929" t="s">
        <v>1310</v>
      </c>
      <c r="C1725" s="1929" t="s">
        <v>1379</v>
      </c>
      <c r="D1725" s="1929" t="s">
        <v>1226</v>
      </c>
      <c r="E1725" s="1929" t="s">
        <v>63</v>
      </c>
      <c r="F1725" s="1929">
        <v>11.2</v>
      </c>
      <c r="G1725" s="1929">
        <v>5.7</v>
      </c>
      <c r="H1725" s="1929">
        <v>0.5</v>
      </c>
      <c r="I1725" s="1929">
        <v>22.7</v>
      </c>
      <c r="J1725" s="1929">
        <v>941</v>
      </c>
      <c r="K1725" s="1929" t="s">
        <v>1847</v>
      </c>
    </row>
    <row r="1726" spans="1:11" hidden="1" x14ac:dyDescent="0.2">
      <c r="A1726" s="1929" t="s">
        <v>1846</v>
      </c>
      <c r="B1726" s="1929" t="s">
        <v>1217</v>
      </c>
      <c r="C1726" s="1929" t="s">
        <v>1216</v>
      </c>
      <c r="D1726" s="1929" t="s">
        <v>1226</v>
      </c>
      <c r="E1726" s="1929" t="s">
        <v>63</v>
      </c>
      <c r="F1726" s="1929">
        <v>8.5</v>
      </c>
      <c r="G1726" s="1929">
        <v>2.8</v>
      </c>
      <c r="H1726" s="1929">
        <v>0.6</v>
      </c>
      <c r="I1726" s="1929">
        <v>59.5</v>
      </c>
      <c r="J1726" s="1929">
        <v>941</v>
      </c>
      <c r="K1726" s="1929" t="s">
        <v>1845</v>
      </c>
    </row>
    <row r="1727" spans="1:11" hidden="1" x14ac:dyDescent="0.2">
      <c r="A1727" s="1929" t="s">
        <v>1844</v>
      </c>
      <c r="B1727" s="1929" t="s">
        <v>1217</v>
      </c>
      <c r="C1727" s="1929" t="s">
        <v>1216</v>
      </c>
      <c r="D1727" s="1929" t="s">
        <v>1226</v>
      </c>
      <c r="E1727" s="1929" t="s">
        <v>63</v>
      </c>
      <c r="F1727" s="1929">
        <v>9.4</v>
      </c>
      <c r="G1727" s="1929">
        <v>2.6</v>
      </c>
      <c r="H1727" s="1929">
        <v>0.5</v>
      </c>
      <c r="I1727" s="1929">
        <v>65.5</v>
      </c>
      <c r="J1727" s="1929">
        <v>950</v>
      </c>
      <c r="K1727" s="1929" t="s">
        <v>1843</v>
      </c>
    </row>
    <row r="1728" spans="1:11" hidden="1" x14ac:dyDescent="0.2">
      <c r="A1728" s="1929" t="s">
        <v>1842</v>
      </c>
      <c r="B1728" s="1929" t="s">
        <v>1258</v>
      </c>
      <c r="C1728" s="1929" t="s">
        <v>1257</v>
      </c>
      <c r="D1728" s="1929" t="s">
        <v>1226</v>
      </c>
      <c r="E1728" s="1929" t="s">
        <v>63</v>
      </c>
      <c r="F1728" s="1929">
        <v>12.3</v>
      </c>
      <c r="G1728" s="1929">
        <v>14.6</v>
      </c>
      <c r="H1728" s="1929">
        <v>0.3</v>
      </c>
      <c r="I1728" s="1929">
        <v>17.7</v>
      </c>
      <c r="J1728" s="1929">
        <v>951</v>
      </c>
      <c r="K1728" s="1929" t="s">
        <v>1841</v>
      </c>
    </row>
    <row r="1729" spans="1:11" hidden="1" x14ac:dyDescent="0.2">
      <c r="A1729" s="1929" t="s">
        <v>1840</v>
      </c>
      <c r="B1729" s="1929" t="s">
        <v>1217</v>
      </c>
      <c r="C1729" s="1929" t="s">
        <v>1252</v>
      </c>
      <c r="D1729" s="1929" t="s">
        <v>1226</v>
      </c>
      <c r="E1729" s="1929" t="s">
        <v>63</v>
      </c>
      <c r="F1729" s="1929">
        <v>5.6</v>
      </c>
      <c r="G1729" s="1929">
        <v>10.3</v>
      </c>
      <c r="H1729" s="1929">
        <v>0.4</v>
      </c>
      <c r="I1729" s="1929">
        <v>39.700000000000003</v>
      </c>
      <c r="J1729" s="1929">
        <v>959</v>
      </c>
      <c r="K1729" s="1929" t="s">
        <v>1839</v>
      </c>
    </row>
    <row r="1730" spans="1:11" hidden="1" x14ac:dyDescent="0.2">
      <c r="A1730" s="1929" t="s">
        <v>1838</v>
      </c>
      <c r="B1730" s="1929" t="s">
        <v>1228</v>
      </c>
      <c r="C1730" s="1929" t="s">
        <v>1589</v>
      </c>
      <c r="D1730" s="1929" t="s">
        <v>1226</v>
      </c>
      <c r="E1730" s="1929" t="s">
        <v>63</v>
      </c>
      <c r="F1730" s="1929">
        <v>13</v>
      </c>
      <c r="G1730" s="1929">
        <v>9.8000000000000007</v>
      </c>
      <c r="H1730" s="1929">
        <v>-0.2</v>
      </c>
      <c r="I1730" s="1929">
        <v>26.1</v>
      </c>
      <c r="J1730" s="1929">
        <v>962</v>
      </c>
      <c r="K1730" s="1929" t="s">
        <v>1837</v>
      </c>
    </row>
    <row r="1731" spans="1:11" hidden="1" x14ac:dyDescent="0.2">
      <c r="A1731" s="1929" t="s">
        <v>1836</v>
      </c>
      <c r="B1731" s="1929" t="s">
        <v>1245</v>
      </c>
      <c r="C1731" s="1929" t="s">
        <v>1320</v>
      </c>
      <c r="D1731" s="1929" t="s">
        <v>1226</v>
      </c>
      <c r="E1731" s="1929" t="s">
        <v>63</v>
      </c>
      <c r="F1731" s="1929">
        <v>18.3</v>
      </c>
      <c r="G1731" s="1929">
        <v>8.1999999999999993</v>
      </c>
      <c r="H1731" s="1929">
        <v>0.4</v>
      </c>
      <c r="I1731" s="1929">
        <v>11.5</v>
      </c>
      <c r="J1731" s="1929">
        <v>964</v>
      </c>
      <c r="K1731" s="1929" t="s">
        <v>1835</v>
      </c>
    </row>
    <row r="1732" spans="1:11" hidden="1" x14ac:dyDescent="0.2">
      <c r="A1732" s="1929" t="s">
        <v>1834</v>
      </c>
      <c r="B1732" s="1929" t="s">
        <v>1228</v>
      </c>
      <c r="C1732" s="1929" t="s">
        <v>1227</v>
      </c>
      <c r="D1732" s="1929" t="s">
        <v>1226</v>
      </c>
      <c r="E1732" s="1929" t="s">
        <v>63</v>
      </c>
      <c r="F1732" s="1929">
        <v>15.7</v>
      </c>
      <c r="G1732" s="1929">
        <v>6.1</v>
      </c>
      <c r="H1732" s="1929">
        <v>0.5</v>
      </c>
      <c r="I1732" s="1929">
        <v>14</v>
      </c>
      <c r="J1732" s="1929">
        <v>971</v>
      </c>
      <c r="K1732" s="1929" t="s">
        <v>1833</v>
      </c>
    </row>
    <row r="1733" spans="1:11" hidden="1" x14ac:dyDescent="0.2">
      <c r="A1733" s="1929" t="s">
        <v>1832</v>
      </c>
      <c r="B1733" s="1929" t="s">
        <v>1269</v>
      </c>
      <c r="C1733" s="1929" t="s">
        <v>1294</v>
      </c>
      <c r="D1733" s="1929" t="s">
        <v>1226</v>
      </c>
      <c r="E1733" s="1929" t="s">
        <v>63</v>
      </c>
      <c r="F1733" s="1929">
        <v>18.899999999999999</v>
      </c>
      <c r="G1733" s="1929">
        <v>5.5</v>
      </c>
      <c r="H1733" s="1929">
        <v>0.7</v>
      </c>
      <c r="I1733" s="1929">
        <v>10.199999999999999</v>
      </c>
      <c r="J1733" s="1929">
        <v>973</v>
      </c>
      <c r="K1733" s="1929" t="s">
        <v>1831</v>
      </c>
    </row>
    <row r="1734" spans="1:11" hidden="1" x14ac:dyDescent="0.2">
      <c r="A1734" s="1929" t="s">
        <v>1830</v>
      </c>
      <c r="B1734" s="1929" t="s">
        <v>1217</v>
      </c>
      <c r="C1734" s="1929" t="s">
        <v>1456</v>
      </c>
      <c r="D1734" s="1929" t="s">
        <v>1226</v>
      </c>
      <c r="E1734" s="1929" t="s">
        <v>63</v>
      </c>
      <c r="F1734" s="1929">
        <v>29.2</v>
      </c>
      <c r="G1734" s="1929">
        <v>2</v>
      </c>
      <c r="H1734" s="1929">
        <v>1</v>
      </c>
      <c r="I1734" s="1929">
        <v>9.9</v>
      </c>
      <c r="J1734" s="1929">
        <v>977</v>
      </c>
      <c r="K1734" s="1929" t="s">
        <v>1829</v>
      </c>
    </row>
    <row r="1735" spans="1:11" hidden="1" x14ac:dyDescent="0.2">
      <c r="A1735" s="1929" t="s">
        <v>1828</v>
      </c>
      <c r="B1735" s="1929" t="s">
        <v>1306</v>
      </c>
      <c r="C1735" s="1929" t="s">
        <v>1413</v>
      </c>
      <c r="D1735" s="1929" t="s">
        <v>1226</v>
      </c>
      <c r="E1735" s="1929" t="s">
        <v>63</v>
      </c>
      <c r="F1735" s="1929">
        <v>12.2</v>
      </c>
      <c r="G1735" s="1929">
        <v>8.1999999999999993</v>
      </c>
      <c r="H1735" s="1929">
        <v>0.7</v>
      </c>
      <c r="I1735" s="1929">
        <v>9.5</v>
      </c>
      <c r="J1735" s="1929">
        <v>982</v>
      </c>
      <c r="K1735" s="1929" t="s">
        <v>1827</v>
      </c>
    </row>
    <row r="1736" spans="1:11" hidden="1" x14ac:dyDescent="0.2">
      <c r="A1736" s="1929" t="s">
        <v>1826</v>
      </c>
      <c r="B1736" s="1929" t="s">
        <v>1238</v>
      </c>
      <c r="C1736" s="1929" t="s">
        <v>1609</v>
      </c>
      <c r="D1736" s="1929" t="s">
        <v>1226</v>
      </c>
      <c r="E1736" s="1929" t="s">
        <v>63</v>
      </c>
      <c r="F1736" s="1929">
        <v>17.3</v>
      </c>
      <c r="G1736" s="1929">
        <v>6.5</v>
      </c>
      <c r="H1736" s="1929">
        <v>0.8</v>
      </c>
      <c r="I1736" s="1929">
        <v>5.9</v>
      </c>
      <c r="J1736" s="1929">
        <v>984</v>
      </c>
      <c r="K1736" s="1929" t="s">
        <v>1825</v>
      </c>
    </row>
    <row r="1737" spans="1:11" hidden="1" x14ac:dyDescent="0.2">
      <c r="A1737" s="1929" t="s">
        <v>1824</v>
      </c>
      <c r="B1737" s="1929" t="s">
        <v>1245</v>
      </c>
      <c r="C1737" s="1929" t="s">
        <v>1429</v>
      </c>
      <c r="D1737" s="1929" t="s">
        <v>1226</v>
      </c>
      <c r="E1737" s="1929" t="s">
        <v>63</v>
      </c>
      <c r="F1737" s="1929">
        <v>6.5</v>
      </c>
      <c r="G1737" s="1929">
        <v>26.7</v>
      </c>
      <c r="H1737" s="1929">
        <v>0.5</v>
      </c>
      <c r="I1737" s="1929">
        <v>11.5</v>
      </c>
      <c r="J1737" s="1929">
        <v>985</v>
      </c>
      <c r="K1737" s="1929" t="s">
        <v>1823</v>
      </c>
    </row>
    <row r="1738" spans="1:11" hidden="1" x14ac:dyDescent="0.2">
      <c r="A1738" s="1929" t="s">
        <v>1822</v>
      </c>
      <c r="B1738" s="1929" t="s">
        <v>1228</v>
      </c>
      <c r="C1738" s="1929" t="s">
        <v>1276</v>
      </c>
      <c r="D1738" s="1929" t="s">
        <v>1226</v>
      </c>
      <c r="E1738" s="1929" t="s">
        <v>63</v>
      </c>
      <c r="F1738" s="1929">
        <v>14.7</v>
      </c>
      <c r="G1738" s="1929">
        <v>7.2</v>
      </c>
      <c r="H1738" s="1929">
        <v>0.8</v>
      </c>
      <c r="I1738" s="1929">
        <v>6.1</v>
      </c>
      <c r="J1738" s="1929">
        <v>990</v>
      </c>
      <c r="K1738" s="1929" t="s">
        <v>1821</v>
      </c>
    </row>
    <row r="1739" spans="1:11" hidden="1" x14ac:dyDescent="0.2">
      <c r="A1739" s="1929" t="s">
        <v>1820</v>
      </c>
      <c r="B1739" s="1929" t="s">
        <v>1306</v>
      </c>
      <c r="C1739" s="1929" t="s">
        <v>1819</v>
      </c>
      <c r="D1739" s="1929" t="s">
        <v>1226</v>
      </c>
      <c r="E1739" s="1929" t="s">
        <v>63</v>
      </c>
      <c r="F1739" s="1929">
        <v>19.5</v>
      </c>
      <c r="G1739" s="1929">
        <v>5</v>
      </c>
      <c r="H1739" s="1929">
        <v>1.2</v>
      </c>
      <c r="I1739" s="1929">
        <v>3.5</v>
      </c>
      <c r="J1739" s="1929">
        <v>994</v>
      </c>
      <c r="K1739" s="1929" t="s">
        <v>1818</v>
      </c>
    </row>
    <row r="1740" spans="1:11" hidden="1" x14ac:dyDescent="0.2">
      <c r="A1740" s="1929" t="s">
        <v>1817</v>
      </c>
      <c r="B1740" s="1929" t="s">
        <v>1258</v>
      </c>
      <c r="C1740" s="1929" t="s">
        <v>1263</v>
      </c>
      <c r="D1740" s="1929" t="s">
        <v>1226</v>
      </c>
      <c r="E1740" s="1929" t="s">
        <v>63</v>
      </c>
      <c r="F1740" s="1929">
        <v>22.8</v>
      </c>
      <c r="G1740" s="1929">
        <v>3.5</v>
      </c>
      <c r="H1740" s="1929">
        <v>0.8</v>
      </c>
      <c r="I1740" s="1929">
        <v>12</v>
      </c>
      <c r="J1740" s="1929">
        <v>997</v>
      </c>
      <c r="K1740" s="1929" t="s">
        <v>1816</v>
      </c>
    </row>
    <row r="1741" spans="1:11" hidden="1" x14ac:dyDescent="0.2">
      <c r="A1741" s="1929" t="s">
        <v>1195</v>
      </c>
      <c r="B1741" s="1929" t="s">
        <v>1245</v>
      </c>
      <c r="C1741" s="1929" t="s">
        <v>1286</v>
      </c>
      <c r="D1741" s="1929" t="s">
        <v>1226</v>
      </c>
      <c r="E1741" s="1929" t="s">
        <v>63</v>
      </c>
      <c r="F1741" s="1929">
        <v>14.1</v>
      </c>
      <c r="G1741" s="1929">
        <v>4.5999999999999996</v>
      </c>
      <c r="H1741" s="1929">
        <v>1</v>
      </c>
      <c r="I1741" s="1929">
        <v>11.8</v>
      </c>
      <c r="J1741" s="1929">
        <v>998</v>
      </c>
      <c r="K1741" s="1929" t="s">
        <v>1815</v>
      </c>
    </row>
    <row r="1742" spans="1:11" hidden="1" x14ac:dyDescent="0.2">
      <c r="A1742" s="1929" t="s">
        <v>1814</v>
      </c>
      <c r="B1742" s="1929" t="s">
        <v>1228</v>
      </c>
      <c r="C1742" s="1929" t="s">
        <v>1589</v>
      </c>
      <c r="D1742" s="1929" t="s">
        <v>1226</v>
      </c>
      <c r="E1742" s="1929" t="s">
        <v>63</v>
      </c>
      <c r="F1742" s="1929">
        <v>23</v>
      </c>
      <c r="G1742" s="1929">
        <v>5.6</v>
      </c>
      <c r="H1742" s="1929">
        <v>0.7</v>
      </c>
      <c r="I1742" s="1929">
        <v>8.4</v>
      </c>
      <c r="J1742" s="1929">
        <v>1000</v>
      </c>
      <c r="K1742" s="1929" t="s">
        <v>1813</v>
      </c>
    </row>
    <row r="1743" spans="1:11" hidden="1" x14ac:dyDescent="0.2">
      <c r="A1743" s="1929" t="s">
        <v>1812</v>
      </c>
      <c r="B1743" s="1929" t="s">
        <v>1217</v>
      </c>
      <c r="C1743" s="1929" t="s">
        <v>1368</v>
      </c>
      <c r="D1743" s="1929" t="s">
        <v>1226</v>
      </c>
      <c r="E1743" s="1929" t="s">
        <v>63</v>
      </c>
      <c r="F1743" s="1929">
        <v>22.2</v>
      </c>
      <c r="G1743" s="1929">
        <v>1.8</v>
      </c>
      <c r="H1743" s="1929">
        <v>0.3</v>
      </c>
      <c r="I1743" s="1929">
        <v>64.8</v>
      </c>
      <c r="J1743" s="1929">
        <v>1011</v>
      </c>
      <c r="K1743" s="1929" t="s">
        <v>1811</v>
      </c>
    </row>
    <row r="1744" spans="1:11" hidden="1" x14ac:dyDescent="0.2">
      <c r="A1744" s="1929" t="s">
        <v>1810</v>
      </c>
      <c r="B1744" s="1929" t="s">
        <v>1234</v>
      </c>
      <c r="C1744" s="1929" t="s">
        <v>1352</v>
      </c>
      <c r="D1744" s="1929" t="s">
        <v>1226</v>
      </c>
      <c r="E1744" s="1929" t="s">
        <v>63</v>
      </c>
      <c r="F1744" s="1929">
        <v>7.5</v>
      </c>
      <c r="G1744" s="1929">
        <v>9.6</v>
      </c>
      <c r="H1744" s="1929">
        <v>0.8</v>
      </c>
      <c r="I1744" s="1929">
        <v>10.6</v>
      </c>
      <c r="J1744" s="1929">
        <v>1013</v>
      </c>
      <c r="K1744" s="1929" t="s">
        <v>1809</v>
      </c>
    </row>
    <row r="1745" spans="1:11" hidden="1" x14ac:dyDescent="0.2">
      <c r="A1745" s="1929" t="s">
        <v>1808</v>
      </c>
      <c r="B1745" s="1929" t="s">
        <v>1306</v>
      </c>
      <c r="C1745" s="1929" t="s">
        <v>1389</v>
      </c>
      <c r="D1745" s="1929" t="s">
        <v>1226</v>
      </c>
      <c r="E1745" s="1929" t="s">
        <v>63</v>
      </c>
      <c r="F1745" s="1929">
        <v>13.7</v>
      </c>
      <c r="G1745" s="1929">
        <v>6.5</v>
      </c>
      <c r="H1745" s="1929">
        <v>0.9</v>
      </c>
      <c r="I1745" s="1929">
        <v>6.4</v>
      </c>
      <c r="J1745" s="1929">
        <v>1013</v>
      </c>
      <c r="K1745" s="1929" t="s">
        <v>1807</v>
      </c>
    </row>
    <row r="1746" spans="1:11" hidden="1" x14ac:dyDescent="0.2">
      <c r="A1746" s="1929" t="s">
        <v>1806</v>
      </c>
      <c r="B1746" s="1929" t="s">
        <v>1310</v>
      </c>
      <c r="C1746" s="1929" t="s">
        <v>1379</v>
      </c>
      <c r="D1746" s="1929" t="s">
        <v>1226</v>
      </c>
      <c r="E1746" s="1929" t="s">
        <v>63</v>
      </c>
      <c r="F1746" s="1929">
        <v>10.199999999999999</v>
      </c>
      <c r="G1746" s="1929">
        <v>8.1</v>
      </c>
      <c r="H1746" s="1929">
        <v>0.3</v>
      </c>
      <c r="I1746" s="1929">
        <v>21.9</v>
      </c>
      <c r="J1746" s="1929">
        <v>1017</v>
      </c>
      <c r="K1746" s="1929" t="s">
        <v>1805</v>
      </c>
    </row>
    <row r="1747" spans="1:11" hidden="1" x14ac:dyDescent="0.2">
      <c r="A1747" s="1929" t="s">
        <v>1804</v>
      </c>
      <c r="B1747" s="1929" t="s">
        <v>1228</v>
      </c>
      <c r="C1747" s="1929" t="s">
        <v>1279</v>
      </c>
      <c r="D1747" s="1929" t="s">
        <v>1226</v>
      </c>
      <c r="E1747" s="1929" t="s">
        <v>63</v>
      </c>
      <c r="F1747" s="1929">
        <v>15</v>
      </c>
      <c r="G1747" s="1929">
        <v>5.9</v>
      </c>
      <c r="H1747" s="1929">
        <v>0.7</v>
      </c>
      <c r="I1747" s="1929">
        <v>9.4</v>
      </c>
      <c r="J1747" s="1929">
        <v>1019</v>
      </c>
      <c r="K1747" s="1929" t="s">
        <v>1803</v>
      </c>
    </row>
    <row r="1748" spans="1:11" hidden="1" x14ac:dyDescent="0.2">
      <c r="A1748" s="1929" t="s">
        <v>1802</v>
      </c>
      <c r="B1748" s="1929" t="s">
        <v>1217</v>
      </c>
      <c r="C1748" s="1929" t="s">
        <v>1456</v>
      </c>
      <c r="D1748" s="1929" t="s">
        <v>1226</v>
      </c>
      <c r="E1748" s="1929" t="s">
        <v>63</v>
      </c>
      <c r="F1748" s="1929">
        <v>18.100000000000001</v>
      </c>
      <c r="G1748" s="1929">
        <v>2.8</v>
      </c>
      <c r="H1748" s="1929">
        <v>0.4</v>
      </c>
      <c r="I1748" s="1929">
        <v>19.7</v>
      </c>
      <c r="J1748" s="1929">
        <v>1031</v>
      </c>
      <c r="K1748" s="1929" t="s">
        <v>1801</v>
      </c>
    </row>
    <row r="1749" spans="1:11" hidden="1" x14ac:dyDescent="0.2">
      <c r="A1749" s="1929" t="s">
        <v>1800</v>
      </c>
      <c r="B1749" s="1929" t="s">
        <v>1228</v>
      </c>
      <c r="C1749" s="1929" t="s">
        <v>1297</v>
      </c>
      <c r="D1749" s="1929" t="s">
        <v>1226</v>
      </c>
      <c r="E1749" s="1929" t="s">
        <v>63</v>
      </c>
      <c r="F1749" s="1929">
        <v>15.9</v>
      </c>
      <c r="G1749" s="1929">
        <v>6.6</v>
      </c>
      <c r="H1749" s="1929">
        <v>0.7</v>
      </c>
      <c r="I1749" s="1929">
        <v>6.1</v>
      </c>
      <c r="J1749" s="1929">
        <v>1032</v>
      </c>
      <c r="K1749" s="1929" t="s">
        <v>1799</v>
      </c>
    </row>
    <row r="1750" spans="1:11" hidden="1" x14ac:dyDescent="0.2">
      <c r="A1750" s="1929" t="s">
        <v>1798</v>
      </c>
      <c r="B1750" s="1929" t="s">
        <v>1234</v>
      </c>
      <c r="C1750" s="1929" t="s">
        <v>1337</v>
      </c>
      <c r="D1750" s="1929" t="s">
        <v>1226</v>
      </c>
      <c r="E1750" s="1929" t="s">
        <v>63</v>
      </c>
      <c r="F1750" s="1929">
        <v>11.8</v>
      </c>
      <c r="G1750" s="1929">
        <v>8.3000000000000007</v>
      </c>
      <c r="H1750" s="1929">
        <v>-2.5</v>
      </c>
      <c r="I1750" s="1929">
        <v>24.8</v>
      </c>
      <c r="J1750" s="1929">
        <v>1033</v>
      </c>
      <c r="K1750" s="1929" t="s">
        <v>1797</v>
      </c>
    </row>
    <row r="1751" spans="1:11" hidden="1" x14ac:dyDescent="0.2">
      <c r="A1751" s="1929" t="s">
        <v>1796</v>
      </c>
      <c r="B1751" s="1929" t="s">
        <v>1228</v>
      </c>
      <c r="C1751" s="1929" t="s">
        <v>1408</v>
      </c>
      <c r="D1751" s="1929" t="s">
        <v>1226</v>
      </c>
      <c r="E1751" s="1929" t="s">
        <v>63</v>
      </c>
      <c r="F1751" s="1929">
        <v>21.1</v>
      </c>
      <c r="G1751" s="1929">
        <v>4.9000000000000004</v>
      </c>
      <c r="H1751" s="1929">
        <v>0.9</v>
      </c>
      <c r="I1751" s="1929">
        <v>6.1</v>
      </c>
      <c r="J1751" s="1929">
        <v>1040</v>
      </c>
      <c r="K1751" s="1929" t="s">
        <v>1795</v>
      </c>
    </row>
    <row r="1752" spans="1:11" hidden="1" x14ac:dyDescent="0.2">
      <c r="A1752" s="1929" t="s">
        <v>1794</v>
      </c>
      <c r="B1752" s="1929" t="s">
        <v>1217</v>
      </c>
      <c r="C1752" s="1929" t="s">
        <v>1252</v>
      </c>
      <c r="D1752" s="1929" t="s">
        <v>1226</v>
      </c>
      <c r="E1752" s="1929" t="s">
        <v>63</v>
      </c>
      <c r="F1752" s="1929">
        <v>4.7</v>
      </c>
      <c r="G1752" s="1929">
        <v>9</v>
      </c>
      <c r="H1752" s="1929">
        <v>0.5</v>
      </c>
      <c r="I1752" s="1929">
        <v>30.8</v>
      </c>
      <c r="J1752" s="1929">
        <v>1042</v>
      </c>
      <c r="K1752" s="1929" t="s">
        <v>1793</v>
      </c>
    </row>
    <row r="1753" spans="1:11" hidden="1" x14ac:dyDescent="0.2">
      <c r="A1753" s="1929" t="s">
        <v>1792</v>
      </c>
      <c r="B1753" s="1929" t="s">
        <v>1228</v>
      </c>
      <c r="C1753" s="1929" t="s">
        <v>1334</v>
      </c>
      <c r="D1753" s="1929" t="s">
        <v>1226</v>
      </c>
      <c r="E1753" s="1929" t="s">
        <v>63</v>
      </c>
      <c r="F1753" s="1929">
        <v>14.4</v>
      </c>
      <c r="G1753" s="1929">
        <v>7.4</v>
      </c>
      <c r="H1753" s="1929">
        <v>0.6</v>
      </c>
      <c r="I1753" s="1929">
        <v>6.9</v>
      </c>
      <c r="J1753" s="1929">
        <v>1043</v>
      </c>
      <c r="K1753" s="1929" t="s">
        <v>1791</v>
      </c>
    </row>
    <row r="1754" spans="1:11" hidden="1" x14ac:dyDescent="0.2">
      <c r="A1754" s="1929" t="s">
        <v>1790</v>
      </c>
      <c r="B1754" s="1929" t="s">
        <v>1234</v>
      </c>
      <c r="C1754" s="1929" t="s">
        <v>1233</v>
      </c>
      <c r="D1754" s="1929" t="s">
        <v>1226</v>
      </c>
      <c r="E1754" s="1929" t="s">
        <v>63</v>
      </c>
      <c r="F1754" s="1929">
        <v>7.8</v>
      </c>
      <c r="G1754" s="1929">
        <v>7.8</v>
      </c>
      <c r="H1754" s="1929">
        <v>0.7</v>
      </c>
      <c r="I1754" s="1929">
        <v>12</v>
      </c>
      <c r="J1754" s="1929">
        <v>1049</v>
      </c>
      <c r="K1754" s="1929" t="s">
        <v>1789</v>
      </c>
    </row>
    <row r="1755" spans="1:11" hidden="1" x14ac:dyDescent="0.2">
      <c r="A1755" s="1929" t="s">
        <v>1788</v>
      </c>
      <c r="B1755" s="1929" t="s">
        <v>1217</v>
      </c>
      <c r="C1755" s="1929" t="s">
        <v>1252</v>
      </c>
      <c r="D1755" s="1929" t="s">
        <v>1226</v>
      </c>
      <c r="E1755" s="1929" t="s">
        <v>63</v>
      </c>
      <c r="F1755" s="1929">
        <v>1.4</v>
      </c>
      <c r="G1755" s="1929">
        <v>1</v>
      </c>
      <c r="H1755" s="1929">
        <v>3.9</v>
      </c>
      <c r="I1755" s="1929">
        <v>27</v>
      </c>
      <c r="J1755" s="1929">
        <v>1051</v>
      </c>
      <c r="K1755" s="1929" t="s">
        <v>1787</v>
      </c>
    </row>
    <row r="1756" spans="1:11" hidden="1" x14ac:dyDescent="0.2">
      <c r="A1756" s="1929" t="s">
        <v>1786</v>
      </c>
      <c r="B1756" s="1929" t="s">
        <v>1306</v>
      </c>
      <c r="C1756" s="1929" t="s">
        <v>1305</v>
      </c>
      <c r="D1756" s="1929" t="s">
        <v>1226</v>
      </c>
      <c r="E1756" s="1929" t="s">
        <v>63</v>
      </c>
      <c r="F1756" s="1929">
        <v>12.9</v>
      </c>
      <c r="G1756" s="1929">
        <v>8.9</v>
      </c>
      <c r="H1756" s="1929">
        <v>0.5</v>
      </c>
      <c r="I1756" s="1929">
        <v>5.0999999999999996</v>
      </c>
      <c r="J1756" s="1929">
        <v>1057</v>
      </c>
      <c r="K1756" s="1929" t="s">
        <v>1785</v>
      </c>
    </row>
    <row r="1757" spans="1:11" hidden="1" x14ac:dyDescent="0.2">
      <c r="A1757" s="1929" t="s">
        <v>1784</v>
      </c>
      <c r="B1757" s="1929" t="s">
        <v>1217</v>
      </c>
      <c r="C1757" s="1929" t="s">
        <v>1456</v>
      </c>
      <c r="D1757" s="1929" t="s">
        <v>1226</v>
      </c>
      <c r="E1757" s="1929" t="s">
        <v>63</v>
      </c>
      <c r="F1757" s="1929">
        <v>20.399999999999999</v>
      </c>
      <c r="G1757" s="1929">
        <v>1.8</v>
      </c>
      <c r="H1757" s="1929">
        <v>0.3</v>
      </c>
      <c r="I1757" s="1929">
        <v>24.6</v>
      </c>
      <c r="J1757" s="1929">
        <v>1063</v>
      </c>
      <c r="K1757" s="1929" t="s">
        <v>1783</v>
      </c>
    </row>
    <row r="1758" spans="1:11" hidden="1" x14ac:dyDescent="0.2">
      <c r="A1758" s="1929" t="s">
        <v>1782</v>
      </c>
      <c r="B1758" s="1929" t="s">
        <v>1234</v>
      </c>
      <c r="C1758" s="1929" t="s">
        <v>1461</v>
      </c>
      <c r="D1758" s="1929" t="s">
        <v>1226</v>
      </c>
      <c r="E1758" s="1929" t="s">
        <v>63</v>
      </c>
      <c r="F1758" s="1929">
        <v>8.6999999999999993</v>
      </c>
      <c r="G1758" s="1929">
        <v>6.5</v>
      </c>
      <c r="H1758" s="1929">
        <v>1.1000000000000001</v>
      </c>
      <c r="I1758" s="1929">
        <v>9</v>
      </c>
      <c r="J1758" s="1929">
        <v>1071</v>
      </c>
      <c r="K1758" s="1929" t="s">
        <v>1781</v>
      </c>
    </row>
    <row r="1759" spans="1:11" hidden="1" x14ac:dyDescent="0.2">
      <c r="A1759" s="1929" t="s">
        <v>1780</v>
      </c>
      <c r="B1759" s="1929" t="s">
        <v>1217</v>
      </c>
      <c r="C1759" s="1929" t="s">
        <v>1563</v>
      </c>
      <c r="D1759" s="1929" t="s">
        <v>1226</v>
      </c>
      <c r="E1759" s="1929" t="s">
        <v>63</v>
      </c>
      <c r="F1759" s="1929">
        <v>6.8</v>
      </c>
      <c r="G1759" s="1929">
        <v>4.9000000000000004</v>
      </c>
      <c r="H1759" s="1929">
        <v>0.6</v>
      </c>
      <c r="I1759" s="1929">
        <v>23.7</v>
      </c>
      <c r="J1759" s="1929">
        <v>1077</v>
      </c>
      <c r="K1759" s="1929" t="s">
        <v>1779</v>
      </c>
    </row>
    <row r="1760" spans="1:11" hidden="1" x14ac:dyDescent="0.2">
      <c r="A1760" s="1929" t="s">
        <v>1778</v>
      </c>
      <c r="B1760" s="1929" t="s">
        <v>1245</v>
      </c>
      <c r="C1760" s="1929" t="s">
        <v>1429</v>
      </c>
      <c r="D1760" s="1929" t="s">
        <v>1226</v>
      </c>
      <c r="E1760" s="1929" t="s">
        <v>63</v>
      </c>
      <c r="F1760" s="1929">
        <v>6</v>
      </c>
      <c r="G1760" s="1929">
        <v>21.4</v>
      </c>
      <c r="H1760" s="1929">
        <v>0.4</v>
      </c>
      <c r="I1760" s="1929">
        <v>12.1</v>
      </c>
      <c r="J1760" s="1929">
        <v>1078</v>
      </c>
      <c r="K1760" s="1929" t="s">
        <v>1777</v>
      </c>
    </row>
    <row r="1761" spans="1:11" hidden="1" x14ac:dyDescent="0.2">
      <c r="A1761" s="1929" t="s">
        <v>1776</v>
      </c>
      <c r="B1761" s="1929" t="s">
        <v>1269</v>
      </c>
      <c r="C1761" s="1929" t="s">
        <v>1294</v>
      </c>
      <c r="D1761" s="1929" t="s">
        <v>1226</v>
      </c>
      <c r="E1761" s="1929" t="s">
        <v>63</v>
      </c>
      <c r="F1761" s="1929">
        <v>18</v>
      </c>
      <c r="G1761" s="1929">
        <v>7.1</v>
      </c>
      <c r="H1761" s="1929">
        <v>-0.1</v>
      </c>
      <c r="I1761" s="1929">
        <v>16.600000000000001</v>
      </c>
      <c r="J1761" s="1929">
        <v>1079</v>
      </c>
      <c r="K1761" s="1929" t="s">
        <v>1775</v>
      </c>
    </row>
    <row r="1762" spans="1:11" hidden="1" x14ac:dyDescent="0.2">
      <c r="A1762" s="1929" t="s">
        <v>1774</v>
      </c>
      <c r="B1762" s="1929" t="s">
        <v>1238</v>
      </c>
      <c r="C1762" s="1929" t="s">
        <v>1241</v>
      </c>
      <c r="D1762" s="1929" t="s">
        <v>1226</v>
      </c>
      <c r="E1762" s="1929" t="s">
        <v>63</v>
      </c>
      <c r="F1762" s="1929">
        <v>7.5</v>
      </c>
      <c r="G1762" s="1929">
        <v>5.6</v>
      </c>
      <c r="H1762" s="1929">
        <v>2.6</v>
      </c>
      <c r="I1762" s="1929">
        <v>8.6999999999999993</v>
      </c>
      <c r="J1762" s="1929">
        <v>1086</v>
      </c>
      <c r="K1762" s="1929" t="s">
        <v>1773</v>
      </c>
    </row>
    <row r="1763" spans="1:11" hidden="1" x14ac:dyDescent="0.2">
      <c r="A1763" s="1929" t="s">
        <v>1772</v>
      </c>
      <c r="B1763" s="1929" t="s">
        <v>1217</v>
      </c>
      <c r="C1763" s="1929" t="s">
        <v>1368</v>
      </c>
      <c r="D1763" s="1929" t="s">
        <v>1226</v>
      </c>
      <c r="E1763" s="1929" t="s">
        <v>63</v>
      </c>
      <c r="F1763" s="1929">
        <v>21.8</v>
      </c>
      <c r="G1763" s="1929">
        <v>3.5</v>
      </c>
      <c r="H1763" s="1929">
        <v>1</v>
      </c>
      <c r="I1763" s="1929">
        <v>5.2</v>
      </c>
      <c r="J1763" s="1929">
        <v>1086</v>
      </c>
      <c r="K1763" s="1929" t="s">
        <v>1771</v>
      </c>
    </row>
    <row r="1764" spans="1:11" hidden="1" x14ac:dyDescent="0.2">
      <c r="A1764" s="1929" t="s">
        <v>1770</v>
      </c>
      <c r="B1764" s="1929" t="s">
        <v>1269</v>
      </c>
      <c r="C1764" s="1929" t="s">
        <v>1268</v>
      </c>
      <c r="D1764" s="1929" t="s">
        <v>1226</v>
      </c>
      <c r="E1764" s="1929" t="s">
        <v>63</v>
      </c>
      <c r="F1764" s="1929">
        <v>8.6999999999999993</v>
      </c>
      <c r="G1764" s="1929">
        <v>7.1</v>
      </c>
      <c r="H1764" s="1929">
        <v>0.8</v>
      </c>
      <c r="I1764" s="1929">
        <v>8.9</v>
      </c>
      <c r="J1764" s="1929">
        <v>1089</v>
      </c>
      <c r="K1764" s="1929" t="s">
        <v>1769</v>
      </c>
    </row>
    <row r="1765" spans="1:11" hidden="1" x14ac:dyDescent="0.2">
      <c r="A1765" s="1929" t="s">
        <v>1768</v>
      </c>
      <c r="B1765" s="1929" t="s">
        <v>1310</v>
      </c>
      <c r="C1765" s="1929" t="s">
        <v>1309</v>
      </c>
      <c r="D1765" s="1929" t="s">
        <v>1226</v>
      </c>
      <c r="E1765" s="1929" t="s">
        <v>63</v>
      </c>
      <c r="F1765" s="1929">
        <v>7.8</v>
      </c>
      <c r="G1765" s="1929">
        <v>6.6</v>
      </c>
      <c r="H1765" s="1929">
        <v>0.5</v>
      </c>
      <c r="I1765" s="1929">
        <v>17.399999999999999</v>
      </c>
      <c r="J1765" s="1929">
        <v>1090</v>
      </c>
      <c r="K1765" s="1929" t="s">
        <v>1767</v>
      </c>
    </row>
    <row r="1766" spans="1:11" hidden="1" x14ac:dyDescent="0.2">
      <c r="A1766" s="1929" t="s">
        <v>1766</v>
      </c>
      <c r="B1766" s="1929" t="s">
        <v>1269</v>
      </c>
      <c r="C1766" s="1929" t="s">
        <v>1294</v>
      </c>
      <c r="D1766" s="1929" t="s">
        <v>1226</v>
      </c>
      <c r="E1766" s="1929" t="s">
        <v>63</v>
      </c>
      <c r="F1766" s="1929">
        <v>16.100000000000001</v>
      </c>
      <c r="G1766" s="1929">
        <v>4.5999999999999996</v>
      </c>
      <c r="H1766" s="1929">
        <v>0.8</v>
      </c>
      <c r="I1766" s="1929">
        <v>9.6</v>
      </c>
      <c r="J1766" s="1929">
        <v>1097</v>
      </c>
      <c r="K1766" s="1929" t="s">
        <v>1765</v>
      </c>
    </row>
    <row r="1767" spans="1:11" hidden="1" x14ac:dyDescent="0.2">
      <c r="A1767" s="1929" t="s">
        <v>1764</v>
      </c>
      <c r="B1767" s="1929" t="s">
        <v>1217</v>
      </c>
      <c r="C1767" s="1929" t="s">
        <v>1456</v>
      </c>
      <c r="D1767" s="1929" t="s">
        <v>1226</v>
      </c>
      <c r="E1767" s="1929" t="s">
        <v>63</v>
      </c>
      <c r="F1767" s="1929">
        <v>19.5</v>
      </c>
      <c r="G1767" s="1929">
        <v>2.5</v>
      </c>
      <c r="H1767" s="1929">
        <v>0.3</v>
      </c>
      <c r="I1767" s="1929">
        <v>25.8</v>
      </c>
      <c r="J1767" s="1929">
        <v>1099</v>
      </c>
      <c r="K1767" s="1929" t="s">
        <v>1763</v>
      </c>
    </row>
    <row r="1768" spans="1:11" hidden="1" x14ac:dyDescent="0.2">
      <c r="A1768" s="1929" t="s">
        <v>1762</v>
      </c>
      <c r="B1768" s="1929" t="s">
        <v>1228</v>
      </c>
      <c r="C1768" s="1929" t="s">
        <v>1315</v>
      </c>
      <c r="D1768" s="1929" t="s">
        <v>1226</v>
      </c>
      <c r="E1768" s="1929" t="s">
        <v>63</v>
      </c>
      <c r="F1768" s="1929">
        <v>13.6</v>
      </c>
      <c r="G1768" s="1929">
        <v>8.1999999999999993</v>
      </c>
      <c r="H1768" s="1929">
        <v>-0.2</v>
      </c>
      <c r="I1768" s="1929">
        <v>17.3</v>
      </c>
      <c r="J1768" s="1929">
        <v>1101</v>
      </c>
      <c r="K1768" s="1929" t="s">
        <v>1761</v>
      </c>
    </row>
    <row r="1769" spans="1:11" hidden="1" x14ac:dyDescent="0.2">
      <c r="A1769" s="1929" t="s">
        <v>1760</v>
      </c>
      <c r="B1769" s="1929" t="s">
        <v>1245</v>
      </c>
      <c r="C1769" s="1929" t="s">
        <v>1759</v>
      </c>
      <c r="D1769" s="1929" t="s">
        <v>1226</v>
      </c>
      <c r="E1769" s="1929" t="s">
        <v>63</v>
      </c>
      <c r="F1769" s="1929">
        <v>12.3</v>
      </c>
      <c r="G1769" s="1929">
        <v>6.4</v>
      </c>
      <c r="H1769" s="1929">
        <v>0.6</v>
      </c>
      <c r="I1769" s="1929">
        <v>9</v>
      </c>
      <c r="J1769" s="1929">
        <v>1102</v>
      </c>
      <c r="K1769" s="1929" t="s">
        <v>1758</v>
      </c>
    </row>
    <row r="1770" spans="1:11" hidden="1" x14ac:dyDescent="0.2">
      <c r="A1770" s="1929" t="s">
        <v>1757</v>
      </c>
      <c r="B1770" s="1929" t="s">
        <v>1228</v>
      </c>
      <c r="C1770" s="1929" t="s">
        <v>1606</v>
      </c>
      <c r="D1770" s="1929" t="s">
        <v>1226</v>
      </c>
      <c r="E1770" s="1929" t="s">
        <v>63</v>
      </c>
      <c r="F1770" s="1929">
        <v>15.4</v>
      </c>
      <c r="G1770" s="1929">
        <v>6.1</v>
      </c>
      <c r="H1770" s="1929">
        <v>0.6</v>
      </c>
      <c r="I1770" s="1929">
        <v>8.8000000000000007</v>
      </c>
      <c r="J1770" s="1929">
        <v>1103</v>
      </c>
      <c r="K1770" s="1929" t="s">
        <v>1756</v>
      </c>
    </row>
    <row r="1771" spans="1:11" hidden="1" x14ac:dyDescent="0.2">
      <c r="A1771" s="1929" t="s">
        <v>1755</v>
      </c>
      <c r="B1771" s="1929" t="s">
        <v>1228</v>
      </c>
      <c r="C1771" s="1929" t="s">
        <v>1276</v>
      </c>
      <c r="D1771" s="1929" t="s">
        <v>1226</v>
      </c>
      <c r="E1771" s="1929" t="s">
        <v>63</v>
      </c>
      <c r="F1771" s="1929">
        <v>13.8</v>
      </c>
      <c r="G1771" s="1929">
        <v>5</v>
      </c>
      <c r="H1771" s="1929">
        <v>1</v>
      </c>
      <c r="I1771" s="1929">
        <v>3.5</v>
      </c>
      <c r="J1771" s="1929">
        <v>1106</v>
      </c>
      <c r="K1771" s="1929" t="s">
        <v>1754</v>
      </c>
    </row>
    <row r="1772" spans="1:11" hidden="1" x14ac:dyDescent="0.2">
      <c r="A1772" s="1929" t="s">
        <v>1753</v>
      </c>
      <c r="B1772" s="1929" t="s">
        <v>1217</v>
      </c>
      <c r="C1772" s="1929" t="s">
        <v>1323</v>
      </c>
      <c r="D1772" s="1929" t="s">
        <v>1226</v>
      </c>
      <c r="E1772" s="1929" t="s">
        <v>63</v>
      </c>
      <c r="F1772" s="1929">
        <v>7.1</v>
      </c>
      <c r="G1772" s="1929">
        <v>1.9</v>
      </c>
      <c r="H1772" s="1929">
        <v>0.5</v>
      </c>
      <c r="I1772" s="1929">
        <v>46.9</v>
      </c>
      <c r="J1772" s="1929">
        <v>1109</v>
      </c>
      <c r="K1772" s="1929" t="s">
        <v>1752</v>
      </c>
    </row>
    <row r="1773" spans="1:11" hidden="1" x14ac:dyDescent="0.2">
      <c r="A1773" s="1929" t="s">
        <v>1751</v>
      </c>
      <c r="B1773" s="1929" t="s">
        <v>1306</v>
      </c>
      <c r="C1773" s="1929" t="s">
        <v>1305</v>
      </c>
      <c r="D1773" s="1929" t="s">
        <v>1226</v>
      </c>
      <c r="E1773" s="1929" t="s">
        <v>63</v>
      </c>
      <c r="F1773" s="1929">
        <v>14</v>
      </c>
      <c r="G1773" s="1929">
        <v>8.3000000000000007</v>
      </c>
      <c r="H1773" s="1929">
        <v>0.5</v>
      </c>
      <c r="I1773" s="1929">
        <v>8.1</v>
      </c>
      <c r="J1773" s="1929">
        <v>1110</v>
      </c>
      <c r="K1773" s="1929" t="s">
        <v>1750</v>
      </c>
    </row>
    <row r="1774" spans="1:11" hidden="1" x14ac:dyDescent="0.2">
      <c r="A1774" s="1929" t="s">
        <v>1749</v>
      </c>
      <c r="B1774" s="1929" t="s">
        <v>1228</v>
      </c>
      <c r="C1774" s="1929" t="s">
        <v>1639</v>
      </c>
      <c r="D1774" s="1929" t="s">
        <v>1226</v>
      </c>
      <c r="E1774" s="1929" t="s">
        <v>63</v>
      </c>
      <c r="F1774" s="1929">
        <v>10.8</v>
      </c>
      <c r="G1774" s="1929">
        <v>7.8</v>
      </c>
      <c r="H1774" s="1929">
        <v>0.6</v>
      </c>
      <c r="I1774" s="1929">
        <v>2.8</v>
      </c>
      <c r="J1774" s="1929">
        <v>1113</v>
      </c>
      <c r="K1774" s="1929" t="s">
        <v>1748</v>
      </c>
    </row>
    <row r="1775" spans="1:11" hidden="1" x14ac:dyDescent="0.2">
      <c r="A1775" s="1929" t="s">
        <v>1747</v>
      </c>
      <c r="B1775" s="1929" t="s">
        <v>1228</v>
      </c>
      <c r="C1775" s="1929" t="s">
        <v>1227</v>
      </c>
      <c r="D1775" s="1929" t="s">
        <v>1226</v>
      </c>
      <c r="E1775" s="1929" t="s">
        <v>63</v>
      </c>
      <c r="F1775" s="1929">
        <v>9.1999999999999993</v>
      </c>
      <c r="G1775" s="1929">
        <v>5.5</v>
      </c>
      <c r="H1775" s="1929">
        <v>0.8</v>
      </c>
      <c r="I1775" s="1929">
        <v>10.199999999999999</v>
      </c>
      <c r="J1775" s="1929">
        <v>1122</v>
      </c>
      <c r="K1775" s="1929" t="s">
        <v>1746</v>
      </c>
    </row>
    <row r="1776" spans="1:11" hidden="1" x14ac:dyDescent="0.2">
      <c r="A1776" s="1929" t="s">
        <v>1745</v>
      </c>
      <c r="B1776" s="1929" t="s">
        <v>1217</v>
      </c>
      <c r="C1776" s="1929" t="s">
        <v>1216</v>
      </c>
      <c r="D1776" s="1929" t="s">
        <v>1226</v>
      </c>
      <c r="E1776" s="1929" t="s">
        <v>63</v>
      </c>
      <c r="F1776" s="1929">
        <v>7.3</v>
      </c>
      <c r="G1776" s="1929">
        <v>1.6</v>
      </c>
      <c r="H1776" s="1929">
        <v>0.5</v>
      </c>
      <c r="I1776" s="1929">
        <v>42.2</v>
      </c>
      <c r="J1776" s="1929">
        <v>1125</v>
      </c>
      <c r="K1776" s="1929" t="s">
        <v>1744</v>
      </c>
    </row>
    <row r="1777" spans="1:11" hidden="1" x14ac:dyDescent="0.2">
      <c r="A1777" s="1929" t="s">
        <v>1743</v>
      </c>
      <c r="B1777" s="1929" t="s">
        <v>1245</v>
      </c>
      <c r="C1777" s="1929" t="s">
        <v>1286</v>
      </c>
      <c r="D1777" s="1929" t="s">
        <v>1226</v>
      </c>
      <c r="E1777" s="1929" t="s">
        <v>63</v>
      </c>
      <c r="F1777" s="1929">
        <v>14.6</v>
      </c>
      <c r="G1777" s="1929">
        <v>4.8</v>
      </c>
      <c r="H1777" s="1929">
        <v>0.7</v>
      </c>
      <c r="I1777" s="1929">
        <v>9.6999999999999993</v>
      </c>
      <c r="J1777" s="1929">
        <v>1126</v>
      </c>
      <c r="K1777" s="1929" t="s">
        <v>1742</v>
      </c>
    </row>
    <row r="1778" spans="1:11" hidden="1" x14ac:dyDescent="0.2">
      <c r="A1778" s="1929" t="s">
        <v>1741</v>
      </c>
      <c r="B1778" s="1929" t="s">
        <v>1310</v>
      </c>
      <c r="C1778" s="1929" t="s">
        <v>1309</v>
      </c>
      <c r="D1778" s="1929" t="s">
        <v>1226</v>
      </c>
      <c r="E1778" s="1929" t="s">
        <v>63</v>
      </c>
      <c r="F1778" s="1929">
        <v>10.5</v>
      </c>
      <c r="G1778" s="1929">
        <v>4.5</v>
      </c>
      <c r="H1778" s="1929">
        <v>0.6</v>
      </c>
      <c r="I1778" s="1929">
        <v>14.8</v>
      </c>
      <c r="J1778" s="1929">
        <v>1134</v>
      </c>
      <c r="K1778" s="1929" t="s">
        <v>1740</v>
      </c>
    </row>
    <row r="1779" spans="1:11" hidden="1" x14ac:dyDescent="0.2">
      <c r="A1779" s="1929" t="s">
        <v>1739</v>
      </c>
      <c r="B1779" s="1929" t="s">
        <v>1306</v>
      </c>
      <c r="C1779" s="1929" t="s">
        <v>1413</v>
      </c>
      <c r="D1779" s="1929" t="s">
        <v>1226</v>
      </c>
      <c r="E1779" s="1929" t="s">
        <v>63</v>
      </c>
      <c r="F1779" s="1929">
        <v>10.8</v>
      </c>
      <c r="G1779" s="1929">
        <v>4.2</v>
      </c>
      <c r="H1779" s="1929">
        <v>0.6</v>
      </c>
      <c r="I1779" s="1929">
        <v>15.6</v>
      </c>
      <c r="J1779" s="1929">
        <v>1142</v>
      </c>
      <c r="K1779" s="1929" t="s">
        <v>1738</v>
      </c>
    </row>
    <row r="1780" spans="1:11" hidden="1" x14ac:dyDescent="0.2">
      <c r="A1780" s="1929" t="s">
        <v>1737</v>
      </c>
      <c r="B1780" s="1929" t="s">
        <v>1228</v>
      </c>
      <c r="C1780" s="1929" t="s">
        <v>1466</v>
      </c>
      <c r="D1780" s="1929" t="s">
        <v>1226</v>
      </c>
      <c r="E1780" s="1929" t="s">
        <v>63</v>
      </c>
      <c r="F1780" s="1929">
        <v>5.2</v>
      </c>
      <c r="G1780" s="1929">
        <v>36.200000000000003</v>
      </c>
      <c r="H1780" s="1929">
        <v>-1.4</v>
      </c>
      <c r="I1780" s="1929">
        <v>18.3</v>
      </c>
      <c r="J1780" s="1929">
        <v>1146</v>
      </c>
      <c r="K1780" s="1929" t="s">
        <v>1736</v>
      </c>
    </row>
    <row r="1781" spans="1:11" hidden="1" x14ac:dyDescent="0.2">
      <c r="A1781" s="1929" t="s">
        <v>1735</v>
      </c>
      <c r="B1781" s="1929" t="s">
        <v>1228</v>
      </c>
      <c r="C1781" s="1929" t="s">
        <v>1227</v>
      </c>
      <c r="D1781" s="1929" t="s">
        <v>1226</v>
      </c>
      <c r="E1781" s="1929" t="s">
        <v>63</v>
      </c>
      <c r="F1781" s="1929">
        <v>14.5</v>
      </c>
      <c r="G1781" s="1929">
        <v>4.3</v>
      </c>
      <c r="H1781" s="1929">
        <v>0.5</v>
      </c>
      <c r="I1781" s="1929">
        <v>13.2</v>
      </c>
      <c r="J1781" s="1929">
        <v>1147</v>
      </c>
      <c r="K1781" s="1929" t="s">
        <v>1734</v>
      </c>
    </row>
    <row r="1782" spans="1:11" hidden="1" x14ac:dyDescent="0.2">
      <c r="A1782" s="1929" t="s">
        <v>1733</v>
      </c>
      <c r="B1782" s="1929" t="s">
        <v>1258</v>
      </c>
      <c r="C1782" s="1929" t="s">
        <v>1257</v>
      </c>
      <c r="D1782" s="1929" t="s">
        <v>1226</v>
      </c>
      <c r="E1782" s="1929" t="s">
        <v>63</v>
      </c>
      <c r="F1782" s="1929">
        <v>12.5</v>
      </c>
      <c r="G1782" s="1929">
        <v>7.1</v>
      </c>
      <c r="H1782" s="1929">
        <v>0.5</v>
      </c>
      <c r="I1782" s="1929">
        <v>6.6</v>
      </c>
      <c r="J1782" s="1929">
        <v>1150</v>
      </c>
      <c r="K1782" s="1929" t="s">
        <v>1732</v>
      </c>
    </row>
    <row r="1783" spans="1:11" hidden="1" x14ac:dyDescent="0.2">
      <c r="A1783" s="1929" t="s">
        <v>1731</v>
      </c>
      <c r="B1783" s="1929" t="s">
        <v>1245</v>
      </c>
      <c r="C1783" s="1929" t="s">
        <v>1286</v>
      </c>
      <c r="D1783" s="1929" t="s">
        <v>1226</v>
      </c>
      <c r="E1783" s="1929" t="s">
        <v>63</v>
      </c>
      <c r="F1783" s="1929">
        <v>22.4</v>
      </c>
      <c r="G1783" s="1929">
        <v>4.2</v>
      </c>
      <c r="H1783" s="1929">
        <v>0.7</v>
      </c>
      <c r="I1783" s="1929">
        <v>4.7</v>
      </c>
      <c r="J1783" s="1929">
        <v>1158</v>
      </c>
      <c r="K1783" s="1929" t="s">
        <v>1730</v>
      </c>
    </row>
    <row r="1784" spans="1:11" hidden="1" x14ac:dyDescent="0.2">
      <c r="A1784" s="1929" t="s">
        <v>1729</v>
      </c>
      <c r="B1784" s="1929" t="s">
        <v>1269</v>
      </c>
      <c r="C1784" s="1929" t="s">
        <v>1294</v>
      </c>
      <c r="D1784" s="1929" t="s">
        <v>1226</v>
      </c>
      <c r="E1784" s="1929" t="s">
        <v>63</v>
      </c>
      <c r="F1784" s="1929">
        <v>10.199999999999999</v>
      </c>
      <c r="G1784" s="1929">
        <v>9.6</v>
      </c>
      <c r="H1784" s="1929">
        <v>0.4</v>
      </c>
      <c r="I1784" s="1929">
        <v>5.6</v>
      </c>
      <c r="J1784" s="1929">
        <v>1171</v>
      </c>
      <c r="K1784" s="1929" t="s">
        <v>1728</v>
      </c>
    </row>
    <row r="1785" spans="1:11" hidden="1" x14ac:dyDescent="0.2">
      <c r="A1785" s="1929" t="s">
        <v>1727</v>
      </c>
      <c r="B1785" s="1929" t="s">
        <v>1228</v>
      </c>
      <c r="C1785" s="1929" t="s">
        <v>1334</v>
      </c>
      <c r="D1785" s="1929" t="s">
        <v>1226</v>
      </c>
      <c r="E1785" s="1929" t="s">
        <v>63</v>
      </c>
      <c r="F1785" s="1929">
        <v>7.1</v>
      </c>
      <c r="G1785" s="1929">
        <v>16.2</v>
      </c>
      <c r="H1785" s="1929">
        <v>0.4</v>
      </c>
      <c r="I1785" s="1929">
        <v>8.3000000000000007</v>
      </c>
      <c r="J1785" s="1929">
        <v>1172</v>
      </c>
      <c r="K1785" s="1929" t="s">
        <v>1726</v>
      </c>
    </row>
    <row r="1786" spans="1:11" hidden="1" x14ac:dyDescent="0.2">
      <c r="A1786" s="1929" t="s">
        <v>1725</v>
      </c>
      <c r="B1786" s="1929" t="s">
        <v>1310</v>
      </c>
      <c r="C1786" s="1929" t="s">
        <v>1309</v>
      </c>
      <c r="D1786" s="1929" t="s">
        <v>1226</v>
      </c>
      <c r="E1786" s="1929" t="s">
        <v>63</v>
      </c>
      <c r="F1786" s="1929">
        <v>9.9</v>
      </c>
      <c r="G1786" s="1929">
        <v>5.8</v>
      </c>
      <c r="H1786" s="1929">
        <v>0.3</v>
      </c>
      <c r="I1786" s="1929">
        <v>21</v>
      </c>
      <c r="J1786" s="1929">
        <v>1182</v>
      </c>
      <c r="K1786" s="1929" t="s">
        <v>1724</v>
      </c>
    </row>
    <row r="1787" spans="1:11" hidden="1" x14ac:dyDescent="0.2">
      <c r="A1787" s="1929" t="s">
        <v>1723</v>
      </c>
      <c r="B1787" s="1929" t="s">
        <v>1217</v>
      </c>
      <c r="C1787" s="1929" t="s">
        <v>1563</v>
      </c>
      <c r="D1787" s="1929" t="s">
        <v>1226</v>
      </c>
      <c r="E1787" s="1929" t="s">
        <v>63</v>
      </c>
      <c r="F1787" s="1929">
        <v>8.9</v>
      </c>
      <c r="G1787" s="1929">
        <v>8.6</v>
      </c>
      <c r="H1787" s="1929">
        <v>0.4</v>
      </c>
      <c r="I1787" s="1929">
        <v>10.5</v>
      </c>
      <c r="J1787" s="1929">
        <v>1186</v>
      </c>
      <c r="K1787" s="1929" t="s">
        <v>1722</v>
      </c>
    </row>
    <row r="1788" spans="1:11" hidden="1" x14ac:dyDescent="0.2">
      <c r="A1788" s="1929" t="s">
        <v>1721</v>
      </c>
      <c r="B1788" s="1929" t="s">
        <v>1217</v>
      </c>
      <c r="C1788" s="1929" t="s">
        <v>1252</v>
      </c>
      <c r="D1788" s="1929" t="s">
        <v>1226</v>
      </c>
      <c r="E1788" s="1929" t="s">
        <v>63</v>
      </c>
      <c r="F1788" s="1929">
        <v>5.2</v>
      </c>
      <c r="G1788" s="1929">
        <v>5</v>
      </c>
      <c r="H1788" s="1929">
        <v>0.5</v>
      </c>
      <c r="I1788" s="1929">
        <v>40.9</v>
      </c>
      <c r="J1788" s="1929">
        <v>1189</v>
      </c>
      <c r="K1788" s="1929" t="s">
        <v>1720</v>
      </c>
    </row>
    <row r="1789" spans="1:11" hidden="1" x14ac:dyDescent="0.2">
      <c r="A1789" s="1929" t="s">
        <v>1719</v>
      </c>
      <c r="B1789" s="1929" t="s">
        <v>1217</v>
      </c>
      <c r="C1789" s="1929" t="s">
        <v>1563</v>
      </c>
      <c r="D1789" s="1929" t="s">
        <v>1226</v>
      </c>
      <c r="E1789" s="1929" t="s">
        <v>63</v>
      </c>
      <c r="F1789" s="1929">
        <v>5.3</v>
      </c>
      <c r="G1789" s="1929">
        <v>6.4</v>
      </c>
      <c r="H1789" s="1929">
        <v>0.5</v>
      </c>
      <c r="I1789" s="1929">
        <v>20.6</v>
      </c>
      <c r="J1789" s="1929">
        <v>1192</v>
      </c>
      <c r="K1789" s="1929" t="s">
        <v>1718</v>
      </c>
    </row>
    <row r="1790" spans="1:11" hidden="1" x14ac:dyDescent="0.2">
      <c r="A1790" s="1929" t="s">
        <v>1717</v>
      </c>
      <c r="B1790" s="1929" t="s">
        <v>1228</v>
      </c>
      <c r="C1790" s="1929" t="s">
        <v>1227</v>
      </c>
      <c r="D1790" s="1929" t="s">
        <v>1226</v>
      </c>
      <c r="E1790" s="1929" t="s">
        <v>63</v>
      </c>
      <c r="F1790" s="1929">
        <v>17.3</v>
      </c>
      <c r="G1790" s="1929">
        <v>3</v>
      </c>
      <c r="H1790" s="1929">
        <v>0.8</v>
      </c>
      <c r="I1790" s="1929">
        <v>4.4000000000000004</v>
      </c>
      <c r="J1790" s="1929">
        <v>1193</v>
      </c>
      <c r="K1790" s="1929" t="s">
        <v>1716</v>
      </c>
    </row>
    <row r="1791" spans="1:11" hidden="1" x14ac:dyDescent="0.2">
      <c r="A1791" s="1929" t="s">
        <v>1715</v>
      </c>
      <c r="B1791" s="1929" t="s">
        <v>1238</v>
      </c>
      <c r="C1791" s="1929" t="s">
        <v>1241</v>
      </c>
      <c r="D1791" s="1929" t="s">
        <v>1226</v>
      </c>
      <c r="E1791" s="1929" t="s">
        <v>63</v>
      </c>
      <c r="F1791" s="1929">
        <v>8.4</v>
      </c>
      <c r="G1791" s="1929">
        <v>12.1</v>
      </c>
      <c r="H1791" s="1929">
        <v>0.4</v>
      </c>
      <c r="I1791" s="1929">
        <v>8.4</v>
      </c>
      <c r="J1791" s="1929">
        <v>1195</v>
      </c>
      <c r="K1791" s="1929" t="s">
        <v>1714</v>
      </c>
    </row>
    <row r="1792" spans="1:11" hidden="1" x14ac:dyDescent="0.2">
      <c r="A1792" s="1929" t="s">
        <v>1713</v>
      </c>
      <c r="B1792" s="1929" t="s">
        <v>1306</v>
      </c>
      <c r="C1792" s="1929" t="s">
        <v>1413</v>
      </c>
      <c r="D1792" s="1929" t="s">
        <v>1226</v>
      </c>
      <c r="E1792" s="1929" t="s">
        <v>63</v>
      </c>
      <c r="F1792" s="1929">
        <v>10.7</v>
      </c>
      <c r="G1792" s="1929">
        <v>6</v>
      </c>
      <c r="H1792" s="1929">
        <v>0.6</v>
      </c>
      <c r="I1792" s="1929">
        <v>8.1999999999999993</v>
      </c>
      <c r="J1792" s="1929">
        <v>1205</v>
      </c>
      <c r="K1792" s="1929" t="s">
        <v>1712</v>
      </c>
    </row>
    <row r="1793" spans="1:11" hidden="1" x14ac:dyDescent="0.2">
      <c r="A1793" s="1929" t="s">
        <v>1711</v>
      </c>
      <c r="B1793" s="1929" t="s">
        <v>1217</v>
      </c>
      <c r="C1793" s="1929" t="s">
        <v>1252</v>
      </c>
      <c r="D1793" s="1929" t="s">
        <v>1226</v>
      </c>
      <c r="E1793" s="1929" t="s">
        <v>63</v>
      </c>
      <c r="F1793" s="1929">
        <v>7.8</v>
      </c>
      <c r="G1793" s="1929">
        <v>4.5</v>
      </c>
      <c r="H1793" s="1929">
        <v>0.5</v>
      </c>
      <c r="I1793" s="1929">
        <v>18.100000000000001</v>
      </c>
      <c r="J1793" s="1929">
        <v>1210</v>
      </c>
      <c r="K1793" s="1929" t="s">
        <v>1710</v>
      </c>
    </row>
    <row r="1794" spans="1:11" hidden="1" x14ac:dyDescent="0.2">
      <c r="A1794" s="1929" t="s">
        <v>1709</v>
      </c>
      <c r="B1794" s="1929" t="s">
        <v>1249</v>
      </c>
      <c r="C1794" s="1929" t="s">
        <v>1248</v>
      </c>
      <c r="D1794" s="1929" t="s">
        <v>1226</v>
      </c>
      <c r="E1794" s="1929" t="s">
        <v>63</v>
      </c>
      <c r="F1794" s="1929">
        <v>25</v>
      </c>
      <c r="G1794" s="1929">
        <v>3</v>
      </c>
      <c r="H1794" s="1929">
        <v>0.1</v>
      </c>
      <c r="I1794" s="1929">
        <v>20.6</v>
      </c>
      <c r="J1794" s="1929">
        <v>1215</v>
      </c>
      <c r="K1794" s="1929" t="s">
        <v>1708</v>
      </c>
    </row>
    <row r="1795" spans="1:11" hidden="1" x14ac:dyDescent="0.2">
      <c r="A1795" s="1929" t="s">
        <v>1707</v>
      </c>
      <c r="B1795" s="1929" t="s">
        <v>1238</v>
      </c>
      <c r="C1795" s="1929" t="s">
        <v>1241</v>
      </c>
      <c r="D1795" s="1929" t="s">
        <v>1226</v>
      </c>
      <c r="E1795" s="1929" t="s">
        <v>63</v>
      </c>
      <c r="F1795" s="1929">
        <v>8.3000000000000007</v>
      </c>
      <c r="G1795" s="1929">
        <v>6.3</v>
      </c>
      <c r="H1795" s="1929">
        <v>0.5</v>
      </c>
      <c r="I1795" s="1929">
        <v>11.3</v>
      </c>
      <c r="J1795" s="1929">
        <v>1216</v>
      </c>
      <c r="K1795" s="1929" t="s">
        <v>1706</v>
      </c>
    </row>
    <row r="1796" spans="1:11" hidden="1" x14ac:dyDescent="0.2">
      <c r="A1796" s="1929" t="s">
        <v>1705</v>
      </c>
      <c r="B1796" s="1929" t="s">
        <v>1217</v>
      </c>
      <c r="C1796" s="1929" t="s">
        <v>1456</v>
      </c>
      <c r="D1796" s="1929" t="s">
        <v>1226</v>
      </c>
      <c r="E1796" s="1929" t="s">
        <v>63</v>
      </c>
      <c r="F1796" s="1929">
        <v>21.1</v>
      </c>
      <c r="G1796" s="1929">
        <v>2.4</v>
      </c>
      <c r="H1796" s="1929">
        <v>-0.2</v>
      </c>
      <c r="I1796" s="1929">
        <v>22.8</v>
      </c>
      <c r="J1796" s="1929">
        <v>1217</v>
      </c>
      <c r="K1796" s="1929" t="s">
        <v>1704</v>
      </c>
    </row>
    <row r="1797" spans="1:11" hidden="1" x14ac:dyDescent="0.2">
      <c r="A1797" s="1929" t="s">
        <v>1703</v>
      </c>
      <c r="B1797" s="1929" t="s">
        <v>1269</v>
      </c>
      <c r="C1797" s="1929" t="s">
        <v>1294</v>
      </c>
      <c r="D1797" s="1929" t="s">
        <v>1226</v>
      </c>
      <c r="E1797" s="1929" t="s">
        <v>63</v>
      </c>
      <c r="F1797" s="1929">
        <v>18.899999999999999</v>
      </c>
      <c r="G1797" s="1929">
        <v>2.2999999999999998</v>
      </c>
      <c r="H1797" s="1929">
        <v>0.7</v>
      </c>
      <c r="I1797" s="1929">
        <v>4</v>
      </c>
      <c r="J1797" s="1929">
        <v>1223</v>
      </c>
      <c r="K1797" s="1929" t="s">
        <v>1702</v>
      </c>
    </row>
    <row r="1798" spans="1:11" hidden="1" x14ac:dyDescent="0.2">
      <c r="A1798" s="1929" t="s">
        <v>1701</v>
      </c>
      <c r="B1798" s="1929" t="s">
        <v>1238</v>
      </c>
      <c r="C1798" s="1929" t="s">
        <v>1700</v>
      </c>
      <c r="D1798" s="1929" t="s">
        <v>1226</v>
      </c>
      <c r="E1798" s="1929" t="s">
        <v>63</v>
      </c>
      <c r="F1798" s="1929">
        <v>7.7</v>
      </c>
      <c r="G1798" s="1929">
        <v>12.8</v>
      </c>
      <c r="H1798" s="1929">
        <v>0.4</v>
      </c>
      <c r="I1798" s="1929">
        <v>2.8</v>
      </c>
      <c r="J1798" s="1929">
        <v>1227</v>
      </c>
      <c r="K1798" s="1929" t="s">
        <v>1699</v>
      </c>
    </row>
    <row r="1799" spans="1:11" hidden="1" x14ac:dyDescent="0.2">
      <c r="A1799" s="1929" t="s">
        <v>1698</v>
      </c>
      <c r="B1799" s="1929" t="s">
        <v>1245</v>
      </c>
      <c r="C1799" s="1929" t="s">
        <v>1429</v>
      </c>
      <c r="D1799" s="1929" t="s">
        <v>1226</v>
      </c>
      <c r="E1799" s="1929" t="s">
        <v>63</v>
      </c>
      <c r="F1799" s="1929">
        <v>4.5999999999999996</v>
      </c>
      <c r="G1799" s="1929">
        <v>42.6</v>
      </c>
      <c r="H1799" s="1929">
        <v>0.3</v>
      </c>
      <c r="I1799" s="1929">
        <v>11.8</v>
      </c>
      <c r="J1799" s="1929">
        <v>1234</v>
      </c>
      <c r="K1799" s="1929" t="s">
        <v>1697</v>
      </c>
    </row>
    <row r="1800" spans="1:11" hidden="1" x14ac:dyDescent="0.2">
      <c r="A1800" s="1929" t="s">
        <v>1696</v>
      </c>
      <c r="B1800" s="1929" t="s">
        <v>1217</v>
      </c>
      <c r="C1800" s="1929" t="s">
        <v>1456</v>
      </c>
      <c r="D1800" s="1929" t="s">
        <v>1226</v>
      </c>
      <c r="E1800" s="1929" t="s">
        <v>63</v>
      </c>
      <c r="F1800" s="1929">
        <v>17</v>
      </c>
      <c r="G1800" s="1929">
        <v>1.4</v>
      </c>
      <c r="H1800" s="1929">
        <v>0.4</v>
      </c>
      <c r="I1800" s="1929">
        <v>15.3</v>
      </c>
      <c r="J1800" s="1929">
        <v>1235</v>
      </c>
      <c r="K1800" s="1929" t="s">
        <v>1695</v>
      </c>
    </row>
    <row r="1801" spans="1:11" hidden="1" x14ac:dyDescent="0.2">
      <c r="A1801" s="1929" t="s">
        <v>1694</v>
      </c>
      <c r="B1801" s="1929" t="s">
        <v>1217</v>
      </c>
      <c r="C1801" s="1929" t="s">
        <v>1456</v>
      </c>
      <c r="D1801" s="1929" t="s">
        <v>1226</v>
      </c>
      <c r="E1801" s="1929" t="s">
        <v>63</v>
      </c>
      <c r="F1801" s="1929">
        <v>15.6</v>
      </c>
      <c r="G1801" s="1929">
        <v>5.3</v>
      </c>
      <c r="H1801" s="1929">
        <v>0.3</v>
      </c>
      <c r="I1801" s="1929">
        <v>12.8</v>
      </c>
      <c r="J1801" s="1929">
        <v>1236</v>
      </c>
      <c r="K1801" s="1929" t="s">
        <v>1693</v>
      </c>
    </row>
    <row r="1802" spans="1:11" hidden="1" x14ac:dyDescent="0.2">
      <c r="A1802" s="1929" t="s">
        <v>1692</v>
      </c>
      <c r="B1802" s="1929" t="s">
        <v>1306</v>
      </c>
      <c r="C1802" s="1929" t="s">
        <v>1413</v>
      </c>
      <c r="D1802" s="1929" t="s">
        <v>1226</v>
      </c>
      <c r="E1802" s="1929" t="s">
        <v>63</v>
      </c>
      <c r="F1802" s="1929">
        <v>19.100000000000001</v>
      </c>
      <c r="G1802" s="1929">
        <v>3</v>
      </c>
      <c r="H1802" s="1929">
        <v>0.6</v>
      </c>
      <c r="I1802" s="1929">
        <v>4</v>
      </c>
      <c r="J1802" s="1929">
        <v>1237</v>
      </c>
      <c r="K1802" s="1929" t="s">
        <v>1691</v>
      </c>
    </row>
    <row r="1803" spans="1:11" hidden="1" x14ac:dyDescent="0.2">
      <c r="A1803" s="1929" t="s">
        <v>1690</v>
      </c>
      <c r="B1803" s="1929" t="s">
        <v>1306</v>
      </c>
      <c r="C1803" s="1929" t="s">
        <v>1305</v>
      </c>
      <c r="D1803" s="1929" t="s">
        <v>1226</v>
      </c>
      <c r="E1803" s="1929" t="s">
        <v>63</v>
      </c>
      <c r="F1803" s="1929">
        <v>10.1</v>
      </c>
      <c r="G1803" s="1929">
        <v>5.7</v>
      </c>
      <c r="H1803" s="1929">
        <v>0.6</v>
      </c>
      <c r="I1803" s="1929">
        <v>9</v>
      </c>
      <c r="J1803" s="1929">
        <v>1238</v>
      </c>
      <c r="K1803" s="1929" t="s">
        <v>1689</v>
      </c>
    </row>
    <row r="1804" spans="1:11" hidden="1" x14ac:dyDescent="0.2">
      <c r="A1804" s="1929" t="s">
        <v>1688</v>
      </c>
      <c r="B1804" s="1929" t="s">
        <v>1306</v>
      </c>
      <c r="C1804" s="1929" t="s">
        <v>1389</v>
      </c>
      <c r="D1804" s="1929" t="s">
        <v>1226</v>
      </c>
      <c r="E1804" s="1929" t="s">
        <v>63</v>
      </c>
      <c r="F1804" s="1929">
        <v>17.3</v>
      </c>
      <c r="G1804" s="1929">
        <v>4.2</v>
      </c>
      <c r="H1804" s="1929">
        <v>0.6</v>
      </c>
      <c r="I1804" s="1929">
        <v>3.5</v>
      </c>
      <c r="J1804" s="1929">
        <v>1241</v>
      </c>
      <c r="K1804" s="1929" t="s">
        <v>1687</v>
      </c>
    </row>
    <row r="1805" spans="1:11" hidden="1" x14ac:dyDescent="0.2">
      <c r="A1805" s="1929" t="s">
        <v>1686</v>
      </c>
      <c r="B1805" s="1929" t="s">
        <v>1245</v>
      </c>
      <c r="C1805" s="1929" t="s">
        <v>1320</v>
      </c>
      <c r="D1805" s="1929" t="s">
        <v>1226</v>
      </c>
      <c r="E1805" s="1929" t="s">
        <v>63</v>
      </c>
      <c r="F1805" s="1929">
        <v>16.899999999999999</v>
      </c>
      <c r="G1805" s="1929">
        <v>2.6</v>
      </c>
      <c r="H1805" s="1929">
        <v>0.7</v>
      </c>
      <c r="I1805" s="1929">
        <v>6.4</v>
      </c>
      <c r="J1805" s="1929">
        <v>1242</v>
      </c>
      <c r="K1805" s="1929" t="s">
        <v>1685</v>
      </c>
    </row>
    <row r="1806" spans="1:11" hidden="1" x14ac:dyDescent="0.2">
      <c r="A1806" s="1929" t="s">
        <v>1684</v>
      </c>
      <c r="B1806" s="1929" t="s">
        <v>1306</v>
      </c>
      <c r="C1806" s="1929" t="s">
        <v>1389</v>
      </c>
      <c r="D1806" s="1929" t="s">
        <v>1226</v>
      </c>
      <c r="E1806" s="1929" t="s">
        <v>63</v>
      </c>
      <c r="F1806" s="1929">
        <v>11.4</v>
      </c>
      <c r="G1806" s="1929">
        <v>5.7</v>
      </c>
      <c r="H1806" s="1929">
        <v>0.6</v>
      </c>
      <c r="I1806" s="1929">
        <v>4.4000000000000004</v>
      </c>
      <c r="J1806" s="1929">
        <v>1244</v>
      </c>
      <c r="K1806" s="1929" t="s">
        <v>1683</v>
      </c>
    </row>
    <row r="1807" spans="1:11" hidden="1" x14ac:dyDescent="0.2">
      <c r="A1807" s="1929" t="s">
        <v>1682</v>
      </c>
      <c r="B1807" s="1929" t="s">
        <v>1245</v>
      </c>
      <c r="C1807" s="1929" t="s">
        <v>1429</v>
      </c>
      <c r="D1807" s="1929" t="s">
        <v>1226</v>
      </c>
      <c r="E1807" s="1929" t="s">
        <v>63</v>
      </c>
      <c r="F1807" s="1929">
        <v>14.6</v>
      </c>
      <c r="G1807" s="1929">
        <v>4.5999999999999996</v>
      </c>
      <c r="H1807" s="1929">
        <v>0.6</v>
      </c>
      <c r="I1807" s="1929">
        <v>6.2</v>
      </c>
      <c r="J1807" s="1929">
        <v>1246</v>
      </c>
      <c r="K1807" s="1929" t="s">
        <v>1681</v>
      </c>
    </row>
    <row r="1808" spans="1:11" hidden="1" x14ac:dyDescent="0.2">
      <c r="A1808" s="1929" t="s">
        <v>1680</v>
      </c>
      <c r="B1808" s="1929" t="s">
        <v>1258</v>
      </c>
      <c r="C1808" s="1929" t="s">
        <v>1263</v>
      </c>
      <c r="D1808" s="1929" t="s">
        <v>1226</v>
      </c>
      <c r="E1808" s="1929" t="s">
        <v>63</v>
      </c>
      <c r="F1808" s="1929">
        <v>16.2</v>
      </c>
      <c r="G1808" s="1929">
        <v>3.1</v>
      </c>
      <c r="H1808" s="1929">
        <v>0.7</v>
      </c>
      <c r="I1808" s="1929">
        <v>8</v>
      </c>
      <c r="J1808" s="1929">
        <v>1254</v>
      </c>
      <c r="K1808" s="1929" t="s">
        <v>1679</v>
      </c>
    </row>
    <row r="1809" spans="1:11" hidden="1" x14ac:dyDescent="0.2">
      <c r="A1809" s="1929" t="s">
        <v>1678</v>
      </c>
      <c r="B1809" s="1929" t="s">
        <v>1217</v>
      </c>
      <c r="C1809" s="1929" t="s">
        <v>1368</v>
      </c>
      <c r="D1809" s="1929" t="s">
        <v>1226</v>
      </c>
      <c r="E1809" s="1929" t="s">
        <v>63</v>
      </c>
      <c r="F1809" s="1929">
        <v>7.8</v>
      </c>
      <c r="G1809" s="1929">
        <v>4.5999999999999996</v>
      </c>
      <c r="H1809" s="1929">
        <v>0.4</v>
      </c>
      <c r="I1809" s="1929">
        <v>21.9</v>
      </c>
      <c r="J1809" s="1929">
        <v>1260</v>
      </c>
      <c r="K1809" s="1929" t="s">
        <v>1677</v>
      </c>
    </row>
    <row r="1810" spans="1:11" hidden="1" x14ac:dyDescent="0.2">
      <c r="A1810" s="1929" t="s">
        <v>1676</v>
      </c>
      <c r="B1810" s="1929" t="s">
        <v>1217</v>
      </c>
      <c r="C1810" s="1929" t="s">
        <v>1456</v>
      </c>
      <c r="D1810" s="1929" t="s">
        <v>1226</v>
      </c>
      <c r="E1810" s="1929" t="s">
        <v>63</v>
      </c>
      <c r="F1810" s="1929">
        <v>17.3</v>
      </c>
      <c r="G1810" s="1929">
        <v>2.9</v>
      </c>
      <c r="H1810" s="1929">
        <v>0.1</v>
      </c>
      <c r="I1810" s="1929">
        <v>23.1</v>
      </c>
      <c r="J1810" s="1929">
        <v>1264</v>
      </c>
      <c r="K1810" s="1929" t="s">
        <v>1675</v>
      </c>
    </row>
    <row r="1811" spans="1:11" hidden="1" x14ac:dyDescent="0.2">
      <c r="A1811" s="1929" t="s">
        <v>1674</v>
      </c>
      <c r="B1811" s="1929" t="s">
        <v>1228</v>
      </c>
      <c r="C1811" s="1929" t="s">
        <v>1297</v>
      </c>
      <c r="D1811" s="1929" t="s">
        <v>1226</v>
      </c>
      <c r="E1811" s="1929" t="s">
        <v>63</v>
      </c>
      <c r="F1811" s="1929">
        <v>6.5</v>
      </c>
      <c r="G1811" s="1929">
        <v>17.5</v>
      </c>
      <c r="H1811" s="1929">
        <v>0.4</v>
      </c>
      <c r="I1811" s="1929">
        <v>7.9</v>
      </c>
      <c r="J1811" s="1929">
        <v>1267</v>
      </c>
      <c r="K1811" s="1929" t="s">
        <v>1673</v>
      </c>
    </row>
    <row r="1812" spans="1:11" hidden="1" x14ac:dyDescent="0.2">
      <c r="A1812" s="1929" t="s">
        <v>1672</v>
      </c>
      <c r="B1812" s="1929" t="s">
        <v>1234</v>
      </c>
      <c r="C1812" s="1929" t="s">
        <v>1337</v>
      </c>
      <c r="D1812" s="1929" t="s">
        <v>1226</v>
      </c>
      <c r="E1812" s="1929" t="s">
        <v>63</v>
      </c>
      <c r="F1812" s="1929">
        <v>9.1</v>
      </c>
      <c r="G1812" s="1929">
        <v>4.4000000000000004</v>
      </c>
      <c r="H1812" s="1929">
        <v>0.7</v>
      </c>
      <c r="I1812" s="1929">
        <v>11.4</v>
      </c>
      <c r="J1812" s="1929">
        <v>1279</v>
      </c>
      <c r="K1812" s="1929" t="s">
        <v>1671</v>
      </c>
    </row>
    <row r="1813" spans="1:11" hidden="1" x14ac:dyDescent="0.2">
      <c r="A1813" s="1929" t="s">
        <v>1670</v>
      </c>
      <c r="B1813" s="1929" t="s">
        <v>1217</v>
      </c>
      <c r="C1813" s="1929" t="s">
        <v>1216</v>
      </c>
      <c r="D1813" s="1929" t="s">
        <v>1226</v>
      </c>
      <c r="E1813" s="1929" t="s">
        <v>63</v>
      </c>
      <c r="F1813" s="1929">
        <v>5.8</v>
      </c>
      <c r="G1813" s="1929">
        <v>2.2999999999999998</v>
      </c>
      <c r="H1813" s="1929">
        <v>0.4</v>
      </c>
      <c r="I1813" s="1929">
        <v>56.4</v>
      </c>
      <c r="J1813" s="1929">
        <v>1288</v>
      </c>
      <c r="K1813" s="1929" t="s">
        <v>1669</v>
      </c>
    </row>
    <row r="1814" spans="1:11" hidden="1" x14ac:dyDescent="0.2">
      <c r="A1814" s="1929" t="s">
        <v>1668</v>
      </c>
      <c r="B1814" s="1929" t="s">
        <v>1217</v>
      </c>
      <c r="C1814" s="1929" t="s">
        <v>1456</v>
      </c>
      <c r="D1814" s="1929" t="s">
        <v>1226</v>
      </c>
      <c r="E1814" s="1929" t="s">
        <v>63</v>
      </c>
      <c r="F1814" s="1929">
        <v>18.600000000000001</v>
      </c>
      <c r="G1814" s="1929">
        <v>2.7</v>
      </c>
      <c r="H1814" s="1929">
        <v>0.1</v>
      </c>
      <c r="I1814" s="1929">
        <v>20.100000000000001</v>
      </c>
      <c r="J1814" s="1929">
        <v>1294</v>
      </c>
      <c r="K1814" s="1929" t="s">
        <v>1667</v>
      </c>
    </row>
    <row r="1815" spans="1:11" hidden="1" x14ac:dyDescent="0.2">
      <c r="A1815" s="1929" t="s">
        <v>1666</v>
      </c>
      <c r="B1815" s="1929" t="s">
        <v>1245</v>
      </c>
      <c r="C1815" s="1929" t="s">
        <v>1507</v>
      </c>
      <c r="D1815" s="1929" t="s">
        <v>1226</v>
      </c>
      <c r="E1815" s="1929" t="s">
        <v>63</v>
      </c>
      <c r="F1815" s="1929">
        <v>13.2</v>
      </c>
      <c r="G1815" s="1929">
        <v>4.7</v>
      </c>
      <c r="H1815" s="1929">
        <v>0.4</v>
      </c>
      <c r="I1815" s="1929">
        <v>10.3</v>
      </c>
      <c r="J1815" s="1929">
        <v>1303</v>
      </c>
      <c r="K1815" s="1929" t="s">
        <v>1665</v>
      </c>
    </row>
    <row r="1816" spans="1:11" hidden="1" x14ac:dyDescent="0.2">
      <c r="A1816" s="1929" t="s">
        <v>1664</v>
      </c>
      <c r="B1816" s="1929" t="s">
        <v>1269</v>
      </c>
      <c r="C1816" s="1929" t="s">
        <v>1268</v>
      </c>
      <c r="D1816" s="1929" t="s">
        <v>1226</v>
      </c>
      <c r="E1816" s="1929" t="s">
        <v>63</v>
      </c>
      <c r="F1816" s="1929">
        <v>8.1</v>
      </c>
      <c r="G1816" s="1929">
        <v>7.3</v>
      </c>
      <c r="H1816" s="1929">
        <v>0.5</v>
      </c>
      <c r="I1816" s="1929">
        <v>8.3000000000000007</v>
      </c>
      <c r="J1816" s="1929">
        <v>1306</v>
      </c>
      <c r="K1816" s="1929" t="s">
        <v>1663</v>
      </c>
    </row>
    <row r="1817" spans="1:11" hidden="1" x14ac:dyDescent="0.2">
      <c r="A1817" s="1929" t="s">
        <v>1662</v>
      </c>
      <c r="B1817" s="1929" t="s">
        <v>1269</v>
      </c>
      <c r="C1817" s="1929" t="s">
        <v>1340</v>
      </c>
      <c r="D1817" s="1929" t="s">
        <v>1226</v>
      </c>
      <c r="E1817" s="1929" t="s">
        <v>63</v>
      </c>
      <c r="F1817" s="1929">
        <v>30.7</v>
      </c>
      <c r="G1817" s="1929">
        <v>2.1</v>
      </c>
      <c r="H1817" s="1929">
        <v>0.4</v>
      </c>
      <c r="I1817" s="1929">
        <v>3</v>
      </c>
      <c r="J1817" s="1929">
        <v>1310</v>
      </c>
      <c r="K1817" s="1929" t="s">
        <v>1661</v>
      </c>
    </row>
    <row r="1818" spans="1:11" hidden="1" x14ac:dyDescent="0.2">
      <c r="A1818" s="1929" t="s">
        <v>1660</v>
      </c>
      <c r="D1818" s="1929" t="s">
        <v>1226</v>
      </c>
      <c r="E1818" s="1929" t="s">
        <v>63</v>
      </c>
      <c r="F1818" s="1929">
        <v>16.3</v>
      </c>
      <c r="G1818" s="1929">
        <v>4.4000000000000004</v>
      </c>
      <c r="H1818" s="1929">
        <v>0.5</v>
      </c>
      <c r="I1818" s="1929">
        <v>3.7</v>
      </c>
      <c r="J1818" s="1929">
        <v>1315</v>
      </c>
      <c r="K1818" s="1929" t="s">
        <v>1659</v>
      </c>
    </row>
    <row r="1819" spans="1:11" hidden="1" x14ac:dyDescent="0.2">
      <c r="A1819" s="1929" t="s">
        <v>1658</v>
      </c>
      <c r="B1819" s="1929" t="s">
        <v>1217</v>
      </c>
      <c r="C1819" s="1929" t="s">
        <v>1302</v>
      </c>
      <c r="D1819" s="1929" t="s">
        <v>1226</v>
      </c>
      <c r="E1819" s="1929" t="s">
        <v>63</v>
      </c>
      <c r="F1819" s="1929">
        <v>7</v>
      </c>
      <c r="G1819" s="1929">
        <v>3.8</v>
      </c>
      <c r="H1819" s="1929">
        <v>0.5</v>
      </c>
      <c r="I1819" s="1929">
        <v>18.2</v>
      </c>
      <c r="J1819" s="1929">
        <v>1316</v>
      </c>
      <c r="K1819" s="1929" t="s">
        <v>1657</v>
      </c>
    </row>
    <row r="1820" spans="1:11" hidden="1" x14ac:dyDescent="0.2">
      <c r="A1820" s="1929" t="s">
        <v>1656</v>
      </c>
      <c r="B1820" s="1929" t="s">
        <v>1228</v>
      </c>
      <c r="C1820" s="1929" t="s">
        <v>1227</v>
      </c>
      <c r="D1820" s="1929" t="s">
        <v>1226</v>
      </c>
      <c r="E1820" s="1929" t="s">
        <v>63</v>
      </c>
      <c r="F1820" s="1929">
        <v>15.5</v>
      </c>
      <c r="G1820" s="1929">
        <v>2.4</v>
      </c>
      <c r="H1820" s="1929">
        <v>0.6</v>
      </c>
      <c r="I1820" s="1929">
        <v>7.1</v>
      </c>
      <c r="J1820" s="1929">
        <v>1320</v>
      </c>
      <c r="K1820" s="1929" t="s">
        <v>1655</v>
      </c>
    </row>
    <row r="1821" spans="1:11" hidden="1" x14ac:dyDescent="0.2">
      <c r="A1821" s="1929" t="s">
        <v>1654</v>
      </c>
      <c r="B1821" s="1929" t="s">
        <v>1269</v>
      </c>
      <c r="C1821" s="1929" t="s">
        <v>1268</v>
      </c>
      <c r="D1821" s="1929" t="s">
        <v>1226</v>
      </c>
      <c r="E1821" s="1929" t="s">
        <v>63</v>
      </c>
      <c r="F1821" s="1929">
        <v>9.4</v>
      </c>
      <c r="G1821" s="1929">
        <v>14.8</v>
      </c>
      <c r="H1821" s="1929">
        <v>0.3</v>
      </c>
      <c r="I1821" s="1929">
        <v>8</v>
      </c>
      <c r="J1821" s="1929">
        <v>1323</v>
      </c>
      <c r="K1821" s="1929" t="s">
        <v>1653</v>
      </c>
    </row>
    <row r="1822" spans="1:11" hidden="1" x14ac:dyDescent="0.2">
      <c r="A1822" s="1929" t="s">
        <v>1652</v>
      </c>
      <c r="B1822" s="1929" t="s">
        <v>1217</v>
      </c>
      <c r="C1822" s="1929" t="s">
        <v>1302</v>
      </c>
      <c r="D1822" s="1929" t="s">
        <v>1226</v>
      </c>
      <c r="E1822" s="1929" t="s">
        <v>63</v>
      </c>
      <c r="F1822" s="1929">
        <v>4.0999999999999996</v>
      </c>
      <c r="G1822" s="1929">
        <v>4.5</v>
      </c>
      <c r="H1822" s="1929">
        <v>0.5</v>
      </c>
      <c r="I1822" s="1929">
        <v>34.799999999999997</v>
      </c>
      <c r="J1822" s="1929">
        <v>1324</v>
      </c>
      <c r="K1822" s="1929" t="s">
        <v>1651</v>
      </c>
    </row>
    <row r="1823" spans="1:11" hidden="1" x14ac:dyDescent="0.2">
      <c r="A1823" s="1929" t="s">
        <v>1650</v>
      </c>
      <c r="B1823" s="1929" t="s">
        <v>1269</v>
      </c>
      <c r="C1823" s="1929" t="s">
        <v>1504</v>
      </c>
      <c r="D1823" s="1929" t="s">
        <v>1226</v>
      </c>
      <c r="E1823" s="1929" t="s">
        <v>63</v>
      </c>
      <c r="F1823" s="1929">
        <v>14.7</v>
      </c>
      <c r="G1823" s="1929">
        <v>4.5999999999999996</v>
      </c>
      <c r="H1823" s="1929">
        <v>0.5</v>
      </c>
      <c r="I1823" s="1929">
        <v>6.6</v>
      </c>
      <c r="J1823" s="1929">
        <v>1330</v>
      </c>
      <c r="K1823" s="1929" t="s">
        <v>1649</v>
      </c>
    </row>
    <row r="1824" spans="1:11" hidden="1" x14ac:dyDescent="0.2">
      <c r="A1824" s="1929" t="s">
        <v>1648</v>
      </c>
      <c r="B1824" s="1929" t="s">
        <v>1258</v>
      </c>
      <c r="C1824" s="1929" t="s">
        <v>1257</v>
      </c>
      <c r="D1824" s="1929" t="s">
        <v>1226</v>
      </c>
      <c r="E1824" s="1929" t="s">
        <v>63</v>
      </c>
      <c r="F1824" s="1929">
        <v>11.7</v>
      </c>
      <c r="G1824" s="1929">
        <v>3.4</v>
      </c>
      <c r="H1824" s="1929">
        <v>0.7</v>
      </c>
      <c r="I1824" s="1929">
        <v>6.4</v>
      </c>
      <c r="J1824" s="1929">
        <v>1333</v>
      </c>
      <c r="K1824" s="1929" t="s">
        <v>1647</v>
      </c>
    </row>
    <row r="1825" spans="1:11" hidden="1" x14ac:dyDescent="0.2">
      <c r="A1825" s="1929" t="s">
        <v>1646</v>
      </c>
      <c r="B1825" s="1929" t="s">
        <v>1245</v>
      </c>
      <c r="C1825" s="1929" t="s">
        <v>1320</v>
      </c>
      <c r="D1825" s="1929" t="s">
        <v>1226</v>
      </c>
      <c r="E1825" s="1929" t="s">
        <v>63</v>
      </c>
      <c r="F1825" s="1929">
        <v>14.7</v>
      </c>
      <c r="G1825" s="1929">
        <v>2.2999999999999998</v>
      </c>
      <c r="H1825" s="1929">
        <v>0.6</v>
      </c>
      <c r="I1825" s="1929">
        <v>5</v>
      </c>
      <c r="J1825" s="1929">
        <v>1338</v>
      </c>
      <c r="K1825" s="1929" t="s">
        <v>1645</v>
      </c>
    </row>
    <row r="1826" spans="1:11" hidden="1" x14ac:dyDescent="0.2">
      <c r="A1826" s="1929" t="s">
        <v>1644</v>
      </c>
      <c r="B1826" s="1929" t="s">
        <v>1238</v>
      </c>
      <c r="C1826" s="1929" t="s">
        <v>1349</v>
      </c>
      <c r="D1826" s="1929" t="s">
        <v>1226</v>
      </c>
      <c r="E1826" s="1929" t="s">
        <v>63</v>
      </c>
      <c r="F1826" s="1929">
        <v>10.9</v>
      </c>
      <c r="G1826" s="1929">
        <v>4.5999999999999996</v>
      </c>
      <c r="H1826" s="1929">
        <v>0.6</v>
      </c>
      <c r="I1826" s="1929">
        <v>7.1</v>
      </c>
      <c r="J1826" s="1929">
        <v>1341</v>
      </c>
      <c r="K1826" s="1929" t="s">
        <v>1643</v>
      </c>
    </row>
    <row r="1827" spans="1:11" hidden="1" x14ac:dyDescent="0.2">
      <c r="A1827" s="1929" t="s">
        <v>1642</v>
      </c>
      <c r="B1827" s="1929" t="s">
        <v>1269</v>
      </c>
      <c r="C1827" s="1929" t="s">
        <v>1268</v>
      </c>
      <c r="D1827" s="1929" t="s">
        <v>1226</v>
      </c>
      <c r="E1827" s="1929" t="s">
        <v>63</v>
      </c>
      <c r="F1827" s="1929">
        <v>8.6999999999999993</v>
      </c>
      <c r="G1827" s="1929">
        <v>5.8</v>
      </c>
      <c r="H1827" s="1929">
        <v>0.6</v>
      </c>
      <c r="I1827" s="1929">
        <v>7</v>
      </c>
      <c r="J1827" s="1929">
        <v>1343</v>
      </c>
      <c r="K1827" s="1929" t="s">
        <v>1641</v>
      </c>
    </row>
    <row r="1828" spans="1:11" hidden="1" x14ac:dyDescent="0.2">
      <c r="A1828" s="1929" t="s">
        <v>1640</v>
      </c>
      <c r="B1828" s="1929" t="s">
        <v>1228</v>
      </c>
      <c r="C1828" s="1929" t="s">
        <v>1639</v>
      </c>
      <c r="D1828" s="1929" t="s">
        <v>1226</v>
      </c>
      <c r="E1828" s="1929" t="s">
        <v>63</v>
      </c>
      <c r="F1828" s="1929">
        <v>6.6</v>
      </c>
      <c r="G1828" s="1929">
        <v>10.5</v>
      </c>
      <c r="H1828" s="1929">
        <v>0.4</v>
      </c>
      <c r="I1828" s="1929">
        <v>3.9</v>
      </c>
      <c r="J1828" s="1929">
        <v>1347</v>
      </c>
      <c r="K1828" s="1929" t="s">
        <v>1638</v>
      </c>
    </row>
    <row r="1829" spans="1:11" hidden="1" x14ac:dyDescent="0.2">
      <c r="A1829" s="1929" t="s">
        <v>1637</v>
      </c>
      <c r="B1829" s="1929" t="s">
        <v>1217</v>
      </c>
      <c r="C1829" s="1929" t="s">
        <v>1302</v>
      </c>
      <c r="D1829" s="1929" t="s">
        <v>1226</v>
      </c>
      <c r="E1829" s="1929" t="s">
        <v>63</v>
      </c>
      <c r="F1829" s="1929">
        <v>4.2</v>
      </c>
      <c r="G1829" s="1929">
        <v>4</v>
      </c>
      <c r="H1829" s="1929">
        <v>0.4</v>
      </c>
      <c r="I1829" s="1929">
        <v>69.2</v>
      </c>
      <c r="J1829" s="1929">
        <v>1355</v>
      </c>
      <c r="K1829" s="1929" t="s">
        <v>1636</v>
      </c>
    </row>
    <row r="1830" spans="1:11" hidden="1" x14ac:dyDescent="0.2">
      <c r="A1830" s="1929" t="s">
        <v>1635</v>
      </c>
      <c r="B1830" s="1929" t="s">
        <v>1228</v>
      </c>
      <c r="C1830" s="1929" t="s">
        <v>1276</v>
      </c>
      <c r="D1830" s="1929" t="s">
        <v>1226</v>
      </c>
      <c r="E1830" s="1929" t="s">
        <v>63</v>
      </c>
      <c r="F1830" s="1929">
        <v>10.3</v>
      </c>
      <c r="G1830" s="1929">
        <v>8.1999999999999993</v>
      </c>
      <c r="H1830" s="1929">
        <v>0.1</v>
      </c>
      <c r="I1830" s="1929">
        <v>11.6</v>
      </c>
      <c r="J1830" s="1929">
        <v>1357</v>
      </c>
      <c r="K1830" s="1929" t="s">
        <v>1634</v>
      </c>
    </row>
    <row r="1831" spans="1:11" hidden="1" x14ac:dyDescent="0.2">
      <c r="A1831" s="1929" t="s">
        <v>1633</v>
      </c>
      <c r="B1831" s="1929" t="s">
        <v>1310</v>
      </c>
      <c r="C1831" s="1929" t="s">
        <v>1309</v>
      </c>
      <c r="D1831" s="1929" t="s">
        <v>1226</v>
      </c>
      <c r="E1831" s="1929" t="s">
        <v>63</v>
      </c>
      <c r="F1831" s="1929">
        <v>8.9</v>
      </c>
      <c r="G1831" s="1929">
        <v>6.5</v>
      </c>
      <c r="H1831" s="1929">
        <v>0</v>
      </c>
      <c r="I1831" s="1929">
        <v>16.600000000000001</v>
      </c>
      <c r="J1831" s="1929">
        <v>1359</v>
      </c>
      <c r="K1831" s="1929" t="s">
        <v>1632</v>
      </c>
    </row>
    <row r="1832" spans="1:11" hidden="1" x14ac:dyDescent="0.2">
      <c r="A1832" s="1929" t="s">
        <v>1631</v>
      </c>
      <c r="B1832" s="1929" t="s">
        <v>1238</v>
      </c>
      <c r="C1832" s="1929" t="s">
        <v>1241</v>
      </c>
      <c r="D1832" s="1929" t="s">
        <v>1226</v>
      </c>
      <c r="E1832" s="1929" t="s">
        <v>63</v>
      </c>
      <c r="F1832" s="1929">
        <v>7.2</v>
      </c>
      <c r="G1832" s="1929">
        <v>6.6</v>
      </c>
      <c r="H1832" s="1929">
        <v>0.5</v>
      </c>
      <c r="I1832" s="1929">
        <v>8.9</v>
      </c>
      <c r="J1832" s="1929">
        <v>1367</v>
      </c>
      <c r="K1832" s="1929" t="s">
        <v>1630</v>
      </c>
    </row>
    <row r="1833" spans="1:11" hidden="1" x14ac:dyDescent="0.2">
      <c r="A1833" s="1929" t="s">
        <v>1629</v>
      </c>
      <c r="B1833" s="1929" t="s">
        <v>1238</v>
      </c>
      <c r="C1833" s="1929" t="s">
        <v>1237</v>
      </c>
      <c r="D1833" s="1929" t="s">
        <v>1226</v>
      </c>
      <c r="E1833" s="1929" t="s">
        <v>63</v>
      </c>
      <c r="F1833" s="1929">
        <v>5.0999999999999996</v>
      </c>
      <c r="G1833" s="1929">
        <v>10.8</v>
      </c>
      <c r="H1833" s="1929">
        <v>0.6</v>
      </c>
      <c r="I1833" s="1929">
        <v>8.4</v>
      </c>
      <c r="J1833" s="1929">
        <v>1369</v>
      </c>
      <c r="K1833" s="1929" t="s">
        <v>1628</v>
      </c>
    </row>
    <row r="1834" spans="1:11" hidden="1" x14ac:dyDescent="0.2">
      <c r="A1834" s="1929" t="s">
        <v>1627</v>
      </c>
      <c r="B1834" s="1929" t="s">
        <v>1306</v>
      </c>
      <c r="C1834" s="1929" t="s">
        <v>1626</v>
      </c>
      <c r="D1834" s="1929" t="s">
        <v>1226</v>
      </c>
      <c r="E1834" s="1929" t="s">
        <v>63</v>
      </c>
      <c r="F1834" s="1929">
        <v>6.2</v>
      </c>
      <c r="G1834" s="1929">
        <v>25.4</v>
      </c>
      <c r="H1834" s="1929">
        <v>0.3</v>
      </c>
      <c r="I1834" s="1929">
        <v>7.1</v>
      </c>
      <c r="J1834" s="1929">
        <v>1370</v>
      </c>
      <c r="K1834" s="1929" t="s">
        <v>1625</v>
      </c>
    </row>
    <row r="1835" spans="1:11" hidden="1" x14ac:dyDescent="0.2">
      <c r="A1835" s="1929" t="s">
        <v>1624</v>
      </c>
      <c r="B1835" s="1929" t="s">
        <v>1228</v>
      </c>
      <c r="C1835" s="1929" t="s">
        <v>1514</v>
      </c>
      <c r="D1835" s="1929" t="s">
        <v>1226</v>
      </c>
      <c r="E1835" s="1929" t="s">
        <v>63</v>
      </c>
      <c r="F1835" s="1929">
        <v>10</v>
      </c>
      <c r="G1835" s="1929">
        <v>7.3</v>
      </c>
      <c r="H1835" s="1929">
        <v>0.3</v>
      </c>
      <c r="I1835" s="1929">
        <v>8.5</v>
      </c>
      <c r="J1835" s="1929">
        <v>1371</v>
      </c>
      <c r="K1835" s="1929" t="s">
        <v>1623</v>
      </c>
    </row>
    <row r="1836" spans="1:11" hidden="1" x14ac:dyDescent="0.2">
      <c r="A1836" s="1929" t="s">
        <v>1622</v>
      </c>
      <c r="B1836" s="1929" t="s">
        <v>1269</v>
      </c>
      <c r="C1836" s="1929" t="s">
        <v>1294</v>
      </c>
      <c r="D1836" s="1929" t="s">
        <v>1226</v>
      </c>
      <c r="E1836" s="1929" t="s">
        <v>63</v>
      </c>
      <c r="F1836" s="1929">
        <v>11.6</v>
      </c>
      <c r="G1836" s="1929">
        <v>3</v>
      </c>
      <c r="H1836" s="1929">
        <v>0.7</v>
      </c>
      <c r="I1836" s="1929">
        <v>5</v>
      </c>
      <c r="J1836" s="1929">
        <v>1373</v>
      </c>
      <c r="K1836" s="1929" t="s">
        <v>1621</v>
      </c>
    </row>
    <row r="1837" spans="1:11" hidden="1" x14ac:dyDescent="0.2">
      <c r="A1837" s="1929" t="s">
        <v>1620</v>
      </c>
      <c r="B1837" s="1929" t="s">
        <v>1310</v>
      </c>
      <c r="C1837" s="1929" t="s">
        <v>1309</v>
      </c>
      <c r="D1837" s="1929" t="s">
        <v>1226</v>
      </c>
      <c r="E1837" s="1929" t="s">
        <v>63</v>
      </c>
      <c r="F1837" s="1929">
        <v>7.2</v>
      </c>
      <c r="G1837" s="1929">
        <v>4.5</v>
      </c>
      <c r="H1837" s="1929">
        <v>0.5</v>
      </c>
      <c r="I1837" s="1929">
        <v>15.2</v>
      </c>
      <c r="J1837" s="1929">
        <v>1374</v>
      </c>
      <c r="K1837" s="1929" t="s">
        <v>1619</v>
      </c>
    </row>
    <row r="1838" spans="1:11" hidden="1" x14ac:dyDescent="0.2">
      <c r="A1838" s="1929" t="s">
        <v>1618</v>
      </c>
      <c r="B1838" s="1929" t="s">
        <v>1228</v>
      </c>
      <c r="C1838" s="1929" t="s">
        <v>1227</v>
      </c>
      <c r="D1838" s="1929" t="s">
        <v>1226</v>
      </c>
      <c r="E1838" s="1929" t="s">
        <v>63</v>
      </c>
      <c r="F1838" s="1929">
        <v>6.5</v>
      </c>
      <c r="G1838" s="1929">
        <v>20.2</v>
      </c>
      <c r="H1838" s="1929">
        <v>0.3</v>
      </c>
      <c r="I1838" s="1929">
        <v>7.3</v>
      </c>
      <c r="J1838" s="1929">
        <v>1375</v>
      </c>
      <c r="K1838" s="1929" t="s">
        <v>1617</v>
      </c>
    </row>
    <row r="1839" spans="1:11" hidden="1" x14ac:dyDescent="0.2">
      <c r="A1839" s="1929" t="s">
        <v>1616</v>
      </c>
      <c r="B1839" s="1929" t="s">
        <v>1234</v>
      </c>
      <c r="C1839" s="1929" t="s">
        <v>1352</v>
      </c>
      <c r="D1839" s="1929" t="s">
        <v>1226</v>
      </c>
      <c r="E1839" s="1929" t="s">
        <v>63</v>
      </c>
      <c r="F1839" s="1929">
        <v>7.7</v>
      </c>
      <c r="G1839" s="1929">
        <v>8.5</v>
      </c>
      <c r="H1839" s="1929">
        <v>0.4</v>
      </c>
      <c r="I1839" s="1929">
        <v>7.8</v>
      </c>
      <c r="J1839" s="1929">
        <v>1379</v>
      </c>
      <c r="K1839" s="1929" t="s">
        <v>1615</v>
      </c>
    </row>
    <row r="1840" spans="1:11" hidden="1" x14ac:dyDescent="0.2">
      <c r="A1840" s="1929" t="s">
        <v>1614</v>
      </c>
      <c r="B1840" s="1929" t="s">
        <v>1238</v>
      </c>
      <c r="C1840" s="1929" t="s">
        <v>1609</v>
      </c>
      <c r="D1840" s="1929" t="s">
        <v>1226</v>
      </c>
      <c r="E1840" s="1929" t="s">
        <v>63</v>
      </c>
      <c r="F1840" s="1929">
        <v>10.8</v>
      </c>
      <c r="G1840" s="1929">
        <v>5</v>
      </c>
      <c r="H1840" s="1929">
        <v>0.5</v>
      </c>
      <c r="I1840" s="1929">
        <v>5</v>
      </c>
      <c r="J1840" s="1929">
        <v>1390</v>
      </c>
      <c r="K1840" s="1929" t="s">
        <v>1613</v>
      </c>
    </row>
    <row r="1841" spans="1:11" hidden="1" x14ac:dyDescent="0.2">
      <c r="A1841" s="1929" t="s">
        <v>1612</v>
      </c>
      <c r="B1841" s="1929" t="s">
        <v>1217</v>
      </c>
      <c r="C1841" s="1929" t="s">
        <v>1252</v>
      </c>
      <c r="D1841" s="1929" t="s">
        <v>1226</v>
      </c>
      <c r="E1841" s="1929" t="s">
        <v>63</v>
      </c>
      <c r="F1841" s="1929">
        <v>8.3000000000000007</v>
      </c>
      <c r="G1841" s="1929">
        <v>4.3</v>
      </c>
      <c r="H1841" s="1929">
        <v>0.3</v>
      </c>
      <c r="I1841" s="1929">
        <v>24.6</v>
      </c>
      <c r="J1841" s="1929">
        <v>1394</v>
      </c>
      <c r="K1841" s="1929" t="s">
        <v>1611</v>
      </c>
    </row>
    <row r="1842" spans="1:11" hidden="1" x14ac:dyDescent="0.2">
      <c r="A1842" s="1929" t="s">
        <v>1610</v>
      </c>
      <c r="B1842" s="1929" t="s">
        <v>1238</v>
      </c>
      <c r="C1842" s="1929" t="s">
        <v>1609</v>
      </c>
      <c r="D1842" s="1929" t="s">
        <v>1226</v>
      </c>
      <c r="E1842" s="1929" t="s">
        <v>63</v>
      </c>
      <c r="F1842" s="1929">
        <v>13.4</v>
      </c>
      <c r="G1842" s="1929">
        <v>3.2</v>
      </c>
      <c r="H1842" s="1929">
        <v>0.5</v>
      </c>
      <c r="I1842" s="1929">
        <v>8.1999999999999993</v>
      </c>
      <c r="J1842" s="1929">
        <v>1409</v>
      </c>
      <c r="K1842" s="1929" t="s">
        <v>1608</v>
      </c>
    </row>
    <row r="1843" spans="1:11" hidden="1" x14ac:dyDescent="0.2">
      <c r="A1843" s="1929" t="s">
        <v>1607</v>
      </c>
      <c r="B1843" s="1929" t="s">
        <v>1228</v>
      </c>
      <c r="C1843" s="1929" t="s">
        <v>1606</v>
      </c>
      <c r="D1843" s="1929" t="s">
        <v>1226</v>
      </c>
      <c r="E1843" s="1929" t="s">
        <v>63</v>
      </c>
      <c r="F1843" s="1929">
        <v>9.5</v>
      </c>
      <c r="G1843" s="1929">
        <v>5</v>
      </c>
      <c r="H1843" s="1929">
        <v>0.4</v>
      </c>
      <c r="I1843" s="1929">
        <v>9.6999999999999993</v>
      </c>
      <c r="J1843" s="1929">
        <v>1410</v>
      </c>
      <c r="K1843" s="1929" t="s">
        <v>1605</v>
      </c>
    </row>
    <row r="1844" spans="1:11" hidden="1" x14ac:dyDescent="0.2">
      <c r="A1844" s="1929" t="s">
        <v>1604</v>
      </c>
      <c r="B1844" s="1929" t="s">
        <v>1269</v>
      </c>
      <c r="C1844" s="1929" t="s">
        <v>1268</v>
      </c>
      <c r="D1844" s="1929" t="s">
        <v>1226</v>
      </c>
      <c r="E1844" s="1929" t="s">
        <v>63</v>
      </c>
      <c r="F1844" s="1929">
        <v>4.4000000000000004</v>
      </c>
      <c r="G1844" s="1929">
        <v>13</v>
      </c>
      <c r="H1844" s="1929">
        <v>0.1</v>
      </c>
      <c r="I1844" s="1929">
        <v>17.100000000000001</v>
      </c>
      <c r="J1844" s="1929">
        <v>1411</v>
      </c>
      <c r="K1844" s="1929" t="s">
        <v>1603</v>
      </c>
    </row>
    <row r="1845" spans="1:11" hidden="1" x14ac:dyDescent="0.2">
      <c r="A1845" s="1929" t="s">
        <v>1602</v>
      </c>
      <c r="B1845" s="1929" t="s">
        <v>1228</v>
      </c>
      <c r="C1845" s="1929" t="s">
        <v>1297</v>
      </c>
      <c r="D1845" s="1929" t="s">
        <v>1226</v>
      </c>
      <c r="E1845" s="1929" t="s">
        <v>63</v>
      </c>
      <c r="F1845" s="1929">
        <v>9.3000000000000007</v>
      </c>
      <c r="G1845" s="1929">
        <v>6.5</v>
      </c>
      <c r="H1845" s="1929">
        <v>0.4</v>
      </c>
      <c r="I1845" s="1929">
        <v>5.6</v>
      </c>
      <c r="J1845" s="1929">
        <v>1412</v>
      </c>
      <c r="K1845" s="1929" t="s">
        <v>1601</v>
      </c>
    </row>
    <row r="1846" spans="1:11" hidden="1" x14ac:dyDescent="0.2">
      <c r="A1846" s="1929" t="s">
        <v>1600</v>
      </c>
      <c r="B1846" s="1929" t="s">
        <v>1245</v>
      </c>
      <c r="C1846" s="1929" t="s">
        <v>1286</v>
      </c>
      <c r="D1846" s="1929" t="s">
        <v>1226</v>
      </c>
      <c r="E1846" s="1929" t="s">
        <v>63</v>
      </c>
      <c r="F1846" s="1929">
        <v>32.799999999999997</v>
      </c>
      <c r="G1846" s="1929">
        <v>4</v>
      </c>
      <c r="H1846" s="1929">
        <v>0.3</v>
      </c>
      <c r="I1846" s="1929">
        <v>10.199999999999999</v>
      </c>
      <c r="J1846" s="1929">
        <v>1417</v>
      </c>
      <c r="K1846" s="1929" t="s">
        <v>1599</v>
      </c>
    </row>
    <row r="1847" spans="1:11" hidden="1" x14ac:dyDescent="0.2">
      <c r="A1847" s="1929" t="s">
        <v>1598</v>
      </c>
      <c r="B1847" s="1929" t="s">
        <v>1258</v>
      </c>
      <c r="C1847" s="1929" t="s">
        <v>1263</v>
      </c>
      <c r="D1847" s="1929" t="s">
        <v>1226</v>
      </c>
      <c r="E1847" s="1929" t="s">
        <v>63</v>
      </c>
      <c r="F1847" s="1929">
        <v>26.5</v>
      </c>
      <c r="G1847" s="1929">
        <v>3.5</v>
      </c>
      <c r="H1847" s="1929">
        <v>-0.8</v>
      </c>
      <c r="I1847" s="1929">
        <v>12.3</v>
      </c>
      <c r="J1847" s="1929">
        <v>1420</v>
      </c>
      <c r="K1847" s="1929" t="s">
        <v>1597</v>
      </c>
    </row>
    <row r="1848" spans="1:11" hidden="1" x14ac:dyDescent="0.2">
      <c r="A1848" s="1929" t="s">
        <v>1596</v>
      </c>
      <c r="D1848" s="1929" t="s">
        <v>1226</v>
      </c>
      <c r="E1848" s="1929" t="s">
        <v>63</v>
      </c>
      <c r="F1848" s="1929">
        <v>4.5999999999999996</v>
      </c>
      <c r="G1848" s="1929">
        <v>0.6</v>
      </c>
      <c r="H1848" s="1929">
        <v>0.3</v>
      </c>
      <c r="I1848" s="1929">
        <v>104.1</v>
      </c>
      <c r="J1848" s="1929">
        <v>1423</v>
      </c>
      <c r="K1848" s="1929" t="s">
        <v>1595</v>
      </c>
    </row>
    <row r="1849" spans="1:11" hidden="1" x14ac:dyDescent="0.2">
      <c r="A1849" s="1929" t="s">
        <v>1594</v>
      </c>
      <c r="B1849" s="1929" t="s">
        <v>1269</v>
      </c>
      <c r="C1849" s="1929" t="s">
        <v>1268</v>
      </c>
      <c r="D1849" s="1929" t="s">
        <v>1226</v>
      </c>
      <c r="E1849" s="1929" t="s">
        <v>63</v>
      </c>
      <c r="F1849" s="1929">
        <v>19.399999999999999</v>
      </c>
      <c r="G1849" s="1929">
        <v>2.9</v>
      </c>
      <c r="H1849" s="1929">
        <v>0.4</v>
      </c>
      <c r="I1849" s="1929">
        <v>4.0999999999999996</v>
      </c>
      <c r="J1849" s="1929">
        <v>1425</v>
      </c>
      <c r="K1849" s="1929" t="s">
        <v>1593</v>
      </c>
    </row>
    <row r="1850" spans="1:11" hidden="1" x14ac:dyDescent="0.2">
      <c r="A1850" s="1929" t="s">
        <v>1592</v>
      </c>
      <c r="B1850" s="1929" t="s">
        <v>1217</v>
      </c>
      <c r="C1850" s="1929" t="s">
        <v>1517</v>
      </c>
      <c r="D1850" s="1929" t="s">
        <v>1226</v>
      </c>
      <c r="E1850" s="1929" t="s">
        <v>63</v>
      </c>
      <c r="F1850" s="1929">
        <v>8.9</v>
      </c>
      <c r="G1850" s="1929">
        <v>5</v>
      </c>
      <c r="H1850" s="1929">
        <v>0.4</v>
      </c>
      <c r="I1850" s="1929">
        <v>11.2</v>
      </c>
      <c r="J1850" s="1929">
        <v>1427</v>
      </c>
      <c r="K1850" s="1929" t="s">
        <v>1591</v>
      </c>
    </row>
    <row r="1851" spans="1:11" hidden="1" x14ac:dyDescent="0.2">
      <c r="A1851" s="1929" t="s">
        <v>1590</v>
      </c>
      <c r="B1851" s="1929" t="s">
        <v>1228</v>
      </c>
      <c r="C1851" s="1929" t="s">
        <v>1589</v>
      </c>
      <c r="D1851" s="1929" t="s">
        <v>1226</v>
      </c>
      <c r="E1851" s="1929" t="s">
        <v>63</v>
      </c>
      <c r="F1851" s="1929">
        <v>2.8</v>
      </c>
      <c r="G1851" s="1929">
        <v>8.6</v>
      </c>
      <c r="H1851" s="1929">
        <v>-2.9</v>
      </c>
      <c r="I1851" s="1929">
        <v>24.7</v>
      </c>
      <c r="J1851" s="1929">
        <v>1428</v>
      </c>
      <c r="K1851" s="1929" t="s">
        <v>1588</v>
      </c>
    </row>
    <row r="1852" spans="1:11" hidden="1" x14ac:dyDescent="0.2">
      <c r="A1852" s="1929" t="s">
        <v>1587</v>
      </c>
      <c r="B1852" s="1929" t="s">
        <v>1258</v>
      </c>
      <c r="C1852" s="1929" t="s">
        <v>1263</v>
      </c>
      <c r="D1852" s="1929" t="s">
        <v>1226</v>
      </c>
      <c r="E1852" s="1929" t="s">
        <v>63</v>
      </c>
      <c r="F1852" s="1929">
        <v>15</v>
      </c>
      <c r="G1852" s="1929">
        <v>2.1</v>
      </c>
      <c r="H1852" s="1929">
        <v>0.4</v>
      </c>
      <c r="I1852" s="1929">
        <v>9.6999999999999993</v>
      </c>
      <c r="J1852" s="1929">
        <v>1433</v>
      </c>
      <c r="K1852" s="1929" t="s">
        <v>1586</v>
      </c>
    </row>
    <row r="1853" spans="1:11" hidden="1" x14ac:dyDescent="0.2">
      <c r="A1853" s="1929" t="s">
        <v>1585</v>
      </c>
      <c r="B1853" s="1929" t="s">
        <v>1238</v>
      </c>
      <c r="C1853" s="1929" t="s">
        <v>1584</v>
      </c>
      <c r="D1853" s="1929" t="s">
        <v>1226</v>
      </c>
      <c r="E1853" s="1929" t="s">
        <v>63</v>
      </c>
      <c r="F1853" s="1929">
        <v>12.9</v>
      </c>
      <c r="G1853" s="1929">
        <v>3.6</v>
      </c>
      <c r="H1853" s="1929">
        <v>0.5</v>
      </c>
      <c r="I1853" s="1929">
        <v>5.9</v>
      </c>
      <c r="J1853" s="1929">
        <v>1436</v>
      </c>
      <c r="K1853" s="1929" t="s">
        <v>1583</v>
      </c>
    </row>
    <row r="1854" spans="1:11" hidden="1" x14ac:dyDescent="0.2">
      <c r="A1854" s="1929" t="s">
        <v>1582</v>
      </c>
      <c r="B1854" s="1929" t="s">
        <v>1249</v>
      </c>
      <c r="C1854" s="1929" t="s">
        <v>1248</v>
      </c>
      <c r="D1854" s="1929" t="s">
        <v>1226</v>
      </c>
      <c r="E1854" s="1929" t="s">
        <v>63</v>
      </c>
      <c r="F1854" s="1929">
        <v>9.6</v>
      </c>
      <c r="G1854" s="1929">
        <v>6.3</v>
      </c>
      <c r="H1854" s="1929">
        <v>-0.1</v>
      </c>
      <c r="I1854" s="1929">
        <v>12.9</v>
      </c>
      <c r="J1854" s="1929">
        <v>1438</v>
      </c>
      <c r="K1854" s="1929" t="s">
        <v>1581</v>
      </c>
    </row>
    <row r="1855" spans="1:11" hidden="1" x14ac:dyDescent="0.2">
      <c r="A1855" s="1929" t="s">
        <v>1580</v>
      </c>
      <c r="D1855" s="1929" t="s">
        <v>1226</v>
      </c>
      <c r="E1855" s="1929" t="s">
        <v>63</v>
      </c>
      <c r="F1855" s="1929">
        <v>6.6</v>
      </c>
      <c r="G1855" s="1929">
        <v>13.5</v>
      </c>
      <c r="H1855" s="1929">
        <v>0.1</v>
      </c>
      <c r="I1855" s="1929">
        <v>10.199999999999999</v>
      </c>
      <c r="J1855" s="1929">
        <v>1441</v>
      </c>
      <c r="K1855" s="1929" t="s">
        <v>1579</v>
      </c>
    </row>
    <row r="1856" spans="1:11" hidden="1" x14ac:dyDescent="0.2">
      <c r="A1856" s="1929" t="s">
        <v>1578</v>
      </c>
      <c r="B1856" s="1929" t="s">
        <v>1234</v>
      </c>
      <c r="C1856" s="1929" t="s">
        <v>1445</v>
      </c>
      <c r="D1856" s="1929" t="s">
        <v>1226</v>
      </c>
      <c r="E1856" s="1929" t="s">
        <v>63</v>
      </c>
      <c r="F1856" s="1929">
        <v>4</v>
      </c>
      <c r="G1856" s="1929">
        <v>17.399999999999999</v>
      </c>
      <c r="H1856" s="1929">
        <v>-1.7</v>
      </c>
      <c r="I1856" s="1929">
        <v>13.1</v>
      </c>
      <c r="J1856" s="1929">
        <v>1442</v>
      </c>
      <c r="K1856" s="1929" t="s">
        <v>1577</v>
      </c>
    </row>
    <row r="1857" spans="1:11" hidden="1" x14ac:dyDescent="0.2">
      <c r="A1857" s="1929" t="s">
        <v>1576</v>
      </c>
      <c r="B1857" s="1929" t="s">
        <v>1217</v>
      </c>
      <c r="C1857" s="1929" t="s">
        <v>1368</v>
      </c>
      <c r="D1857" s="1929" t="s">
        <v>1226</v>
      </c>
      <c r="E1857" s="1929" t="s">
        <v>63</v>
      </c>
      <c r="F1857" s="1929">
        <v>6.8</v>
      </c>
      <c r="G1857" s="1929">
        <v>1.9</v>
      </c>
      <c r="H1857" s="1929">
        <v>0.1</v>
      </c>
      <c r="I1857" s="1929">
        <v>46.3</v>
      </c>
      <c r="J1857" s="1929">
        <v>1450</v>
      </c>
      <c r="K1857" s="1929" t="s">
        <v>1575</v>
      </c>
    </row>
    <row r="1858" spans="1:11" hidden="1" x14ac:dyDescent="0.2">
      <c r="A1858" s="1929" t="s">
        <v>1574</v>
      </c>
      <c r="B1858" s="1929" t="s">
        <v>1245</v>
      </c>
      <c r="C1858" s="1929" t="s">
        <v>1320</v>
      </c>
      <c r="D1858" s="1929" t="s">
        <v>1226</v>
      </c>
      <c r="E1858" s="1929" t="s">
        <v>63</v>
      </c>
      <c r="F1858" s="1929">
        <v>11.7</v>
      </c>
      <c r="G1858" s="1929">
        <v>2.8</v>
      </c>
      <c r="H1858" s="1929">
        <v>0.6</v>
      </c>
      <c r="I1858" s="1929">
        <v>5.4</v>
      </c>
      <c r="J1858" s="1929">
        <v>1454</v>
      </c>
      <c r="K1858" s="1929" t="s">
        <v>1573</v>
      </c>
    </row>
    <row r="1859" spans="1:11" hidden="1" x14ac:dyDescent="0.2">
      <c r="A1859" s="1929" t="s">
        <v>1572</v>
      </c>
      <c r="B1859" s="1929" t="s">
        <v>1228</v>
      </c>
      <c r="C1859" s="1929" t="s">
        <v>1571</v>
      </c>
      <c r="D1859" s="1929" t="s">
        <v>1226</v>
      </c>
      <c r="E1859" s="1929" t="s">
        <v>63</v>
      </c>
      <c r="F1859" s="1929">
        <v>14.8</v>
      </c>
      <c r="G1859" s="1929">
        <v>3.3</v>
      </c>
      <c r="H1859" s="1929">
        <v>0.4</v>
      </c>
      <c r="I1859" s="1929">
        <v>2.1</v>
      </c>
      <c r="J1859" s="1929">
        <v>1464</v>
      </c>
      <c r="K1859" s="1929" t="s">
        <v>1570</v>
      </c>
    </row>
    <row r="1860" spans="1:11" hidden="1" x14ac:dyDescent="0.2">
      <c r="A1860" s="1929" t="s">
        <v>1569</v>
      </c>
      <c r="B1860" s="1929" t="s">
        <v>1228</v>
      </c>
      <c r="C1860" s="1929" t="s">
        <v>1568</v>
      </c>
      <c r="D1860" s="1929" t="s">
        <v>1226</v>
      </c>
      <c r="E1860" s="1929" t="s">
        <v>63</v>
      </c>
      <c r="F1860" s="1929">
        <v>7.3</v>
      </c>
      <c r="G1860" s="1929">
        <v>7.1</v>
      </c>
      <c r="H1860" s="1929">
        <v>0.3</v>
      </c>
      <c r="I1860" s="1929">
        <v>12.9</v>
      </c>
      <c r="J1860" s="1929">
        <v>1476</v>
      </c>
      <c r="K1860" s="1929" t="s">
        <v>1567</v>
      </c>
    </row>
    <row r="1861" spans="1:11" hidden="1" x14ac:dyDescent="0.2">
      <c r="A1861" s="1929" t="s">
        <v>1566</v>
      </c>
      <c r="B1861" s="1929" t="s">
        <v>1238</v>
      </c>
      <c r="C1861" s="1929" t="s">
        <v>1241</v>
      </c>
      <c r="D1861" s="1929" t="s">
        <v>1226</v>
      </c>
      <c r="E1861" s="1929" t="s">
        <v>63</v>
      </c>
      <c r="F1861" s="1929">
        <v>8</v>
      </c>
      <c r="G1861" s="1929">
        <v>6.5</v>
      </c>
      <c r="H1861" s="1929">
        <v>0.4</v>
      </c>
      <c r="I1861" s="1929">
        <v>5.9</v>
      </c>
      <c r="J1861" s="1929">
        <v>1478</v>
      </c>
      <c r="K1861" s="1929" t="s">
        <v>1565</v>
      </c>
    </row>
    <row r="1862" spans="1:11" hidden="1" x14ac:dyDescent="0.2">
      <c r="A1862" s="1929" t="s">
        <v>1564</v>
      </c>
      <c r="B1862" s="1929" t="s">
        <v>1217</v>
      </c>
      <c r="C1862" s="1929" t="s">
        <v>1563</v>
      </c>
      <c r="D1862" s="1929" t="s">
        <v>1226</v>
      </c>
      <c r="E1862" s="1929" t="s">
        <v>63</v>
      </c>
      <c r="F1862" s="1929">
        <v>4.3</v>
      </c>
      <c r="G1862" s="1929">
        <v>5.4</v>
      </c>
      <c r="H1862" s="1929">
        <v>0.4</v>
      </c>
      <c r="I1862" s="1929">
        <v>16.5</v>
      </c>
      <c r="J1862" s="1929">
        <v>1487</v>
      </c>
      <c r="K1862" s="1929" t="s">
        <v>1562</v>
      </c>
    </row>
    <row r="1863" spans="1:11" hidden="1" x14ac:dyDescent="0.2">
      <c r="A1863" s="1929" t="s">
        <v>1561</v>
      </c>
      <c r="B1863" s="1929" t="s">
        <v>1228</v>
      </c>
      <c r="C1863" s="1929" t="s">
        <v>1334</v>
      </c>
      <c r="D1863" s="1929" t="s">
        <v>1226</v>
      </c>
      <c r="E1863" s="1929" t="s">
        <v>63</v>
      </c>
      <c r="F1863" s="1929">
        <v>4.3</v>
      </c>
      <c r="G1863" s="1929">
        <v>7.4</v>
      </c>
      <c r="H1863" s="1929">
        <v>0.7</v>
      </c>
      <c r="I1863" s="1929">
        <v>6</v>
      </c>
      <c r="J1863" s="1929">
        <v>1489</v>
      </c>
      <c r="K1863" s="1929" t="s">
        <v>1560</v>
      </c>
    </row>
    <row r="1864" spans="1:11" hidden="1" x14ac:dyDescent="0.2">
      <c r="A1864" s="1929" t="s">
        <v>1559</v>
      </c>
      <c r="B1864" s="1929" t="s">
        <v>1217</v>
      </c>
      <c r="C1864" s="1929" t="s">
        <v>1456</v>
      </c>
      <c r="D1864" s="1929" t="s">
        <v>1226</v>
      </c>
      <c r="E1864" s="1929" t="s">
        <v>63</v>
      </c>
      <c r="F1864" s="1929">
        <v>9.1999999999999993</v>
      </c>
      <c r="G1864" s="1929">
        <v>7.2</v>
      </c>
      <c r="H1864" s="1929">
        <v>0.3</v>
      </c>
      <c r="I1864" s="1929">
        <v>7</v>
      </c>
      <c r="J1864" s="1929">
        <v>1492</v>
      </c>
      <c r="K1864" s="1929" t="s">
        <v>1558</v>
      </c>
    </row>
    <row r="1865" spans="1:11" hidden="1" x14ac:dyDescent="0.2">
      <c r="A1865" s="1929" t="s">
        <v>1557</v>
      </c>
      <c r="B1865" s="1929" t="s">
        <v>1228</v>
      </c>
      <c r="C1865" s="1929" t="s">
        <v>1315</v>
      </c>
      <c r="D1865" s="1929" t="s">
        <v>1226</v>
      </c>
      <c r="E1865" s="1929" t="s">
        <v>63</v>
      </c>
      <c r="F1865" s="1929">
        <v>11.4</v>
      </c>
      <c r="G1865" s="1929">
        <v>2.5</v>
      </c>
      <c r="H1865" s="1929">
        <v>0.5</v>
      </c>
      <c r="I1865" s="1929">
        <v>4.4000000000000004</v>
      </c>
      <c r="J1865" s="1929">
        <v>1499</v>
      </c>
      <c r="K1865" s="1929" t="s">
        <v>1556</v>
      </c>
    </row>
    <row r="1866" spans="1:11" hidden="1" x14ac:dyDescent="0.2">
      <c r="A1866" s="1929" t="s">
        <v>1555</v>
      </c>
      <c r="B1866" s="1929" t="s">
        <v>1258</v>
      </c>
      <c r="C1866" s="1929" t="s">
        <v>1263</v>
      </c>
      <c r="D1866" s="1929" t="s">
        <v>1226</v>
      </c>
      <c r="E1866" s="1929" t="s">
        <v>63</v>
      </c>
      <c r="F1866" s="1929">
        <v>10.3</v>
      </c>
      <c r="G1866" s="1929">
        <v>2</v>
      </c>
      <c r="H1866" s="1929">
        <v>0.6</v>
      </c>
      <c r="I1866" s="1929">
        <v>7.3</v>
      </c>
      <c r="J1866" s="1929">
        <v>1499</v>
      </c>
      <c r="K1866" s="1929" t="s">
        <v>1554</v>
      </c>
    </row>
    <row r="1867" spans="1:11" hidden="1" x14ac:dyDescent="0.2">
      <c r="A1867" s="1929" t="s">
        <v>1553</v>
      </c>
      <c r="B1867" s="1929" t="s">
        <v>1310</v>
      </c>
      <c r="C1867" s="1929" t="s">
        <v>1552</v>
      </c>
      <c r="D1867" s="1929" t="s">
        <v>1226</v>
      </c>
      <c r="E1867" s="1929" t="s">
        <v>63</v>
      </c>
      <c r="F1867" s="1929">
        <v>8.1</v>
      </c>
      <c r="G1867" s="1929">
        <v>2.9</v>
      </c>
      <c r="H1867" s="1929">
        <v>0.4</v>
      </c>
      <c r="I1867" s="1929">
        <v>15.1</v>
      </c>
      <c r="J1867" s="1929">
        <v>1505</v>
      </c>
      <c r="K1867" s="1929" t="s">
        <v>1551</v>
      </c>
    </row>
    <row r="1868" spans="1:11" hidden="1" x14ac:dyDescent="0.2">
      <c r="A1868" s="1929" t="s">
        <v>1550</v>
      </c>
      <c r="B1868" s="1929" t="s">
        <v>1269</v>
      </c>
      <c r="C1868" s="1929" t="s">
        <v>1268</v>
      </c>
      <c r="D1868" s="1929" t="s">
        <v>1226</v>
      </c>
      <c r="E1868" s="1929" t="s">
        <v>63</v>
      </c>
      <c r="F1868" s="1929">
        <v>4.2</v>
      </c>
      <c r="G1868" s="1929">
        <v>11.1</v>
      </c>
      <c r="H1868" s="1929">
        <v>-0.1</v>
      </c>
      <c r="I1868" s="1929">
        <v>16.100000000000001</v>
      </c>
      <c r="J1868" s="1929">
        <v>1508</v>
      </c>
      <c r="K1868" s="1929" t="s">
        <v>1549</v>
      </c>
    </row>
    <row r="1869" spans="1:11" hidden="1" x14ac:dyDescent="0.2">
      <c r="A1869" s="1929" t="s">
        <v>1548</v>
      </c>
      <c r="B1869" s="1929" t="s">
        <v>1234</v>
      </c>
      <c r="C1869" s="1929" t="s">
        <v>1233</v>
      </c>
      <c r="D1869" s="1929" t="s">
        <v>1226</v>
      </c>
      <c r="E1869" s="1929" t="s">
        <v>63</v>
      </c>
      <c r="F1869" s="1929">
        <v>11.2</v>
      </c>
      <c r="G1869" s="1929">
        <v>2.7</v>
      </c>
      <c r="H1869" s="1929">
        <v>0.5</v>
      </c>
      <c r="I1869" s="1929">
        <v>3.8</v>
      </c>
      <c r="J1869" s="1929">
        <v>1510</v>
      </c>
      <c r="K1869" s="1929" t="s">
        <v>1547</v>
      </c>
    </row>
    <row r="1870" spans="1:11" hidden="1" x14ac:dyDescent="0.2">
      <c r="A1870" s="1929" t="s">
        <v>1546</v>
      </c>
      <c r="B1870" s="1929" t="s">
        <v>1228</v>
      </c>
      <c r="C1870" s="1929" t="s">
        <v>1297</v>
      </c>
      <c r="D1870" s="1929" t="s">
        <v>1226</v>
      </c>
      <c r="E1870" s="1929" t="s">
        <v>63</v>
      </c>
      <c r="F1870" s="1929">
        <v>6.9</v>
      </c>
      <c r="G1870" s="1929">
        <v>6.9</v>
      </c>
      <c r="H1870" s="1929">
        <v>0.4</v>
      </c>
      <c r="I1870" s="1929">
        <v>2.5</v>
      </c>
      <c r="J1870" s="1929">
        <v>1510</v>
      </c>
      <c r="K1870" s="1929" t="s">
        <v>1545</v>
      </c>
    </row>
    <row r="1871" spans="1:11" hidden="1" x14ac:dyDescent="0.2">
      <c r="A1871" s="1929" t="s">
        <v>1544</v>
      </c>
      <c r="B1871" s="1929" t="s">
        <v>1306</v>
      </c>
      <c r="C1871" s="1929" t="s">
        <v>1389</v>
      </c>
      <c r="D1871" s="1929" t="s">
        <v>1226</v>
      </c>
      <c r="E1871" s="1929" t="s">
        <v>63</v>
      </c>
      <c r="F1871" s="1929">
        <v>8.5</v>
      </c>
      <c r="G1871" s="1929">
        <v>5.7</v>
      </c>
      <c r="H1871" s="1929">
        <v>0.4</v>
      </c>
      <c r="I1871" s="1929">
        <v>6.1</v>
      </c>
      <c r="J1871" s="1929">
        <v>1514</v>
      </c>
      <c r="K1871" s="1929" t="s">
        <v>1543</v>
      </c>
    </row>
    <row r="1872" spans="1:11" hidden="1" x14ac:dyDescent="0.2">
      <c r="A1872" s="1929" t="s">
        <v>1542</v>
      </c>
      <c r="B1872" s="1929" t="s">
        <v>1245</v>
      </c>
      <c r="C1872" s="1929" t="s">
        <v>1286</v>
      </c>
      <c r="D1872" s="1929" t="s">
        <v>1226</v>
      </c>
      <c r="E1872" s="1929" t="s">
        <v>63</v>
      </c>
      <c r="F1872" s="1929">
        <v>35.9</v>
      </c>
      <c r="G1872" s="1929">
        <v>4.0999999999999996</v>
      </c>
      <c r="H1872" s="1929">
        <v>-0.2</v>
      </c>
      <c r="I1872" s="1929">
        <v>9.1999999999999993</v>
      </c>
      <c r="J1872" s="1929">
        <v>1521</v>
      </c>
      <c r="K1872" s="1929" t="s">
        <v>1541</v>
      </c>
    </row>
    <row r="1873" spans="1:11" hidden="1" x14ac:dyDescent="0.2">
      <c r="A1873" s="1929" t="s">
        <v>1540</v>
      </c>
      <c r="B1873" s="1929" t="s">
        <v>1228</v>
      </c>
      <c r="C1873" s="1929" t="s">
        <v>1539</v>
      </c>
      <c r="D1873" s="1929" t="s">
        <v>1226</v>
      </c>
      <c r="E1873" s="1929" t="s">
        <v>63</v>
      </c>
      <c r="F1873" s="1929">
        <v>6.9</v>
      </c>
      <c r="G1873" s="1929">
        <v>6.5</v>
      </c>
      <c r="H1873" s="1929">
        <v>0.4</v>
      </c>
      <c r="I1873" s="1929">
        <v>3.5</v>
      </c>
      <c r="J1873" s="1929">
        <v>1530</v>
      </c>
      <c r="K1873" s="1929" t="s">
        <v>1538</v>
      </c>
    </row>
    <row r="1874" spans="1:11" hidden="1" x14ac:dyDescent="0.2">
      <c r="A1874" s="1929" t="s">
        <v>1537</v>
      </c>
      <c r="B1874" s="1929" t="s">
        <v>1234</v>
      </c>
      <c r="C1874" s="1929" t="s">
        <v>1461</v>
      </c>
      <c r="D1874" s="1929" t="s">
        <v>1226</v>
      </c>
      <c r="E1874" s="1929" t="s">
        <v>63</v>
      </c>
      <c r="F1874" s="1929">
        <v>8.9</v>
      </c>
      <c r="G1874" s="1929">
        <v>3.8</v>
      </c>
      <c r="H1874" s="1929">
        <v>0.6</v>
      </c>
      <c r="I1874" s="1929">
        <v>4.0999999999999996</v>
      </c>
      <c r="J1874" s="1929">
        <v>1531</v>
      </c>
      <c r="K1874" s="1929" t="s">
        <v>1536</v>
      </c>
    </row>
    <row r="1875" spans="1:11" hidden="1" x14ac:dyDescent="0.2">
      <c r="A1875" s="1929" t="s">
        <v>1535</v>
      </c>
      <c r="B1875" s="1929" t="s">
        <v>1234</v>
      </c>
      <c r="C1875" s="1929" t="s">
        <v>1233</v>
      </c>
      <c r="D1875" s="1929" t="s">
        <v>1226</v>
      </c>
      <c r="E1875" s="1929" t="s">
        <v>63</v>
      </c>
      <c r="F1875" s="1929">
        <v>5.6</v>
      </c>
      <c r="G1875" s="1929">
        <v>2.4</v>
      </c>
      <c r="H1875" s="1929">
        <v>1.7</v>
      </c>
      <c r="I1875" s="1929">
        <v>5.5</v>
      </c>
      <c r="J1875" s="1929">
        <v>1536</v>
      </c>
      <c r="K1875" s="1929" t="s">
        <v>1534</v>
      </c>
    </row>
    <row r="1876" spans="1:11" hidden="1" x14ac:dyDescent="0.2">
      <c r="A1876" s="1929" t="s">
        <v>1533</v>
      </c>
      <c r="B1876" s="1929" t="s">
        <v>1228</v>
      </c>
      <c r="C1876" s="1929" t="s">
        <v>1524</v>
      </c>
      <c r="D1876" s="1929" t="s">
        <v>1226</v>
      </c>
      <c r="E1876" s="1929" t="s">
        <v>63</v>
      </c>
      <c r="F1876" s="1929">
        <v>6.8</v>
      </c>
      <c r="G1876" s="1929">
        <v>8.6999999999999993</v>
      </c>
      <c r="H1876" s="1929">
        <v>0.3</v>
      </c>
      <c r="I1876" s="1929">
        <v>7.2</v>
      </c>
      <c r="J1876" s="1929">
        <v>1542</v>
      </c>
      <c r="K1876" s="1929" t="s">
        <v>1532</v>
      </c>
    </row>
    <row r="1877" spans="1:11" hidden="1" x14ac:dyDescent="0.2">
      <c r="A1877" s="1929" t="s">
        <v>1531</v>
      </c>
      <c r="B1877" s="1929" t="s">
        <v>1217</v>
      </c>
      <c r="C1877" s="1929" t="s">
        <v>1456</v>
      </c>
      <c r="D1877" s="1929" t="s">
        <v>1226</v>
      </c>
      <c r="E1877" s="1929" t="s">
        <v>63</v>
      </c>
      <c r="F1877" s="1929">
        <v>3.8</v>
      </c>
      <c r="G1877" s="1929">
        <v>0.6</v>
      </c>
      <c r="H1877" s="1929">
        <v>0.6</v>
      </c>
      <c r="I1877" s="1929">
        <v>17.2</v>
      </c>
      <c r="J1877" s="1929">
        <v>1543</v>
      </c>
      <c r="K1877" s="1929" t="s">
        <v>1530</v>
      </c>
    </row>
    <row r="1878" spans="1:11" hidden="1" x14ac:dyDescent="0.2">
      <c r="A1878" s="1929" t="s">
        <v>1529</v>
      </c>
      <c r="B1878" s="1929" t="s">
        <v>1228</v>
      </c>
      <c r="C1878" s="1929" t="s">
        <v>1297</v>
      </c>
      <c r="D1878" s="1929" t="s">
        <v>1226</v>
      </c>
      <c r="E1878" s="1929" t="s">
        <v>63</v>
      </c>
      <c r="F1878" s="1929">
        <v>3.2</v>
      </c>
      <c r="G1878" s="1929">
        <v>41.5</v>
      </c>
      <c r="H1878" s="1929">
        <v>0.2</v>
      </c>
      <c r="I1878" s="1929">
        <v>4.7</v>
      </c>
      <c r="J1878" s="1929">
        <v>1545</v>
      </c>
      <c r="K1878" s="1929" t="s">
        <v>1528</v>
      </c>
    </row>
    <row r="1879" spans="1:11" hidden="1" x14ac:dyDescent="0.2">
      <c r="A1879" s="1929" t="s">
        <v>1527</v>
      </c>
      <c r="B1879" s="1929" t="s">
        <v>1245</v>
      </c>
      <c r="C1879" s="1929" t="s">
        <v>1320</v>
      </c>
      <c r="D1879" s="1929" t="s">
        <v>1226</v>
      </c>
      <c r="E1879" s="1929" t="s">
        <v>63</v>
      </c>
      <c r="F1879" s="1929">
        <v>11.6</v>
      </c>
      <c r="G1879" s="1929">
        <v>1.7</v>
      </c>
      <c r="H1879" s="1929">
        <v>0.4</v>
      </c>
      <c r="I1879" s="1929">
        <v>6</v>
      </c>
      <c r="J1879" s="1929">
        <v>1559</v>
      </c>
      <c r="K1879" s="1929" t="s">
        <v>1526</v>
      </c>
    </row>
    <row r="1880" spans="1:11" hidden="1" x14ac:dyDescent="0.2">
      <c r="A1880" s="1929" t="s">
        <v>1525</v>
      </c>
      <c r="B1880" s="1929" t="s">
        <v>1228</v>
      </c>
      <c r="C1880" s="1929" t="s">
        <v>1524</v>
      </c>
      <c r="D1880" s="1929" t="s">
        <v>1226</v>
      </c>
      <c r="E1880" s="1929" t="s">
        <v>63</v>
      </c>
      <c r="F1880" s="1929">
        <v>18</v>
      </c>
      <c r="G1880" s="1929">
        <v>3.2</v>
      </c>
      <c r="H1880" s="1929">
        <v>0.3</v>
      </c>
      <c r="I1880" s="1929">
        <v>2.1</v>
      </c>
      <c r="J1880" s="1929">
        <v>1561</v>
      </c>
      <c r="K1880" s="1929" t="s">
        <v>1523</v>
      </c>
    </row>
    <row r="1881" spans="1:11" hidden="1" x14ac:dyDescent="0.2">
      <c r="A1881" s="1929" t="s">
        <v>1522</v>
      </c>
      <c r="B1881" s="1929" t="s">
        <v>1245</v>
      </c>
      <c r="C1881" s="1929" t="s">
        <v>1320</v>
      </c>
      <c r="D1881" s="1929" t="s">
        <v>1226</v>
      </c>
      <c r="E1881" s="1929" t="s">
        <v>63</v>
      </c>
      <c r="F1881" s="1929">
        <v>11.9</v>
      </c>
      <c r="G1881" s="1929">
        <v>1.3</v>
      </c>
      <c r="H1881" s="1929">
        <v>0.4</v>
      </c>
      <c r="I1881" s="1929">
        <v>2.2999999999999998</v>
      </c>
      <c r="J1881" s="1929">
        <v>1563</v>
      </c>
      <c r="K1881" s="1929" t="s">
        <v>1521</v>
      </c>
    </row>
    <row r="1882" spans="1:11" hidden="1" x14ac:dyDescent="0.2">
      <c r="A1882" s="1929" t="s">
        <v>1520</v>
      </c>
      <c r="B1882" s="1929" t="s">
        <v>1306</v>
      </c>
      <c r="C1882" s="1929" t="s">
        <v>1413</v>
      </c>
      <c r="D1882" s="1929" t="s">
        <v>1226</v>
      </c>
      <c r="E1882" s="1929" t="s">
        <v>63</v>
      </c>
      <c r="F1882" s="1929">
        <v>13.8</v>
      </c>
      <c r="G1882" s="1929">
        <v>2.5</v>
      </c>
      <c r="H1882" s="1929">
        <v>0.4</v>
      </c>
      <c r="I1882" s="1929">
        <v>8.6</v>
      </c>
      <c r="J1882" s="1929">
        <v>1570</v>
      </c>
      <c r="K1882" s="1929" t="s">
        <v>1519</v>
      </c>
    </row>
    <row r="1883" spans="1:11" hidden="1" x14ac:dyDescent="0.2">
      <c r="A1883" s="1929" t="s">
        <v>1518</v>
      </c>
      <c r="B1883" s="1929" t="s">
        <v>1217</v>
      </c>
      <c r="C1883" s="1929" t="s">
        <v>1517</v>
      </c>
      <c r="D1883" s="1929" t="s">
        <v>1226</v>
      </c>
      <c r="E1883" s="1929" t="s">
        <v>63</v>
      </c>
      <c r="F1883" s="1929">
        <v>5.3</v>
      </c>
      <c r="G1883" s="1929">
        <v>7.9</v>
      </c>
      <c r="H1883" s="1929">
        <v>0</v>
      </c>
      <c r="I1883" s="1929">
        <v>16.3</v>
      </c>
      <c r="J1883" s="1929">
        <v>1571</v>
      </c>
      <c r="K1883" s="1929" t="s">
        <v>1516</v>
      </c>
    </row>
    <row r="1884" spans="1:11" hidden="1" x14ac:dyDescent="0.2">
      <c r="A1884" s="1929" t="s">
        <v>1515</v>
      </c>
      <c r="B1884" s="1929" t="s">
        <v>1228</v>
      </c>
      <c r="C1884" s="1929" t="s">
        <v>1514</v>
      </c>
      <c r="D1884" s="1929" t="s">
        <v>1226</v>
      </c>
      <c r="E1884" s="1929" t="s">
        <v>63</v>
      </c>
      <c r="F1884" s="1929">
        <v>8</v>
      </c>
      <c r="G1884" s="1929">
        <v>7.4</v>
      </c>
      <c r="H1884" s="1929">
        <v>0.2</v>
      </c>
      <c r="I1884" s="1929">
        <v>10.1</v>
      </c>
      <c r="J1884" s="1929">
        <v>1578</v>
      </c>
      <c r="K1884" s="1929" t="s">
        <v>1513</v>
      </c>
    </row>
    <row r="1885" spans="1:11" hidden="1" x14ac:dyDescent="0.2">
      <c r="A1885" s="1929" t="s">
        <v>1512</v>
      </c>
      <c r="B1885" s="1929" t="s">
        <v>1306</v>
      </c>
      <c r="C1885" s="1929" t="s">
        <v>1389</v>
      </c>
      <c r="D1885" s="1929" t="s">
        <v>1226</v>
      </c>
      <c r="E1885" s="1929" t="s">
        <v>63</v>
      </c>
      <c r="F1885" s="1929">
        <v>1.8</v>
      </c>
      <c r="G1885" s="1929">
        <v>5.7</v>
      </c>
      <c r="H1885" s="1929">
        <v>-0.1</v>
      </c>
      <c r="I1885" s="1929">
        <v>28.8</v>
      </c>
      <c r="J1885" s="1929">
        <v>1583</v>
      </c>
      <c r="K1885" s="1929" t="s">
        <v>1511</v>
      </c>
    </row>
    <row r="1886" spans="1:11" hidden="1" x14ac:dyDescent="0.2">
      <c r="A1886" s="1929" t="s">
        <v>1510</v>
      </c>
      <c r="B1886" s="1929" t="s">
        <v>1245</v>
      </c>
      <c r="C1886" s="1929" t="s">
        <v>1320</v>
      </c>
      <c r="D1886" s="1929" t="s">
        <v>1226</v>
      </c>
      <c r="E1886" s="1929" t="s">
        <v>63</v>
      </c>
      <c r="F1886" s="1929">
        <v>10.3</v>
      </c>
      <c r="G1886" s="1929">
        <v>4.0999999999999996</v>
      </c>
      <c r="H1886" s="1929">
        <v>0.4</v>
      </c>
      <c r="I1886" s="1929">
        <v>7.3</v>
      </c>
      <c r="J1886" s="1929">
        <v>1589</v>
      </c>
      <c r="K1886" s="1929" t="s">
        <v>1509</v>
      </c>
    </row>
    <row r="1887" spans="1:11" hidden="1" x14ac:dyDescent="0.2">
      <c r="A1887" s="1929" t="s">
        <v>1508</v>
      </c>
      <c r="B1887" s="1929" t="s">
        <v>1245</v>
      </c>
      <c r="C1887" s="1929" t="s">
        <v>1507</v>
      </c>
      <c r="D1887" s="1929" t="s">
        <v>1226</v>
      </c>
      <c r="E1887" s="1929" t="s">
        <v>63</v>
      </c>
      <c r="F1887" s="1929">
        <v>7.9</v>
      </c>
      <c r="G1887" s="1929">
        <v>5</v>
      </c>
      <c r="H1887" s="1929">
        <v>0.4</v>
      </c>
      <c r="I1887" s="1929">
        <v>4.9000000000000004</v>
      </c>
      <c r="J1887" s="1929">
        <v>1593</v>
      </c>
      <c r="K1887" s="1929" t="s">
        <v>1506</v>
      </c>
    </row>
    <row r="1888" spans="1:11" hidden="1" x14ac:dyDescent="0.2">
      <c r="A1888" s="1929" t="s">
        <v>1505</v>
      </c>
      <c r="B1888" s="1929" t="s">
        <v>1269</v>
      </c>
      <c r="C1888" s="1929" t="s">
        <v>1504</v>
      </c>
      <c r="D1888" s="1929" t="s">
        <v>1226</v>
      </c>
      <c r="E1888" s="1929" t="s">
        <v>63</v>
      </c>
      <c r="F1888" s="1929">
        <v>25.3</v>
      </c>
      <c r="G1888" s="1929">
        <v>3.4</v>
      </c>
      <c r="H1888" s="1929">
        <v>0.2</v>
      </c>
      <c r="I1888" s="1929">
        <v>9.1</v>
      </c>
      <c r="J1888" s="1929">
        <v>1595</v>
      </c>
      <c r="K1888" s="1929" t="s">
        <v>1503</v>
      </c>
    </row>
    <row r="1889" spans="1:11" hidden="1" x14ac:dyDescent="0.2">
      <c r="A1889" s="1929" t="s">
        <v>1502</v>
      </c>
      <c r="B1889" s="1929" t="s">
        <v>1238</v>
      </c>
      <c r="C1889" s="1929" t="s">
        <v>1501</v>
      </c>
      <c r="D1889" s="1929" t="s">
        <v>1226</v>
      </c>
      <c r="E1889" s="1929" t="s">
        <v>63</v>
      </c>
      <c r="F1889" s="1929">
        <v>8</v>
      </c>
      <c r="G1889" s="1929">
        <v>6.1</v>
      </c>
      <c r="H1889" s="1929">
        <v>0.3</v>
      </c>
      <c r="I1889" s="1929">
        <v>3</v>
      </c>
      <c r="J1889" s="1929">
        <v>1600</v>
      </c>
      <c r="K1889" s="1929" t="s">
        <v>1500</v>
      </c>
    </row>
    <row r="1890" spans="1:11" hidden="1" x14ac:dyDescent="0.2">
      <c r="A1890" s="1929" t="s">
        <v>1499</v>
      </c>
      <c r="B1890" s="1929" t="s">
        <v>1228</v>
      </c>
      <c r="C1890" s="1929" t="s">
        <v>1498</v>
      </c>
      <c r="D1890" s="1929" t="s">
        <v>1226</v>
      </c>
      <c r="E1890" s="1929" t="s">
        <v>63</v>
      </c>
      <c r="F1890" s="1929">
        <v>1.4</v>
      </c>
      <c r="G1890" s="1929">
        <v>2.2999999999999998</v>
      </c>
      <c r="H1890" s="1929">
        <v>2</v>
      </c>
      <c r="I1890" s="1929">
        <v>3.2</v>
      </c>
      <c r="J1890" s="1929">
        <v>1603</v>
      </c>
      <c r="K1890" s="1929" t="s">
        <v>1497</v>
      </c>
    </row>
    <row r="1891" spans="1:11" hidden="1" x14ac:dyDescent="0.2">
      <c r="A1891" s="1929" t="s">
        <v>1496</v>
      </c>
      <c r="B1891" s="1929" t="s">
        <v>1269</v>
      </c>
      <c r="C1891" s="1929" t="s">
        <v>1340</v>
      </c>
      <c r="D1891" s="1929" t="s">
        <v>1226</v>
      </c>
      <c r="E1891" s="1929" t="s">
        <v>63</v>
      </c>
      <c r="F1891" s="1929">
        <v>30.7</v>
      </c>
      <c r="G1891" s="1929">
        <v>1.5</v>
      </c>
      <c r="H1891" s="1929">
        <v>0.3</v>
      </c>
      <c r="I1891" s="1929">
        <v>3.3</v>
      </c>
      <c r="J1891" s="1929">
        <v>1610</v>
      </c>
      <c r="K1891" s="1929" t="s">
        <v>1495</v>
      </c>
    </row>
    <row r="1892" spans="1:11" hidden="1" x14ac:dyDescent="0.2">
      <c r="A1892" s="1929" t="s">
        <v>1494</v>
      </c>
      <c r="B1892" s="1929" t="s">
        <v>1245</v>
      </c>
      <c r="C1892" s="1929" t="s">
        <v>1429</v>
      </c>
      <c r="D1892" s="1929" t="s">
        <v>1226</v>
      </c>
      <c r="E1892" s="1929" t="s">
        <v>63</v>
      </c>
      <c r="F1892" s="1929">
        <v>2.4</v>
      </c>
      <c r="G1892" s="1929">
        <v>26.3</v>
      </c>
      <c r="H1892" s="1929">
        <v>0.2</v>
      </c>
      <c r="I1892" s="1929">
        <v>6.7</v>
      </c>
      <c r="J1892" s="1929">
        <v>1617</v>
      </c>
      <c r="K1892" s="1929" t="s">
        <v>1493</v>
      </c>
    </row>
    <row r="1893" spans="1:11" hidden="1" x14ac:dyDescent="0.2">
      <c r="A1893" s="1929" t="s">
        <v>1492</v>
      </c>
      <c r="B1893" s="1929" t="s">
        <v>1228</v>
      </c>
      <c r="C1893" s="1929" t="s">
        <v>1297</v>
      </c>
      <c r="D1893" s="1929" t="s">
        <v>1226</v>
      </c>
      <c r="E1893" s="1929" t="s">
        <v>63</v>
      </c>
      <c r="F1893" s="1929">
        <v>10</v>
      </c>
      <c r="G1893" s="1929">
        <v>5.2</v>
      </c>
      <c r="H1893" s="1929">
        <v>0.3</v>
      </c>
      <c r="I1893" s="1929">
        <v>1.9</v>
      </c>
      <c r="J1893" s="1929">
        <v>1618</v>
      </c>
      <c r="K1893" s="1929" t="s">
        <v>1491</v>
      </c>
    </row>
    <row r="1894" spans="1:11" hidden="1" x14ac:dyDescent="0.2">
      <c r="A1894" s="1929" t="s">
        <v>1490</v>
      </c>
      <c r="B1894" s="1929" t="s">
        <v>1234</v>
      </c>
      <c r="C1894" s="1929" t="s">
        <v>1352</v>
      </c>
      <c r="D1894" s="1929" t="s">
        <v>1226</v>
      </c>
      <c r="E1894" s="1929" t="s">
        <v>63</v>
      </c>
      <c r="F1894" s="1929">
        <v>6.3</v>
      </c>
      <c r="G1894" s="1929">
        <v>8.6999999999999993</v>
      </c>
      <c r="H1894" s="1929">
        <v>0.3</v>
      </c>
      <c r="I1894" s="1929">
        <v>8</v>
      </c>
      <c r="J1894" s="1929">
        <v>1622</v>
      </c>
      <c r="K1894" s="1929" t="s">
        <v>1489</v>
      </c>
    </row>
    <row r="1895" spans="1:11" hidden="1" x14ac:dyDescent="0.2">
      <c r="A1895" s="1929" t="s">
        <v>1488</v>
      </c>
      <c r="B1895" s="1929" t="s">
        <v>1234</v>
      </c>
      <c r="C1895" s="1929" t="s">
        <v>1445</v>
      </c>
      <c r="D1895" s="1929" t="s">
        <v>1226</v>
      </c>
      <c r="E1895" s="1929" t="s">
        <v>63</v>
      </c>
      <c r="F1895" s="1929">
        <v>3.1</v>
      </c>
      <c r="G1895" s="1929">
        <v>5.6</v>
      </c>
      <c r="H1895" s="1929">
        <v>0.4</v>
      </c>
      <c r="I1895" s="1929">
        <v>13.1</v>
      </c>
      <c r="J1895" s="1929">
        <v>1626</v>
      </c>
      <c r="K1895" s="1929" t="s">
        <v>1487</v>
      </c>
    </row>
    <row r="1896" spans="1:11" hidden="1" x14ac:dyDescent="0.2">
      <c r="A1896" s="1929" t="s">
        <v>1486</v>
      </c>
      <c r="B1896" s="1929" t="s">
        <v>1238</v>
      </c>
      <c r="C1896" s="1929" t="s">
        <v>1485</v>
      </c>
      <c r="D1896" s="1929" t="s">
        <v>1226</v>
      </c>
      <c r="E1896" s="1929" t="s">
        <v>63</v>
      </c>
      <c r="F1896" s="1929">
        <v>6.5</v>
      </c>
      <c r="G1896" s="1929">
        <v>5.2</v>
      </c>
      <c r="H1896" s="1929">
        <v>0.5</v>
      </c>
      <c r="I1896" s="1929">
        <v>5.8</v>
      </c>
      <c r="J1896" s="1929">
        <v>1628</v>
      </c>
      <c r="K1896" s="1929" t="s">
        <v>1484</v>
      </c>
    </row>
    <row r="1897" spans="1:11" hidden="1" x14ac:dyDescent="0.2">
      <c r="A1897" s="1929" t="s">
        <v>1483</v>
      </c>
      <c r="B1897" s="1929" t="s">
        <v>1238</v>
      </c>
      <c r="C1897" s="1929" t="s">
        <v>1482</v>
      </c>
      <c r="D1897" s="1929" t="s">
        <v>1226</v>
      </c>
      <c r="E1897" s="1929" t="s">
        <v>63</v>
      </c>
      <c r="F1897" s="1929">
        <v>8.6</v>
      </c>
      <c r="G1897" s="1929">
        <v>5.6</v>
      </c>
      <c r="H1897" s="1929">
        <v>0.3</v>
      </c>
      <c r="I1897" s="1929">
        <v>2.8</v>
      </c>
      <c r="J1897" s="1929">
        <v>1630</v>
      </c>
      <c r="K1897" s="1929" t="s">
        <v>1481</v>
      </c>
    </row>
    <row r="1898" spans="1:11" hidden="1" x14ac:dyDescent="0.2">
      <c r="A1898" s="1929" t="s">
        <v>1480</v>
      </c>
      <c r="B1898" s="1929" t="s">
        <v>1245</v>
      </c>
      <c r="C1898" s="1929" t="s">
        <v>1479</v>
      </c>
      <c r="D1898" s="1929" t="s">
        <v>1226</v>
      </c>
      <c r="E1898" s="1929" t="s">
        <v>63</v>
      </c>
      <c r="F1898" s="1929">
        <v>6.1</v>
      </c>
      <c r="G1898" s="1929">
        <v>6.1</v>
      </c>
      <c r="H1898" s="1929">
        <v>0.4</v>
      </c>
      <c r="I1898" s="1929">
        <v>8.1</v>
      </c>
      <c r="J1898" s="1929">
        <v>1635</v>
      </c>
      <c r="K1898" s="1929" t="s">
        <v>1478</v>
      </c>
    </row>
    <row r="1899" spans="1:11" hidden="1" x14ac:dyDescent="0.2">
      <c r="A1899" s="1929" t="s">
        <v>1477</v>
      </c>
      <c r="B1899" s="1929" t="s">
        <v>1234</v>
      </c>
      <c r="C1899" s="1929" t="s">
        <v>1476</v>
      </c>
      <c r="D1899" s="1929" t="s">
        <v>1226</v>
      </c>
      <c r="E1899" s="1929" t="s">
        <v>63</v>
      </c>
      <c r="F1899" s="1929">
        <v>8</v>
      </c>
      <c r="G1899" s="1929">
        <v>8.1999999999999993</v>
      </c>
      <c r="H1899" s="1929">
        <v>0.3</v>
      </c>
      <c r="I1899" s="1929">
        <v>6.9</v>
      </c>
      <c r="J1899" s="1929">
        <v>1638</v>
      </c>
      <c r="K1899" s="1929" t="s">
        <v>1475</v>
      </c>
    </row>
    <row r="1900" spans="1:11" hidden="1" x14ac:dyDescent="0.2">
      <c r="A1900" s="1929" t="s">
        <v>1474</v>
      </c>
      <c r="D1900" s="1929" t="s">
        <v>1226</v>
      </c>
      <c r="E1900" s="1929" t="s">
        <v>63</v>
      </c>
      <c r="F1900" s="1929">
        <v>27.6</v>
      </c>
      <c r="G1900" s="1929">
        <v>0.7</v>
      </c>
      <c r="H1900" s="1929">
        <v>-0.6</v>
      </c>
      <c r="I1900" s="1929">
        <v>3.4</v>
      </c>
      <c r="J1900" s="1929">
        <v>1644</v>
      </c>
      <c r="K1900" s="1929" t="s">
        <v>1473</v>
      </c>
    </row>
    <row r="1901" spans="1:11" hidden="1" x14ac:dyDescent="0.2">
      <c r="A1901" s="1929" t="s">
        <v>1472</v>
      </c>
      <c r="B1901" s="1929" t="s">
        <v>1217</v>
      </c>
      <c r="C1901" s="1929" t="s">
        <v>1323</v>
      </c>
      <c r="D1901" s="1929" t="s">
        <v>1226</v>
      </c>
      <c r="E1901" s="1929" t="s">
        <v>63</v>
      </c>
      <c r="F1901" s="1929">
        <v>3.4</v>
      </c>
      <c r="G1901" s="1929">
        <v>1.6</v>
      </c>
      <c r="H1901" s="1929">
        <v>0.3</v>
      </c>
      <c r="I1901" s="1929">
        <v>37.799999999999997</v>
      </c>
      <c r="J1901" s="1929">
        <v>1646</v>
      </c>
      <c r="K1901" s="1929" t="s">
        <v>1471</v>
      </c>
    </row>
    <row r="1902" spans="1:11" hidden="1" x14ac:dyDescent="0.2">
      <c r="A1902" s="1929" t="s">
        <v>1470</v>
      </c>
      <c r="B1902" s="1929" t="s">
        <v>1228</v>
      </c>
      <c r="C1902" s="1929" t="s">
        <v>1469</v>
      </c>
      <c r="D1902" s="1929" t="s">
        <v>1226</v>
      </c>
      <c r="E1902" s="1929" t="s">
        <v>63</v>
      </c>
      <c r="F1902" s="1929">
        <v>21.8</v>
      </c>
      <c r="G1902" s="1929">
        <v>4.4000000000000004</v>
      </c>
      <c r="H1902" s="1929">
        <v>0.1</v>
      </c>
      <c r="I1902" s="1929">
        <v>5.4</v>
      </c>
      <c r="J1902" s="1929">
        <v>1647</v>
      </c>
      <c r="K1902" s="1929" t="s">
        <v>1468</v>
      </c>
    </row>
    <row r="1903" spans="1:11" hidden="1" x14ac:dyDescent="0.2">
      <c r="A1903" s="1929" t="s">
        <v>1467</v>
      </c>
      <c r="B1903" s="1929" t="s">
        <v>1228</v>
      </c>
      <c r="C1903" s="1929" t="s">
        <v>1466</v>
      </c>
      <c r="D1903" s="1929" t="s">
        <v>1226</v>
      </c>
      <c r="E1903" s="1929" t="s">
        <v>63</v>
      </c>
      <c r="F1903" s="1929">
        <v>2.7</v>
      </c>
      <c r="G1903" s="1929">
        <v>11.9</v>
      </c>
      <c r="H1903" s="1929">
        <v>-1.4</v>
      </c>
      <c r="I1903" s="1929">
        <v>11.8</v>
      </c>
      <c r="J1903" s="1929">
        <v>1655</v>
      </c>
      <c r="K1903" s="1929" t="s">
        <v>1465</v>
      </c>
    </row>
    <row r="1904" spans="1:11" hidden="1" x14ac:dyDescent="0.2">
      <c r="A1904" s="1929" t="s">
        <v>1464</v>
      </c>
      <c r="D1904" s="1929" t="s">
        <v>1226</v>
      </c>
      <c r="E1904" s="1929" t="s">
        <v>63</v>
      </c>
      <c r="F1904" s="1929">
        <v>26.7</v>
      </c>
      <c r="G1904" s="1929">
        <v>2</v>
      </c>
      <c r="H1904" s="1929">
        <v>-0.1</v>
      </c>
      <c r="I1904" s="1929">
        <v>2.4</v>
      </c>
      <c r="J1904" s="1929">
        <v>1657</v>
      </c>
      <c r="K1904" s="1929" t="s">
        <v>1463</v>
      </c>
    </row>
    <row r="1905" spans="1:11" hidden="1" x14ac:dyDescent="0.2">
      <c r="A1905" s="1929" t="s">
        <v>1462</v>
      </c>
      <c r="B1905" s="1929" t="s">
        <v>1234</v>
      </c>
      <c r="C1905" s="1929" t="s">
        <v>1461</v>
      </c>
      <c r="D1905" s="1929" t="s">
        <v>1226</v>
      </c>
      <c r="E1905" s="1929" t="s">
        <v>63</v>
      </c>
      <c r="F1905" s="1929">
        <v>6</v>
      </c>
      <c r="G1905" s="1929">
        <v>11.1</v>
      </c>
      <c r="H1905" s="1929">
        <v>0.1</v>
      </c>
      <c r="I1905" s="1929">
        <v>9.1999999999999993</v>
      </c>
      <c r="J1905" s="1929">
        <v>1663</v>
      </c>
      <c r="K1905" s="1929" t="s">
        <v>1460</v>
      </c>
    </row>
    <row r="1906" spans="1:11" hidden="1" x14ac:dyDescent="0.2">
      <c r="A1906" s="1929" t="s">
        <v>1459</v>
      </c>
      <c r="C1906" s="1929" t="s">
        <v>1289</v>
      </c>
      <c r="D1906" s="1929" t="s">
        <v>1226</v>
      </c>
      <c r="E1906" s="1929" t="s">
        <v>63</v>
      </c>
      <c r="F1906" s="1929">
        <v>9.3000000000000007</v>
      </c>
      <c r="G1906" s="1929">
        <v>1.9</v>
      </c>
      <c r="H1906" s="1929">
        <v>0.4</v>
      </c>
      <c r="I1906" s="1929">
        <v>3.6</v>
      </c>
      <c r="J1906" s="1929">
        <v>1665</v>
      </c>
      <c r="K1906" s="1929" t="s">
        <v>1458</v>
      </c>
    </row>
    <row r="1907" spans="1:11" hidden="1" x14ac:dyDescent="0.2">
      <c r="A1907" s="1929" t="s">
        <v>1457</v>
      </c>
      <c r="B1907" s="1929" t="s">
        <v>1217</v>
      </c>
      <c r="C1907" s="1929" t="s">
        <v>1456</v>
      </c>
      <c r="D1907" s="1929" t="s">
        <v>1226</v>
      </c>
      <c r="E1907" s="1929" t="s">
        <v>63</v>
      </c>
      <c r="F1907" s="1929">
        <v>9.6</v>
      </c>
      <c r="G1907" s="1929">
        <v>1.5</v>
      </c>
      <c r="H1907" s="1929">
        <v>0.1</v>
      </c>
      <c r="I1907" s="1929">
        <v>15</v>
      </c>
      <c r="J1907" s="1929">
        <v>1669</v>
      </c>
      <c r="K1907" s="1929" t="s">
        <v>1455</v>
      </c>
    </row>
    <row r="1908" spans="1:11" hidden="1" x14ac:dyDescent="0.2">
      <c r="A1908" s="1929" t="s">
        <v>1454</v>
      </c>
      <c r="B1908" s="1929" t="s">
        <v>1228</v>
      </c>
      <c r="C1908" s="1929" t="s">
        <v>1334</v>
      </c>
      <c r="D1908" s="1929" t="s">
        <v>1226</v>
      </c>
      <c r="E1908" s="1929" t="s">
        <v>63</v>
      </c>
      <c r="F1908" s="1929">
        <v>6.6</v>
      </c>
      <c r="G1908" s="1929">
        <v>2.7</v>
      </c>
      <c r="H1908" s="1929">
        <v>0.7</v>
      </c>
      <c r="I1908" s="1929">
        <v>2.4</v>
      </c>
      <c r="J1908" s="1929">
        <v>1687</v>
      </c>
      <c r="K1908" s="1929" t="s">
        <v>1453</v>
      </c>
    </row>
    <row r="1909" spans="1:11" hidden="1" x14ac:dyDescent="0.2">
      <c r="A1909" s="1929" t="s">
        <v>1452</v>
      </c>
      <c r="B1909" s="1929" t="s">
        <v>1217</v>
      </c>
      <c r="C1909" s="1929" t="s">
        <v>1368</v>
      </c>
      <c r="D1909" s="1929" t="s">
        <v>1226</v>
      </c>
      <c r="E1909" s="1929" t="s">
        <v>63</v>
      </c>
      <c r="F1909" s="1929">
        <v>11.3</v>
      </c>
      <c r="G1909" s="1929">
        <v>2.2000000000000002</v>
      </c>
      <c r="H1909" s="1929">
        <v>0.4</v>
      </c>
      <c r="I1909" s="1929">
        <v>6.3</v>
      </c>
      <c r="J1909" s="1929">
        <v>1696</v>
      </c>
      <c r="K1909" s="1929" t="s">
        <v>1451</v>
      </c>
    </row>
    <row r="1910" spans="1:11" hidden="1" x14ac:dyDescent="0.2">
      <c r="A1910" s="1929" t="s">
        <v>1450</v>
      </c>
      <c r="B1910" s="1929" t="s">
        <v>1245</v>
      </c>
      <c r="C1910" s="1929" t="s">
        <v>1244</v>
      </c>
      <c r="D1910" s="1929" t="s">
        <v>1226</v>
      </c>
      <c r="E1910" s="1929" t="s">
        <v>63</v>
      </c>
      <c r="F1910" s="1929">
        <v>22.7</v>
      </c>
      <c r="G1910" s="1929">
        <v>1.5</v>
      </c>
      <c r="H1910" s="1929">
        <v>0</v>
      </c>
      <c r="I1910" s="1929">
        <v>3.4</v>
      </c>
      <c r="J1910" s="1929">
        <v>1700</v>
      </c>
      <c r="K1910" s="1929" t="s">
        <v>1449</v>
      </c>
    </row>
    <row r="1911" spans="1:11" hidden="1" x14ac:dyDescent="0.2">
      <c r="A1911" s="1929" t="s">
        <v>1448</v>
      </c>
      <c r="B1911" s="1929" t="s">
        <v>1258</v>
      </c>
      <c r="C1911" s="1929" t="s">
        <v>1263</v>
      </c>
      <c r="D1911" s="1929" t="s">
        <v>1226</v>
      </c>
      <c r="E1911" s="1929" t="s">
        <v>63</v>
      </c>
      <c r="F1911" s="1929">
        <v>3</v>
      </c>
      <c r="G1911" s="1929">
        <v>19.2</v>
      </c>
      <c r="H1911" s="1929">
        <v>0</v>
      </c>
      <c r="I1911" s="1929">
        <v>4.4000000000000004</v>
      </c>
      <c r="J1911" s="1929">
        <v>1702</v>
      </c>
      <c r="K1911" s="1929" t="s">
        <v>1447</v>
      </c>
    </row>
    <row r="1912" spans="1:11" hidden="1" x14ac:dyDescent="0.2">
      <c r="A1912" s="1929" t="s">
        <v>1446</v>
      </c>
      <c r="B1912" s="1929" t="s">
        <v>1234</v>
      </c>
      <c r="C1912" s="1929" t="s">
        <v>1445</v>
      </c>
      <c r="D1912" s="1929" t="s">
        <v>1226</v>
      </c>
      <c r="E1912" s="1929" t="s">
        <v>63</v>
      </c>
      <c r="F1912" s="1929">
        <v>5.5</v>
      </c>
      <c r="G1912" s="1929">
        <v>9.1999999999999993</v>
      </c>
      <c r="H1912" s="1929">
        <v>0.3</v>
      </c>
      <c r="I1912" s="1929">
        <v>7.3</v>
      </c>
      <c r="J1912" s="1929">
        <v>1705</v>
      </c>
      <c r="K1912" s="1929" t="s">
        <v>1444</v>
      </c>
    </row>
    <row r="1913" spans="1:11" hidden="1" x14ac:dyDescent="0.2">
      <c r="A1913" s="1929" t="s">
        <v>1443</v>
      </c>
      <c r="B1913" s="1929" t="s">
        <v>1310</v>
      </c>
      <c r="C1913" s="1929" t="s">
        <v>1309</v>
      </c>
      <c r="D1913" s="1929" t="s">
        <v>1226</v>
      </c>
      <c r="E1913" s="1929" t="s">
        <v>63</v>
      </c>
      <c r="F1913" s="1929">
        <v>6</v>
      </c>
      <c r="G1913" s="1929">
        <v>3.5</v>
      </c>
      <c r="H1913" s="1929">
        <v>0.4</v>
      </c>
      <c r="I1913" s="1929">
        <v>13.5</v>
      </c>
      <c r="J1913" s="1929">
        <v>1709</v>
      </c>
      <c r="K1913" s="1929" t="s">
        <v>1442</v>
      </c>
    </row>
    <row r="1914" spans="1:11" hidden="1" x14ac:dyDescent="0.2">
      <c r="A1914" s="1929" t="s">
        <v>1441</v>
      </c>
      <c r="B1914" s="1929" t="s">
        <v>1217</v>
      </c>
      <c r="C1914" s="1929" t="s">
        <v>1216</v>
      </c>
      <c r="D1914" s="1929" t="s">
        <v>1226</v>
      </c>
      <c r="E1914" s="1929" t="s">
        <v>63</v>
      </c>
      <c r="F1914" s="1929">
        <v>4.9000000000000004</v>
      </c>
      <c r="G1914" s="1929">
        <v>1.3</v>
      </c>
      <c r="H1914" s="1929">
        <v>0.3</v>
      </c>
      <c r="I1914" s="1929">
        <v>27</v>
      </c>
      <c r="J1914" s="1929">
        <v>1711</v>
      </c>
      <c r="K1914" s="1929" t="s">
        <v>1440</v>
      </c>
    </row>
    <row r="1915" spans="1:11" hidden="1" x14ac:dyDescent="0.2">
      <c r="A1915" s="1929" t="s">
        <v>1439</v>
      </c>
      <c r="B1915" s="1929" t="s">
        <v>1217</v>
      </c>
      <c r="C1915" s="1929" t="s">
        <v>1323</v>
      </c>
      <c r="D1915" s="1929" t="s">
        <v>1226</v>
      </c>
      <c r="E1915" s="1929" t="s">
        <v>63</v>
      </c>
      <c r="F1915" s="1929">
        <v>5.2</v>
      </c>
      <c r="G1915" s="1929">
        <v>1.4</v>
      </c>
      <c r="H1915" s="1929">
        <v>0.2</v>
      </c>
      <c r="I1915" s="1929">
        <v>38.6</v>
      </c>
      <c r="J1915" s="1929">
        <v>1712</v>
      </c>
      <c r="K1915" s="1929" t="s">
        <v>1438</v>
      </c>
    </row>
    <row r="1916" spans="1:11" hidden="1" x14ac:dyDescent="0.2">
      <c r="A1916" s="1929" t="s">
        <v>1437</v>
      </c>
      <c r="D1916" s="1929" t="s">
        <v>1226</v>
      </c>
      <c r="E1916" s="1929" t="s">
        <v>63</v>
      </c>
      <c r="F1916" s="1929">
        <v>6.4</v>
      </c>
      <c r="G1916" s="1929">
        <v>5.3</v>
      </c>
      <c r="H1916" s="1929">
        <v>0.4</v>
      </c>
      <c r="I1916" s="1929">
        <v>7.3</v>
      </c>
      <c r="J1916" s="1929">
        <v>1716</v>
      </c>
      <c r="K1916" s="1929" t="s">
        <v>1436</v>
      </c>
    </row>
    <row r="1917" spans="1:11" hidden="1" x14ac:dyDescent="0.2">
      <c r="A1917" s="1929" t="s">
        <v>1435</v>
      </c>
      <c r="B1917" s="1929" t="s">
        <v>1238</v>
      </c>
      <c r="C1917" s="1929" t="s">
        <v>1434</v>
      </c>
      <c r="D1917" s="1929" t="s">
        <v>1226</v>
      </c>
      <c r="E1917" s="1929" t="s">
        <v>63</v>
      </c>
      <c r="F1917" s="1929">
        <v>11.4</v>
      </c>
      <c r="G1917" s="1929">
        <v>2.4</v>
      </c>
      <c r="H1917" s="1929">
        <v>0.4</v>
      </c>
      <c r="I1917" s="1929">
        <v>7.4</v>
      </c>
      <c r="J1917" s="1929">
        <v>1718</v>
      </c>
      <c r="K1917" s="1929" t="s">
        <v>1433</v>
      </c>
    </row>
    <row r="1918" spans="1:11" hidden="1" x14ac:dyDescent="0.2">
      <c r="A1918" s="1929" t="s">
        <v>1432</v>
      </c>
      <c r="B1918" s="1929" t="s">
        <v>1306</v>
      </c>
      <c r="C1918" s="1929" t="s">
        <v>1305</v>
      </c>
      <c r="D1918" s="1929" t="s">
        <v>1226</v>
      </c>
      <c r="E1918" s="1929" t="s">
        <v>63</v>
      </c>
      <c r="F1918" s="1929">
        <v>9.3000000000000007</v>
      </c>
      <c r="G1918" s="1929">
        <v>4.2</v>
      </c>
      <c r="H1918" s="1929">
        <v>0.4</v>
      </c>
      <c r="I1918" s="1929">
        <v>4.4000000000000004</v>
      </c>
      <c r="J1918" s="1929">
        <v>1725</v>
      </c>
      <c r="K1918" s="1929" t="s">
        <v>1431</v>
      </c>
    </row>
    <row r="1919" spans="1:11" hidden="1" x14ac:dyDescent="0.2">
      <c r="A1919" s="1929" t="s">
        <v>1430</v>
      </c>
      <c r="B1919" s="1929" t="s">
        <v>1245</v>
      </c>
      <c r="C1919" s="1929" t="s">
        <v>1429</v>
      </c>
      <c r="D1919" s="1929" t="s">
        <v>1226</v>
      </c>
      <c r="E1919" s="1929" t="s">
        <v>63</v>
      </c>
      <c r="F1919" s="1929">
        <v>3.7</v>
      </c>
      <c r="G1919" s="1929">
        <v>17.5</v>
      </c>
      <c r="H1919" s="1929">
        <v>0.3</v>
      </c>
      <c r="I1919" s="1929">
        <v>8.1</v>
      </c>
      <c r="J1919" s="1929">
        <v>1727</v>
      </c>
      <c r="K1919" s="1929" t="s">
        <v>1428</v>
      </c>
    </row>
    <row r="1920" spans="1:11" hidden="1" x14ac:dyDescent="0.2">
      <c r="A1920" s="1929" t="s">
        <v>1427</v>
      </c>
      <c r="B1920" s="1929" t="s">
        <v>1228</v>
      </c>
      <c r="C1920" s="1929" t="s">
        <v>1297</v>
      </c>
      <c r="D1920" s="1929" t="s">
        <v>1226</v>
      </c>
      <c r="E1920" s="1929" t="s">
        <v>63</v>
      </c>
      <c r="F1920" s="1929">
        <v>6.8</v>
      </c>
      <c r="G1920" s="1929">
        <v>6.2</v>
      </c>
      <c r="H1920" s="1929">
        <v>0.3</v>
      </c>
      <c r="I1920" s="1929">
        <v>3.1</v>
      </c>
      <c r="J1920" s="1929">
        <v>1727</v>
      </c>
      <c r="K1920" s="1929" t="s">
        <v>1426</v>
      </c>
    </row>
    <row r="1921" spans="1:11" hidden="1" x14ac:dyDescent="0.2">
      <c r="A1921" s="1929" t="s">
        <v>1425</v>
      </c>
      <c r="B1921" s="1929" t="s">
        <v>1228</v>
      </c>
      <c r="C1921" s="1929" t="s">
        <v>1297</v>
      </c>
      <c r="D1921" s="1929" t="s">
        <v>1226</v>
      </c>
      <c r="E1921" s="1929" t="s">
        <v>63</v>
      </c>
      <c r="F1921" s="1929">
        <v>1.9</v>
      </c>
      <c r="G1921" s="1929">
        <v>18.100000000000001</v>
      </c>
      <c r="H1921" s="1929">
        <v>0.2</v>
      </c>
      <c r="I1921" s="1929">
        <v>1.9</v>
      </c>
      <c r="J1921" s="1929">
        <v>1727</v>
      </c>
      <c r="K1921" s="1929" t="s">
        <v>1424</v>
      </c>
    </row>
    <row r="1922" spans="1:11" hidden="1" x14ac:dyDescent="0.2">
      <c r="A1922" s="1929" t="s">
        <v>1423</v>
      </c>
      <c r="B1922" s="1929" t="s">
        <v>1269</v>
      </c>
      <c r="C1922" s="1929" t="s">
        <v>1294</v>
      </c>
      <c r="D1922" s="1929" t="s">
        <v>1226</v>
      </c>
      <c r="E1922" s="1929" t="s">
        <v>63</v>
      </c>
      <c r="F1922" s="1929">
        <v>8.6999999999999993</v>
      </c>
      <c r="G1922" s="1929">
        <v>3</v>
      </c>
      <c r="H1922" s="1929">
        <v>0.4</v>
      </c>
      <c r="I1922" s="1929">
        <v>3.4</v>
      </c>
      <c r="J1922" s="1929">
        <v>1730</v>
      </c>
      <c r="K1922" s="1929" t="s">
        <v>1422</v>
      </c>
    </row>
    <row r="1923" spans="1:11" hidden="1" x14ac:dyDescent="0.2">
      <c r="A1923" s="1929" t="s">
        <v>1421</v>
      </c>
      <c r="B1923" s="1929" t="s">
        <v>1234</v>
      </c>
      <c r="C1923" s="1929" t="s">
        <v>1420</v>
      </c>
      <c r="D1923" s="1929" t="s">
        <v>1226</v>
      </c>
      <c r="E1923" s="1929" t="s">
        <v>63</v>
      </c>
      <c r="F1923" s="1929">
        <v>6.7</v>
      </c>
      <c r="G1923" s="1929">
        <v>5.4</v>
      </c>
      <c r="H1923" s="1929">
        <v>0.3</v>
      </c>
      <c r="I1923" s="1929">
        <v>10.3</v>
      </c>
      <c r="J1923" s="1929">
        <v>1732</v>
      </c>
      <c r="K1923" s="1929" t="s">
        <v>1419</v>
      </c>
    </row>
    <row r="1924" spans="1:11" hidden="1" x14ac:dyDescent="0.2">
      <c r="A1924" s="1929" t="s">
        <v>1418</v>
      </c>
      <c r="B1924" s="1929" t="s">
        <v>1245</v>
      </c>
      <c r="C1924" s="1929" t="s">
        <v>1286</v>
      </c>
      <c r="D1924" s="1929" t="s">
        <v>1226</v>
      </c>
      <c r="E1924" s="1929" t="s">
        <v>63</v>
      </c>
      <c r="F1924" s="1929">
        <v>7.2</v>
      </c>
      <c r="G1924" s="1929">
        <v>1</v>
      </c>
      <c r="H1924" s="1929">
        <v>0.5</v>
      </c>
      <c r="I1924" s="1929">
        <v>2.7</v>
      </c>
      <c r="J1924" s="1929">
        <v>1739</v>
      </c>
      <c r="K1924" s="1929" t="s">
        <v>1417</v>
      </c>
    </row>
    <row r="1925" spans="1:11" hidden="1" x14ac:dyDescent="0.2">
      <c r="A1925" s="1929" t="s">
        <v>1416</v>
      </c>
      <c r="B1925" s="1929" t="s">
        <v>1258</v>
      </c>
      <c r="C1925" s="1929" t="s">
        <v>1263</v>
      </c>
      <c r="D1925" s="1929" t="s">
        <v>1226</v>
      </c>
      <c r="E1925" s="1929" t="s">
        <v>63</v>
      </c>
      <c r="F1925" s="1929">
        <v>3.8</v>
      </c>
      <c r="G1925" s="1929">
        <v>9</v>
      </c>
      <c r="H1925" s="1929">
        <v>0.4</v>
      </c>
      <c r="I1925" s="1929">
        <v>3.7</v>
      </c>
      <c r="J1925" s="1929">
        <v>1741</v>
      </c>
      <c r="K1925" s="1929" t="s">
        <v>1415</v>
      </c>
    </row>
    <row r="1926" spans="1:11" hidden="1" x14ac:dyDescent="0.2">
      <c r="A1926" s="1929" t="s">
        <v>1414</v>
      </c>
      <c r="B1926" s="1929" t="s">
        <v>1306</v>
      </c>
      <c r="C1926" s="1929" t="s">
        <v>1413</v>
      </c>
      <c r="D1926" s="1929" t="s">
        <v>1226</v>
      </c>
      <c r="E1926" s="1929" t="s">
        <v>63</v>
      </c>
      <c r="F1926" s="1929">
        <v>11.9</v>
      </c>
      <c r="G1926" s="1929">
        <v>2.2000000000000002</v>
      </c>
      <c r="H1926" s="1929">
        <v>0.3</v>
      </c>
      <c r="I1926" s="1929">
        <v>1.4</v>
      </c>
      <c r="J1926" s="1929">
        <v>1745</v>
      </c>
      <c r="K1926" s="1929" t="s">
        <v>1412</v>
      </c>
    </row>
    <row r="1927" spans="1:11" hidden="1" x14ac:dyDescent="0.2">
      <c r="A1927" s="1929" t="s">
        <v>1411</v>
      </c>
      <c r="B1927" s="1929" t="s">
        <v>1217</v>
      </c>
      <c r="C1927" s="1929" t="s">
        <v>1216</v>
      </c>
      <c r="D1927" s="1929" t="s">
        <v>1226</v>
      </c>
      <c r="E1927" s="1929" t="s">
        <v>63</v>
      </c>
      <c r="F1927" s="1929">
        <v>5.3</v>
      </c>
      <c r="G1927" s="1929">
        <v>1.1000000000000001</v>
      </c>
      <c r="H1927" s="1929">
        <v>0.3</v>
      </c>
      <c r="I1927" s="1929">
        <v>24.7</v>
      </c>
      <c r="J1927" s="1929">
        <v>1753</v>
      </c>
      <c r="K1927" s="1929" t="s">
        <v>1410</v>
      </c>
    </row>
    <row r="1928" spans="1:11" hidden="1" x14ac:dyDescent="0.2">
      <c r="A1928" s="1929" t="s">
        <v>1409</v>
      </c>
      <c r="B1928" s="1929" t="s">
        <v>1228</v>
      </c>
      <c r="C1928" s="1929" t="s">
        <v>1408</v>
      </c>
      <c r="D1928" s="1929" t="s">
        <v>1226</v>
      </c>
      <c r="E1928" s="1929" t="s">
        <v>63</v>
      </c>
      <c r="F1928" s="1929">
        <v>6.4</v>
      </c>
      <c r="G1928" s="1929">
        <v>5.2</v>
      </c>
      <c r="H1928" s="1929">
        <v>0.4</v>
      </c>
      <c r="I1928" s="1929">
        <v>9.1999999999999993</v>
      </c>
      <c r="J1928" s="1929">
        <v>1754</v>
      </c>
      <c r="K1928" s="1929" t="s">
        <v>1407</v>
      </c>
    </row>
    <row r="1929" spans="1:11" hidden="1" x14ac:dyDescent="0.2">
      <c r="A1929" s="1929" t="s">
        <v>1406</v>
      </c>
      <c r="B1929" s="1929" t="s">
        <v>1269</v>
      </c>
      <c r="C1929" s="1929" t="s">
        <v>1340</v>
      </c>
      <c r="D1929" s="1929" t="s">
        <v>1226</v>
      </c>
      <c r="E1929" s="1929" t="s">
        <v>63</v>
      </c>
      <c r="F1929" s="1929">
        <v>20.100000000000001</v>
      </c>
      <c r="G1929" s="1929">
        <v>1.4</v>
      </c>
      <c r="H1929" s="1929">
        <v>0.1</v>
      </c>
      <c r="I1929" s="1929">
        <v>3</v>
      </c>
      <c r="J1929" s="1929">
        <v>1756</v>
      </c>
      <c r="K1929" s="1929" t="s">
        <v>1405</v>
      </c>
    </row>
    <row r="1930" spans="1:11" hidden="1" x14ac:dyDescent="0.2">
      <c r="A1930" s="1929" t="s">
        <v>1404</v>
      </c>
      <c r="B1930" s="1929" t="s">
        <v>1217</v>
      </c>
      <c r="C1930" s="1929" t="s">
        <v>1403</v>
      </c>
      <c r="D1930" s="1929" t="s">
        <v>1226</v>
      </c>
      <c r="E1930" s="1929" t="s">
        <v>63</v>
      </c>
      <c r="F1930" s="1929">
        <v>1.9</v>
      </c>
      <c r="G1930" s="1929">
        <v>1.1000000000000001</v>
      </c>
      <c r="H1930" s="1929">
        <v>0.3</v>
      </c>
      <c r="I1930" s="1929">
        <v>27.8</v>
      </c>
      <c r="J1930" s="1929">
        <v>1757</v>
      </c>
      <c r="K1930" s="1929" t="s">
        <v>1402</v>
      </c>
    </row>
    <row r="1931" spans="1:11" hidden="1" x14ac:dyDescent="0.2">
      <c r="A1931" s="1929" t="s">
        <v>1401</v>
      </c>
      <c r="B1931" s="1929" t="s">
        <v>1217</v>
      </c>
      <c r="C1931" s="1929" t="s">
        <v>1216</v>
      </c>
      <c r="D1931" s="1929" t="s">
        <v>1226</v>
      </c>
      <c r="E1931" s="1929" t="s">
        <v>63</v>
      </c>
      <c r="F1931" s="1929">
        <v>5.9</v>
      </c>
      <c r="G1931" s="1929">
        <v>1.4</v>
      </c>
      <c r="H1931" s="1929">
        <v>0.2</v>
      </c>
      <c r="I1931" s="1929">
        <v>26.5</v>
      </c>
      <c r="J1931" s="1929">
        <v>1758</v>
      </c>
      <c r="K1931" s="1929" t="s">
        <v>1400</v>
      </c>
    </row>
    <row r="1932" spans="1:11" hidden="1" x14ac:dyDescent="0.2">
      <c r="A1932" s="1929" t="s">
        <v>1399</v>
      </c>
      <c r="B1932" s="1929" t="s">
        <v>1306</v>
      </c>
      <c r="C1932" s="1929" t="s">
        <v>1389</v>
      </c>
      <c r="D1932" s="1929" t="s">
        <v>1226</v>
      </c>
      <c r="E1932" s="1929" t="s">
        <v>63</v>
      </c>
      <c r="F1932" s="1929">
        <v>9.4</v>
      </c>
      <c r="G1932" s="1929">
        <v>3.2</v>
      </c>
      <c r="H1932" s="1929">
        <v>0.4</v>
      </c>
      <c r="I1932" s="1929">
        <v>4.3</v>
      </c>
      <c r="J1932" s="1929">
        <v>1759</v>
      </c>
      <c r="K1932" s="1929" t="s">
        <v>1398</v>
      </c>
    </row>
    <row r="1933" spans="1:11" hidden="1" x14ac:dyDescent="0.2">
      <c r="A1933" s="1929" t="s">
        <v>1397</v>
      </c>
      <c r="B1933" s="1929" t="s">
        <v>1245</v>
      </c>
      <c r="C1933" s="1929" t="s">
        <v>1320</v>
      </c>
      <c r="D1933" s="1929" t="s">
        <v>1226</v>
      </c>
      <c r="E1933" s="1929" t="s">
        <v>63</v>
      </c>
      <c r="F1933" s="1929">
        <v>9.3000000000000007</v>
      </c>
      <c r="G1933" s="1929">
        <v>2.4</v>
      </c>
      <c r="H1933" s="1929">
        <v>0.4</v>
      </c>
      <c r="I1933" s="1929">
        <v>4.3</v>
      </c>
      <c r="J1933" s="1929">
        <v>1765</v>
      </c>
      <c r="K1933" s="1929" t="s">
        <v>1396</v>
      </c>
    </row>
    <row r="1934" spans="1:11" hidden="1" x14ac:dyDescent="0.2">
      <c r="A1934" s="1929" t="s">
        <v>1395</v>
      </c>
      <c r="B1934" s="1929" t="s">
        <v>1310</v>
      </c>
      <c r="C1934" s="1929" t="s">
        <v>1379</v>
      </c>
      <c r="D1934" s="1929" t="s">
        <v>1226</v>
      </c>
      <c r="E1934" s="1929" t="s">
        <v>63</v>
      </c>
      <c r="F1934" s="1929">
        <v>5.8</v>
      </c>
      <c r="G1934" s="1929">
        <v>4.7</v>
      </c>
      <c r="H1934" s="1929">
        <v>0.3</v>
      </c>
      <c r="I1934" s="1929">
        <v>14.8</v>
      </c>
      <c r="J1934" s="1929">
        <v>1766</v>
      </c>
      <c r="K1934" s="1929" t="s">
        <v>1394</v>
      </c>
    </row>
    <row r="1935" spans="1:11" hidden="1" x14ac:dyDescent="0.2">
      <c r="A1935" s="1929" t="s">
        <v>1393</v>
      </c>
      <c r="B1935" s="1929" t="s">
        <v>1306</v>
      </c>
      <c r="C1935" s="1929" t="s">
        <v>1392</v>
      </c>
      <c r="D1935" s="1929" t="s">
        <v>1226</v>
      </c>
      <c r="E1935" s="1929" t="s">
        <v>63</v>
      </c>
      <c r="F1935" s="1929">
        <v>1.8</v>
      </c>
      <c r="G1935" s="1929">
        <v>17</v>
      </c>
      <c r="H1935" s="1929">
        <v>-1.3</v>
      </c>
      <c r="I1935" s="1929">
        <v>4.7</v>
      </c>
      <c r="J1935" s="1929">
        <v>1767</v>
      </c>
      <c r="K1935" s="1929" t="s">
        <v>1391</v>
      </c>
    </row>
    <row r="1936" spans="1:11" hidden="1" x14ac:dyDescent="0.2">
      <c r="A1936" s="1929" t="s">
        <v>1390</v>
      </c>
      <c r="B1936" s="1929" t="s">
        <v>1306</v>
      </c>
      <c r="C1936" s="1929" t="s">
        <v>1389</v>
      </c>
      <c r="D1936" s="1929" t="s">
        <v>1226</v>
      </c>
      <c r="E1936" s="1929" t="s">
        <v>63</v>
      </c>
      <c r="F1936" s="1929">
        <v>6.4</v>
      </c>
      <c r="G1936" s="1929">
        <v>10</v>
      </c>
      <c r="H1936" s="1929">
        <v>-0.1</v>
      </c>
      <c r="I1936" s="1929">
        <v>6.5</v>
      </c>
      <c r="J1936" s="1929">
        <v>1768</v>
      </c>
      <c r="K1936" s="1929" t="s">
        <v>1388</v>
      </c>
    </row>
    <row r="1937" spans="1:12" hidden="1" x14ac:dyDescent="0.2">
      <c r="A1937" s="1929" t="s">
        <v>1387</v>
      </c>
      <c r="B1937" s="1929" t="s">
        <v>1234</v>
      </c>
      <c r="C1937" s="1929" t="s">
        <v>1233</v>
      </c>
      <c r="D1937" s="1929" t="s">
        <v>1226</v>
      </c>
      <c r="E1937" s="1929" t="s">
        <v>63</v>
      </c>
      <c r="F1937" s="1929">
        <v>8</v>
      </c>
      <c r="G1937" s="1929">
        <v>5.0999999999999996</v>
      </c>
      <c r="H1937" s="1929">
        <v>0.3</v>
      </c>
      <c r="I1937" s="1929">
        <v>5.8</v>
      </c>
      <c r="J1937" s="1929">
        <v>1770</v>
      </c>
      <c r="K1937" s="1929" t="s">
        <v>1386</v>
      </c>
    </row>
    <row r="1938" spans="1:12" hidden="1" x14ac:dyDescent="0.2">
      <c r="A1938" s="1929" t="s">
        <v>1385</v>
      </c>
      <c r="B1938" s="1929" t="s">
        <v>1245</v>
      </c>
      <c r="C1938" s="1929" t="s">
        <v>1384</v>
      </c>
      <c r="D1938" s="1929" t="s">
        <v>1226</v>
      </c>
      <c r="E1938" s="1929" t="s">
        <v>63</v>
      </c>
      <c r="F1938" s="1929">
        <v>4.9000000000000004</v>
      </c>
      <c r="G1938" s="1929">
        <v>9</v>
      </c>
      <c r="H1938" s="1929">
        <v>0.4</v>
      </c>
      <c r="I1938" s="1929">
        <v>4.0999999999999996</v>
      </c>
      <c r="J1938" s="1929">
        <v>1774</v>
      </c>
      <c r="K1938" s="1929" t="s">
        <v>1383</v>
      </c>
    </row>
    <row r="1939" spans="1:12" hidden="1" x14ac:dyDescent="0.2">
      <c r="A1939" s="1929" t="s">
        <v>1382</v>
      </c>
      <c r="B1939" s="1929" t="s">
        <v>1217</v>
      </c>
      <c r="C1939" s="1929" t="s">
        <v>1302</v>
      </c>
      <c r="D1939" s="1929" t="s">
        <v>1226</v>
      </c>
      <c r="E1939" s="1929" t="s">
        <v>63</v>
      </c>
      <c r="F1939" s="1929">
        <v>1.7</v>
      </c>
      <c r="G1939" s="1929">
        <v>1.6</v>
      </c>
      <c r="H1939" s="1929">
        <v>0.3</v>
      </c>
      <c r="I1939" s="1929">
        <v>41.3</v>
      </c>
      <c r="J1939" s="1929">
        <v>1776</v>
      </c>
      <c r="K1939" s="1929" t="s">
        <v>1381</v>
      </c>
    </row>
    <row r="1940" spans="1:12" hidden="1" x14ac:dyDescent="0.2">
      <c r="A1940" s="1929" t="s">
        <v>1380</v>
      </c>
      <c r="B1940" s="1929" t="s">
        <v>1310</v>
      </c>
      <c r="C1940" s="1929" t="s">
        <v>1379</v>
      </c>
      <c r="D1940" s="1929" t="s">
        <v>1226</v>
      </c>
      <c r="E1940" s="1929" t="s">
        <v>63</v>
      </c>
      <c r="F1940" s="1929">
        <v>5.2</v>
      </c>
      <c r="G1940" s="1929">
        <v>7.5</v>
      </c>
      <c r="H1940" s="1929">
        <v>0.3</v>
      </c>
      <c r="I1940" s="1929">
        <v>10.7</v>
      </c>
      <c r="J1940" s="1929">
        <v>1777</v>
      </c>
      <c r="K1940" s="1929" t="s">
        <v>1378</v>
      </c>
    </row>
    <row r="1941" spans="1:12" hidden="1" x14ac:dyDescent="0.2">
      <c r="A1941" s="1929" t="s">
        <v>1377</v>
      </c>
      <c r="B1941" s="1929" t="s">
        <v>1228</v>
      </c>
      <c r="C1941" s="1929" t="s">
        <v>1279</v>
      </c>
      <c r="D1941" s="1929" t="s">
        <v>1226</v>
      </c>
      <c r="E1941" s="1929" t="s">
        <v>63</v>
      </c>
      <c r="F1941" s="1929">
        <v>9.4</v>
      </c>
      <c r="G1941" s="1929">
        <v>3.8</v>
      </c>
      <c r="H1941" s="1929">
        <v>0.4</v>
      </c>
      <c r="I1941" s="1929">
        <v>1.7</v>
      </c>
      <c r="J1941" s="1929">
        <v>1793</v>
      </c>
      <c r="K1941" s="1929" t="s">
        <v>1376</v>
      </c>
    </row>
    <row r="1942" spans="1:12" hidden="1" x14ac:dyDescent="0.2">
      <c r="A1942" s="1929" t="s">
        <v>1375</v>
      </c>
      <c r="B1942" s="1929" t="s">
        <v>1245</v>
      </c>
      <c r="C1942" s="1929" t="s">
        <v>1286</v>
      </c>
      <c r="D1942" s="1929" t="s">
        <v>1226</v>
      </c>
      <c r="E1942" s="1929" t="s">
        <v>63</v>
      </c>
      <c r="F1942" s="1929">
        <v>10.7</v>
      </c>
      <c r="G1942" s="1929">
        <v>2.9</v>
      </c>
      <c r="H1942" s="1929">
        <v>0.3</v>
      </c>
      <c r="I1942" s="1929">
        <v>5.2</v>
      </c>
      <c r="J1942" s="1929">
        <v>1793</v>
      </c>
      <c r="K1942" s="1929" t="s">
        <v>1374</v>
      </c>
    </row>
    <row r="1943" spans="1:12" hidden="1" x14ac:dyDescent="0.2">
      <c r="A1943" s="1929" t="s">
        <v>1373</v>
      </c>
      <c r="B1943" s="1929" t="s">
        <v>1217</v>
      </c>
      <c r="C1943" s="1929" t="s">
        <v>1216</v>
      </c>
      <c r="D1943" s="1929" t="s">
        <v>1226</v>
      </c>
      <c r="E1943" s="1929" t="s">
        <v>63</v>
      </c>
      <c r="F1943" s="1929">
        <v>6.1</v>
      </c>
      <c r="G1943" s="1929">
        <v>0.8</v>
      </c>
      <c r="H1943" s="1929">
        <v>0.2</v>
      </c>
      <c r="I1943" s="1929">
        <v>22.4</v>
      </c>
      <c r="J1943" s="1929">
        <v>1803</v>
      </c>
      <c r="K1943" s="1929" t="s">
        <v>1372</v>
      </c>
    </row>
    <row r="1944" spans="1:12" hidden="1" x14ac:dyDescent="0.2">
      <c r="A1944" s="1929" t="s">
        <v>1371</v>
      </c>
      <c r="B1944" s="1929" t="s">
        <v>1217</v>
      </c>
      <c r="C1944" s="1929" t="s">
        <v>1368</v>
      </c>
      <c r="D1944" s="1929" t="s">
        <v>1226</v>
      </c>
      <c r="E1944" s="1929" t="s">
        <v>63</v>
      </c>
      <c r="F1944" s="1929">
        <v>6.1</v>
      </c>
      <c r="G1944" s="1929">
        <v>3.2</v>
      </c>
      <c r="H1944" s="1929">
        <v>0.4</v>
      </c>
      <c r="I1944" s="1929">
        <v>12.6</v>
      </c>
      <c r="J1944" s="1929">
        <v>1804</v>
      </c>
      <c r="K1944" s="1929" t="s">
        <v>1370</v>
      </c>
    </row>
    <row r="1945" spans="1:12" hidden="1" x14ac:dyDescent="0.2">
      <c r="A1945" s="1929" t="s">
        <v>1369</v>
      </c>
      <c r="B1945" s="1929" t="s">
        <v>1217</v>
      </c>
      <c r="C1945" s="1929" t="s">
        <v>1368</v>
      </c>
      <c r="D1945" s="1929" t="s">
        <v>1226</v>
      </c>
      <c r="E1945" s="1929" t="s">
        <v>63</v>
      </c>
      <c r="F1945" s="1929">
        <v>1.2</v>
      </c>
      <c r="G1945" s="1929">
        <v>1.1000000000000001</v>
      </c>
      <c r="H1945" s="1929">
        <v>0</v>
      </c>
      <c r="I1945" s="1929">
        <v>37.9</v>
      </c>
      <c r="J1945" s="1929">
        <v>1806</v>
      </c>
      <c r="K1945" s="1929" t="s">
        <v>1367</v>
      </c>
    </row>
    <row r="1946" spans="1:12" hidden="1" x14ac:dyDescent="0.2">
      <c r="A1946" s="1929" t="s">
        <v>1366</v>
      </c>
      <c r="B1946" s="1929" t="s">
        <v>1228</v>
      </c>
      <c r="C1946" s="1929" t="s">
        <v>1315</v>
      </c>
      <c r="D1946" s="1929" t="s">
        <v>1226</v>
      </c>
      <c r="E1946" s="1929" t="s">
        <v>63</v>
      </c>
      <c r="F1946" s="1929">
        <v>4.4000000000000004</v>
      </c>
      <c r="G1946" s="1929">
        <v>6.2</v>
      </c>
      <c r="H1946" s="1929">
        <v>0.5</v>
      </c>
      <c r="I1946" s="1929">
        <v>6.9</v>
      </c>
      <c r="J1946" s="1929">
        <v>1808</v>
      </c>
      <c r="K1946" s="1929" t="s">
        <v>1365</v>
      </c>
    </row>
    <row r="1947" spans="1:12" hidden="1" x14ac:dyDescent="0.2">
      <c r="A1947" s="1929" t="s">
        <v>1364</v>
      </c>
      <c r="D1947" s="1929" t="s">
        <v>1226</v>
      </c>
      <c r="E1947" s="1929" t="s">
        <v>63</v>
      </c>
      <c r="F1947" s="1929">
        <v>13.7</v>
      </c>
      <c r="G1947" s="1929">
        <v>0.3</v>
      </c>
      <c r="H1947" s="1929">
        <v>-0.5</v>
      </c>
      <c r="I1947" s="1929">
        <v>9.6999999999999993</v>
      </c>
      <c r="J1947" s="1929">
        <v>1808</v>
      </c>
      <c r="K1947" s="1929" t="s">
        <v>1363</v>
      </c>
    </row>
    <row r="1948" spans="1:12" hidden="1" x14ac:dyDescent="0.2">
      <c r="A1948" s="1929" t="s">
        <v>1362</v>
      </c>
      <c r="B1948" s="1929" t="s">
        <v>1258</v>
      </c>
      <c r="C1948" s="1929" t="s">
        <v>1263</v>
      </c>
      <c r="D1948" s="1929" t="s">
        <v>1226</v>
      </c>
      <c r="E1948" s="1929" t="s">
        <v>63</v>
      </c>
      <c r="F1948" s="1929">
        <v>14.3</v>
      </c>
      <c r="G1948" s="1929">
        <v>1.7</v>
      </c>
      <c r="H1948" s="1929">
        <v>0.3</v>
      </c>
      <c r="I1948" s="1929">
        <v>5</v>
      </c>
      <c r="J1948" s="1929">
        <v>1811</v>
      </c>
      <c r="K1948" s="1929" t="s">
        <v>1361</v>
      </c>
    </row>
    <row r="1949" spans="1:12" hidden="1" x14ac:dyDescent="0.2">
      <c r="A1949" s="1929" t="s">
        <v>1360</v>
      </c>
      <c r="B1949" s="1929" t="s">
        <v>1359</v>
      </c>
      <c r="E1949" s="1929" t="s">
        <v>1226</v>
      </c>
      <c r="F1949" s="1929" t="s">
        <v>63</v>
      </c>
      <c r="G1949" s="1929">
        <v>17.5</v>
      </c>
      <c r="H1949" s="1929">
        <v>0.5</v>
      </c>
      <c r="I1949" s="1929">
        <v>-0.2</v>
      </c>
      <c r="J1949" s="1929">
        <v>2.2000000000000002</v>
      </c>
      <c r="K1949" s="1929">
        <v>1819</v>
      </c>
      <c r="L1949" s="1929" t="s">
        <v>1358</v>
      </c>
    </row>
    <row r="1950" spans="1:12" hidden="1" x14ac:dyDescent="0.2">
      <c r="A1950" s="1929" t="s">
        <v>1357</v>
      </c>
      <c r="B1950" s="1929" t="s">
        <v>1217</v>
      </c>
      <c r="C1950" s="1929" t="s">
        <v>1252</v>
      </c>
      <c r="D1950" s="1929" t="s">
        <v>1226</v>
      </c>
      <c r="E1950" s="1929" t="s">
        <v>63</v>
      </c>
      <c r="F1950" s="1929">
        <v>3.7</v>
      </c>
      <c r="G1950" s="1929">
        <v>6.1</v>
      </c>
      <c r="H1950" s="1929">
        <v>0.2</v>
      </c>
      <c r="I1950" s="1929">
        <v>17</v>
      </c>
      <c r="J1950" s="1929">
        <v>1820</v>
      </c>
      <c r="K1950" s="1929" t="s">
        <v>1356</v>
      </c>
    </row>
    <row r="1951" spans="1:12" hidden="1" x14ac:dyDescent="0.2">
      <c r="A1951" s="1929" t="s">
        <v>1355</v>
      </c>
      <c r="B1951" s="1929" t="s">
        <v>1228</v>
      </c>
      <c r="C1951" s="1929" t="s">
        <v>1227</v>
      </c>
      <c r="D1951" s="1929" t="s">
        <v>1226</v>
      </c>
      <c r="E1951" s="1929" t="s">
        <v>63</v>
      </c>
      <c r="F1951" s="1929">
        <v>10</v>
      </c>
      <c r="G1951" s="1929">
        <v>1.7</v>
      </c>
      <c r="H1951" s="1929">
        <v>0.3</v>
      </c>
      <c r="I1951" s="1929">
        <v>2.5</v>
      </c>
      <c r="J1951" s="1929">
        <v>1822</v>
      </c>
      <c r="K1951" s="1929" t="s">
        <v>1354</v>
      </c>
    </row>
    <row r="1952" spans="1:12" hidden="1" x14ac:dyDescent="0.2">
      <c r="A1952" s="1929" t="s">
        <v>1353</v>
      </c>
      <c r="B1952" s="1929" t="s">
        <v>1234</v>
      </c>
      <c r="C1952" s="1929" t="s">
        <v>1352</v>
      </c>
      <c r="D1952" s="1929" t="s">
        <v>1226</v>
      </c>
      <c r="E1952" s="1929" t="s">
        <v>63</v>
      </c>
      <c r="F1952" s="1929">
        <v>6.5</v>
      </c>
      <c r="G1952" s="1929">
        <v>7.8</v>
      </c>
      <c r="H1952" s="1929">
        <v>0.1</v>
      </c>
      <c r="I1952" s="1929">
        <v>9.1</v>
      </c>
      <c r="J1952" s="1929">
        <v>1825</v>
      </c>
      <c r="K1952" s="1929" t="s">
        <v>1351</v>
      </c>
    </row>
    <row r="1953" spans="1:11" hidden="1" x14ac:dyDescent="0.2">
      <c r="A1953" s="1929" t="s">
        <v>1350</v>
      </c>
      <c r="B1953" s="1929" t="s">
        <v>1238</v>
      </c>
      <c r="C1953" s="1929" t="s">
        <v>1349</v>
      </c>
      <c r="D1953" s="1929" t="s">
        <v>1226</v>
      </c>
      <c r="E1953" s="1929" t="s">
        <v>63</v>
      </c>
      <c r="F1953" s="1929">
        <v>9.3000000000000007</v>
      </c>
      <c r="G1953" s="1929">
        <v>3.5</v>
      </c>
      <c r="H1953" s="1929">
        <v>0.4</v>
      </c>
      <c r="I1953" s="1929">
        <v>5.7</v>
      </c>
      <c r="J1953" s="1929">
        <v>1827</v>
      </c>
      <c r="K1953" s="1929" t="s">
        <v>1348</v>
      </c>
    </row>
    <row r="1954" spans="1:11" hidden="1" x14ac:dyDescent="0.2">
      <c r="A1954" s="1929" t="s">
        <v>1347</v>
      </c>
      <c r="B1954" s="1929" t="s">
        <v>1306</v>
      </c>
      <c r="C1954" s="1929" t="s">
        <v>1305</v>
      </c>
      <c r="D1954" s="1929" t="s">
        <v>1226</v>
      </c>
      <c r="E1954" s="1929" t="s">
        <v>63</v>
      </c>
      <c r="F1954" s="1929">
        <v>1.4</v>
      </c>
      <c r="G1954" s="1929">
        <v>9.6</v>
      </c>
      <c r="H1954" s="1929">
        <v>0.3</v>
      </c>
      <c r="I1954" s="1929">
        <v>2.8</v>
      </c>
      <c r="J1954" s="1929">
        <v>1827</v>
      </c>
      <c r="K1954" s="1929" t="s">
        <v>1346</v>
      </c>
    </row>
    <row r="1955" spans="1:11" hidden="1" x14ac:dyDescent="0.2">
      <c r="A1955" s="1929" t="s">
        <v>1345</v>
      </c>
      <c r="B1955" s="1929" t="s">
        <v>1228</v>
      </c>
      <c r="C1955" s="1929" t="s">
        <v>1297</v>
      </c>
      <c r="D1955" s="1929" t="s">
        <v>1226</v>
      </c>
      <c r="E1955" s="1929" t="s">
        <v>63</v>
      </c>
      <c r="F1955" s="1929">
        <v>3.9</v>
      </c>
      <c r="G1955" s="1929">
        <v>14.7</v>
      </c>
      <c r="H1955" s="1929">
        <v>0.2</v>
      </c>
      <c r="I1955" s="1929">
        <v>6.4</v>
      </c>
      <c r="J1955" s="1929">
        <v>1829</v>
      </c>
      <c r="K1955" s="1929" t="s">
        <v>1344</v>
      </c>
    </row>
    <row r="1956" spans="1:11" hidden="1" x14ac:dyDescent="0.2">
      <c r="A1956" s="1929" t="s">
        <v>1343</v>
      </c>
      <c r="D1956" s="1929" t="s">
        <v>1226</v>
      </c>
      <c r="E1956" s="1929" t="s">
        <v>63</v>
      </c>
      <c r="F1956" s="1929">
        <v>17.100000000000001</v>
      </c>
      <c r="G1956" s="1929">
        <v>0.8</v>
      </c>
      <c r="H1956" s="1929">
        <v>0</v>
      </c>
      <c r="I1956" s="1929">
        <v>6.6</v>
      </c>
      <c r="J1956" s="1929">
        <v>1834</v>
      </c>
      <c r="K1956" s="1929" t="s">
        <v>1342</v>
      </c>
    </row>
    <row r="1957" spans="1:11" hidden="1" x14ac:dyDescent="0.2">
      <c r="A1957" s="1929" t="s">
        <v>1341</v>
      </c>
      <c r="B1957" s="1929" t="s">
        <v>1269</v>
      </c>
      <c r="C1957" s="1929" t="s">
        <v>1340</v>
      </c>
      <c r="D1957" s="1929" t="s">
        <v>1226</v>
      </c>
      <c r="E1957" s="1929" t="s">
        <v>63</v>
      </c>
      <c r="F1957" s="1929">
        <v>16.899999999999999</v>
      </c>
      <c r="G1957" s="1929">
        <v>1.2</v>
      </c>
      <c r="H1957" s="1929">
        <v>-0.4</v>
      </c>
      <c r="I1957" s="1929">
        <v>2.2999999999999998</v>
      </c>
      <c r="J1957" s="1929">
        <v>1837</v>
      </c>
      <c r="K1957" s="1929" t="s">
        <v>1339</v>
      </c>
    </row>
    <row r="1958" spans="1:11" hidden="1" x14ac:dyDescent="0.2">
      <c r="A1958" s="1929" t="s">
        <v>1338</v>
      </c>
      <c r="B1958" s="1929" t="s">
        <v>1234</v>
      </c>
      <c r="C1958" s="1929" t="s">
        <v>1337</v>
      </c>
      <c r="D1958" s="1929" t="s">
        <v>1226</v>
      </c>
      <c r="E1958" s="1929" t="s">
        <v>63</v>
      </c>
      <c r="F1958" s="1929">
        <v>4.4000000000000004</v>
      </c>
      <c r="G1958" s="1929">
        <v>6.9</v>
      </c>
      <c r="H1958" s="1929">
        <v>-0.5</v>
      </c>
      <c r="I1958" s="1929">
        <v>14.1</v>
      </c>
      <c r="J1958" s="1929">
        <v>1844</v>
      </c>
      <c r="K1958" s="1929" t="s">
        <v>1336</v>
      </c>
    </row>
    <row r="1959" spans="1:11" hidden="1" x14ac:dyDescent="0.2">
      <c r="A1959" s="1929" t="s">
        <v>1335</v>
      </c>
      <c r="B1959" s="1929" t="s">
        <v>1228</v>
      </c>
      <c r="C1959" s="1929" t="s">
        <v>1334</v>
      </c>
      <c r="D1959" s="1929" t="s">
        <v>1226</v>
      </c>
      <c r="E1959" s="1929" t="s">
        <v>63</v>
      </c>
      <c r="F1959" s="1929">
        <v>8.1999999999999993</v>
      </c>
      <c r="G1959" s="1929">
        <v>5.0999999999999996</v>
      </c>
      <c r="H1959" s="1929">
        <v>0.3</v>
      </c>
      <c r="I1959" s="1929">
        <v>4.5</v>
      </c>
      <c r="J1959" s="1929">
        <v>1846</v>
      </c>
      <c r="K1959" s="1929" t="s">
        <v>1333</v>
      </c>
    </row>
    <row r="1960" spans="1:11" hidden="1" x14ac:dyDescent="0.2">
      <c r="A1960" s="1929" t="s">
        <v>1332</v>
      </c>
      <c r="B1960" s="1929" t="s">
        <v>1258</v>
      </c>
      <c r="C1960" s="1929" t="s">
        <v>1263</v>
      </c>
      <c r="D1960" s="1929" t="s">
        <v>1226</v>
      </c>
      <c r="E1960" s="1929" t="s">
        <v>63</v>
      </c>
      <c r="F1960" s="1929">
        <v>8.5</v>
      </c>
      <c r="G1960" s="1929">
        <v>2.7</v>
      </c>
      <c r="H1960" s="1929">
        <v>0.4</v>
      </c>
      <c r="I1960" s="1929">
        <v>8.8000000000000007</v>
      </c>
      <c r="J1960" s="1929">
        <v>1853</v>
      </c>
      <c r="K1960" s="1929" t="s">
        <v>1331</v>
      </c>
    </row>
    <row r="1961" spans="1:11" hidden="1" x14ac:dyDescent="0.2">
      <c r="A1961" s="1929" t="s">
        <v>1330</v>
      </c>
      <c r="B1961" s="1929" t="s">
        <v>1258</v>
      </c>
      <c r="C1961" s="1929" t="s">
        <v>1263</v>
      </c>
      <c r="D1961" s="1929" t="s">
        <v>1226</v>
      </c>
      <c r="E1961" s="1929" t="s">
        <v>63</v>
      </c>
      <c r="F1961" s="1929">
        <v>5.9</v>
      </c>
      <c r="G1961" s="1929">
        <v>2.5</v>
      </c>
      <c r="H1961" s="1929">
        <v>0.4</v>
      </c>
      <c r="I1961" s="1929">
        <v>11.8</v>
      </c>
      <c r="J1961" s="1929">
        <v>1854</v>
      </c>
      <c r="K1961" s="1929" t="s">
        <v>1329</v>
      </c>
    </row>
    <row r="1962" spans="1:11" hidden="1" x14ac:dyDescent="0.2">
      <c r="A1962" s="1929" t="s">
        <v>1328</v>
      </c>
      <c r="B1962" s="1929" t="s">
        <v>1258</v>
      </c>
      <c r="C1962" s="1929" t="s">
        <v>1263</v>
      </c>
      <c r="D1962" s="1929" t="s">
        <v>1226</v>
      </c>
      <c r="E1962" s="1929" t="s">
        <v>63</v>
      </c>
      <c r="F1962" s="1929">
        <v>13.1</v>
      </c>
      <c r="G1962" s="1929">
        <v>2.2999999999999998</v>
      </c>
      <c r="H1962" s="1929">
        <v>0.2</v>
      </c>
      <c r="I1962" s="1929">
        <v>9.6</v>
      </c>
      <c r="J1962" s="1929">
        <v>1857</v>
      </c>
      <c r="K1962" s="1929" t="s">
        <v>1327</v>
      </c>
    </row>
    <row r="1963" spans="1:11" hidden="1" x14ac:dyDescent="0.2">
      <c r="A1963" s="1929" t="s">
        <v>1326</v>
      </c>
      <c r="B1963" s="1929" t="s">
        <v>1310</v>
      </c>
      <c r="C1963" s="1929" t="s">
        <v>1309</v>
      </c>
      <c r="D1963" s="1929" t="s">
        <v>1226</v>
      </c>
      <c r="E1963" s="1929" t="s">
        <v>63</v>
      </c>
      <c r="F1963" s="1929">
        <v>7.3</v>
      </c>
      <c r="G1963" s="1929">
        <v>2.9</v>
      </c>
      <c r="H1963" s="1929">
        <v>0.4</v>
      </c>
      <c r="I1963" s="1929">
        <v>9.5</v>
      </c>
      <c r="J1963" s="1929">
        <v>1862</v>
      </c>
      <c r="K1963" s="1929" t="s">
        <v>1325</v>
      </c>
    </row>
    <row r="1964" spans="1:11" hidden="1" x14ac:dyDescent="0.2">
      <c r="A1964" s="1929" t="s">
        <v>1324</v>
      </c>
      <c r="B1964" s="1929" t="s">
        <v>1217</v>
      </c>
      <c r="C1964" s="1929" t="s">
        <v>1323</v>
      </c>
      <c r="D1964" s="1929" t="s">
        <v>1226</v>
      </c>
      <c r="E1964" s="1929" t="s">
        <v>63</v>
      </c>
      <c r="F1964" s="1929">
        <v>4.5999999999999996</v>
      </c>
      <c r="G1964" s="1929">
        <v>1.3</v>
      </c>
      <c r="H1964" s="1929">
        <v>0.2</v>
      </c>
      <c r="I1964" s="1929">
        <v>33.5</v>
      </c>
      <c r="J1964" s="1929">
        <v>1864</v>
      </c>
      <c r="K1964" s="1929" t="s">
        <v>1322</v>
      </c>
    </row>
    <row r="1965" spans="1:11" hidden="1" x14ac:dyDescent="0.2">
      <c r="A1965" s="1929" t="s">
        <v>1321</v>
      </c>
      <c r="B1965" s="1929" t="s">
        <v>1245</v>
      </c>
      <c r="C1965" s="1929" t="s">
        <v>1320</v>
      </c>
      <c r="D1965" s="1929" t="s">
        <v>1226</v>
      </c>
      <c r="E1965" s="1929" t="s">
        <v>63</v>
      </c>
      <c r="F1965" s="1929">
        <v>9.5</v>
      </c>
      <c r="G1965" s="1929">
        <v>1.9</v>
      </c>
      <c r="H1965" s="1929">
        <v>0.3</v>
      </c>
      <c r="I1965" s="1929">
        <v>4</v>
      </c>
      <c r="J1965" s="1929">
        <v>1869</v>
      </c>
      <c r="K1965" s="1929" t="s">
        <v>1319</v>
      </c>
    </row>
    <row r="1966" spans="1:11" hidden="1" x14ac:dyDescent="0.2">
      <c r="A1966" s="1929" t="s">
        <v>1318</v>
      </c>
      <c r="B1966" s="1929" t="s">
        <v>1269</v>
      </c>
      <c r="C1966" s="1929" t="s">
        <v>1294</v>
      </c>
      <c r="D1966" s="1929" t="s">
        <v>1226</v>
      </c>
      <c r="E1966" s="1929" t="s">
        <v>63</v>
      </c>
      <c r="F1966" s="1929">
        <v>8.4</v>
      </c>
      <c r="G1966" s="1929">
        <v>3.6</v>
      </c>
      <c r="H1966" s="1929">
        <v>0.4</v>
      </c>
      <c r="I1966" s="1929">
        <v>8.6</v>
      </c>
      <c r="J1966" s="1929">
        <v>1871</v>
      </c>
      <c r="K1966" s="1929" t="s">
        <v>1317</v>
      </c>
    </row>
    <row r="1967" spans="1:11" hidden="1" x14ac:dyDescent="0.2">
      <c r="A1967" s="1929" t="s">
        <v>1316</v>
      </c>
      <c r="B1967" s="1929" t="s">
        <v>1228</v>
      </c>
      <c r="C1967" s="1929" t="s">
        <v>1315</v>
      </c>
      <c r="D1967" s="1929" t="s">
        <v>1226</v>
      </c>
      <c r="E1967" s="1929" t="s">
        <v>63</v>
      </c>
      <c r="F1967" s="1929">
        <v>0.6</v>
      </c>
      <c r="G1967" s="1929">
        <v>6.2</v>
      </c>
      <c r="H1967" s="1929">
        <v>-0.6</v>
      </c>
      <c r="I1967" s="1929">
        <v>15.1</v>
      </c>
      <c r="J1967" s="1929">
        <v>1874</v>
      </c>
      <c r="K1967" s="1929" t="s">
        <v>1314</v>
      </c>
    </row>
    <row r="1968" spans="1:11" hidden="1" x14ac:dyDescent="0.2">
      <c r="A1968" s="1929" t="s">
        <v>1313</v>
      </c>
      <c r="B1968" s="1929" t="s">
        <v>1310</v>
      </c>
      <c r="C1968" s="1929" t="s">
        <v>1309</v>
      </c>
      <c r="D1968" s="1929" t="s">
        <v>1226</v>
      </c>
      <c r="E1968" s="1929" t="s">
        <v>63</v>
      </c>
      <c r="F1968" s="1929">
        <v>4.8</v>
      </c>
      <c r="G1968" s="1929">
        <v>5.5</v>
      </c>
      <c r="H1968" s="1929">
        <v>0.4</v>
      </c>
      <c r="I1968" s="1929">
        <v>11.2</v>
      </c>
      <c r="J1968" s="1929">
        <v>1876</v>
      </c>
      <c r="K1968" s="1929" t="s">
        <v>1312</v>
      </c>
    </row>
    <row r="1969" spans="1:11" hidden="1" x14ac:dyDescent="0.2">
      <c r="A1969" s="1929" t="s">
        <v>1311</v>
      </c>
      <c r="B1969" s="1929" t="s">
        <v>1310</v>
      </c>
      <c r="C1969" s="1929" t="s">
        <v>1309</v>
      </c>
      <c r="D1969" s="1929" t="s">
        <v>1226</v>
      </c>
      <c r="E1969" s="1929" t="s">
        <v>63</v>
      </c>
      <c r="F1969" s="1929">
        <v>6.3</v>
      </c>
      <c r="G1969" s="1929">
        <v>3.3</v>
      </c>
      <c r="H1969" s="1929">
        <v>0.4</v>
      </c>
      <c r="I1969" s="1929">
        <v>11.1</v>
      </c>
      <c r="J1969" s="1929">
        <v>1894</v>
      </c>
      <c r="K1969" s="1929" t="s">
        <v>1308</v>
      </c>
    </row>
    <row r="1970" spans="1:11" hidden="1" x14ac:dyDescent="0.2">
      <c r="A1970" s="1929" t="s">
        <v>1307</v>
      </c>
      <c r="B1970" s="1929" t="s">
        <v>1306</v>
      </c>
      <c r="C1970" s="1929" t="s">
        <v>1305</v>
      </c>
      <c r="D1970" s="1929" t="s">
        <v>1226</v>
      </c>
      <c r="E1970" s="1929" t="s">
        <v>63</v>
      </c>
      <c r="F1970" s="1929">
        <v>5</v>
      </c>
      <c r="G1970" s="1929">
        <v>6.3</v>
      </c>
      <c r="H1970" s="1929">
        <v>0.4</v>
      </c>
      <c r="I1970" s="1929">
        <v>5.4</v>
      </c>
      <c r="J1970" s="1929">
        <v>1900</v>
      </c>
      <c r="K1970" s="1929" t="s">
        <v>1304</v>
      </c>
    </row>
    <row r="1971" spans="1:11" hidden="1" x14ac:dyDescent="0.2">
      <c r="A1971" s="1929" t="s">
        <v>1303</v>
      </c>
      <c r="B1971" s="1929" t="s">
        <v>1217</v>
      </c>
      <c r="C1971" s="1929" t="s">
        <v>1302</v>
      </c>
      <c r="D1971" s="1929" t="s">
        <v>1226</v>
      </c>
      <c r="E1971" s="1929" t="s">
        <v>63</v>
      </c>
      <c r="F1971" s="1929">
        <v>2.2999999999999998</v>
      </c>
      <c r="G1971" s="1929">
        <v>2.2000000000000002</v>
      </c>
      <c r="H1971" s="1929">
        <v>0.2</v>
      </c>
      <c r="I1971" s="1929">
        <v>30.5</v>
      </c>
      <c r="J1971" s="1929">
        <v>1901</v>
      </c>
      <c r="K1971" s="1929" t="s">
        <v>1301</v>
      </c>
    </row>
    <row r="1972" spans="1:11" hidden="1" x14ac:dyDescent="0.2">
      <c r="A1972" s="1929" t="s">
        <v>1300</v>
      </c>
      <c r="B1972" s="1929" t="s">
        <v>1217</v>
      </c>
      <c r="C1972" s="1929" t="s">
        <v>1216</v>
      </c>
      <c r="D1972" s="1929" t="s">
        <v>1226</v>
      </c>
      <c r="E1972" s="1929" t="s">
        <v>63</v>
      </c>
      <c r="F1972" s="1929">
        <v>4.4000000000000004</v>
      </c>
      <c r="G1972" s="1929">
        <v>1.2</v>
      </c>
      <c r="H1972" s="1929">
        <v>0.2</v>
      </c>
      <c r="I1972" s="1929">
        <v>29.8</v>
      </c>
      <c r="J1972" s="1929">
        <v>1909</v>
      </c>
      <c r="K1972" s="1929" t="s">
        <v>1299</v>
      </c>
    </row>
    <row r="1973" spans="1:11" hidden="1" x14ac:dyDescent="0.2">
      <c r="A1973" s="1929" t="s">
        <v>1298</v>
      </c>
      <c r="B1973" s="1929" t="s">
        <v>1228</v>
      </c>
      <c r="C1973" s="1929" t="s">
        <v>1297</v>
      </c>
      <c r="D1973" s="1929" t="s">
        <v>1226</v>
      </c>
      <c r="E1973" s="1929" t="s">
        <v>63</v>
      </c>
      <c r="F1973" s="1929">
        <v>2.4</v>
      </c>
      <c r="G1973" s="1929">
        <v>12.8</v>
      </c>
      <c r="H1973" s="1929">
        <v>0.1</v>
      </c>
      <c r="I1973" s="1929">
        <v>2.2999999999999998</v>
      </c>
      <c r="J1973" s="1929">
        <v>1910</v>
      </c>
      <c r="K1973" s="1929" t="s">
        <v>1296</v>
      </c>
    </row>
    <row r="1974" spans="1:11" hidden="1" x14ac:dyDescent="0.2">
      <c r="A1974" s="1929" t="s">
        <v>1295</v>
      </c>
      <c r="B1974" s="1929" t="s">
        <v>1269</v>
      </c>
      <c r="C1974" s="1929" t="s">
        <v>1294</v>
      </c>
      <c r="D1974" s="1929" t="s">
        <v>1226</v>
      </c>
      <c r="E1974" s="1929" t="s">
        <v>63</v>
      </c>
      <c r="F1974" s="1929">
        <v>7.8</v>
      </c>
      <c r="G1974" s="1929">
        <v>2</v>
      </c>
      <c r="H1974" s="1929">
        <v>0.4</v>
      </c>
      <c r="I1974" s="1929">
        <v>2.7</v>
      </c>
      <c r="J1974" s="1929">
        <v>1913</v>
      </c>
      <c r="K1974" s="1929" t="s">
        <v>1293</v>
      </c>
    </row>
    <row r="1975" spans="1:11" hidden="1" x14ac:dyDescent="0.2">
      <c r="A1975" s="1929" t="s">
        <v>1292</v>
      </c>
      <c r="D1975" s="1929" t="s">
        <v>1226</v>
      </c>
      <c r="E1975" s="1929" t="s">
        <v>63</v>
      </c>
      <c r="F1975" s="1929">
        <v>0.5</v>
      </c>
      <c r="G1975" s="1929">
        <v>0.5</v>
      </c>
      <c r="H1975" s="1929">
        <v>0.8</v>
      </c>
      <c r="I1975" s="1929">
        <v>0.7</v>
      </c>
      <c r="J1975" s="1929">
        <v>1914</v>
      </c>
      <c r="K1975" s="1929" t="s">
        <v>1291</v>
      </c>
    </row>
    <row r="1976" spans="1:11" hidden="1" x14ac:dyDescent="0.2">
      <c r="A1976" s="1929" t="s">
        <v>1290</v>
      </c>
      <c r="C1976" s="1929" t="s">
        <v>1289</v>
      </c>
      <c r="D1976" s="1929" t="s">
        <v>1226</v>
      </c>
      <c r="E1976" s="1929" t="s">
        <v>63</v>
      </c>
      <c r="F1976" s="1929">
        <v>10</v>
      </c>
      <c r="G1976" s="1929">
        <v>2.7</v>
      </c>
      <c r="H1976" s="1929">
        <v>0.3</v>
      </c>
      <c r="I1976" s="1929">
        <v>3.5</v>
      </c>
      <c r="J1976" s="1929">
        <v>1915</v>
      </c>
      <c r="K1976" s="1929" t="s">
        <v>1288</v>
      </c>
    </row>
    <row r="1977" spans="1:11" hidden="1" x14ac:dyDescent="0.2">
      <c r="A1977" s="1929" t="s">
        <v>1287</v>
      </c>
      <c r="B1977" s="1929" t="s">
        <v>1245</v>
      </c>
      <c r="C1977" s="1929" t="s">
        <v>1286</v>
      </c>
      <c r="D1977" s="1929" t="s">
        <v>1226</v>
      </c>
      <c r="E1977" s="1929" t="s">
        <v>63</v>
      </c>
      <c r="F1977" s="1929">
        <v>7.4</v>
      </c>
      <c r="G1977" s="1929">
        <v>3.4</v>
      </c>
      <c r="H1977" s="1929">
        <v>0.4</v>
      </c>
      <c r="I1977" s="1929">
        <v>4.9000000000000004</v>
      </c>
      <c r="J1977" s="1929">
        <v>1918</v>
      </c>
      <c r="K1977" s="1929" t="s">
        <v>1285</v>
      </c>
    </row>
    <row r="1978" spans="1:11" hidden="1" x14ac:dyDescent="0.2">
      <c r="A1978" s="1929" t="s">
        <v>1284</v>
      </c>
      <c r="B1978" s="1929" t="s">
        <v>1249</v>
      </c>
      <c r="C1978" s="1929" t="s">
        <v>1248</v>
      </c>
      <c r="D1978" s="1929" t="s">
        <v>1226</v>
      </c>
      <c r="E1978" s="1929" t="s">
        <v>63</v>
      </c>
      <c r="F1978" s="1929">
        <v>5.6</v>
      </c>
      <c r="G1978" s="1929">
        <v>4.8</v>
      </c>
      <c r="H1978" s="1929">
        <v>0.1</v>
      </c>
      <c r="I1978" s="1929">
        <v>16.600000000000001</v>
      </c>
      <c r="J1978" s="1929">
        <v>1924</v>
      </c>
      <c r="K1978" s="1929" t="s">
        <v>1283</v>
      </c>
    </row>
    <row r="1979" spans="1:11" hidden="1" x14ac:dyDescent="0.2">
      <c r="A1979" s="1929" t="s">
        <v>1282</v>
      </c>
      <c r="D1979" s="1929" t="s">
        <v>1226</v>
      </c>
      <c r="E1979" s="1929" t="s">
        <v>63</v>
      </c>
      <c r="F1979" s="1929">
        <v>7</v>
      </c>
      <c r="G1979" s="1929">
        <v>3.7</v>
      </c>
      <c r="H1979" s="1929">
        <v>0.4</v>
      </c>
      <c r="I1979" s="1929">
        <v>5.2</v>
      </c>
      <c r="J1979" s="1929">
        <v>1931</v>
      </c>
      <c r="K1979" s="1929" t="s">
        <v>1281</v>
      </c>
    </row>
    <row r="1980" spans="1:11" hidden="1" x14ac:dyDescent="0.2">
      <c r="A1980" s="1929" t="s">
        <v>1280</v>
      </c>
      <c r="B1980" s="1929" t="s">
        <v>1228</v>
      </c>
      <c r="C1980" s="1929" t="s">
        <v>1279</v>
      </c>
      <c r="D1980" s="1929" t="s">
        <v>1226</v>
      </c>
      <c r="E1980" s="1929" t="s">
        <v>63</v>
      </c>
      <c r="F1980" s="1929">
        <v>4.3</v>
      </c>
      <c r="G1980" s="1929">
        <v>3.9</v>
      </c>
      <c r="H1980" s="1929">
        <v>0.8</v>
      </c>
      <c r="I1980" s="1929">
        <v>2.9</v>
      </c>
      <c r="J1980" s="1929">
        <v>1934</v>
      </c>
      <c r="K1980" s="1929" t="s">
        <v>1278</v>
      </c>
    </row>
    <row r="1981" spans="1:11" hidden="1" x14ac:dyDescent="0.2">
      <c r="A1981" s="1929" t="s">
        <v>1277</v>
      </c>
      <c r="B1981" s="1929" t="s">
        <v>1228</v>
      </c>
      <c r="C1981" s="1929" t="s">
        <v>1276</v>
      </c>
      <c r="D1981" s="1929" t="s">
        <v>1226</v>
      </c>
      <c r="E1981" s="1929" t="s">
        <v>63</v>
      </c>
      <c r="F1981" s="1929">
        <v>7.7</v>
      </c>
      <c r="G1981" s="1929">
        <v>4.5999999999999996</v>
      </c>
      <c r="H1981" s="1929">
        <v>0.3</v>
      </c>
      <c r="I1981" s="1929">
        <v>4.0999999999999996</v>
      </c>
      <c r="J1981" s="1929">
        <v>1937</v>
      </c>
      <c r="K1981" s="1929" t="s">
        <v>1275</v>
      </c>
    </row>
    <row r="1982" spans="1:11" hidden="1" x14ac:dyDescent="0.2">
      <c r="A1982" s="1929" t="s">
        <v>1274</v>
      </c>
      <c r="B1982" s="1929" t="s">
        <v>1245</v>
      </c>
      <c r="C1982" s="1929" t="s">
        <v>1244</v>
      </c>
      <c r="D1982" s="1929" t="s">
        <v>1226</v>
      </c>
      <c r="E1982" s="1929" t="s">
        <v>63</v>
      </c>
      <c r="F1982" s="1929">
        <v>10.6</v>
      </c>
      <c r="G1982" s="1929">
        <v>1.6</v>
      </c>
      <c r="H1982" s="1929">
        <v>0.3</v>
      </c>
      <c r="I1982" s="1929">
        <v>3</v>
      </c>
      <c r="J1982" s="1929">
        <v>1940</v>
      </c>
      <c r="K1982" s="1929" t="s">
        <v>1273</v>
      </c>
    </row>
    <row r="1983" spans="1:11" hidden="1" x14ac:dyDescent="0.2">
      <c r="A1983" s="1929" t="s">
        <v>1272</v>
      </c>
      <c r="B1983" s="1929" t="s">
        <v>1228</v>
      </c>
      <c r="C1983" s="1929" t="s">
        <v>1227</v>
      </c>
      <c r="D1983" s="1929" t="s">
        <v>1226</v>
      </c>
      <c r="E1983" s="1929" t="s">
        <v>63</v>
      </c>
      <c r="F1983" s="1929">
        <v>8.4</v>
      </c>
      <c r="G1983" s="1929">
        <v>3.5</v>
      </c>
      <c r="H1983" s="1929">
        <v>0.4</v>
      </c>
      <c r="I1983" s="1929">
        <v>5.5</v>
      </c>
      <c r="J1983" s="1929">
        <v>1945</v>
      </c>
      <c r="K1983" s="1929" t="s">
        <v>1271</v>
      </c>
    </row>
    <row r="1984" spans="1:11" hidden="1" x14ac:dyDescent="0.2">
      <c r="A1984" s="1929" t="s">
        <v>1270</v>
      </c>
      <c r="B1984" s="1929" t="s">
        <v>1269</v>
      </c>
      <c r="C1984" s="1929" t="s">
        <v>1268</v>
      </c>
      <c r="D1984" s="1929" t="s">
        <v>1226</v>
      </c>
      <c r="E1984" s="1929" t="s">
        <v>63</v>
      </c>
      <c r="F1984" s="1929">
        <v>9.6999999999999993</v>
      </c>
      <c r="G1984" s="1929">
        <v>2.1</v>
      </c>
      <c r="H1984" s="1929">
        <v>0.3</v>
      </c>
      <c r="I1984" s="1929">
        <v>3.9</v>
      </c>
      <c r="J1984" s="1929">
        <v>1959</v>
      </c>
      <c r="K1984" s="1929" t="s">
        <v>1267</v>
      </c>
    </row>
    <row r="1985" spans="1:11" hidden="1" x14ac:dyDescent="0.2">
      <c r="A1985" s="1929" t="s">
        <v>1266</v>
      </c>
      <c r="B1985" s="1929" t="s">
        <v>1258</v>
      </c>
      <c r="C1985" s="1929" t="s">
        <v>1263</v>
      </c>
      <c r="D1985" s="1929" t="s">
        <v>1226</v>
      </c>
      <c r="E1985" s="1929" t="s">
        <v>63</v>
      </c>
      <c r="F1985" s="1929">
        <v>13.8</v>
      </c>
      <c r="G1985" s="1929">
        <v>1.7</v>
      </c>
      <c r="H1985" s="1929">
        <v>0.1</v>
      </c>
      <c r="I1985" s="1929">
        <v>7.3</v>
      </c>
      <c r="J1985" s="1929">
        <v>1961</v>
      </c>
      <c r="K1985" s="1929" t="s">
        <v>1265</v>
      </c>
    </row>
    <row r="1986" spans="1:11" hidden="1" x14ac:dyDescent="0.2">
      <c r="A1986" s="1929" t="s">
        <v>1264</v>
      </c>
      <c r="B1986" s="1929" t="s">
        <v>1258</v>
      </c>
      <c r="C1986" s="1929" t="s">
        <v>1263</v>
      </c>
      <c r="D1986" s="1929" t="s">
        <v>1226</v>
      </c>
      <c r="E1986" s="1929" t="s">
        <v>63</v>
      </c>
      <c r="F1986" s="1929">
        <v>3.2</v>
      </c>
      <c r="G1986" s="1929">
        <v>10.1</v>
      </c>
      <c r="H1986" s="1929">
        <v>0.3</v>
      </c>
      <c r="I1986" s="1929">
        <v>5.5</v>
      </c>
      <c r="J1986" s="1929">
        <v>1961</v>
      </c>
      <c r="K1986" s="1929" t="s">
        <v>1262</v>
      </c>
    </row>
    <row r="1987" spans="1:11" hidden="1" x14ac:dyDescent="0.2">
      <c r="A1987" s="1929" t="s">
        <v>1261</v>
      </c>
      <c r="B1987" s="1929" t="s">
        <v>1238</v>
      </c>
      <c r="C1987" s="1929" t="s">
        <v>1237</v>
      </c>
      <c r="D1987" s="1929" t="s">
        <v>1226</v>
      </c>
      <c r="E1987" s="1929" t="s">
        <v>63</v>
      </c>
      <c r="F1987" s="1929">
        <v>5.8</v>
      </c>
      <c r="G1987" s="1929">
        <v>4.7</v>
      </c>
      <c r="H1987" s="1929">
        <v>0.4</v>
      </c>
      <c r="I1987" s="1929">
        <v>5.5</v>
      </c>
      <c r="J1987" s="1929">
        <v>1965</v>
      </c>
      <c r="K1987" s="1929" t="s">
        <v>1260</v>
      </c>
    </row>
    <row r="1988" spans="1:11" hidden="1" x14ac:dyDescent="0.2">
      <c r="A1988" s="1929" t="s">
        <v>1259</v>
      </c>
      <c r="B1988" s="1929" t="s">
        <v>1258</v>
      </c>
      <c r="C1988" s="1929" t="s">
        <v>1257</v>
      </c>
      <c r="D1988" s="1929" t="s">
        <v>1226</v>
      </c>
      <c r="E1988" s="1929" t="s">
        <v>63</v>
      </c>
      <c r="F1988" s="1929">
        <v>7.8</v>
      </c>
      <c r="G1988" s="1929">
        <v>3.3</v>
      </c>
      <c r="H1988" s="1929">
        <v>0.4</v>
      </c>
      <c r="I1988" s="1929">
        <v>3.1</v>
      </c>
      <c r="J1988" s="1929">
        <v>1973</v>
      </c>
      <c r="K1988" s="1929" t="s">
        <v>1256</v>
      </c>
    </row>
    <row r="1989" spans="1:11" hidden="1" x14ac:dyDescent="0.2">
      <c r="A1989" s="1929" t="s">
        <v>1255</v>
      </c>
      <c r="B1989" s="1929" t="s">
        <v>1228</v>
      </c>
      <c r="C1989" s="1929" t="s">
        <v>1227</v>
      </c>
      <c r="D1989" s="1929" t="s">
        <v>1226</v>
      </c>
      <c r="E1989" s="1929" t="s">
        <v>63</v>
      </c>
      <c r="F1989" s="1929">
        <v>13.6</v>
      </c>
      <c r="G1989" s="1929">
        <v>0.9</v>
      </c>
      <c r="H1989" s="1929">
        <v>0.2</v>
      </c>
      <c r="I1989" s="1929">
        <v>1.5</v>
      </c>
      <c r="J1989" s="1929">
        <v>1975</v>
      </c>
      <c r="K1989" s="1929" t="s">
        <v>1254</v>
      </c>
    </row>
    <row r="1990" spans="1:11" hidden="1" x14ac:dyDescent="0.2">
      <c r="A1990" s="1929" t="s">
        <v>1253</v>
      </c>
      <c r="B1990" s="1929" t="s">
        <v>1217</v>
      </c>
      <c r="C1990" s="1929" t="s">
        <v>1252</v>
      </c>
      <c r="D1990" s="1929" t="s">
        <v>1226</v>
      </c>
      <c r="E1990" s="1929" t="s">
        <v>63</v>
      </c>
      <c r="F1990" s="1929">
        <v>3.1</v>
      </c>
      <c r="G1990" s="1929">
        <v>3.1</v>
      </c>
      <c r="H1990" s="1929">
        <v>0.3</v>
      </c>
      <c r="I1990" s="1929">
        <v>23.3</v>
      </c>
      <c r="J1990" s="1929">
        <v>1975</v>
      </c>
      <c r="K1990" s="1929" t="s">
        <v>1251</v>
      </c>
    </row>
    <row r="1991" spans="1:11" hidden="1" x14ac:dyDescent="0.2">
      <c r="A1991" s="1929" t="s">
        <v>1250</v>
      </c>
      <c r="B1991" s="1929" t="s">
        <v>1249</v>
      </c>
      <c r="C1991" s="1929" t="s">
        <v>1248</v>
      </c>
      <c r="D1991" s="1929" t="s">
        <v>1226</v>
      </c>
      <c r="E1991" s="1929" t="s">
        <v>63</v>
      </c>
      <c r="F1991" s="1929">
        <v>5.0999999999999996</v>
      </c>
      <c r="G1991" s="1929">
        <v>6</v>
      </c>
      <c r="H1991" s="1929">
        <v>0.2</v>
      </c>
      <c r="I1991" s="1929">
        <v>13.4</v>
      </c>
      <c r="J1991" s="1929">
        <v>1978</v>
      </c>
      <c r="K1991" s="1929" t="s">
        <v>1247</v>
      </c>
    </row>
    <row r="1992" spans="1:11" hidden="1" x14ac:dyDescent="0.2">
      <c r="A1992" s="1929" t="s">
        <v>1246</v>
      </c>
      <c r="B1992" s="1929" t="s">
        <v>1245</v>
      </c>
      <c r="C1992" s="1929" t="s">
        <v>1244</v>
      </c>
      <c r="D1992" s="1929" t="s">
        <v>1226</v>
      </c>
      <c r="E1992" s="1929" t="s">
        <v>63</v>
      </c>
      <c r="F1992" s="1929">
        <v>7.7</v>
      </c>
      <c r="G1992" s="1929">
        <v>2.7</v>
      </c>
      <c r="H1992" s="1929">
        <v>0.4</v>
      </c>
      <c r="I1992" s="1929">
        <v>3.1</v>
      </c>
      <c r="J1992" s="1929">
        <v>1982</v>
      </c>
      <c r="K1992" s="1929" t="s">
        <v>1243</v>
      </c>
    </row>
    <row r="1993" spans="1:11" hidden="1" x14ac:dyDescent="0.2">
      <c r="A1993" s="1929" t="s">
        <v>1242</v>
      </c>
      <c r="B1993" s="1929" t="s">
        <v>1238</v>
      </c>
      <c r="C1993" s="1929" t="s">
        <v>1241</v>
      </c>
      <c r="D1993" s="1929" t="s">
        <v>1226</v>
      </c>
      <c r="E1993" s="1929" t="s">
        <v>63</v>
      </c>
      <c r="F1993" s="1929">
        <v>3.5</v>
      </c>
      <c r="G1993" s="1929">
        <v>11</v>
      </c>
      <c r="H1993" s="1929">
        <v>0.2</v>
      </c>
      <c r="I1993" s="1929">
        <v>8.6999999999999993</v>
      </c>
      <c r="J1993" s="1929">
        <v>1985</v>
      </c>
      <c r="K1993" s="1929" t="s">
        <v>1240</v>
      </c>
    </row>
    <row r="1994" spans="1:11" hidden="1" x14ac:dyDescent="0.2">
      <c r="A1994" s="1929" t="s">
        <v>1239</v>
      </c>
      <c r="B1994" s="1929" t="s">
        <v>1238</v>
      </c>
      <c r="C1994" s="1929" t="s">
        <v>1237</v>
      </c>
      <c r="D1994" s="1929" t="s">
        <v>1226</v>
      </c>
      <c r="E1994" s="1929" t="s">
        <v>63</v>
      </c>
      <c r="F1994" s="1929">
        <v>5</v>
      </c>
      <c r="G1994" s="1929">
        <v>7.4</v>
      </c>
      <c r="H1994" s="1929">
        <v>0.3</v>
      </c>
      <c r="I1994" s="1929">
        <v>4.5</v>
      </c>
      <c r="J1994" s="1929">
        <v>1986</v>
      </c>
      <c r="K1994" s="1929" t="s">
        <v>1236</v>
      </c>
    </row>
    <row r="1995" spans="1:11" hidden="1" x14ac:dyDescent="0.2">
      <c r="A1995" s="1929" t="s">
        <v>1235</v>
      </c>
      <c r="B1995" s="1929" t="s">
        <v>1234</v>
      </c>
      <c r="C1995" s="1929" t="s">
        <v>1233</v>
      </c>
      <c r="D1995" s="1929" t="s">
        <v>1226</v>
      </c>
      <c r="E1995" s="1929" t="s">
        <v>63</v>
      </c>
      <c r="F1995" s="1929">
        <v>10.3</v>
      </c>
      <c r="G1995" s="1929">
        <v>4</v>
      </c>
      <c r="H1995" s="1929">
        <v>0.3</v>
      </c>
      <c r="I1995" s="1929">
        <v>5.2</v>
      </c>
      <c r="J1995" s="1929">
        <v>1986</v>
      </c>
      <c r="K1995" s="1929" t="s">
        <v>1232</v>
      </c>
    </row>
    <row r="1996" spans="1:11" hidden="1" x14ac:dyDescent="0.2">
      <c r="A1996" s="1929" t="s">
        <v>1231</v>
      </c>
      <c r="B1996" s="1929" t="s">
        <v>1217</v>
      </c>
      <c r="C1996" s="1929" t="s">
        <v>1216</v>
      </c>
      <c r="D1996" s="1929" t="s">
        <v>1226</v>
      </c>
      <c r="E1996" s="1929" t="s">
        <v>63</v>
      </c>
      <c r="F1996" s="1929">
        <v>3.4</v>
      </c>
      <c r="G1996" s="1929">
        <v>1.2</v>
      </c>
      <c r="H1996" s="1929">
        <v>0.2</v>
      </c>
      <c r="I1996" s="1929">
        <v>26.2</v>
      </c>
      <c r="J1996" s="1929">
        <v>1998</v>
      </c>
      <c r="K1996" s="1929" t="s">
        <v>1230</v>
      </c>
    </row>
    <row r="1997" spans="1:11" hidden="1" x14ac:dyDescent="0.2">
      <c r="A1997" s="1929" t="s">
        <v>1229</v>
      </c>
      <c r="B1997" s="1929" t="s">
        <v>1228</v>
      </c>
      <c r="C1997" s="1929" t="s">
        <v>1227</v>
      </c>
      <c r="D1997" s="1929" t="s">
        <v>1226</v>
      </c>
      <c r="E1997" s="1929" t="s">
        <v>63</v>
      </c>
      <c r="F1997" s="1929">
        <v>8.5</v>
      </c>
      <c r="G1997" s="1929">
        <v>2.2999999999999998</v>
      </c>
      <c r="H1997" s="1929">
        <v>0.3</v>
      </c>
      <c r="I1997" s="1929">
        <v>4.5</v>
      </c>
      <c r="J1997" s="1929">
        <v>1999</v>
      </c>
      <c r="K1997" s="1929" t="s">
        <v>1225</v>
      </c>
    </row>
    <row r="1998" spans="1:11" hidden="1" x14ac:dyDescent="0.2">
      <c r="A1998" s="1929" t="s">
        <v>1224</v>
      </c>
      <c r="B1998" s="1929" t="s">
        <v>1217</v>
      </c>
      <c r="C1998" s="1929" t="s">
        <v>1216</v>
      </c>
      <c r="D1998" s="1929" t="s">
        <v>274</v>
      </c>
      <c r="E1998" s="1929" t="s">
        <v>278</v>
      </c>
      <c r="F1998" s="1929">
        <v>14.4</v>
      </c>
      <c r="G1998" s="1929">
        <v>4.0999999999999996</v>
      </c>
      <c r="H1998" s="1929">
        <v>1.2</v>
      </c>
      <c r="I1998" s="1929">
        <v>38</v>
      </c>
      <c r="J1998" s="1929">
        <v>773</v>
      </c>
      <c r="K1998" s="1929" t="s">
        <v>1223</v>
      </c>
    </row>
    <row r="1999" spans="1:11" hidden="1" x14ac:dyDescent="0.2">
      <c r="A1999" s="1929" t="s">
        <v>1222</v>
      </c>
      <c r="B1999" s="1929" t="s">
        <v>1217</v>
      </c>
      <c r="C1999" s="1929" t="s">
        <v>1216</v>
      </c>
      <c r="D1999" s="1929" t="s">
        <v>274</v>
      </c>
      <c r="E1999" s="1929" t="s">
        <v>278</v>
      </c>
      <c r="F1999" s="1929">
        <v>11.3</v>
      </c>
      <c r="G1999" s="1929">
        <v>1.6</v>
      </c>
      <c r="H1999" s="1929">
        <v>0.3</v>
      </c>
      <c r="I1999" s="1929">
        <v>17.5</v>
      </c>
      <c r="J1999" s="1929">
        <v>1422</v>
      </c>
      <c r="K1999" s="1929" t="s">
        <v>1221</v>
      </c>
    </row>
    <row r="2000" spans="1:11" hidden="1" x14ac:dyDescent="0.2">
      <c r="A2000" s="1929" t="s">
        <v>1220</v>
      </c>
      <c r="D2000" s="1929" t="s">
        <v>1013</v>
      </c>
      <c r="E2000" s="1929" t="s">
        <v>572</v>
      </c>
      <c r="F2000" s="1929">
        <v>7.5</v>
      </c>
      <c r="G2000" s="1929">
        <v>3.1</v>
      </c>
      <c r="H2000" s="1929">
        <v>0.6</v>
      </c>
      <c r="I2000" s="1929">
        <v>2.4</v>
      </c>
      <c r="J2000" s="1929">
        <v>1650</v>
      </c>
      <c r="K2000" s="1929" t="s">
        <v>1219</v>
      </c>
    </row>
    <row r="2001" spans="1:11" hidden="1" x14ac:dyDescent="0.2">
      <c r="A2001" s="1929" t="s">
        <v>1218</v>
      </c>
      <c r="B2001" s="1929" t="s">
        <v>1217</v>
      </c>
      <c r="C2001" s="1929" t="s">
        <v>1216</v>
      </c>
      <c r="D2001" s="1929" t="s">
        <v>1013</v>
      </c>
      <c r="E2001" s="1929" t="s">
        <v>572</v>
      </c>
      <c r="F2001" s="1929">
        <v>2.9</v>
      </c>
      <c r="G2001" s="1929">
        <v>2.2999999999999998</v>
      </c>
      <c r="H2001" s="1929">
        <v>0.3</v>
      </c>
      <c r="I2001" s="1929">
        <v>27.3</v>
      </c>
      <c r="J2001" s="1929">
        <v>1854</v>
      </c>
      <c r="K2001" s="1929" t="s">
        <v>1215</v>
      </c>
    </row>
  </sheetData>
  <autoFilter ref="A1:L2001" xr:uid="{00000000-0009-0000-0000-000001000000}">
    <filterColumn colId="4">
      <filters>
        <filter val="Bermuda"/>
        <filter val="Cayman Islands"/>
        <filter val="Hong Kong"/>
        <filter val="Ireland"/>
        <filter val="Luxembourg"/>
        <filter val="Mauritius"/>
        <filter val="Netherlands"/>
        <filter val="Puerto Rico"/>
        <filter val="Singapore"/>
      </filters>
    </filterColumn>
  </autoFilter>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00"/>
  <sheetViews>
    <sheetView workbookViewId="0">
      <pane xSplit="1" ySplit="8" topLeftCell="B9" activePane="bottomRight" state="frozen"/>
      <selection pane="topRight" activeCell="AR8" sqref="AR8"/>
      <selection pane="bottomLeft" activeCell="AR8" sqref="AR8"/>
      <selection pane="bottomRight" activeCell="H77" sqref="H77"/>
    </sheetView>
  </sheetViews>
  <sheetFormatPr baseColWidth="10" defaultColWidth="10.83203125" defaultRowHeight="16" x14ac:dyDescent="0.2"/>
  <cols>
    <col min="1" max="1" width="19" style="1" customWidth="1"/>
    <col min="2" max="11" width="11.33203125" style="1" customWidth="1"/>
    <col min="12" max="13" width="10.83203125" style="1"/>
    <col min="14" max="14" width="11.1640625" style="1" customWidth="1"/>
    <col min="15" max="17" width="11.33203125" style="1" customWidth="1"/>
    <col min="18" max="16384" width="10.83203125" style="1"/>
  </cols>
  <sheetData>
    <row r="1" spans="1:22" x14ac:dyDescent="0.2">
      <c r="A1" s="954"/>
      <c r="B1" s="954"/>
      <c r="C1" s="954"/>
      <c r="D1" s="954"/>
      <c r="E1" s="954"/>
      <c r="F1" s="954"/>
      <c r="G1" s="954"/>
      <c r="H1" s="1109"/>
      <c r="I1" s="954"/>
      <c r="J1" s="954"/>
      <c r="K1" s="954"/>
      <c r="L1" s="954"/>
      <c r="M1" s="954"/>
      <c r="N1" s="954"/>
      <c r="O1" s="954"/>
      <c r="P1" s="954"/>
      <c r="Q1" s="954"/>
      <c r="R1" s="954"/>
      <c r="S1" s="954"/>
      <c r="T1" s="954"/>
      <c r="U1" s="954"/>
      <c r="V1" s="954"/>
    </row>
    <row r="2" spans="1:22" ht="17" thickBot="1" x14ac:dyDescent="0.25">
      <c r="A2" s="954"/>
      <c r="B2" s="954"/>
      <c r="C2" s="954"/>
      <c r="D2" s="954"/>
      <c r="E2" s="954"/>
      <c r="F2" s="954"/>
      <c r="G2" s="954"/>
      <c r="H2" s="954"/>
      <c r="I2" s="954"/>
      <c r="J2" s="954"/>
      <c r="K2" s="954"/>
      <c r="L2" s="954"/>
      <c r="M2" s="954"/>
      <c r="N2" s="954"/>
      <c r="O2" s="954"/>
      <c r="P2" s="954"/>
      <c r="Q2" s="954"/>
      <c r="R2" s="954"/>
      <c r="S2" s="954"/>
      <c r="T2" s="954"/>
      <c r="U2" s="954"/>
      <c r="V2" s="954"/>
    </row>
    <row r="3" spans="1:22" ht="32.25" customHeight="1" thickTop="1" x14ac:dyDescent="0.2">
      <c r="A3" s="1951" t="s">
        <v>176</v>
      </c>
      <c r="B3" s="1952"/>
      <c r="C3" s="1952"/>
      <c r="D3" s="1952"/>
      <c r="E3" s="1952"/>
      <c r="F3" s="1952"/>
      <c r="G3" s="1952"/>
      <c r="H3" s="1952"/>
      <c r="I3" s="1952"/>
      <c r="J3" s="1952"/>
      <c r="K3" s="1952"/>
      <c r="L3" s="1952"/>
      <c r="M3" s="1952"/>
      <c r="N3" s="1952"/>
      <c r="O3" s="1952"/>
      <c r="P3" s="1952"/>
      <c r="Q3" s="1953"/>
      <c r="R3" s="954"/>
      <c r="S3" s="954"/>
      <c r="T3" s="954"/>
      <c r="U3" s="954"/>
      <c r="V3" s="954"/>
    </row>
    <row r="4" spans="1:22" ht="12" customHeight="1" x14ac:dyDescent="0.2">
      <c r="A4" s="4"/>
      <c r="B4" s="620"/>
      <c r="C4" s="620"/>
      <c r="D4" s="620"/>
      <c r="E4" s="620"/>
      <c r="F4" s="620"/>
      <c r="G4" s="620"/>
      <c r="H4" s="620"/>
      <c r="I4" s="620"/>
      <c r="J4" s="620"/>
      <c r="K4" s="620"/>
      <c r="L4" s="1027"/>
      <c r="M4" s="1027"/>
      <c r="N4" s="1027"/>
      <c r="O4" s="620"/>
      <c r="P4" s="620"/>
      <c r="Q4" s="5"/>
      <c r="R4" s="954"/>
      <c r="S4" s="954"/>
      <c r="T4" s="954"/>
      <c r="U4" s="954"/>
      <c r="V4" s="954"/>
    </row>
    <row r="5" spans="1:22" x14ac:dyDescent="0.2">
      <c r="A5" s="1148"/>
      <c r="B5" s="3" t="s">
        <v>1</v>
      </c>
      <c r="C5" s="3" t="s">
        <v>2</v>
      </c>
      <c r="D5" s="3" t="s">
        <v>3</v>
      </c>
      <c r="E5" s="3" t="s">
        <v>4</v>
      </c>
      <c r="F5" s="3" t="s">
        <v>5</v>
      </c>
      <c r="G5" s="3" t="s">
        <v>6</v>
      </c>
      <c r="H5" s="3" t="s">
        <v>7</v>
      </c>
      <c r="I5" s="3" t="s">
        <v>8</v>
      </c>
      <c r="J5" s="3" t="s">
        <v>9</v>
      </c>
      <c r="K5" s="3" t="s">
        <v>10</v>
      </c>
      <c r="L5" s="3" t="s">
        <v>11</v>
      </c>
      <c r="M5" s="3" t="s">
        <v>12</v>
      </c>
      <c r="N5" s="3" t="s">
        <v>13</v>
      </c>
      <c r="O5" s="3" t="s">
        <v>177</v>
      </c>
      <c r="P5" s="3" t="s">
        <v>178</v>
      </c>
      <c r="Q5" s="6" t="s">
        <v>179</v>
      </c>
      <c r="R5" s="954"/>
      <c r="S5" s="954"/>
      <c r="T5" s="954"/>
      <c r="U5" s="954"/>
      <c r="V5" s="954"/>
    </row>
    <row r="6" spans="1:22" ht="21" customHeight="1" x14ac:dyDescent="0.2">
      <c r="A6" s="1148"/>
      <c r="B6" s="2046" t="s">
        <v>14</v>
      </c>
      <c r="C6" s="2047"/>
      <c r="D6" s="2047"/>
      <c r="E6" s="2047"/>
      <c r="F6" s="2047"/>
      <c r="G6" s="2047"/>
      <c r="H6" s="2047"/>
      <c r="I6" s="2047"/>
      <c r="J6" s="2047"/>
      <c r="K6" s="2048"/>
      <c r="L6" s="2061" t="s">
        <v>180</v>
      </c>
      <c r="M6" s="2062"/>
      <c r="N6" s="2062"/>
      <c r="O6" s="2061" t="s">
        <v>143</v>
      </c>
      <c r="P6" s="2062"/>
      <c r="Q6" s="2063"/>
      <c r="R6" s="954"/>
      <c r="S6" s="954"/>
      <c r="T6" s="954"/>
      <c r="U6" s="954"/>
      <c r="V6" s="954"/>
    </row>
    <row r="7" spans="1:22" ht="85" customHeight="1" x14ac:dyDescent="0.2">
      <c r="A7" s="1148"/>
      <c r="B7" s="2049" t="s">
        <v>161</v>
      </c>
      <c r="C7" s="2051" t="s">
        <v>181</v>
      </c>
      <c r="D7" s="1820" t="s">
        <v>182</v>
      </c>
      <c r="E7" s="1820" t="s">
        <v>183</v>
      </c>
      <c r="F7" s="2053" t="s">
        <v>145</v>
      </c>
      <c r="G7" s="1820" t="s">
        <v>146</v>
      </c>
      <c r="H7" s="1820" t="s">
        <v>147</v>
      </c>
      <c r="I7" s="2055" t="s">
        <v>148</v>
      </c>
      <c r="J7" s="2057" t="s">
        <v>149</v>
      </c>
      <c r="K7" s="2059" t="s">
        <v>134</v>
      </c>
      <c r="L7" s="2033" t="s">
        <v>184</v>
      </c>
      <c r="M7" s="2034" t="s">
        <v>185</v>
      </c>
      <c r="N7" s="2034" t="s">
        <v>186</v>
      </c>
      <c r="O7" s="2033" t="s">
        <v>184</v>
      </c>
      <c r="P7" s="2034" t="s">
        <v>185</v>
      </c>
      <c r="Q7" s="2035" t="s">
        <v>186</v>
      </c>
      <c r="R7" s="954"/>
      <c r="S7" s="954"/>
      <c r="T7" s="173" t="s">
        <v>166</v>
      </c>
      <c r="U7" s="173"/>
      <c r="V7" s="173"/>
    </row>
    <row r="8" spans="1:22" ht="33" customHeight="1" x14ac:dyDescent="0.2">
      <c r="A8" s="1148"/>
      <c r="B8" s="2050"/>
      <c r="C8" s="2052"/>
      <c r="D8" s="1820"/>
      <c r="E8" s="1820"/>
      <c r="F8" s="2054"/>
      <c r="G8" s="1820"/>
      <c r="H8" s="1820"/>
      <c r="I8" s="2056"/>
      <c r="J8" s="2058"/>
      <c r="K8" s="2060"/>
      <c r="L8" s="2033"/>
      <c r="M8" s="2034"/>
      <c r="N8" s="2034"/>
      <c r="O8" s="2033"/>
      <c r="P8" s="2034"/>
      <c r="Q8" s="2036"/>
      <c r="R8" s="954"/>
      <c r="S8" s="954"/>
      <c r="T8" s="274">
        <f>B9-TableA4!E9</f>
        <v>0</v>
      </c>
      <c r="U8" s="173"/>
      <c r="V8" s="173"/>
    </row>
    <row r="9" spans="1:22" ht="40" customHeight="1" x14ac:dyDescent="0.2">
      <c r="A9" s="8" t="s">
        <v>28</v>
      </c>
      <c r="B9" s="264">
        <f>SUM(B10:B44)</f>
        <v>1679.5501447062243</v>
      </c>
      <c r="C9" s="258">
        <f t="shared" ref="C9:K9" si="0">SUM(C10:C44)</f>
        <v>48.015250291333032</v>
      </c>
      <c r="D9" s="258"/>
      <c r="E9" s="258"/>
      <c r="F9" s="264">
        <f t="shared" si="0"/>
        <v>379.60356846747055</v>
      </c>
      <c r="G9" s="258"/>
      <c r="H9" s="258"/>
      <c r="I9" s="256">
        <f t="shared" si="0"/>
        <v>274.13126541645181</v>
      </c>
      <c r="J9" s="258">
        <f t="shared" si="0"/>
        <v>177.34893927090505</v>
      </c>
      <c r="K9" s="258">
        <f t="shared" si="0"/>
        <v>800.45112126006347</v>
      </c>
      <c r="L9" s="285">
        <f>K9/B9</f>
        <v>0.47658661682892062</v>
      </c>
      <c r="M9" s="286">
        <f>TableA2!G9/(TableA2!G9+TableA2!D9)</f>
        <v>0.42418128336172195</v>
      </c>
      <c r="N9" s="286">
        <f>SUMPRODUCT(N10:N43,B10:B43)/SUM(B10:B43)</f>
        <v>0.31379048469641779</v>
      </c>
      <c r="O9" s="21">
        <f>P9</f>
        <v>0.18850111911926007</v>
      </c>
      <c r="P9" s="260">
        <f>TableA3!H9/TableA3!B9</f>
        <v>0.18850111911926007</v>
      </c>
      <c r="Q9" s="287"/>
      <c r="R9" s="954"/>
      <c r="S9" s="954"/>
      <c r="T9" s="173"/>
      <c r="U9" s="273">
        <f>B9-C9-F9-I9-J9-K9</f>
        <v>0</v>
      </c>
      <c r="V9" s="173"/>
    </row>
    <row r="10" spans="1:22" ht="14.25" customHeight="1" x14ac:dyDescent="0.2">
      <c r="A10" s="1149" t="s">
        <v>29</v>
      </c>
      <c r="B10" s="1174">
        <f>C10+F10+I10+J10+K10</f>
        <v>93.950935524124446</v>
      </c>
      <c r="C10" s="1035">
        <f>TableB2!E10-TableB5!D10</f>
        <v>4.0739349312495001</v>
      </c>
      <c r="D10" s="1033">
        <f>TableB4!I10+TableB4!L10-TableB5!D10</f>
        <v>4.0756630851303477</v>
      </c>
      <c r="E10" s="1033">
        <f>D10-C10</f>
        <v>1.7281538808475716E-3</v>
      </c>
      <c r="F10" s="1175">
        <f>TableB2!D10-TableB5!C10</f>
        <v>8.7955518821850003</v>
      </c>
      <c r="G10" s="1033">
        <f>TableB4!D10+TableB4!G10-TableB5!C10</f>
        <v>8.7910436546697994</v>
      </c>
      <c r="H10" s="1033">
        <f>G10-F10</f>
        <v>-4.5082275152008577E-3</v>
      </c>
      <c r="I10" s="1176">
        <f>+TableB2!F10-TableB5!E10</f>
        <v>11.103764369975</v>
      </c>
      <c r="J10" s="1033">
        <f>O10/(1-O10)*(F10+I10)</f>
        <v>8.3997938172648166</v>
      </c>
      <c r="K10" s="1033">
        <f>N10/(1-N10)*(I10+F10+C10+J10)</f>
        <v>61.577890523450137</v>
      </c>
      <c r="L10" s="1177">
        <f t="shared" ref="L10:L43" si="1">K10/B10</f>
        <v>0.65542604956433181</v>
      </c>
      <c r="M10" s="1178">
        <f>TableA2!G10/(TableA2!G10+TableA2!D10)</f>
        <v>0.41166183129524692</v>
      </c>
      <c r="N10" s="1178">
        <f>VLOOKUP(A10,TableA10!$A$8:$G$95,7,)/(VLOOKUP(A10,TableA10!$A$8:$G$95,7,)+VLOOKUP(A10,TableA10!$A$8:$G$95,4,)+VLOOKUP(A10,TableA10!$A$8:$G$95,5,))</f>
        <v>0.65542604956433181</v>
      </c>
      <c r="O10" s="1179">
        <f>P10</f>
        <v>0.29682183632835152</v>
      </c>
      <c r="P10" s="1155">
        <f>TableA3!H10/TableA3!B10</f>
        <v>0.29682183632835152</v>
      </c>
      <c r="Q10" s="1156"/>
      <c r="R10" s="1027"/>
      <c r="S10" s="954"/>
      <c r="T10" s="270">
        <f>C10-(D10-E10)</f>
        <v>0</v>
      </c>
      <c r="U10" s="273">
        <f t="shared" ref="U10:U73" si="2">B10-C10-F10-I10-J10-K10</f>
        <v>0</v>
      </c>
      <c r="V10" s="173"/>
    </row>
    <row r="11" spans="1:22" ht="14.25" customHeight="1" x14ac:dyDescent="0.2">
      <c r="A11" s="1149" t="s">
        <v>30</v>
      </c>
      <c r="B11" s="1174">
        <f>+TableA4!E11</f>
        <v>24.048721217894112</v>
      </c>
      <c r="C11" s="1035">
        <f>TableB2!E11-TableB5!D11</f>
        <v>0.49029395452023894</v>
      </c>
      <c r="D11" s="1033">
        <f>TableB4!I11+TableB4!L11-TableB5!D11</f>
        <v>1.1625069328896289</v>
      </c>
      <c r="E11" s="1033">
        <f t="shared" ref="E11:E40" si="3">D11-C11</f>
        <v>0.67221297836938998</v>
      </c>
      <c r="F11" s="1175">
        <f>TableB2!D11-TableB5!C11</f>
        <v>8.7221297836938039</v>
      </c>
      <c r="G11" s="1033">
        <f>TableB4!D11+TableB4!G11-TableB5!C11</f>
        <v>8.7221297836938039</v>
      </c>
      <c r="H11" s="1033">
        <f t="shared" ref="H11:H44" si="4">G11-F11</f>
        <v>0</v>
      </c>
      <c r="I11" s="1176">
        <f>+TableB2!F11-TableB5!E11</f>
        <v>0.63227953410980042</v>
      </c>
      <c r="J11" s="1033">
        <f t="shared" ref="J11:J43" si="5">O11/(1-O11)*(F11+I11)</f>
        <v>2.013623739659256</v>
      </c>
      <c r="K11" s="1033">
        <f t="shared" ref="K11:K43" si="6">B11-C11-F11-I11-J11</f>
        <v>12.190394205911012</v>
      </c>
      <c r="L11" s="1177">
        <f t="shared" si="1"/>
        <v>0.50690405096635305</v>
      </c>
      <c r="M11" s="1178">
        <f>TableA2!G11/(TableA2!G11+TableA2!D11)</f>
        <v>0.48523713614348057</v>
      </c>
      <c r="N11" s="1178">
        <f>VLOOKUP(A11,TableA10!$A$8:$G$95,7,)/(VLOOKUP(A11,TableA10!$A$8:$G$95,7,)+VLOOKUP(A11,TableA10!$A$8:$G$95,4,)+VLOOKUP(A11,TableA10!$A$8:$G$95,5,))</f>
        <v>1.0253164556962024</v>
      </c>
      <c r="O11" s="1179">
        <f t="shared" ref="O11:O44" si="7">IF(Q11="",P11,Q11)</f>
        <v>0.1771303557511523</v>
      </c>
      <c r="P11" s="1155">
        <f>TableA3!H11/TableA3!B11</f>
        <v>0.1771303557511523</v>
      </c>
      <c r="Q11" s="1831"/>
      <c r="R11" s="1027"/>
      <c r="S11" s="954"/>
      <c r="T11" s="270">
        <f t="shared" ref="T11:T29" si="8">C11-(D11-E11)</f>
        <v>0</v>
      </c>
      <c r="U11" s="273">
        <f t="shared" si="2"/>
        <v>0</v>
      </c>
      <c r="V11" s="173"/>
    </row>
    <row r="12" spans="1:22" ht="14.25" customHeight="1" x14ac:dyDescent="0.2">
      <c r="A12" s="1149" t="s">
        <v>31</v>
      </c>
      <c r="B12" s="1174">
        <f>+TableA4!E12</f>
        <v>29.705177795569394</v>
      </c>
      <c r="C12" s="1035">
        <f>TableB2!E12-TableB5!D12</f>
        <v>0.22331555995923003</v>
      </c>
      <c r="D12" s="1033">
        <f>TableB4!I12+TableB4!L12-TableB5!D12</f>
        <v>8.3397881057163303</v>
      </c>
      <c r="E12" s="1033">
        <f t="shared" si="3"/>
        <v>8.1164725457570999</v>
      </c>
      <c r="F12" s="1175">
        <f>TableB2!D12-TableB5!C12</f>
        <v>21.689437719470767</v>
      </c>
      <c r="G12" s="1033">
        <f>TableB4!D12+TableB4!G12-TableB5!C12</f>
        <v>21.702748867557165</v>
      </c>
      <c r="H12" s="1033">
        <f t="shared" si="4"/>
        <v>1.3311148086398106E-2</v>
      </c>
      <c r="I12" s="1176">
        <f>+TableB2!F12-TableB5!E12</f>
        <v>-2.3656157498780246</v>
      </c>
      <c r="J12" s="1033">
        <f t="shared" si="5"/>
        <v>4.7151652784843856</v>
      </c>
      <c r="K12" s="1033">
        <f t="shared" si="6"/>
        <v>5.4428749875330373</v>
      </c>
      <c r="L12" s="1103">
        <f t="shared" si="1"/>
        <v>0.18322984043357102</v>
      </c>
      <c r="M12" s="1178">
        <f>TableA2!G12/(TableA2!G12+TableA2!D12)</f>
        <v>0.48988902460667944</v>
      </c>
      <c r="N12" s="1178">
        <f>VLOOKUP(A12,TableA10!$A$8:$G$95,7,)/(VLOOKUP(A12,TableA10!$A$8:$G$95,7,)+VLOOKUP(A12,TableA10!$A$8:$G$95,4,)+VLOOKUP(A12,TableA10!$A$8:$G$95,5,))</f>
        <v>0.25222589671839224</v>
      </c>
      <c r="O12" s="1179">
        <f t="shared" si="7"/>
        <v>0.19614658595326434</v>
      </c>
      <c r="P12" s="1155">
        <f>TableA3!H12/TableA3!B12</f>
        <v>0.19614658595326434</v>
      </c>
      <c r="Q12" s="1831"/>
      <c r="R12" s="1027"/>
      <c r="S12" s="954"/>
      <c r="T12" s="270">
        <f t="shared" si="8"/>
        <v>-4.4408920985006262E-16</v>
      </c>
      <c r="U12" s="273">
        <f t="shared" si="2"/>
        <v>0</v>
      </c>
      <c r="V12" s="173"/>
    </row>
    <row r="13" spans="1:22" ht="14.25" customHeight="1" x14ac:dyDescent="0.2">
      <c r="A13" s="1149" t="s">
        <v>32</v>
      </c>
      <c r="B13" s="1174">
        <f>C13+F13+I13+J13+K13</f>
        <v>68.494440298303317</v>
      </c>
      <c r="C13" s="1035">
        <f>TableB2!E13-TableB5!D13</f>
        <v>3.7753266056481003</v>
      </c>
      <c r="D13" s="1033"/>
      <c r="E13" s="1033"/>
      <c r="F13" s="1175">
        <f>TableB2!D13-TableB5!C13</f>
        <v>17.312837362122</v>
      </c>
      <c r="G13" s="1033"/>
      <c r="H13" s="1033"/>
      <c r="I13" s="1176">
        <f>+TableB2!F13-TableB5!E13</f>
        <v>13.377923805054001</v>
      </c>
      <c r="J13" s="1033">
        <f>O13/(1-O13)*(F13+I13)</f>
        <v>16.245181224831274</v>
      </c>
      <c r="K13" s="1033">
        <f>N13/(1-N13)*(I13+F13+C13+J13)</f>
        <v>17.78317130064794</v>
      </c>
      <c r="L13" s="1177">
        <f>K13/B13</f>
        <v>0.25962941259465183</v>
      </c>
      <c r="M13" s="1178">
        <f>TableA2!G13/(TableA2!G13+TableA2!D13)</f>
        <v>0.48244983755221532</v>
      </c>
      <c r="N13" s="1178">
        <f>AVERAGE(VLOOKUP(A13,TableA10!$A$8:$G$95,7,)/(VLOOKUP(A13,TableA10!$A$8:$G$95,7,)+VLOOKUP(A13,TableA10!$A$8:$G$95,4,)+VLOOKUP(A13,TableA10!$A$8:$G$95,5,)),VLOOKUP(A13,TableA10b!$A$8:$G$95,7,)/(VLOOKUP(A13,TableA10b!$A$8:$G$95,7,)+VLOOKUP(A13,TableA10b!$A$8:$G$95,4,)+VLOOKUP(A13,TableA10b!$A$8:$G$95,5,)))</f>
        <v>0.25962941259465189</v>
      </c>
      <c r="O13" s="1179">
        <f>P13</f>
        <v>0.34611388196176218</v>
      </c>
      <c r="P13" s="1155">
        <f>TableA3!H13/TableA3!B13</f>
        <v>0.34611388196176218</v>
      </c>
      <c r="Q13" s="1831"/>
      <c r="R13" s="1027"/>
      <c r="S13" s="954"/>
      <c r="T13" s="270"/>
      <c r="U13" s="273">
        <f t="shared" si="2"/>
        <v>0</v>
      </c>
      <c r="V13" s="173"/>
    </row>
    <row r="14" spans="1:22" ht="14.25" customHeight="1" x14ac:dyDescent="0.2">
      <c r="A14" s="1149" t="s">
        <v>33</v>
      </c>
      <c r="B14" s="1174">
        <f>C14+F14+I14+J14+K14</f>
        <v>17.317692278473682</v>
      </c>
      <c r="C14" s="1035">
        <f>TableB2!E14-TableB5!D14</f>
        <v>1.9709003885879</v>
      </c>
      <c r="D14" s="1033">
        <f>TableB4!I14+TableB4!L14-TableB5!D14</f>
        <v>2.0279178106692726</v>
      </c>
      <c r="E14" s="1033">
        <f>D14-C14</f>
        <v>5.7017422081372615E-2</v>
      </c>
      <c r="F14" s="1175">
        <f>TableB2!D14-TableB5!C14</f>
        <v>4.5824140671539997</v>
      </c>
      <c r="G14" s="1033">
        <f>TableB4!D14+TableB4!G14-TableB5!C14</f>
        <v>4.5837248192016</v>
      </c>
      <c r="H14" s="1033">
        <f>G14-F14</f>
        <v>1.3107520476003387E-3</v>
      </c>
      <c r="I14" s="1176">
        <f>+TableB2!F14-TableB5!E14</f>
        <v>3.7810573591850001</v>
      </c>
      <c r="J14" s="1033">
        <f>O14/(1-O14)*(F14+I14)</f>
        <v>1.5317561622283966</v>
      </c>
      <c r="K14" s="1033">
        <f>N14/(1-N14)*(I14+F14+C14+J14)</f>
        <v>5.4515643013183839</v>
      </c>
      <c r="L14" s="1177">
        <f>K14/B14</f>
        <v>0.31479738833879223</v>
      </c>
      <c r="M14" s="1178">
        <f>TableA2!G14/(TableA2!G14+TableA2!D14)</f>
        <v>0.24030649738182491</v>
      </c>
      <c r="N14" s="1178">
        <f>AVERAGE(VLOOKUP(A14,TableA10!$A$8:$G$95,7,)/(VLOOKUP(A14,TableA10!$A$8:$G$95,7,)+VLOOKUP(A14,TableA10!$A$8:$G$95,4,)+VLOOKUP(A14,TableA10!$A$8:$G$95,5,)),VLOOKUP(A14,TableA10b!$A$8:$G$95,7,)/(VLOOKUP(A14,TableA10b!$A$8:$G$95,7,)+VLOOKUP(A14,TableA10b!$A$8:$G$95,4,)+VLOOKUP(A14,TableA10b!$A$8:$G$95,5,)))</f>
        <v>0.31479738833879228</v>
      </c>
      <c r="O14" s="1179">
        <f>P14</f>
        <v>0.15479746660886656</v>
      </c>
      <c r="P14" s="1155">
        <f>TableA3!H14/TableA3!B14</f>
        <v>0.15479746660886656</v>
      </c>
      <c r="Q14" s="1831"/>
      <c r="R14" s="1027"/>
      <c r="S14" s="954"/>
      <c r="T14" s="270">
        <f t="shared" si="8"/>
        <v>0</v>
      </c>
      <c r="U14" s="273">
        <f t="shared" si="2"/>
        <v>0</v>
      </c>
      <c r="V14" s="173"/>
    </row>
    <row r="15" spans="1:22" ht="14.25" customHeight="1" x14ac:dyDescent="0.2">
      <c r="A15" s="1149" t="s">
        <v>34</v>
      </c>
      <c r="B15" s="1174">
        <f>+TableA4!E15</f>
        <v>23.976281108578732</v>
      </c>
      <c r="C15" s="1035">
        <f>TableB2!E15-TableB5!D15</f>
        <v>0.47867279307119998</v>
      </c>
      <c r="D15" s="1033">
        <f>TableB4!I15+TableB4!L15-TableB5!D15</f>
        <v>0.58927337047127004</v>
      </c>
      <c r="E15" s="1033">
        <f t="shared" si="3"/>
        <v>0.11060057740007007</v>
      </c>
      <c r="F15" s="1175">
        <f>TableB2!D15-TableB5!C15</f>
        <v>10.907534664335</v>
      </c>
      <c r="G15" s="1033">
        <f>TableB4!D15+TableB4!G15-TableB5!C15</f>
        <v>10.907534664335</v>
      </c>
      <c r="H15" s="1033">
        <f t="shared" si="4"/>
        <v>0</v>
      </c>
      <c r="I15" s="1176">
        <f>+TableB2!F15-TableB5!E15</f>
        <v>3.0872606026104998</v>
      </c>
      <c r="J15" s="1033">
        <f t="shared" si="5"/>
        <v>3.4959831511583643</v>
      </c>
      <c r="K15" s="1033">
        <f t="shared" si="6"/>
        <v>6.0068298974036676</v>
      </c>
      <c r="L15" s="1177">
        <f t="shared" si="1"/>
        <v>0.25053217678760109</v>
      </c>
      <c r="M15" s="1178">
        <f>TableA2!G15/(TableA2!G15+TableA2!D15)</f>
        <v>0.43865410497981161</v>
      </c>
      <c r="N15" s="1178">
        <f>VLOOKUP(A15,TableA10!$A$8:$G$95,7,)/(VLOOKUP(A15,TableA10!$A$8:$G$95,7,)+VLOOKUP(A15,TableA10!$A$8:$G$95,4,)+VLOOKUP(A15,TableA10!$A$8:$G$95,5,))</f>
        <v>0.3233654333502281</v>
      </c>
      <c r="O15" s="1179">
        <f t="shared" si="7"/>
        <v>0.19987578983562221</v>
      </c>
      <c r="P15" s="1155">
        <f>TableA3!H15/TableA3!B15</f>
        <v>0.19987578983562221</v>
      </c>
      <c r="Q15" s="1831"/>
      <c r="R15" s="1027"/>
      <c r="S15" s="954"/>
      <c r="T15" s="270">
        <f t="shared" si="8"/>
        <v>0</v>
      </c>
      <c r="U15" s="273">
        <f t="shared" si="2"/>
        <v>0</v>
      </c>
      <c r="V15" s="173"/>
    </row>
    <row r="16" spans="1:22" ht="14.25" customHeight="1" x14ac:dyDescent="0.2">
      <c r="A16" s="1149" t="s">
        <v>35</v>
      </c>
      <c r="B16" s="1174">
        <f>+TableA4!E16</f>
        <v>13.839340879938103</v>
      </c>
      <c r="C16" s="1035">
        <f>TableB2!E16-TableB5!D16</f>
        <v>0.26808814345614751</v>
      </c>
      <c r="D16" s="1033">
        <f>TableB4!I16+TableB4!L16-TableB5!D16</f>
        <v>0.34183840366372148</v>
      </c>
      <c r="E16" s="1033">
        <f t="shared" si="3"/>
        <v>7.375026020757397E-2</v>
      </c>
      <c r="F16" s="1175">
        <f>TableB2!D16-TableB5!C16</f>
        <v>4.7846968210069205</v>
      </c>
      <c r="G16" s="1033">
        <f>TableB4!D16+TableB4!G16-TableB5!C16</f>
        <v>4.7846968210069205</v>
      </c>
      <c r="H16" s="1033">
        <f t="shared" si="4"/>
        <v>0</v>
      </c>
      <c r="I16" s="1176">
        <f>+TableB2!F16-TableB5!E16</f>
        <v>-0.48606774318256002</v>
      </c>
      <c r="J16" s="1033">
        <f t="shared" si="5"/>
        <v>0.75565065007342747</v>
      </c>
      <c r="K16" s="1033">
        <f t="shared" si="6"/>
        <v>8.5169730085841664</v>
      </c>
      <c r="L16" s="1177">
        <f t="shared" si="1"/>
        <v>0.61541753198164295</v>
      </c>
      <c r="M16" s="1178">
        <f>TableA2!G16/(TableA2!G16+TableA2!D16)</f>
        <v>0.43278622865596977</v>
      </c>
      <c r="N16" s="1178">
        <f>VLOOKUP(A16,TableA10!$A$8:$G$95,7,)/(VLOOKUP(A16,TableA10!$A$8:$G$95,7,)+VLOOKUP(A16,TableA10!$A$8:$G$95,4,)+VLOOKUP(A16,TableA10!$A$8:$G$95,5,))</f>
        <v>0.41478555304740405</v>
      </c>
      <c r="O16" s="1179">
        <f t="shared" si="7"/>
        <v>0.14950708919067349</v>
      </c>
      <c r="P16" s="1155">
        <f>TableA3!H16/TableA3!B16</f>
        <v>0.14950708919067349</v>
      </c>
      <c r="Q16" s="1831"/>
      <c r="R16" s="1027"/>
      <c r="S16" s="954"/>
      <c r="T16" s="270">
        <f t="shared" si="8"/>
        <v>0</v>
      </c>
      <c r="U16" s="273">
        <f t="shared" si="2"/>
        <v>0</v>
      </c>
      <c r="V16" s="173"/>
    </row>
    <row r="17" spans="1:22" ht="14.25" customHeight="1" x14ac:dyDescent="0.2">
      <c r="A17" s="1088" t="s">
        <v>36</v>
      </c>
      <c r="B17" s="1180">
        <f>+TableA4!E17</f>
        <v>2.6525615484904161</v>
      </c>
      <c r="C17" s="1035">
        <f>TableB2!E17-TableB5!D17</f>
        <v>1.4843039378812999E-2</v>
      </c>
      <c r="D17" s="1033">
        <f>TableB4!I17+TableB4!L17-TableB5!D17</f>
        <v>4.5082640044370695E-2</v>
      </c>
      <c r="E17" s="1033">
        <f t="shared" si="3"/>
        <v>3.0239600665557698E-2</v>
      </c>
      <c r="F17" s="1175">
        <f>TableB2!D17-TableB5!C17</f>
        <v>0.72318469217970005</v>
      </c>
      <c r="G17" s="1033">
        <f>TableB4!D17+TableB4!G17-TableB5!C17</f>
        <v>0.72318469217970005</v>
      </c>
      <c r="H17" s="1033">
        <f t="shared" si="4"/>
        <v>0</v>
      </c>
      <c r="I17" s="1176">
        <f>+TableB2!F17-TableB5!E17</f>
        <v>0.56524126455906698</v>
      </c>
      <c r="J17" s="1034">
        <f>O17/(1-O17)*(F17+I17)</f>
        <v>0.1679873914666514</v>
      </c>
      <c r="K17" s="1033">
        <f>B17-C17-F17-I17-J17</f>
        <v>1.1813051609061846</v>
      </c>
      <c r="L17" s="1103">
        <f t="shared" si="1"/>
        <v>0.445345052060515</v>
      </c>
      <c r="M17" s="1105">
        <f>TableA2!G17/(TableA2!G17+TableA2!D17)</f>
        <v>0.36389549524342479</v>
      </c>
      <c r="N17" s="1178"/>
      <c r="O17" s="1179">
        <f t="shared" si="7"/>
        <v>0.11534321054777766</v>
      </c>
      <c r="P17" s="1155">
        <f>TableA3!H17/TableA3!B17</f>
        <v>0.11534321054777766</v>
      </c>
      <c r="Q17" s="1181"/>
      <c r="R17" s="1182"/>
      <c r="S17" s="954"/>
      <c r="T17" s="270">
        <f t="shared" si="8"/>
        <v>0</v>
      </c>
      <c r="U17" s="273">
        <f t="shared" si="2"/>
        <v>0</v>
      </c>
      <c r="V17" s="173"/>
    </row>
    <row r="18" spans="1:22" ht="14.25" customHeight="1" x14ac:dyDescent="0.2">
      <c r="A18" s="1149" t="s">
        <v>37</v>
      </c>
      <c r="B18" s="1174">
        <f>+TableA4!E18</f>
        <v>11.789190114958569</v>
      </c>
      <c r="C18" s="1035">
        <f>TableB2!E18-TableB5!D18</f>
        <v>0.69661674986134003</v>
      </c>
      <c r="D18" s="1033"/>
      <c r="E18" s="1033"/>
      <c r="F18" s="1175">
        <f>TableB2!D18-TableB5!C18</f>
        <v>5.4220743205768001</v>
      </c>
      <c r="G18" s="1033">
        <f>TableB4!D18+TableB4!G18-TableB5!C18</f>
        <v>5.4220743205768001</v>
      </c>
      <c r="H18" s="1033">
        <f t="shared" si="4"/>
        <v>0</v>
      </c>
      <c r="I18" s="1176">
        <f>+TableB2!F18-TableB5!E18</f>
        <v>-2.0288408208541</v>
      </c>
      <c r="J18" s="1033">
        <f t="shared" si="5"/>
        <v>0.85337570371897753</v>
      </c>
      <c r="K18" s="1033">
        <f t="shared" si="6"/>
        <v>6.8459641616555515</v>
      </c>
      <c r="L18" s="1177">
        <f t="shared" si="1"/>
        <v>0.58069842753397749</v>
      </c>
      <c r="M18" s="1178">
        <f>TableA2!G18/(TableA2!G18+TableA2!D18)</f>
        <v>0.49260248420874131</v>
      </c>
      <c r="N18" s="1178">
        <f>VLOOKUP(A18,TableA10!$A$8:$G$95,7,)/(VLOOKUP(A18,TableA10!$A$8:$G$95,7,)+VLOOKUP(A18,TableA10!$A$8:$G$95,4,)+VLOOKUP(A18,TableA10!$A$8:$G$95,5,))</f>
        <v>-0.18588873812754408</v>
      </c>
      <c r="O18" s="1179">
        <f t="shared" si="7"/>
        <v>0.20095461174702786</v>
      </c>
      <c r="P18" s="1155">
        <f>TableA3!H18/TableA3!B18</f>
        <v>0.20095461174702786</v>
      </c>
      <c r="Q18" s="1831"/>
      <c r="R18" s="1027"/>
      <c r="S18" s="954"/>
      <c r="T18" s="270"/>
      <c r="U18" s="273">
        <f t="shared" si="2"/>
        <v>0</v>
      </c>
      <c r="V18" s="173"/>
    </row>
    <row r="19" spans="1:22" ht="14.25" customHeight="1" x14ac:dyDescent="0.2">
      <c r="A19" s="1088" t="s">
        <v>38</v>
      </c>
      <c r="B19" s="1180">
        <f>+TableA4!E19</f>
        <v>57.999541913648059</v>
      </c>
      <c r="C19" s="1035">
        <f>TableB2!E19-TableB5!D19</f>
        <v>2.8098090929952</v>
      </c>
      <c r="D19" s="1033">
        <f>TableB4!I19+TableB4!L19-TableB5!D19</f>
        <v>4.1614240421225999</v>
      </c>
      <c r="E19" s="1033">
        <f t="shared" si="3"/>
        <v>1.3516149491273999</v>
      </c>
      <c r="F19" s="1175">
        <f>TableB2!D19-TableB5!C19</f>
        <v>15.593480865224999</v>
      </c>
      <c r="G19" s="1033">
        <f>TableB4!D19+TableB4!G19-TableB5!C19</f>
        <v>15.593480865224999</v>
      </c>
      <c r="H19" s="1033">
        <f t="shared" si="4"/>
        <v>0</v>
      </c>
      <c r="I19" s="1176">
        <f>+TableB2!F19-TableB5!E19</f>
        <v>7.5611680532446002</v>
      </c>
      <c r="J19" s="1034">
        <f t="shared" si="5"/>
        <v>8.624166082052362</v>
      </c>
      <c r="K19" s="1033">
        <f t="shared" si="6"/>
        <v>23.410917820130898</v>
      </c>
      <c r="L19" s="1103">
        <f t="shared" si="1"/>
        <v>0.40363970210292299</v>
      </c>
      <c r="M19" s="1105">
        <f>TableA2!G19/(TableA2!G19+TableA2!D19)</f>
        <v>0.60035726791541277</v>
      </c>
      <c r="N19" s="1178">
        <f>VLOOKUP(A19,TableA10!$A$8:$G$95,7,)/(VLOOKUP(A19,TableA10!$A$8:$G$95,7,)+VLOOKUP(A19,TableA10!$A$8:$G$95,4,)+VLOOKUP(A19,TableA10!$A$8:$G$95,5,))</f>
        <v>0.39348118279569894</v>
      </c>
      <c r="O19" s="1179">
        <f t="shared" si="7"/>
        <v>0.27138098390108983</v>
      </c>
      <c r="P19" s="1155">
        <f>TableA3!H19/TableA3!B19</f>
        <v>0.27138098390108983</v>
      </c>
      <c r="Q19" s="1183"/>
      <c r="R19" s="1182"/>
      <c r="S19" s="954"/>
      <c r="T19" s="270">
        <f t="shared" si="8"/>
        <v>0</v>
      </c>
      <c r="U19" s="273">
        <f t="shared" si="2"/>
        <v>0</v>
      </c>
      <c r="V19" s="173"/>
    </row>
    <row r="20" spans="1:22" ht="14.25" customHeight="1" x14ac:dyDescent="0.2">
      <c r="A20" s="1149" t="s">
        <v>39</v>
      </c>
      <c r="B20" s="1174">
        <f>+TableA4!E20</f>
        <v>184.32822136729789</v>
      </c>
      <c r="C20" s="1035">
        <f>TableB2!E20-TableB5!D20</f>
        <v>6.8208541320021991</v>
      </c>
      <c r="D20" s="1033">
        <f>TableB4!I20+TableB4!L20-TableB5!D20</f>
        <v>8.0354963948974003</v>
      </c>
      <c r="E20" s="1033">
        <f t="shared" si="3"/>
        <v>1.2146422628952012</v>
      </c>
      <c r="F20" s="1175">
        <f>TableB2!D20-TableB5!C20</f>
        <v>21.960066555739999</v>
      </c>
      <c r="G20" s="1033">
        <f>TableB4!D20+TableB4!G20-TableB5!C20</f>
        <v>21.960066555739999</v>
      </c>
      <c r="H20" s="1033">
        <f t="shared" si="4"/>
        <v>0</v>
      </c>
      <c r="I20" s="1176">
        <f>+TableB2!F20-TableB5!E20</f>
        <v>4.8530227398779999</v>
      </c>
      <c r="J20" s="1033">
        <f t="shared" si="5"/>
        <v>16.022776454540054</v>
      </c>
      <c r="K20" s="1033">
        <f t="shared" si="6"/>
        <v>134.67150148513764</v>
      </c>
      <c r="L20" s="1103">
        <f t="shared" si="1"/>
        <v>0.73060706866360525</v>
      </c>
      <c r="M20" s="1178">
        <f>TableA2!G20/(TableA2!G20+TableA2!D20)</f>
        <v>0.40333385526762178</v>
      </c>
      <c r="N20" s="1178">
        <f>VLOOKUP(A20,TableA10!$A$8:$G$95,7,)/(VLOOKUP(A20,TableA10!$A$8:$G$95,7,)+VLOOKUP(A20,TableA10!$A$8:$G$95,4,)+VLOOKUP(A20,TableA10!$A$8:$G$95,5,))</f>
        <v>0.34050092224055917</v>
      </c>
      <c r="O20" s="1179">
        <f t="shared" si="7"/>
        <v>0.37405048722473722</v>
      </c>
      <c r="P20" s="1155">
        <f>TableA3!H20/TableA3!B20</f>
        <v>0.10568882329112707</v>
      </c>
      <c r="Q20" s="1156">
        <f>VLOOKUP(A20,TableA11!$A$9:$L$96,12,)</f>
        <v>0.37405048722473722</v>
      </c>
      <c r="R20" s="1027"/>
      <c r="S20" s="954"/>
      <c r="T20" s="270">
        <f t="shared" si="8"/>
        <v>0</v>
      </c>
      <c r="U20" s="273">
        <f t="shared" si="2"/>
        <v>0</v>
      </c>
      <c r="V20" s="173"/>
    </row>
    <row r="21" spans="1:22" ht="14.25" customHeight="1" x14ac:dyDescent="0.2">
      <c r="A21" s="1149" t="s">
        <v>40</v>
      </c>
      <c r="B21" s="1174">
        <f>+TableA4!E21</f>
        <v>4.4628405784515266</v>
      </c>
      <c r="C21" s="1035">
        <f>TableB2!E21-TableB5!D21</f>
        <v>6.4186108707708994E-2</v>
      </c>
      <c r="D21" s="1033">
        <f>TableB4!I21+TableB4!L21-TableB5!D21</f>
        <v>6.4186108707708994E-2</v>
      </c>
      <c r="E21" s="1033">
        <f t="shared" si="3"/>
        <v>0</v>
      </c>
      <c r="F21" s="1175">
        <f>TableB2!D21-TableB5!C21</f>
        <v>0.62594856905157992</v>
      </c>
      <c r="G21" s="1033">
        <f>TableB4!D21+TableB4!G21-TableB5!C21</f>
        <v>0.62594856905157992</v>
      </c>
      <c r="H21" s="1033">
        <f t="shared" si="4"/>
        <v>0</v>
      </c>
      <c r="I21" s="1176">
        <f>+TableB2!F21-TableB5!E21</f>
        <v>0.46668885191347997</v>
      </c>
      <c r="J21" s="1033">
        <f t="shared" si="5"/>
        <v>0.25035540386519833</v>
      </c>
      <c r="K21" s="1033">
        <f t="shared" si="6"/>
        <v>3.0556616449135592</v>
      </c>
      <c r="L21" s="1177">
        <f t="shared" si="1"/>
        <v>0.68468984970415037</v>
      </c>
      <c r="M21" s="1178">
        <f>TableA2!G21/(TableA2!G21+TableA2!D21)</f>
        <v>0.4735022867183965</v>
      </c>
      <c r="N21" s="1178">
        <f>VLOOKUP(A21,TableA10!$A$8:$G$95,7,)/(VLOOKUP(A21,TableA10!$A$8:$G$95,7,)+VLOOKUP(A21,TableA10!$A$8:$G$95,4,)+VLOOKUP(A21,TableA10!$A$8:$G$95,5,))</f>
        <v>0.12211080571847459</v>
      </c>
      <c r="O21" s="1179">
        <f t="shared" si="7"/>
        <v>0.18641603978549989</v>
      </c>
      <c r="P21" s="1155">
        <f>TableA3!H21/TableA3!B21</f>
        <v>0.18641603978549989</v>
      </c>
      <c r="Q21" s="1831"/>
      <c r="R21" s="1027"/>
      <c r="S21" s="954"/>
      <c r="T21" s="270">
        <f t="shared" si="8"/>
        <v>0</v>
      </c>
      <c r="U21" s="273">
        <f t="shared" si="2"/>
        <v>0</v>
      </c>
      <c r="V21" s="173"/>
    </row>
    <row r="22" spans="1:22" ht="14.25" customHeight="1" x14ac:dyDescent="0.2">
      <c r="A22" s="1149" t="s">
        <v>41</v>
      </c>
      <c r="B22" s="1174">
        <f>+TableA4!E22</f>
        <v>18.945890950666893</v>
      </c>
      <c r="C22" s="1035">
        <f>TableB2!E22-TableB5!D22</f>
        <v>0.56776232297255991</v>
      </c>
      <c r="D22" s="1033">
        <f>TableB4!I22+TableB4!L22-TableB5!D22</f>
        <v>1.8162109823277</v>
      </c>
      <c r="E22" s="1033">
        <f t="shared" si="3"/>
        <v>1.24844865935514</v>
      </c>
      <c r="F22" s="1175">
        <f>TableB2!D22-TableB5!C22</f>
        <v>3.7422123935328995</v>
      </c>
      <c r="G22" s="1033">
        <f>TableB4!D22+TableB4!G22-TableB5!C22</f>
        <v>3.7422123935328648</v>
      </c>
      <c r="H22" s="1033">
        <f t="shared" si="4"/>
        <v>-3.4638958368304884E-14</v>
      </c>
      <c r="I22" s="1176">
        <f>+TableB2!F22-TableB5!E22</f>
        <v>4.442505748690901</v>
      </c>
      <c r="J22" s="1033">
        <f t="shared" si="5"/>
        <v>0.97319696973962588</v>
      </c>
      <c r="K22" s="1033">
        <f t="shared" si="6"/>
        <v>9.220213515730908</v>
      </c>
      <c r="L22" s="1177">
        <f t="shared" si="1"/>
        <v>0.48666032860314534</v>
      </c>
      <c r="M22" s="1178">
        <f>TableA2!G22/(TableA2!G22+TableA2!D22)</f>
        <v>0.39670811481294177</v>
      </c>
      <c r="N22" s="1178">
        <f>VLOOKUP(A22,TableA10!$A$8:$G$95,7,)/(VLOOKUP(A22,TableA10!$A$8:$G$95,7,)+VLOOKUP(A22,TableA10!$A$8:$G$95,4,)+VLOOKUP(A22,TableA10!$A$8:$G$95,5,))</f>
        <v>4.327076041998091E-2</v>
      </c>
      <c r="O22" s="1179">
        <f t="shared" si="7"/>
        <v>0.10626839819341541</v>
      </c>
      <c r="P22" s="1155">
        <f>TableA3!H22/TableA3!B22</f>
        <v>0.10626839819341541</v>
      </c>
      <c r="Q22" s="1831"/>
      <c r="R22" s="1027"/>
      <c r="S22" s="954"/>
      <c r="T22" s="270">
        <f t="shared" si="8"/>
        <v>0</v>
      </c>
      <c r="U22" s="273">
        <f t="shared" si="2"/>
        <v>0</v>
      </c>
      <c r="V22" s="173"/>
    </row>
    <row r="23" spans="1:22" ht="14.25" customHeight="1" x14ac:dyDescent="0.2">
      <c r="A23" s="1149" t="s">
        <v>42</v>
      </c>
      <c r="B23" s="1174">
        <f>C23+F23+I23+J23+K23</f>
        <v>2.1367231487797442E-2</v>
      </c>
      <c r="C23" s="1035">
        <f>TableB2!E23-TableB5!D23</f>
        <v>0.1130207792345674</v>
      </c>
      <c r="D23" s="1033">
        <f>TableB4!I23+TableB4!L23-TableB5!D23</f>
        <v>0.30075187969924438</v>
      </c>
      <c r="E23" s="1033">
        <f>D23-C23</f>
        <v>0.187731100464677</v>
      </c>
      <c r="F23" s="1175">
        <f>TableB2!D23-TableB5!C23</f>
        <v>1.0265656073226997E-2</v>
      </c>
      <c r="G23" s="1033">
        <f>TableB4!D23+TableB4!G23-TableB5!C23</f>
        <v>1.0265656073226997E-2</v>
      </c>
      <c r="H23" s="1033">
        <f>G23-F23</f>
        <v>0</v>
      </c>
      <c r="I23" s="1176">
        <f>+TableB2!F23-TableB5!E23</f>
        <v>-9.2133125998418053E-2</v>
      </c>
      <c r="J23" s="1033">
        <f>O23/(1-O23)*(F23+I23)</f>
        <v>-1.8625788557370529E-2</v>
      </c>
      <c r="K23" s="1033">
        <f>M23/(1-M23)*(I23+F23+C23+J23)</f>
        <v>8.8397107357916366E-3</v>
      </c>
      <c r="L23" s="1177">
        <f t="shared" si="1"/>
        <v>0.41370407489804584</v>
      </c>
      <c r="M23" s="1178">
        <f>TableA2!G23/(TableA2!G23+TableA2!D23)</f>
        <v>0.41370407489804589</v>
      </c>
      <c r="N23" s="1178"/>
      <c r="O23" s="1179">
        <f>P23</f>
        <v>0.18534366223782692</v>
      </c>
      <c r="P23" s="1155">
        <f>TableA3!H23/TableA3!B23</f>
        <v>0.18534366223782692</v>
      </c>
      <c r="Q23" s="1831"/>
      <c r="R23" s="1027"/>
      <c r="S23" s="954"/>
      <c r="T23" s="270">
        <f t="shared" si="8"/>
        <v>0</v>
      </c>
      <c r="U23" s="273">
        <f t="shared" si="2"/>
        <v>0</v>
      </c>
      <c r="V23" s="173"/>
    </row>
    <row r="24" spans="1:22" ht="14.25" customHeight="1" x14ac:dyDescent="0.2">
      <c r="A24" s="1149" t="s">
        <v>43</v>
      </c>
      <c r="B24" s="1174">
        <f>+TableA4!E24</f>
        <v>114.90450564431634</v>
      </c>
      <c r="C24" s="1035">
        <f>TableB2!E24-TableB5!D24</f>
        <v>0.92734331669439996</v>
      </c>
      <c r="D24" s="1033">
        <f>TableB4!I24+TableB4!L24-TableB5!D24</f>
        <v>5.2499223516361999</v>
      </c>
      <c r="E24" s="1033">
        <f t="shared" si="3"/>
        <v>4.3225790349417998</v>
      </c>
      <c r="F24" s="1175">
        <f>TableB2!D24-TableB5!C24</f>
        <v>17.189129229062999</v>
      </c>
      <c r="G24" s="1033">
        <f>TableB4!D24+TableB4!G24-TableB5!C24</f>
        <v>17.183582917359999</v>
      </c>
      <c r="H24" s="1033">
        <f t="shared" si="4"/>
        <v>-5.5463117030001285E-3</v>
      </c>
      <c r="I24" s="1176">
        <f>+TableB2!F24-TableB5!E24</f>
        <v>46.587909040488</v>
      </c>
      <c r="J24" s="1033">
        <f t="shared" si="5"/>
        <v>3.7256292575956804</v>
      </c>
      <c r="K24" s="1033">
        <f t="shared" si="6"/>
        <v>46.474494800475263</v>
      </c>
      <c r="L24" s="1177">
        <f t="shared" si="1"/>
        <v>0.40446190112279629</v>
      </c>
      <c r="M24" s="1178">
        <f>TableA2!G24/(TableA2!G24+TableA2!D24)</f>
        <v>0.34923976068215834</v>
      </c>
      <c r="N24" s="1178">
        <f>VLOOKUP(A24,TableA10!$A$8:$G$95,7,)/(VLOOKUP(A24,TableA10!$A$8:$G$95,7,)+VLOOKUP(A24,TableA10!$A$8:$G$95,4,)+VLOOKUP(A24,TableA10!$A$8:$G$95,5,))</f>
        <v>7.7716949996070928E-2</v>
      </c>
      <c r="O24" s="1179">
        <f t="shared" si="7"/>
        <v>5.5192326378767059E-2</v>
      </c>
      <c r="P24" s="1155">
        <f>TableA3!H24/TableA3!B24</f>
        <v>6.0720568130957837E-2</v>
      </c>
      <c r="Q24" s="1156">
        <f>VLOOKUP(A24,TableA11!$A$9:$L$96,12,)</f>
        <v>5.5192326378767059E-2</v>
      </c>
      <c r="R24" s="1027"/>
      <c r="S24" s="954"/>
      <c r="T24" s="270">
        <f t="shared" si="8"/>
        <v>0</v>
      </c>
      <c r="U24" s="273">
        <f t="shared" si="2"/>
        <v>0</v>
      </c>
      <c r="V24" s="173"/>
    </row>
    <row r="25" spans="1:22" ht="14.25" customHeight="1" x14ac:dyDescent="0.2">
      <c r="A25" s="1149" t="s">
        <v>44</v>
      </c>
      <c r="B25" s="1174">
        <f>C25+F25+I25+J25+K25</f>
        <v>8.5187715952316321</v>
      </c>
      <c r="C25" s="1035">
        <f>TableB2!E25-TableB5!D25</f>
        <v>0.15850000000000009</v>
      </c>
      <c r="D25" s="1033"/>
      <c r="E25" s="1033"/>
      <c r="F25" s="1175">
        <f>TableB2!D25-TableB5!C25</f>
        <v>1.1495</v>
      </c>
      <c r="G25" s="1033"/>
      <c r="H25" s="1033"/>
      <c r="I25" s="1176">
        <f>+TableB2!F25-TableB5!E25</f>
        <v>3.7119999999999997</v>
      </c>
      <c r="J25" s="1033">
        <f>O25/(1-O25)*(F25+I25)</f>
        <v>0.96596267482376685</v>
      </c>
      <c r="K25" s="1033">
        <f>M25/(1-M25)*(I25+F25+C25+J25)</f>
        <v>2.5328089204078661</v>
      </c>
      <c r="L25" s="1177">
        <f>K25/B25</f>
        <v>0.29732090972196057</v>
      </c>
      <c r="M25" s="1178">
        <f>TableA2!G25/(TableA2!G25+TableA2!D25)</f>
        <v>0.29732090972196057</v>
      </c>
      <c r="N25" s="1178">
        <f>VLOOKUP(A25,TableA10!$A$8:$G$95,7,)/(VLOOKUP(A25,TableA10!$A$8:$G$95,7,)+VLOOKUP(A25,TableA10!$A$8:$G$95,4,)+VLOOKUP(A25,TableA10!$A$8:$G$95,5,))</f>
        <v>0.23702224757558471</v>
      </c>
      <c r="O25" s="1179">
        <f>P25</f>
        <v>0.16576042245572675</v>
      </c>
      <c r="P25" s="1155">
        <f>TableA3!H25/TableA3!B25</f>
        <v>0.16576042245572675</v>
      </c>
      <c r="Q25" s="1831"/>
      <c r="R25" s="1027"/>
      <c r="S25" s="954"/>
      <c r="T25" s="270"/>
      <c r="U25" s="273">
        <f t="shared" si="2"/>
        <v>0</v>
      </c>
      <c r="V25" s="173"/>
    </row>
    <row r="26" spans="1:22" ht="14.25" customHeight="1" x14ac:dyDescent="0.2">
      <c r="A26" s="1149" t="s">
        <v>45</v>
      </c>
      <c r="B26" s="1174">
        <f>+TableA4!E26</f>
        <v>51.879393080286654</v>
      </c>
      <c r="C26" s="1035">
        <f>TableB2!E26-TableB5!D26</f>
        <v>0.80985579589572998</v>
      </c>
      <c r="D26" s="1033">
        <f>TableB4!I26+TableB4!L26-TableB5!D26</f>
        <v>2.1051092623405303</v>
      </c>
      <c r="E26" s="1033">
        <f t="shared" si="3"/>
        <v>1.2952534664448003</v>
      </c>
      <c r="F26" s="1175">
        <f>TableB2!D26-TableB5!C26</f>
        <v>3.4079789240155001</v>
      </c>
      <c r="G26" s="1033">
        <f>TableB4!D26+TableB4!G26-TableB5!C26</f>
        <v>3.4079789240155001</v>
      </c>
      <c r="H26" s="1033">
        <f t="shared" si="4"/>
        <v>0</v>
      </c>
      <c r="I26" s="1176">
        <f>+TableB2!F26-TableB5!E26</f>
        <v>7.4674919578479999</v>
      </c>
      <c r="J26" s="1033">
        <f t="shared" si="5"/>
        <v>2.3224178068507029</v>
      </c>
      <c r="K26" s="1033">
        <f t="shared" si="6"/>
        <v>37.871648595676724</v>
      </c>
      <c r="L26" s="1177">
        <f t="shared" si="1"/>
        <v>0.72999405635042691</v>
      </c>
      <c r="M26" s="1178">
        <f>TableA2!G26/(TableA2!G26+TableA2!D26)</f>
        <v>0.48989497691378109</v>
      </c>
      <c r="N26" s="1178">
        <f>VLOOKUP(A26,TableA10!$A$8:$G$95,7,)/(VLOOKUP(A26,TableA10!$A$8:$G$95,7,)+VLOOKUP(A26,TableA10!$A$8:$G$95,4,)+VLOOKUP(A26,TableA10!$A$8:$G$95,5,))</f>
        <v>0.35769784172661873</v>
      </c>
      <c r="O26" s="1179">
        <f t="shared" si="7"/>
        <v>0.17596888878420774</v>
      </c>
      <c r="P26" s="1155">
        <f>TableA3!H26/TableA3!B26</f>
        <v>0.17596888878420774</v>
      </c>
      <c r="Q26" s="1831"/>
      <c r="R26" s="1027"/>
      <c r="S26" s="954"/>
      <c r="T26" s="270">
        <f t="shared" si="8"/>
        <v>0</v>
      </c>
      <c r="U26" s="273">
        <f t="shared" si="2"/>
        <v>0</v>
      </c>
      <c r="V26" s="173"/>
    </row>
    <row r="27" spans="1:22" ht="14.25" customHeight="1" x14ac:dyDescent="0.2">
      <c r="A27" s="1149" t="s">
        <v>46</v>
      </c>
      <c r="B27" s="1174">
        <f>C27+F27+I27+J27+K27</f>
        <v>71.034766915452195</v>
      </c>
      <c r="C27" s="1035">
        <f>TableB2!E27-TableB5!D27</f>
        <v>0.50577551005228993</v>
      </c>
      <c r="D27" s="1033">
        <f>TableB4!I27+TableB4!L27-TableB5!D27</f>
        <v>0.50577551005228993</v>
      </c>
      <c r="E27" s="1033">
        <f>D27-C27</f>
        <v>0</v>
      </c>
      <c r="F27" s="1175">
        <f>TableB2!D27-TableB5!C27</f>
        <v>12.265056118767999</v>
      </c>
      <c r="G27" s="1033">
        <f>TableB4!D27+TableB4!G27-TableB5!C27</f>
        <v>12.265056118767999</v>
      </c>
      <c r="H27" s="1033">
        <f>G27-F27</f>
        <v>0</v>
      </c>
      <c r="I27" s="1176">
        <f>+TableB2!F27-TableB5!E27</f>
        <v>11.420444074204001</v>
      </c>
      <c r="J27" s="1033">
        <f>O27/(1-O27)*(F27+I27)</f>
        <v>8.4061652134379425</v>
      </c>
      <c r="K27" s="1033">
        <f>M27/(1-M27)*(I27+F27+C27+J27)</f>
        <v>38.437325998989955</v>
      </c>
      <c r="L27" s="1177">
        <f t="shared" si="1"/>
        <v>0.54110582279715602</v>
      </c>
      <c r="M27" s="1178">
        <f>TableA2!G27/(TableA2!G27+TableA2!D27)</f>
        <v>0.54110582279715602</v>
      </c>
      <c r="N27" s="1178">
        <f>AVERAGE(VLOOKUP(A27,TableA10!$A$8:$G$95,7,)/(VLOOKUP(A27,TableA10!$A$8:$G$95,7,)+VLOOKUP(A27,TableA10!$A$8:$G$95,4,)+VLOOKUP(A27,TableA10!$A$8:$G$95,5,)),VLOOKUP(A27,TableA10b!$A$8:$G$95,7,)/(VLOOKUP(A27,TableA10b!$A$8:$G$95,7,)+VLOOKUP(A27,TableA10b!$A$8:$G$95,4,)+VLOOKUP(A27,TableA10b!$A$8:$G$95,5,)))</f>
        <v>0.17859505957305163</v>
      </c>
      <c r="O27" s="1179">
        <f>P27</f>
        <v>0.26194231763861364</v>
      </c>
      <c r="P27" s="1155">
        <f>TableA3!H27/TableA3!B27</f>
        <v>0.26194231763861364</v>
      </c>
      <c r="Q27" s="1831"/>
      <c r="R27" s="1027"/>
      <c r="S27" s="954"/>
      <c r="T27" s="270">
        <f t="shared" si="8"/>
        <v>0</v>
      </c>
      <c r="U27" s="273">
        <f t="shared" si="2"/>
        <v>0</v>
      </c>
      <c r="V27" s="173"/>
    </row>
    <row r="28" spans="1:22" ht="14.25" customHeight="1" x14ac:dyDescent="0.2">
      <c r="A28" s="1149" t="s">
        <v>47</v>
      </c>
      <c r="B28" s="1174">
        <f>C28+F28+I28+J28+K28</f>
        <v>4.7045157965371542</v>
      </c>
      <c r="C28" s="1035">
        <f>TableB2!E28-TableB5!D28</f>
        <v>0.1707720848056547</v>
      </c>
      <c r="D28" s="1033"/>
      <c r="E28" s="1033"/>
      <c r="F28" s="1175">
        <f>TableB2!D28-TableB5!C28</f>
        <v>0.68805830388692679</v>
      </c>
      <c r="G28" s="1033">
        <f>TableB4!D28+TableB4!G28-TableB5!C28</f>
        <v>8.3500667844522951</v>
      </c>
      <c r="H28" s="1033">
        <f t="shared" si="4"/>
        <v>7.6620084805653681</v>
      </c>
      <c r="I28" s="1176">
        <f>+TableB2!F28-TableB5!E28</f>
        <v>1.366923519876345</v>
      </c>
      <c r="J28" s="1033">
        <f t="shared" si="5"/>
        <v>0.46215700438711022</v>
      </c>
      <c r="K28" s="1033">
        <f>M28/(1-M28)*(I28+F28+C28+J28)</f>
        <v>2.0166048835811177</v>
      </c>
      <c r="L28" s="1177">
        <f t="shared" si="1"/>
        <v>0.42865301569727471</v>
      </c>
      <c r="M28" s="1178">
        <f>TableA2!G28/(TableA2!G28+TableA2!D28)</f>
        <v>0.42865301569727471</v>
      </c>
      <c r="N28" s="1178">
        <f>VLOOKUP(A28,TableA10!$A$8:$G$95,7,)/(VLOOKUP(A28,TableA10!$A$8:$G$95,7,)+VLOOKUP(A28,TableA10!$A$8:$G$95,4,)+VLOOKUP(A28,TableA10!$A$8:$G$95,5,))</f>
        <v>0.26543535620052772</v>
      </c>
      <c r="O28" s="1179">
        <f t="shared" si="7"/>
        <v>0.18360409812068557</v>
      </c>
      <c r="P28" s="1155">
        <f>TableA3!H28/TableA3!B28</f>
        <v>0.18360409812068557</v>
      </c>
      <c r="Q28" s="1831"/>
      <c r="R28" s="1027"/>
      <c r="S28" s="954"/>
      <c r="T28" s="173"/>
      <c r="U28" s="273">
        <f t="shared" si="2"/>
        <v>0</v>
      </c>
      <c r="V28" s="173"/>
    </row>
    <row r="29" spans="1:22" ht="14.25" customHeight="1" x14ac:dyDescent="0.2">
      <c r="A29" s="1148" t="s">
        <v>48</v>
      </c>
      <c r="B29" s="1174">
        <f>+TableA4!E29</f>
        <v>2.7206095419459095</v>
      </c>
      <c r="C29" s="1035">
        <f>TableB2!E29-TableB5!D29</f>
        <v>5.3244592346090004E-2</v>
      </c>
      <c r="D29" s="1033">
        <f>TableB4!I29+TableB4!L29-TableB5!D29</f>
        <v>6.7665002773155999E-2</v>
      </c>
      <c r="E29" s="1033">
        <f t="shared" si="3"/>
        <v>1.4420410427065995E-2</v>
      </c>
      <c r="F29" s="1175">
        <f>TableB2!D29-TableB5!C29</f>
        <v>0.62229617304493001</v>
      </c>
      <c r="G29" s="1033">
        <f>TableB4!D29+TableB4!G29-TableB5!C29</f>
        <v>0.62229617304493001</v>
      </c>
      <c r="H29" s="1033">
        <f t="shared" si="4"/>
        <v>0</v>
      </c>
      <c r="I29" s="1176">
        <f>+TableB2!F29-TableB5!E29</f>
        <v>0.47587354409318</v>
      </c>
      <c r="J29" s="1033">
        <f t="shared" si="5"/>
        <v>0.12605495370513631</v>
      </c>
      <c r="K29" s="1033">
        <f t="shared" si="6"/>
        <v>1.4431402787565735</v>
      </c>
      <c r="L29" s="1177">
        <f t="shared" si="1"/>
        <v>0.53044740765129084</v>
      </c>
      <c r="M29" s="1178">
        <f>TableA2!G29/(TableA2!G29+TableA2!D29)</f>
        <v>0.47147890575093504</v>
      </c>
      <c r="N29" s="1178"/>
      <c r="O29" s="1179">
        <f t="shared" si="7"/>
        <v>0.10296717318914152</v>
      </c>
      <c r="P29" s="1155">
        <f>TableA3!H29/TableA3!B29</f>
        <v>0.10296717318914152</v>
      </c>
      <c r="Q29" s="1831"/>
      <c r="R29" s="1027"/>
      <c r="S29" s="954"/>
      <c r="T29" s="270">
        <f t="shared" si="8"/>
        <v>0</v>
      </c>
      <c r="U29" s="273">
        <f t="shared" si="2"/>
        <v>0</v>
      </c>
      <c r="V29" s="173"/>
    </row>
    <row r="30" spans="1:22" ht="14.25" customHeight="1" x14ac:dyDescent="0.2">
      <c r="A30" s="1148" t="s">
        <v>49</v>
      </c>
      <c r="B30" s="1174">
        <f>+TableA4!E30</f>
        <v>14.295093821500146</v>
      </c>
      <c r="C30" s="1184">
        <f>B30-F30-I30-J30-K30</f>
        <v>-7.9148775720845004</v>
      </c>
      <c r="D30" s="1033"/>
      <c r="E30" s="1033"/>
      <c r="F30" s="1175">
        <f>TableB2!D30-TableB5!C30</f>
        <v>9.1858014420409972</v>
      </c>
      <c r="G30" s="1033">
        <f>TableB4!D30+TableB4!G30-TableB5!C30</f>
        <v>13.636161952301997</v>
      </c>
      <c r="H30" s="1033">
        <f t="shared" si="4"/>
        <v>4.4503605102609995</v>
      </c>
      <c r="I30" s="1176">
        <f>+TableB2!F30-TableB5!E30</f>
        <v>8.930671103716012</v>
      </c>
      <c r="J30" s="1033">
        <f>0.05*B30</f>
        <v>0.71475469107500733</v>
      </c>
      <c r="K30" s="1033">
        <f>TableA2!G30/(TableA2!G30+TableA2!D30)*B30</f>
        <v>3.3787441567526297</v>
      </c>
      <c r="L30" s="1103">
        <f t="shared" si="1"/>
        <v>0.23635690670815479</v>
      </c>
      <c r="M30" s="1178">
        <f>TableA2!G30/(TableA2!G30+TableA2!D30)</f>
        <v>0.23635690670815479</v>
      </c>
      <c r="N30" s="1178">
        <f>VLOOKUP(A30,TableA10!$A$8:$G$95,7,)/(VLOOKUP(A30,TableA10!$A$8:$G$95,7,)+VLOOKUP(A30,TableA10!$A$8:$G$95,4,)+VLOOKUP(A30,TableA10!$A$8:$G$95,5,))</f>
        <v>0.2268370607028754</v>
      </c>
      <c r="O30" s="1179">
        <f t="shared" si="7"/>
        <v>8.8413018127849047E-2</v>
      </c>
      <c r="P30" s="1155">
        <f>TableA3!H30/TableA3!B30</f>
        <v>4.2940762652087926E-2</v>
      </c>
      <c r="Q30" s="1156">
        <f>VLOOKUP(A30,TableA11!$A$9:$L$96,12,)</f>
        <v>8.8413018127849047E-2</v>
      </c>
      <c r="R30" s="1027"/>
      <c r="S30" s="954"/>
      <c r="T30" s="173"/>
      <c r="U30" s="273">
        <f t="shared" si="2"/>
        <v>0</v>
      </c>
      <c r="V30" s="173"/>
    </row>
    <row r="31" spans="1:22" ht="14.25" customHeight="1" x14ac:dyDescent="0.2">
      <c r="A31" s="1148" t="s">
        <v>50</v>
      </c>
      <c r="B31" s="1174">
        <f>C31+F31+I31+J31+K31</f>
        <v>32.651902412359277</v>
      </c>
      <c r="C31" s="1035">
        <f>TableB2!E31-TableB5!D31</f>
        <v>0.151843042200003</v>
      </c>
      <c r="D31" s="1033"/>
      <c r="E31" s="1033"/>
      <c r="F31" s="1175">
        <f>TableB2!D31-TableB5!C31</f>
        <v>5.4101154658999997</v>
      </c>
      <c r="G31" s="1033"/>
      <c r="H31" s="1033"/>
      <c r="I31" s="1176">
        <f>+TableB2!F31-TableB5!E31</f>
        <v>10.738041491899999</v>
      </c>
      <c r="J31" s="1033">
        <f>O31/(1-O31)*(F31+I31)</f>
        <v>7.3123167631465442</v>
      </c>
      <c r="K31" s="1033">
        <f>N31/(1-N31)*(I31+F31+C31+J31)</f>
        <v>9.0395856492127358</v>
      </c>
      <c r="L31" s="1177">
        <f>K31/B31</f>
        <v>0.2768471354303419</v>
      </c>
      <c r="M31" s="1178">
        <f>TableA2!G31/(TableA2!G31+TableA2!D31)</f>
        <v>0.2324763591051392</v>
      </c>
      <c r="N31" s="1178">
        <f>VLOOKUP(A31,TableA10!$A$8:$G$95,7,)/(VLOOKUP(A31,TableA10!$A$8:$G$95,7,)+VLOOKUP(A31,TableA10!$A$8:$G$95,4,)+VLOOKUP(A31,TableA10!$A$8:$G$95,5,))</f>
        <v>0.27684713543034184</v>
      </c>
      <c r="O31" s="1179">
        <f>IF(Q31="",P31,Q31)</f>
        <v>0.31168666285786834</v>
      </c>
      <c r="P31" s="1155">
        <f>TableA3!H31/TableA3!B31</f>
        <v>0.11500632352983997</v>
      </c>
      <c r="Q31" s="1156">
        <f>VLOOKUP(A31,TableA11!$A$9:$L$96,12,)</f>
        <v>0.31168666285786834</v>
      </c>
      <c r="R31" s="1027"/>
      <c r="S31" s="954"/>
      <c r="T31" s="173"/>
      <c r="U31" s="273">
        <f t="shared" si="2"/>
        <v>0</v>
      </c>
      <c r="V31" s="173"/>
    </row>
    <row r="32" spans="1:22" ht="14.25" customHeight="1" x14ac:dyDescent="0.2">
      <c r="A32" s="1148" t="s">
        <v>51</v>
      </c>
      <c r="B32" s="1174">
        <f>+TableA4!E32</f>
        <v>62.954502489377148</v>
      </c>
      <c r="C32" s="1035">
        <f>TableB2!E32-TableB5!D32</f>
        <v>-10.86291038528082</v>
      </c>
      <c r="D32" s="1033"/>
      <c r="E32" s="1033"/>
      <c r="F32" s="1175">
        <f>TableB2!D32-TableB5!C32</f>
        <v>41.808479050428616</v>
      </c>
      <c r="G32" s="1033">
        <f>TableB4!D32+TableB4!G32-TableB5!C32</f>
        <v>41.867380880708609</v>
      </c>
      <c r="H32" s="1033">
        <f t="shared" si="4"/>
        <v>5.8901830279992851E-2</v>
      </c>
      <c r="I32" s="1176">
        <f>+TableB2!F32-TableB5!E32</f>
        <v>9.3816637253162014</v>
      </c>
      <c r="J32" s="1034">
        <f t="shared" si="5"/>
        <v>6.6924673222321109</v>
      </c>
      <c r="K32" s="1033">
        <f t="shared" si="6"/>
        <v>15.934802776681046</v>
      </c>
      <c r="L32" s="1103">
        <f t="shared" si="1"/>
        <v>0.25311617353135085</v>
      </c>
      <c r="M32" s="1178">
        <f>TableA2!G32/(TableA2!G32+TableA2!D32)</f>
        <v>0.32766903058925961</v>
      </c>
      <c r="N32" s="1178">
        <f>VLOOKUP(A32,TableA10!$A$8:$G$95,7,)/(VLOOKUP(A32,TableA10!$A$8:$G$95,7,)+VLOOKUP(A32,TableA10!$A$8:$G$95,4,)+VLOOKUP(A32,TableA10!$A$8:$G$95,5,))</f>
        <v>0.14944719786504004</v>
      </c>
      <c r="O32" s="1179">
        <f t="shared" si="7"/>
        <v>0.11562138111781557</v>
      </c>
      <c r="P32" s="1155">
        <f>TableA3!H32/TableA3!B32</f>
        <v>0.12804954248184505</v>
      </c>
      <c r="Q32" s="1156">
        <f>VLOOKUP(A32,TableA11!$A$9:$L$96,12,)</f>
        <v>0.11562138111781557</v>
      </c>
      <c r="R32" s="1027"/>
      <c r="S32" s="954"/>
      <c r="T32" s="173"/>
      <c r="U32" s="273">
        <f t="shared" si="2"/>
        <v>0</v>
      </c>
      <c r="V32" s="173"/>
    </row>
    <row r="33" spans="1:22" ht="14.25" customHeight="1" x14ac:dyDescent="0.2">
      <c r="A33" s="1148" t="s">
        <v>52</v>
      </c>
      <c r="B33" s="1174">
        <f>C33+F33+I33+J33+K33</f>
        <v>9.5201808699017167</v>
      </c>
      <c r="C33" s="1035">
        <f>TableB2!E33-TableB5!D33</f>
        <v>0.64286710361176991</v>
      </c>
      <c r="D33" s="1033"/>
      <c r="E33" s="1033"/>
      <c r="F33" s="1175">
        <f>TableB2!D33-TableB5!C33</f>
        <v>4.2455724445684</v>
      </c>
      <c r="G33" s="1033">
        <f>TableB4!D33+TableB4!G33-TableB5!C33</f>
        <v>4.2455724445684</v>
      </c>
      <c r="H33" s="1033">
        <f>G33-F33</f>
        <v>0</v>
      </c>
      <c r="I33" s="1176">
        <f>+TableB2!F33-TableB5!E33</f>
        <v>0.99846604378747994</v>
      </c>
      <c r="J33" s="1033">
        <f>O33/(1-O33)*(F33+I33)</f>
        <v>0.99211538968895019</v>
      </c>
      <c r="K33" s="1033">
        <f>N33/(1-N33)*(I33+F33+C33+J33)</f>
        <v>2.641159888245117</v>
      </c>
      <c r="L33" s="1177">
        <f>K33/B33</f>
        <v>0.27742749054224464</v>
      </c>
      <c r="M33" s="1178">
        <f>TableA2!G33/(TableA2!G33+TableA2!D33)</f>
        <v>0.27942490264636138</v>
      </c>
      <c r="N33" s="1178">
        <f>VLOOKUP(A33,TableA10!$A$8:$G$95,7,)/(VLOOKUP(A33,TableA10!$A$8:$G$95,7,)+VLOOKUP(A33,TableA10!$A$8:$G$95,4,)+VLOOKUP(A33,TableA10!$A$8:$G$95,5,))</f>
        <v>0.27742749054224464</v>
      </c>
      <c r="O33" s="1179">
        <f>IF(Q33="",P33,Q33)</f>
        <v>0.15909090909090909</v>
      </c>
      <c r="P33" s="1155">
        <f>TableA3!H33/TableA3!B33</f>
        <v>0.18235080869942946</v>
      </c>
      <c r="Q33" s="1156">
        <f>VLOOKUP(A33,TableA11!$A$9:$L$96,12,)</f>
        <v>0.15909090909090909</v>
      </c>
      <c r="R33" s="1027"/>
      <c r="S33" s="954"/>
      <c r="T33" s="173"/>
      <c r="U33" s="273">
        <f t="shared" si="2"/>
        <v>0</v>
      </c>
      <c r="V33" s="173"/>
    </row>
    <row r="34" spans="1:22" ht="14.25" customHeight="1" x14ac:dyDescent="0.2">
      <c r="A34" s="1148" t="s">
        <v>53</v>
      </c>
      <c r="B34" s="1174">
        <f>+TableA4!E34</f>
        <v>27.78673936823926</v>
      </c>
      <c r="C34" s="1035">
        <f>TableB2!E34-TableB5!D34</f>
        <v>2.1879146361122421</v>
      </c>
      <c r="D34" s="1033">
        <f>TableB4!I34+TableB4!L34-TableB5!D34</f>
        <v>3.6362734521285418</v>
      </c>
      <c r="E34" s="1033">
        <f t="shared" si="3"/>
        <v>1.4483588160162997</v>
      </c>
      <c r="F34" s="1175">
        <f>TableB2!D34-TableB5!C34</f>
        <v>5.170070557891</v>
      </c>
      <c r="G34" s="1033">
        <f>TableB4!D34+TableB4!G34-TableB5!C34</f>
        <v>4.8090968837965002</v>
      </c>
      <c r="H34" s="1033">
        <f t="shared" si="4"/>
        <v>-0.36097367409449976</v>
      </c>
      <c r="I34" s="1176">
        <f>+TableB2!F34-TableB5!E34</f>
        <v>-1.15087484344585</v>
      </c>
      <c r="J34" s="1033">
        <f t="shared" si="5"/>
        <v>3.0760040994166489</v>
      </c>
      <c r="K34" s="1033">
        <f t="shared" si="6"/>
        <v>18.503624918265217</v>
      </c>
      <c r="L34" s="1103">
        <f t="shared" si="1"/>
        <v>0.66591566117380407</v>
      </c>
      <c r="M34" s="1178">
        <f>TableA2!G34/(TableA2!G34+TableA2!D34)</f>
        <v>0.35339807773341092</v>
      </c>
      <c r="N34" s="1178">
        <f>VLOOKUP(A34,TableA10!$A$8:$G$95,7,)/(VLOOKUP(A34,TableA10!$A$8:$G$95,7,)+VLOOKUP(A34,TableA10!$A$8:$G$95,4,)+VLOOKUP(A34,TableA10!$A$8:$G$95,5,))</f>
        <v>0.32750582750582752</v>
      </c>
      <c r="O34" s="1179">
        <f t="shared" si="7"/>
        <v>0.43353311818042106</v>
      </c>
      <c r="P34" s="1155">
        <f>TableA3!H34/TableA3!B34</f>
        <v>0.22304226581791881</v>
      </c>
      <c r="Q34" s="1156">
        <f>VLOOKUP(A34,TableA11!$A$9:$L$96,12,)</f>
        <v>0.43353311818042106</v>
      </c>
      <c r="R34" s="1027"/>
      <c r="S34" s="954"/>
      <c r="T34" s="270">
        <f t="shared" ref="T34:T44" si="9">C34-(D34-E34)</f>
        <v>0</v>
      </c>
      <c r="U34" s="273">
        <f t="shared" si="2"/>
        <v>0</v>
      </c>
      <c r="V34" s="173"/>
    </row>
    <row r="35" spans="1:22" ht="14.25" customHeight="1" x14ac:dyDescent="0.2">
      <c r="A35" s="1148" t="s">
        <v>54</v>
      </c>
      <c r="B35" s="1174">
        <f>+TableA4!E35</f>
        <v>44.144559375690896</v>
      </c>
      <c r="C35" s="1035">
        <f>TableB2!E35-TableB5!D35</f>
        <v>2.1004721234948001</v>
      </c>
      <c r="D35" s="1033">
        <f>TableB4!I35+TableB4!L35-TableB5!D35</f>
        <v>2.393878308843</v>
      </c>
      <c r="E35" s="1033">
        <f t="shared" si="3"/>
        <v>0.29340618534819995</v>
      </c>
      <c r="F35" s="1175">
        <f>TableB2!D35-TableB5!C35</f>
        <v>7.9486043509484769</v>
      </c>
      <c r="G35" s="1033">
        <f>TableB4!D35+TableB4!G35-TableB5!C35</f>
        <v>8.0063731695788025</v>
      </c>
      <c r="H35" s="1033">
        <f t="shared" si="4"/>
        <v>5.7768818630325569E-2</v>
      </c>
      <c r="I35" s="1176">
        <f>+TableB2!F35-TableB5!E35</f>
        <v>8.0731216591474855</v>
      </c>
      <c r="J35" s="1033">
        <f t="shared" si="5"/>
        <v>3.3605942327678067</v>
      </c>
      <c r="K35" s="1033">
        <f t="shared" si="6"/>
        <v>22.661767009332323</v>
      </c>
      <c r="L35" s="1177">
        <f t="shared" si="1"/>
        <v>0.51335356677750621</v>
      </c>
      <c r="M35" s="1178">
        <f>TableA2!G35/(TableA2!G35+TableA2!D35)</f>
        <v>0.29287328696090992</v>
      </c>
      <c r="N35" s="1178">
        <f>VLOOKUP(A35,TableA10!$A$8:$G$95,7,)/(VLOOKUP(A35,TableA10!$A$8:$G$95,7,)+VLOOKUP(A35,TableA10!$A$8:$G$95,4,)+VLOOKUP(A35,TableA10!$A$8:$G$95,5,))</f>
        <v>0.66448903406439574</v>
      </c>
      <c r="O35" s="1179">
        <f t="shared" si="7"/>
        <v>0.17338451695457455</v>
      </c>
      <c r="P35" s="1155">
        <f>TableA3!H35/TableA3!B35</f>
        <v>0.10004109953339942</v>
      </c>
      <c r="Q35" s="1156">
        <f>VLOOKUP(A35,TableA11!$A$9:$L$96,12,)</f>
        <v>0.17338451695457455</v>
      </c>
      <c r="R35" s="1027"/>
      <c r="S35" s="954"/>
      <c r="T35" s="270">
        <f t="shared" si="9"/>
        <v>0</v>
      </c>
      <c r="U35" s="273">
        <f t="shared" si="2"/>
        <v>0</v>
      </c>
      <c r="V35" s="173"/>
    </row>
    <row r="36" spans="1:22" ht="14.25" customHeight="1" x14ac:dyDescent="0.2">
      <c r="A36" s="1148" t="s">
        <v>55</v>
      </c>
      <c r="B36" s="1174">
        <f>+TableA4!E36</f>
        <v>11.337455548958513</v>
      </c>
      <c r="C36" s="1035">
        <f>TableB2!E36-TableB5!D36</f>
        <v>0.80080258729554354</v>
      </c>
      <c r="D36" s="1033">
        <f>TableB4!I36+TableB4!L36-TableB5!D36</f>
        <v>0.9061825096471785</v>
      </c>
      <c r="E36" s="1033">
        <f t="shared" si="3"/>
        <v>0.10537992235163496</v>
      </c>
      <c r="F36" s="1175">
        <f>TableB2!D36-TableB5!C36</f>
        <v>2.677852516870836</v>
      </c>
      <c r="G36" s="1033">
        <f>TableB4!D36+TableB4!G36-TableB5!C36</f>
        <v>2.6967099766601201</v>
      </c>
      <c r="H36" s="1033">
        <f t="shared" si="4"/>
        <v>1.8857459789284103E-2</v>
      </c>
      <c r="I36" s="1176">
        <f>+TableB2!F36-TableB5!E36</f>
        <v>0.79986726856092261</v>
      </c>
      <c r="J36" s="1033">
        <f t="shared" si="5"/>
        <v>1.0617617733842262</v>
      </c>
      <c r="K36" s="1033">
        <f t="shared" si="6"/>
        <v>5.9971714028469858</v>
      </c>
      <c r="L36" s="1177">
        <f t="shared" si="1"/>
        <v>0.52896978311839127</v>
      </c>
      <c r="M36" s="1178">
        <f>TableA2!G36/(TableA2!G36+TableA2!D36)</f>
        <v>0.39538093529536672</v>
      </c>
      <c r="N36" s="1178">
        <f>VLOOKUP(A36,TableA10!$A$8:$G$95,7,)/(VLOOKUP(A36,TableA10!$A$8:$G$95,7,)+VLOOKUP(A36,TableA10!$A$8:$G$95,4,)+VLOOKUP(A36,TableA10!$A$8:$G$95,5,))</f>
        <v>0.18945935470831041</v>
      </c>
      <c r="O36" s="1179">
        <f t="shared" si="7"/>
        <v>0.23389494144374526</v>
      </c>
      <c r="P36" s="1155">
        <f>TableA3!H36/TableA3!B36</f>
        <v>0.23389494144374526</v>
      </c>
      <c r="Q36" s="1831"/>
      <c r="R36" s="1027"/>
      <c r="S36" s="954"/>
      <c r="T36" s="270">
        <f t="shared" si="9"/>
        <v>0</v>
      </c>
      <c r="U36" s="273">
        <f t="shared" si="2"/>
        <v>0</v>
      </c>
      <c r="V36" s="173"/>
    </row>
    <row r="37" spans="1:22" ht="14.25" customHeight="1" x14ac:dyDescent="0.2">
      <c r="A37" s="1148" t="s">
        <v>56</v>
      </c>
      <c r="B37" s="1174">
        <f>+TableA4!E37</f>
        <v>10.281833320270469</v>
      </c>
      <c r="C37" s="1035">
        <f>TableB2!E37-TableB5!D37</f>
        <v>0.30803216860788002</v>
      </c>
      <c r="D37" s="1033">
        <f>TableB4!I37+TableB4!L37-TableB5!D37</f>
        <v>0.39175929007210397</v>
      </c>
      <c r="E37" s="1033">
        <f t="shared" si="3"/>
        <v>8.3727121464223953E-2</v>
      </c>
      <c r="F37" s="1175">
        <f>TableB2!D37-TableB5!C37</f>
        <v>3.3260375463117002</v>
      </c>
      <c r="G37" s="1033">
        <f>TableB4!D37+TableB4!G37-TableB5!C37</f>
        <v>3.3260375463117002</v>
      </c>
      <c r="H37" s="1033">
        <f t="shared" si="4"/>
        <v>0</v>
      </c>
      <c r="I37" s="1176">
        <f>+TableB2!F37-TableB5!E37</f>
        <v>0.78691503605103008</v>
      </c>
      <c r="J37" s="1033">
        <f t="shared" si="5"/>
        <v>1.3809972436184166</v>
      </c>
      <c r="K37" s="1033">
        <f t="shared" si="6"/>
        <v>4.479851325681441</v>
      </c>
      <c r="L37" s="1177">
        <f t="shared" si="1"/>
        <v>0.43570549980123546</v>
      </c>
      <c r="M37" s="1178">
        <f>TableA2!G37/(TableA2!G37+TableA2!D37)</f>
        <v>0.50682597091731674</v>
      </c>
      <c r="N37" s="1178"/>
      <c r="O37" s="1179">
        <f t="shared" si="7"/>
        <v>0.25136691949526291</v>
      </c>
      <c r="P37" s="1155">
        <f>TableA3!H37/TableA3!B37</f>
        <v>0.25136691949526291</v>
      </c>
      <c r="Q37" s="1831"/>
      <c r="R37" s="1027"/>
      <c r="S37" s="954"/>
      <c r="T37" s="270">
        <f t="shared" si="9"/>
        <v>0</v>
      </c>
      <c r="U37" s="273">
        <f t="shared" si="2"/>
        <v>0</v>
      </c>
      <c r="V37" s="173"/>
    </row>
    <row r="38" spans="1:22" ht="14.25" customHeight="1" x14ac:dyDescent="0.2">
      <c r="A38" s="1148" t="s">
        <v>57</v>
      </c>
      <c r="B38" s="1174">
        <f>+TableA4!E38</f>
        <v>2.1992635418815816</v>
      </c>
      <c r="C38" s="1035">
        <f>TableB2!E38-TableB5!D38</f>
        <v>5.6714364947310004E-2</v>
      </c>
      <c r="D38" s="1033">
        <f>TableB4!I38+TableB4!L38-TableB5!D38</f>
        <v>6.7855795895729001E-2</v>
      </c>
      <c r="E38" s="1033">
        <f t="shared" si="3"/>
        <v>1.1141430948418997E-2</v>
      </c>
      <c r="F38" s="1175">
        <f>TableB2!D38-TableB5!C38</f>
        <v>0.53209095951191998</v>
      </c>
      <c r="G38" s="1033">
        <f>TableB4!D38+TableB4!G38-TableB5!C38</f>
        <v>0.53209095951191998</v>
      </c>
      <c r="H38" s="1033">
        <f t="shared" si="4"/>
        <v>0</v>
      </c>
      <c r="I38" s="1176">
        <f>+TableB2!F38-TableB5!E38</f>
        <v>0.48937104825291</v>
      </c>
      <c r="J38" s="1033">
        <f t="shared" si="5"/>
        <v>0.23079922528268637</v>
      </c>
      <c r="K38" s="1033">
        <f t="shared" si="6"/>
        <v>0.89028794388675536</v>
      </c>
      <c r="L38" s="1177">
        <f t="shared" si="1"/>
        <v>0.40481185039109446</v>
      </c>
      <c r="M38" s="1178">
        <f>TableA2!G38/(TableA2!G38+TableA2!D38)</f>
        <v>0.63850917520089345</v>
      </c>
      <c r="N38" s="1178"/>
      <c r="O38" s="1179">
        <f t="shared" si="7"/>
        <v>0.18430597322014902</v>
      </c>
      <c r="P38" s="1155">
        <f>TableA3!H38/TableA3!B38</f>
        <v>0.18430597322014902</v>
      </c>
      <c r="Q38" s="1831"/>
      <c r="R38" s="1027"/>
      <c r="S38" s="954"/>
      <c r="T38" s="270">
        <f t="shared" si="9"/>
        <v>0</v>
      </c>
      <c r="U38" s="273">
        <f t="shared" si="2"/>
        <v>0</v>
      </c>
      <c r="V38" s="173"/>
    </row>
    <row r="39" spans="1:22" ht="14.25" customHeight="1" x14ac:dyDescent="0.2">
      <c r="A39" s="1148" t="s">
        <v>58</v>
      </c>
      <c r="B39" s="1174">
        <f>+TableA4!E39</f>
        <v>64.521172053254389</v>
      </c>
      <c r="C39" s="1035">
        <f>TableB2!E39-TableB5!D39</f>
        <v>3.1103716028840998</v>
      </c>
      <c r="D39" s="1033">
        <f>TableB4!I39+TableB4!L39-TableB5!D39</f>
        <v>3.6400665557404479</v>
      </c>
      <c r="E39" s="1033">
        <f t="shared" si="3"/>
        <v>0.52969495285634816</v>
      </c>
      <c r="F39" s="1175">
        <f>TableB2!D39-TableB5!C39</f>
        <v>11.929694564502592</v>
      </c>
      <c r="G39" s="1033"/>
      <c r="H39" s="1033"/>
      <c r="I39" s="1176">
        <f>+TableB2!F39-TableB5!E39</f>
        <v>5.1158385806265523</v>
      </c>
      <c r="J39" s="1033">
        <f t="shared" si="5"/>
        <v>3.7048865002834503</v>
      </c>
      <c r="K39" s="1033">
        <f t="shared" si="6"/>
        <v>40.660380804957697</v>
      </c>
      <c r="L39" s="1177">
        <f t="shared" si="1"/>
        <v>0.630186642787541</v>
      </c>
      <c r="M39" s="1178">
        <f>TableA2!G39/(TableA2!G39+TableA2!D39)</f>
        <v>0.46747148783260961</v>
      </c>
      <c r="N39" s="1178">
        <f>VLOOKUP(A39,TableA10!$A$8:$G$95,7,)/(VLOOKUP(A39,TableA10!$A$8:$G$95,7,)+VLOOKUP(A39,TableA10!$A$8:$G$95,4,)+VLOOKUP(A39,TableA10!$A$8:$G$95,5,))</f>
        <v>0.52029914529914534</v>
      </c>
      <c r="O39" s="1179">
        <f t="shared" si="7"/>
        <v>0.17854513612704259</v>
      </c>
      <c r="P39" s="1155">
        <f>TableA3!H39/TableA3!B39</f>
        <v>0.17854513612704259</v>
      </c>
      <c r="Q39" s="1831"/>
      <c r="R39" s="1027"/>
      <c r="S39" s="954"/>
      <c r="T39" s="270">
        <f t="shared" si="9"/>
        <v>0</v>
      </c>
      <c r="U39" s="273">
        <f t="shared" si="2"/>
        <v>0</v>
      </c>
      <c r="V39" s="173"/>
    </row>
    <row r="40" spans="1:22" s="25" customFormat="1" ht="14.25" customHeight="1" x14ac:dyDescent="0.2">
      <c r="A40" s="1074" t="s">
        <v>59</v>
      </c>
      <c r="B40" s="1180">
        <f>+TableA4!E40</f>
        <v>32.797650965237999</v>
      </c>
      <c r="C40" s="1035">
        <f>TableB2!E40-TableB5!D40</f>
        <v>1.6901759339447371</v>
      </c>
      <c r="D40" s="1033">
        <f>TableB4!I40+TableB4!L40-TableB5!D40</f>
        <v>1.9604237599800871</v>
      </c>
      <c r="E40" s="1033">
        <f t="shared" si="3"/>
        <v>0.27024782603535003</v>
      </c>
      <c r="F40" s="1175">
        <f>TableB2!D40-TableB5!C40</f>
        <v>13.151945057247262</v>
      </c>
      <c r="G40" s="1033">
        <f>TableB4!D40+TableB4!G40-TableB5!C40</f>
        <v>13.151945057247262</v>
      </c>
      <c r="H40" s="1033">
        <f t="shared" si="4"/>
        <v>0</v>
      </c>
      <c r="I40" s="1176">
        <f>+TableB2!F40-TableB5!E40</f>
        <v>5.326446345945306</v>
      </c>
      <c r="J40" s="1034">
        <f t="shared" si="5"/>
        <v>5.5947645348617669</v>
      </c>
      <c r="K40" s="1033">
        <f t="shared" si="6"/>
        <v>7.0343190932389277</v>
      </c>
      <c r="L40" s="1103">
        <f t="shared" si="1"/>
        <v>0.21447630809580093</v>
      </c>
      <c r="M40" s="1105">
        <f>TableA2!G40/(TableA2!G40+TableA2!D40)</f>
        <v>0.46579226409473662</v>
      </c>
      <c r="N40" s="1178">
        <f>VLOOKUP(A40,TableA10!$A$8:$G$95,7,)/(VLOOKUP(A40,TableA10!$A$8:$G$95,7,)+VLOOKUP(A40,TableA10!$A$8:$G$95,4,)+VLOOKUP(A40,TableA10!$A$8:$G$95,5,))</f>
        <v>0.27582697201017814</v>
      </c>
      <c r="O40" s="1179">
        <f t="shared" si="7"/>
        <v>0.23240677496786705</v>
      </c>
      <c r="P40" s="1155">
        <f>TableA3!H40/TableA3!B40</f>
        <v>0.23240677496786705</v>
      </c>
      <c r="Q40" s="1183"/>
      <c r="R40" s="1182"/>
      <c r="S40" s="1109"/>
      <c r="T40" s="270">
        <f t="shared" si="9"/>
        <v>0</v>
      </c>
      <c r="U40" s="273">
        <f t="shared" si="2"/>
        <v>0</v>
      </c>
      <c r="V40" s="271"/>
    </row>
    <row r="41" spans="1:22" ht="14.25" customHeight="1" x14ac:dyDescent="0.2">
      <c r="A41" s="1148" t="s">
        <v>60</v>
      </c>
      <c r="B41" s="1174">
        <f>C41+F41+I41+J41+K41</f>
        <v>61.10387270069868</v>
      </c>
      <c r="C41" s="1035">
        <f>TableB2!E41-TableB5!D41</f>
        <v>1.1460089806645679</v>
      </c>
      <c r="D41" s="1033"/>
      <c r="E41" s="1033"/>
      <c r="F41" s="1175">
        <f>TableB2!D41-TableB5!C41</f>
        <v>37.309486417956798</v>
      </c>
      <c r="G41" s="1033">
        <f>TableB4!D41+TableB4!G41-TableB5!C41</f>
        <v>37.309486417956798</v>
      </c>
      <c r="H41" s="1033">
        <f t="shared" si="4"/>
        <v>0</v>
      </c>
      <c r="I41" s="1176">
        <f>+TableB2!F41-TableB5!E41</f>
        <v>15.4414533513454</v>
      </c>
      <c r="J41" s="1033">
        <f t="shared" si="5"/>
        <v>4.5709485020815599</v>
      </c>
      <c r="K41" s="1033">
        <f>N41/(1-N41)*(I41+F41+C41+J41)</f>
        <v>2.6359754486503468</v>
      </c>
      <c r="L41" s="1177">
        <f t="shared" si="1"/>
        <v>4.3139253408077463E-2</v>
      </c>
      <c r="M41" s="1178">
        <f>TableA2!G41/(TableA2!G41+TableA2!D41)</f>
        <v>0.6006530648287699</v>
      </c>
      <c r="N41" s="1178">
        <f>VLOOKUP(A41,TableA10!$A$8:$G$95,7,)/(VLOOKUP(A41,TableA10!$A$8:$G$95,7,)+VLOOKUP(A41,TableA10!$A$8:$G$95,4,)+VLOOKUP(A41,TableA10!$A$8:$G$95,5,))</f>
        <v>4.3139253408077463E-2</v>
      </c>
      <c r="O41" s="1179">
        <f t="shared" si="7"/>
        <v>7.974176427058613E-2</v>
      </c>
      <c r="P41" s="1155">
        <f>TableA3!H41/TableA3!B41</f>
        <v>0.21188216848158226</v>
      </c>
      <c r="Q41" s="1156">
        <f>VLOOKUP(A41,TableA11!$A$9:$L$96,12,)</f>
        <v>7.974176427058613E-2</v>
      </c>
      <c r="R41" s="1027"/>
      <c r="S41" s="954"/>
      <c r="T41" s="270"/>
      <c r="U41" s="273">
        <f t="shared" si="2"/>
        <v>7.5495165674510645E-15</v>
      </c>
      <c r="V41" s="173"/>
    </row>
    <row r="42" spans="1:22" ht="14.25" customHeight="1" x14ac:dyDescent="0.2">
      <c r="A42" s="1148" t="s">
        <v>61</v>
      </c>
      <c r="B42" s="1174">
        <f>C42+F42+I42+J42+K42</f>
        <v>4.8272095968080961</v>
      </c>
      <c r="C42" s="1035">
        <f>TableB2!E42-TableB5!D42</f>
        <v>0.14249000000000001</v>
      </c>
      <c r="D42" s="1033">
        <f>TableB4!I42+TableB4!L42-TableB5!D42</f>
        <v>0.14251</v>
      </c>
      <c r="E42" s="1033">
        <f>D42-C42</f>
        <v>1.9999999999992246E-5</v>
      </c>
      <c r="F42" s="1175">
        <f>TableB2!D42-TableB5!C42</f>
        <v>3.0356700000000001</v>
      </c>
      <c r="G42" s="1033">
        <f>TableB4!D42+TableB4!G42-TableB5!C42</f>
        <v>3.0356700000000001</v>
      </c>
      <c r="H42" s="1033">
        <f t="shared" si="4"/>
        <v>0</v>
      </c>
      <c r="I42" s="1176">
        <f>+TableB2!F42-TableB5!E42</f>
        <v>0.36410999999999999</v>
      </c>
      <c r="J42" s="1033">
        <f t="shared" si="5"/>
        <v>0.20832375469878761</v>
      </c>
      <c r="K42" s="1033">
        <f>M42/(1-M42)*(I42+F42+C42+J42)</f>
        <v>1.0766158421093079</v>
      </c>
      <c r="L42" s="1177">
        <f t="shared" si="1"/>
        <v>0.22303068066926293</v>
      </c>
      <c r="M42" s="1178">
        <f>TableA2!G42/(TableA2!G42+TableA2!D42)</f>
        <v>0.22303068066926296</v>
      </c>
      <c r="N42" s="1178">
        <f>VLOOKUP(A42,TableA10!$A$8:$G$95,7,)/(VLOOKUP(A42,TableA10!$A$8:$G$95,7,)+VLOOKUP(A42,TableA10!$A$8:$G$95,4,)+VLOOKUP(A42,TableA10!$A$8:$G$95,5,))</f>
        <v>-0.46680244267943616</v>
      </c>
      <c r="O42" s="1179">
        <f t="shared" si="7"/>
        <v>5.7737739505824968E-2</v>
      </c>
      <c r="P42" s="1155">
        <f>TableA3!H42/TableA3!B42</f>
        <v>5.7737739505824968E-2</v>
      </c>
      <c r="Q42" s="1831"/>
      <c r="R42" s="1027"/>
      <c r="S42" s="954"/>
      <c r="T42" s="270">
        <f t="shared" si="9"/>
        <v>0</v>
      </c>
      <c r="U42" s="273">
        <f t="shared" si="2"/>
        <v>0</v>
      </c>
      <c r="V42" s="173"/>
    </row>
    <row r="43" spans="1:22" ht="14.25" customHeight="1" x14ac:dyDescent="0.2">
      <c r="A43" s="1148" t="s">
        <v>62</v>
      </c>
      <c r="B43" s="1174">
        <f>+TableA4!E43</f>
        <v>200.40694326039292</v>
      </c>
      <c r="C43" s="1035">
        <f>TableB2!E43-TableB5!D43</f>
        <v>12.867229803496533</v>
      </c>
      <c r="D43" s="1033"/>
      <c r="E43" s="1033"/>
      <c r="F43" s="1175">
        <f>TableB2!D43-TableB5!C43</f>
        <v>23.188293992166898</v>
      </c>
      <c r="G43" s="1033"/>
      <c r="H43" s="1033"/>
      <c r="I43" s="1176">
        <f>+TableB2!F43-TableB5!E43</f>
        <v>37.084277579431578</v>
      </c>
      <c r="J43" s="1033">
        <f t="shared" si="5"/>
        <v>11.922432087041344</v>
      </c>
      <c r="K43" s="1033">
        <f t="shared" si="6"/>
        <v>115.34470979825655</v>
      </c>
      <c r="L43" s="1177">
        <f t="shared" si="1"/>
        <v>0.57555246301215601</v>
      </c>
      <c r="M43" s="1178">
        <f>TableA2!G43/(TableA2!G43+TableA2!D43)</f>
        <v>0.33744786567025187</v>
      </c>
      <c r="N43" s="1178">
        <f>VLOOKUP(A43,TableA10!$A$8:$G$95,7,)/(VLOOKUP(A43,TableA10!$A$8:$G$95,7,)+VLOOKUP(A43,TableA10!$A$8:$G$95,4,)+VLOOKUP(A43,TableA10!$A$8:$G$95,5,))</f>
        <v>0.33808755760368664</v>
      </c>
      <c r="O43" s="1179">
        <f t="shared" si="7"/>
        <v>0.16514206638750611</v>
      </c>
      <c r="P43" s="1155">
        <f>TableA3!H43/TableA3!B43</f>
        <v>0.16514206638750611</v>
      </c>
      <c r="Q43" s="1831"/>
      <c r="R43" s="1027"/>
      <c r="S43" s="954"/>
      <c r="T43" s="270"/>
      <c r="U43" s="273">
        <f t="shared" si="2"/>
        <v>0</v>
      </c>
      <c r="V43" s="173"/>
    </row>
    <row r="44" spans="1:22" ht="14.25" customHeight="1" x14ac:dyDescent="0.2">
      <c r="A44" s="1148" t="s">
        <v>63</v>
      </c>
      <c r="B44" s="1174">
        <f>+TableA4!E44</f>
        <v>295.42700000000002</v>
      </c>
      <c r="C44" s="1035">
        <v>16.594999999999999</v>
      </c>
      <c r="D44" s="1033">
        <f>TableB4!I44+TableB4!L44-TableB5!D44</f>
        <v>32.843000000000004</v>
      </c>
      <c r="E44" s="1033">
        <f>D44-C44</f>
        <v>16.248000000000005</v>
      </c>
      <c r="F44" s="1175">
        <f>TableB2!D44-TableB5!C44</f>
        <v>50.49</v>
      </c>
      <c r="G44" s="1033">
        <f>TableB4!D44+TableB4!G44-TableB5!C44</f>
        <v>50.49</v>
      </c>
      <c r="H44" s="1033">
        <f t="shared" si="4"/>
        <v>0</v>
      </c>
      <c r="I44" s="1176">
        <f>B44-C44-F44-J44-K44</f>
        <v>55.822999999999979</v>
      </c>
      <c r="J44" s="1033">
        <v>46.487000000000002</v>
      </c>
      <c r="K44" s="1033">
        <f>L44*B44</f>
        <v>126.03200000000001</v>
      </c>
      <c r="L44" s="1177">
        <v>0.42660961929681446</v>
      </c>
      <c r="M44" s="1178">
        <f>TableA2!G44/(TableA2!G44+TableA2!D44)</f>
        <v>0.41761878084308546</v>
      </c>
      <c r="N44" s="1178"/>
      <c r="O44" s="1179">
        <f t="shared" si="7"/>
        <v>0.21434974303175788</v>
      </c>
      <c r="P44" s="1155">
        <f>TableA3!H44/TableA3!B44</f>
        <v>0.21434974303175788</v>
      </c>
      <c r="Q44" s="1831"/>
      <c r="R44" s="1027"/>
      <c r="S44" s="954"/>
      <c r="T44" s="270">
        <f t="shared" si="9"/>
        <v>0</v>
      </c>
      <c r="U44" s="273">
        <f t="shared" si="2"/>
        <v>0</v>
      </c>
      <c r="V44" s="173"/>
    </row>
    <row r="45" spans="1:22" ht="40" customHeight="1" x14ac:dyDescent="0.2">
      <c r="A45" s="7" t="s">
        <v>64</v>
      </c>
      <c r="B45" s="1185">
        <f>SUM(B46:B52)</f>
        <v>394.35150804290049</v>
      </c>
      <c r="C45" s="275">
        <f t="shared" ref="C45:K45" si="10">SUM(C46:C52)</f>
        <v>22.82465141286</v>
      </c>
      <c r="D45" s="275"/>
      <c r="E45" s="275"/>
      <c r="F45" s="1185">
        <f t="shared" si="10"/>
        <v>158.23601881126663</v>
      </c>
      <c r="G45" s="275">
        <f t="shared" si="10"/>
        <v>158.23601881126663</v>
      </c>
      <c r="H45" s="275">
        <f t="shared" si="10"/>
        <v>0</v>
      </c>
      <c r="I45" s="276">
        <f t="shared" si="10"/>
        <v>45.804153928091431</v>
      </c>
      <c r="J45" s="275">
        <f t="shared" si="10"/>
        <v>49.263309456083995</v>
      </c>
      <c r="K45" s="275">
        <f t="shared" si="10"/>
        <v>118.22337443459845</v>
      </c>
      <c r="L45" s="265">
        <f t="shared" ref="L45:L52" si="11">K45/B45</f>
        <v>0.29979186594548851</v>
      </c>
      <c r="M45" s="266">
        <f>TableA2!G45/(TableA2!G45+TableA2!D45)</f>
        <v>0.30998685314336416</v>
      </c>
      <c r="N45" s="266">
        <f>SUMPRODUCT(N46:N52,B46:B52)/SUM(B46:B52)</f>
        <v>0.29979186594548851</v>
      </c>
      <c r="O45" s="157">
        <f>IF(Q45="",P45,Q45)</f>
        <v>0.18757638370366683</v>
      </c>
      <c r="P45" s="246">
        <f>TableA3!J45</f>
        <v>0.18757638370366683</v>
      </c>
      <c r="Q45" s="1186"/>
      <c r="R45" s="954"/>
      <c r="S45" s="954"/>
      <c r="T45" s="173"/>
      <c r="U45" s="273">
        <f t="shared" si="2"/>
        <v>0</v>
      </c>
      <c r="V45" s="173"/>
    </row>
    <row r="46" spans="1:22" x14ac:dyDescent="0.2">
      <c r="A46" s="1149" t="s">
        <v>65</v>
      </c>
      <c r="B46" s="1174">
        <f>C46+F46+I46+J46+K46</f>
        <v>67.811019197459444</v>
      </c>
      <c r="C46" s="1035">
        <f>TableB2!E46-TableB5!D46</f>
        <v>4.7060989875599999</v>
      </c>
      <c r="D46" s="1033"/>
      <c r="E46" s="1033"/>
      <c r="F46" s="1175">
        <f>TableB2!D46-TableB5!C46</f>
        <v>16.713376362039998</v>
      </c>
      <c r="G46" s="1033">
        <f>TableB4!D46+TableB4!G46-TableB5!C46</f>
        <v>16.713376362039998</v>
      </c>
      <c r="H46" s="1033">
        <f>G46-F46</f>
        <v>0</v>
      </c>
      <c r="I46" s="1176">
        <f>+TableB2!F46-TableB5!E46</f>
        <v>7.1451487725799998</v>
      </c>
      <c r="J46" s="1033">
        <f t="shared" ref="J46:J52" si="12">O46/(1-O46)*(F46+I46)</f>
        <v>5.7838550202794909</v>
      </c>
      <c r="K46" s="1033">
        <f>N46/(1-N46)*(I46+F46+C46+J46)</f>
        <v>33.462540054999955</v>
      </c>
      <c r="L46" s="1177">
        <f t="shared" si="11"/>
        <v>0.49346758758425557</v>
      </c>
      <c r="M46" s="1178">
        <f>TableA2!G46/(TableA2!G46+TableA2!D46)</f>
        <v>0.45808282087337276</v>
      </c>
      <c r="N46" s="1178">
        <f>VLOOKUP(A46,TableA10b!$A$8:$G$95,7,)/(VLOOKUP(A46,TableA10b!$A$8:$G$95,7,)+VLOOKUP(A46,TableA10b!$A$8:$G$95,4,)+VLOOKUP(A46,TableA10b!$A$8:$G$95,5,))</f>
        <v>0.49346758758425563</v>
      </c>
      <c r="O46" s="1179">
        <f>IF(Q46="",P46,Q46)</f>
        <v>0.19512114040962047</v>
      </c>
      <c r="P46" s="1155">
        <f>TableA3!J46</f>
        <v>0.19512114040962047</v>
      </c>
      <c r="Q46" s="1187"/>
      <c r="R46" s="954"/>
      <c r="S46" s="954"/>
      <c r="T46" s="173"/>
      <c r="U46" s="273">
        <f t="shared" si="2"/>
        <v>0</v>
      </c>
      <c r="V46" s="173"/>
    </row>
    <row r="47" spans="1:22" x14ac:dyDescent="0.2">
      <c r="A47" s="1148" t="s">
        <v>66</v>
      </c>
      <c r="B47" s="1174">
        <f t="shared" ref="B47:B89" si="13">C47+F47+I47+J47+K47</f>
        <v>213.62993581492978</v>
      </c>
      <c r="C47" s="1035">
        <f>TableB2!E47-TableB5!D47</f>
        <v>0</v>
      </c>
      <c r="D47" s="1033"/>
      <c r="E47" s="1033"/>
      <c r="F47" s="1175">
        <f>TableB2!D47-TableB5!C47</f>
        <v>90.433140021026631</v>
      </c>
      <c r="G47" s="1033">
        <f>TableB4!D47+TableB4!G47-TableB5!C47</f>
        <v>90.433140021026631</v>
      </c>
      <c r="H47" s="1033">
        <f t="shared" ref="H47:H52" si="14">G47-F47</f>
        <v>0</v>
      </c>
      <c r="I47" s="1176">
        <f>+TableB2!F47-TableB5!E47</f>
        <v>38.757060009011425</v>
      </c>
      <c r="J47" s="1033">
        <f t="shared" si="12"/>
        <v>33.10205055920742</v>
      </c>
      <c r="K47" s="1033">
        <f t="shared" ref="K47:K52" si="15">N47/(1-N47)*(I47+F47+C47+J47)</f>
        <v>51.337685225684304</v>
      </c>
      <c r="L47" s="1177">
        <f t="shared" si="11"/>
        <v>0.24031128891111386</v>
      </c>
      <c r="M47" s="1178">
        <f>TableA2!G47/(TableA2!G47+TableA2!D47)</f>
        <v>0.29560875219623423</v>
      </c>
      <c r="N47" s="1178">
        <f>VLOOKUP(A47,TableA10!$A$8:$G$95,7,)/(VLOOKUP(A47,TableA10!$A$8:$G$95,7,)+VLOOKUP(A47,TableA10!$A$8:$G$95,4,)+VLOOKUP(A47,TableA10!$A$8:$G$95,5,))</f>
        <v>0.24031128891111389</v>
      </c>
      <c r="O47" s="1179">
        <f t="shared" ref="O47:O89" si="16">IF(Q47="",P47,Q47)</f>
        <v>0.20396568806595239</v>
      </c>
      <c r="P47" s="1155">
        <f>TableA3!J47</f>
        <v>0.20396568806595239</v>
      </c>
      <c r="Q47" s="1187"/>
      <c r="R47" s="954"/>
      <c r="S47" s="954"/>
      <c r="T47" s="173"/>
      <c r="U47" s="273">
        <f t="shared" si="2"/>
        <v>0</v>
      </c>
      <c r="V47" s="173"/>
    </row>
    <row r="48" spans="1:22" x14ac:dyDescent="0.2">
      <c r="A48" s="1148" t="s">
        <v>67</v>
      </c>
      <c r="B48" s="1174">
        <f t="shared" si="13"/>
        <v>15.925247911359456</v>
      </c>
      <c r="C48" s="1035">
        <f>TableB2!E48-TableB5!D48</f>
        <v>0.51574077109999994</v>
      </c>
      <c r="D48" s="1033"/>
      <c r="E48" s="1033"/>
      <c r="F48" s="1175">
        <f>TableB2!D48-TableB5!C48</f>
        <v>3.2548936231000001</v>
      </c>
      <c r="G48" s="1033">
        <f>TableB4!D48+TableB4!G48-TableB5!C48</f>
        <v>3.2548936231000001</v>
      </c>
      <c r="H48" s="1033">
        <f t="shared" si="14"/>
        <v>0</v>
      </c>
      <c r="I48" s="1176">
        <f>+TableB2!F48-TableB5!E48</f>
        <v>1.5393656057999996</v>
      </c>
      <c r="J48" s="1033">
        <f t="shared" si="12"/>
        <v>1.9638992736254883</v>
      </c>
      <c r="K48" s="1033">
        <f t="shared" si="15"/>
        <v>8.6513486377339675</v>
      </c>
      <c r="L48" s="1177">
        <f t="shared" si="11"/>
        <v>0.54324734446130496</v>
      </c>
      <c r="M48" s="1178">
        <f>TableA2!G48/(TableA2!G48+TableA2!D48)</f>
        <v>0.2135439293576194</v>
      </c>
      <c r="N48" s="1178">
        <f>VLOOKUP(A48,TableA10!$A$8:$G$95,7,)/(VLOOKUP(A48,TableA10!$A$8:$G$95,7,)+VLOOKUP(A48,TableA10!$A$8:$G$95,4,)+VLOOKUP(A48,TableA10!$A$8:$G$95,5,))</f>
        <v>0.54324734446130496</v>
      </c>
      <c r="O48" s="1179">
        <f t="shared" si="16"/>
        <v>0.29059680575582675</v>
      </c>
      <c r="P48" s="1155">
        <f>TableA3!J48</f>
        <v>0.29059680575582675</v>
      </c>
      <c r="Q48" s="1187"/>
      <c r="R48" s="954"/>
      <c r="S48" s="954"/>
      <c r="T48" s="173"/>
      <c r="U48" s="273">
        <f t="shared" si="2"/>
        <v>0</v>
      </c>
      <c r="V48" s="173"/>
    </row>
    <row r="49" spans="1:22" x14ac:dyDescent="0.2">
      <c r="A49" s="1148" t="s">
        <v>68</v>
      </c>
      <c r="B49" s="1174">
        <f t="shared" si="13"/>
        <v>3.3481782319488018</v>
      </c>
      <c r="C49" s="1035">
        <f>TableB2!E49-TableB5!D49</f>
        <v>1.0689373862</v>
      </c>
      <c r="D49" s="1033"/>
      <c r="E49" s="1033"/>
      <c r="F49" s="1175">
        <f>TableB2!D49-TableB5!C49</f>
        <v>1.9856036526</v>
      </c>
      <c r="G49" s="1033">
        <f>TableB4!D49+TableB4!G49-TableB5!C49</f>
        <v>1.9856036526</v>
      </c>
      <c r="H49" s="1033">
        <f t="shared" si="14"/>
        <v>0</v>
      </c>
      <c r="I49" s="1176">
        <f>+TableB2!F49-TableB5!E49</f>
        <v>-1.0145410388</v>
      </c>
      <c r="J49" s="1033">
        <f t="shared" si="12"/>
        <v>0.12816879227453803</v>
      </c>
      <c r="K49" s="1033">
        <f t="shared" si="15"/>
        <v>1.1800094396742637</v>
      </c>
      <c r="L49" s="1177">
        <f t="shared" si="11"/>
        <v>0.35243328100470955</v>
      </c>
      <c r="M49" s="1178">
        <f>TableA2!G49/(TableA2!G49+TableA2!D49)</f>
        <v>0.18119883843187923</v>
      </c>
      <c r="N49" s="1178">
        <f>VLOOKUP(A49,TableA10!$A$8:$G$95,7,)/(VLOOKUP(A49,TableA10!$A$8:$G$95,7,)+VLOOKUP(A49,TableA10!$A$8:$G$95,4,)+VLOOKUP(A49,TableA10!$A$8:$G$95,5,))</f>
        <v>0.35243328100470955</v>
      </c>
      <c r="O49" s="1179">
        <f t="shared" si="16"/>
        <v>0.1165985538315733</v>
      </c>
      <c r="P49" s="1155">
        <f>TableA3!J49</f>
        <v>0.1165985538315733</v>
      </c>
      <c r="Q49" s="1187"/>
      <c r="R49" s="954"/>
      <c r="S49" s="954"/>
      <c r="T49" s="173"/>
      <c r="U49" s="273">
        <f t="shared" si="2"/>
        <v>0</v>
      </c>
      <c r="V49" s="173"/>
    </row>
    <row r="50" spans="1:22" ht="14.25" customHeight="1" x14ac:dyDescent="0.2">
      <c r="A50" s="1148" t="s">
        <v>69</v>
      </c>
      <c r="B50" s="1174">
        <f t="shared" si="13"/>
        <v>19.763092692472515</v>
      </c>
      <c r="C50" s="1035">
        <f>TableB2!E50-TableB5!D50</f>
        <v>6.7355001169000008</v>
      </c>
      <c r="D50" s="1033"/>
      <c r="E50" s="1033"/>
      <c r="F50" s="1175">
        <f>TableB2!D50-TableB5!C50</f>
        <v>10.231280761199999</v>
      </c>
      <c r="G50" s="1033">
        <f>TableB4!D50+TableB4!G50-TableB5!C50</f>
        <v>10.231280761199999</v>
      </c>
      <c r="H50" s="1033">
        <f t="shared" si="14"/>
        <v>0</v>
      </c>
      <c r="I50" s="1176">
        <f>+TableB2!F50-TableB5!E50</f>
        <v>-3.2667808781000005</v>
      </c>
      <c r="J50" s="1033">
        <f t="shared" si="12"/>
        <v>0.76847104276502376</v>
      </c>
      <c r="K50" s="1033">
        <f t="shared" si="15"/>
        <v>5.2946216497074916</v>
      </c>
      <c r="L50" s="1177">
        <f t="shared" si="11"/>
        <v>0.26790450928381965</v>
      </c>
      <c r="M50" s="1178">
        <f>TableA2!G50/(TableA2!G50+TableA2!D50)</f>
        <v>0.34684271730926658</v>
      </c>
      <c r="N50" s="1178">
        <f>VLOOKUP(A50,TableA10!$A$8:$G$95,7,)/(VLOOKUP(A50,TableA10!$A$8:$G$95,7,)+VLOOKUP(A50,TableA10!$A$8:$G$95,4,)+VLOOKUP(A50,TableA10!$A$8:$G$95,5,))</f>
        <v>0.26790450928381965</v>
      </c>
      <c r="O50" s="1179">
        <f t="shared" si="16"/>
        <v>9.9375912586799398E-2</v>
      </c>
      <c r="P50" s="1155">
        <f>TableA3!J50</f>
        <v>9.9375912586799398E-2</v>
      </c>
      <c r="Q50" s="1187"/>
      <c r="R50" s="954"/>
      <c r="S50" s="954"/>
      <c r="T50" s="173"/>
      <c r="U50" s="273">
        <f t="shared" si="2"/>
        <v>0</v>
      </c>
      <c r="V50" s="173"/>
    </row>
    <row r="51" spans="1:22" ht="14.25" customHeight="1" x14ac:dyDescent="0.2">
      <c r="A51" s="1148" t="s">
        <v>70</v>
      </c>
      <c r="B51" s="1174">
        <f t="shared" si="13"/>
        <v>62.125314463127452</v>
      </c>
      <c r="C51" s="1035">
        <f>TableB2!E51-TableB5!D51</f>
        <v>9.3334899999999994</v>
      </c>
      <c r="D51" s="1033"/>
      <c r="E51" s="1033"/>
      <c r="F51" s="1175">
        <f>TableB2!D51-TableB5!C51</f>
        <v>28.695729999999998</v>
      </c>
      <c r="G51" s="1033">
        <f>TableB4!D51+TableB4!G51-TableB5!C51</f>
        <v>28.695729999999998</v>
      </c>
      <c r="H51" s="1033">
        <f t="shared" si="14"/>
        <v>0</v>
      </c>
      <c r="I51" s="1176">
        <f>+TableB2!F51-TableB5!E51</f>
        <v>2.9707800000000031</v>
      </c>
      <c r="J51" s="1033">
        <f t="shared" si="12"/>
        <v>5.3687967070604961</v>
      </c>
      <c r="K51" s="1033">
        <f t="shared" si="15"/>
        <v>15.756517756066952</v>
      </c>
      <c r="L51" s="1177">
        <f t="shared" si="11"/>
        <v>0.25362475654620215</v>
      </c>
      <c r="M51" s="1178">
        <f>TableA2!G51/(TableA2!G51+TableA2!D51)</f>
        <v>0.22034472051356951</v>
      </c>
      <c r="N51" s="1178">
        <f>VLOOKUP(A51,TableA10b!$A$8:$G$95,7,)/(VLOOKUP(A51,TableA10b!$A$8:$G$95,7,)+VLOOKUP(A51,TableA10b!$A$8:$G$95,4,)+VLOOKUP(A51,TableA10b!$A$8:$G$95,5,))</f>
        <v>0.25362475654620215</v>
      </c>
      <c r="O51" s="1179">
        <f t="shared" si="16"/>
        <v>0.14496428366386327</v>
      </c>
      <c r="P51" s="1155">
        <f>TableA3!J51</f>
        <v>0.14496428366386327</v>
      </c>
      <c r="Q51" s="1187"/>
      <c r="R51" s="954"/>
      <c r="S51" s="954"/>
      <c r="T51" s="173"/>
      <c r="U51" s="273">
        <f t="shared" si="2"/>
        <v>0</v>
      </c>
      <c r="V51" s="173"/>
    </row>
    <row r="52" spans="1:22" ht="14.25" customHeight="1" x14ac:dyDescent="0.2">
      <c r="A52" s="1148" t="s">
        <v>71</v>
      </c>
      <c r="B52" s="1174">
        <f t="shared" si="13"/>
        <v>11.748719731603057</v>
      </c>
      <c r="C52" s="1035">
        <f>TableB2!E52-TableB5!D52</f>
        <v>0.46488415110000003</v>
      </c>
      <c r="D52" s="1033"/>
      <c r="E52" s="1033"/>
      <c r="F52" s="1175">
        <f>TableB2!D52-TableB5!C52</f>
        <v>6.9219943913000002</v>
      </c>
      <c r="G52" s="1033">
        <f>TableB4!D52+TableB4!G52-TableB5!C52</f>
        <v>6.9219943913000002</v>
      </c>
      <c r="H52" s="1033">
        <f t="shared" si="14"/>
        <v>0</v>
      </c>
      <c r="I52" s="1176">
        <f>+TableB2!F52-TableB5!E52</f>
        <v>-0.32687854240000058</v>
      </c>
      <c r="J52" s="1033">
        <f t="shared" si="12"/>
        <v>2.1480680608715463</v>
      </c>
      <c r="K52" s="1033">
        <f t="shared" si="15"/>
        <v>2.5406516707315103</v>
      </c>
      <c r="L52" s="1177">
        <f t="shared" si="11"/>
        <v>0.21624923640806354</v>
      </c>
      <c r="M52" s="1178">
        <f>TableA2!G52/(TableA2!G52+TableA2!D52)</f>
        <v>0.37653391159557786</v>
      </c>
      <c r="N52" s="1178">
        <f>VLOOKUP(A52,TableA10!$A$8:$G$95,7,)/(VLOOKUP(A52,TableA10!$A$8:$G$95,7,)+VLOOKUP(A52,TableA10!$A$8:$G$95,4,)+VLOOKUP(A52,TableA10!$A$8:$G$95,5,))</f>
        <v>0.21624923640806354</v>
      </c>
      <c r="O52" s="1179">
        <f t="shared" si="16"/>
        <v>0.24568487670387729</v>
      </c>
      <c r="P52" s="1155">
        <f>TableA3!J52</f>
        <v>0.24568487670387729</v>
      </c>
      <c r="Q52" s="1187"/>
      <c r="R52" s="954"/>
      <c r="S52" s="954"/>
      <c r="T52" s="173"/>
      <c r="U52" s="273">
        <f t="shared" si="2"/>
        <v>0</v>
      </c>
      <c r="V52" s="173"/>
    </row>
    <row r="53" spans="1:22" ht="40" customHeight="1" x14ac:dyDescent="0.2">
      <c r="A53" s="7" t="s">
        <v>72</v>
      </c>
      <c r="B53" s="1174">
        <f>SUM(B54:B89)</f>
        <v>227.63993459990377</v>
      </c>
      <c r="C53" s="277">
        <f t="shared" ref="C53:K53" si="17">SUM(C54:C89)</f>
        <v>0</v>
      </c>
      <c r="D53" s="26"/>
      <c r="E53" s="26"/>
      <c r="F53" s="1188">
        <f t="shared" si="17"/>
        <v>92.933473247224967</v>
      </c>
      <c r="G53" s="26">
        <f t="shared" si="17"/>
        <v>239.77133365139244</v>
      </c>
      <c r="H53" s="26">
        <f t="shared" si="17"/>
        <v>146.83786040416743</v>
      </c>
      <c r="I53" s="278">
        <f t="shared" si="17"/>
        <v>39.828631391667841</v>
      </c>
      <c r="J53" s="26">
        <f t="shared" si="17"/>
        <v>15.767035008629795</v>
      </c>
      <c r="K53" s="26">
        <f t="shared" si="17"/>
        <v>79.110794952381184</v>
      </c>
      <c r="L53" s="1177"/>
      <c r="M53" s="1178"/>
      <c r="N53" s="1178"/>
      <c r="O53" s="1179"/>
      <c r="P53" s="1155"/>
      <c r="Q53" s="1186"/>
      <c r="R53" s="954"/>
      <c r="S53" s="954"/>
      <c r="T53" s="173"/>
      <c r="U53" s="273">
        <f t="shared" si="2"/>
        <v>0</v>
      </c>
      <c r="V53" s="173"/>
    </row>
    <row r="54" spans="1:22" ht="14.25" customHeight="1" x14ac:dyDescent="0.2">
      <c r="A54" s="1148" t="s">
        <v>73</v>
      </c>
      <c r="B54" s="1174">
        <f t="shared" si="13"/>
        <v>-4.2238151356081763E-2</v>
      </c>
      <c r="C54" s="1035">
        <f>D54-E54</f>
        <v>0</v>
      </c>
      <c r="D54" s="1033">
        <f>TableB2!E54</f>
        <v>0</v>
      </c>
      <c r="E54" s="1033">
        <f>TableB2!I54</f>
        <v>0</v>
      </c>
      <c r="F54" s="1175">
        <f>G54-H54</f>
        <v>-2.2890000000000001E-2</v>
      </c>
      <c r="G54" s="1033">
        <f>TableB2!D54</f>
        <v>2.5340000000000001E-2</v>
      </c>
      <c r="H54" s="1033">
        <f>TableB2!H54</f>
        <v>4.8230000000000002E-2</v>
      </c>
      <c r="I54" s="1176">
        <f>+TableB2!F54-TableB2!J54</f>
        <v>-9.810000000000001E-3</v>
      </c>
      <c r="J54" s="1033">
        <f>O54/(1-O54)*(F54+I54)</f>
        <v>-1.7210526315789476E-3</v>
      </c>
      <c r="K54" s="1033">
        <f>M54/(1-M54)*(I54+F54+C54+J54)</f>
        <v>-7.8170987245028099E-3</v>
      </c>
      <c r="L54" s="1177"/>
      <c r="M54" s="1178">
        <f>TableA2!G54/(TableA2!G54+TableA2!D54)</f>
        <v>0.18507198997896593</v>
      </c>
      <c r="N54" s="115"/>
      <c r="O54" s="1179">
        <f t="shared" si="16"/>
        <v>0.05</v>
      </c>
      <c r="P54" s="1155">
        <f>TableA3!J54</f>
        <v>0.05</v>
      </c>
      <c r="Q54" s="1186"/>
      <c r="R54" s="954"/>
      <c r="S54" s="954"/>
      <c r="T54" s="173"/>
      <c r="U54" s="273">
        <f t="shared" si="2"/>
        <v>0</v>
      </c>
      <c r="V54" s="173"/>
    </row>
    <row r="55" spans="1:22" ht="14.25" customHeight="1" x14ac:dyDescent="0.2">
      <c r="A55" s="1148" t="s">
        <v>74</v>
      </c>
      <c r="B55" s="1174">
        <f t="shared" si="13"/>
        <v>0.12602337689679047</v>
      </c>
      <c r="C55" s="1035">
        <f>D55-E55</f>
        <v>0</v>
      </c>
      <c r="D55" s="1033">
        <f>TableB2!E55</f>
        <v>0</v>
      </c>
      <c r="E55" s="1033">
        <f>TableB2!I55</f>
        <v>0</v>
      </c>
      <c r="F55" s="1175">
        <f>G55-H55</f>
        <v>7.1890000000000009E-2</v>
      </c>
      <c r="G55" s="1033">
        <f>TableB2!D55</f>
        <v>7.5950000000000004E-2</v>
      </c>
      <c r="H55" s="1033">
        <f>TableB2!H55</f>
        <v>4.0599999999999994E-3</v>
      </c>
      <c r="I55" s="1176">
        <f>+TableB2!F55-TableB2!J55</f>
        <v>3.0809999999999997E-2</v>
      </c>
      <c r="J55" s="1033">
        <f>O55/(1-O55)*(F55+I55)</f>
        <v>0</v>
      </c>
      <c r="K55" s="1033">
        <f t="shared" ref="K55:K89" si="18">M55/(1-M55)*(I55+F55+C55+J55)</f>
        <v>2.3323376896790451E-2</v>
      </c>
      <c r="L55" s="1177"/>
      <c r="M55" s="1178">
        <f>TableA2!G55/(TableA2!G55+TableA2!D55)</f>
        <v>0.18507182929950869</v>
      </c>
      <c r="N55" s="115"/>
      <c r="O55" s="1179">
        <f t="shared" si="16"/>
        <v>0</v>
      </c>
      <c r="P55" s="1155">
        <f>TableA3!J55</f>
        <v>0</v>
      </c>
      <c r="Q55" s="1186"/>
      <c r="R55" s="954"/>
      <c r="S55" s="954"/>
      <c r="T55" s="173"/>
      <c r="U55" s="273">
        <f t="shared" si="2"/>
        <v>0</v>
      </c>
      <c r="V55" s="173"/>
    </row>
    <row r="56" spans="1:22" ht="14.25" customHeight="1" x14ac:dyDescent="0.2">
      <c r="A56" s="1148" t="str">
        <f>+TableA1!A56</f>
        <v>Antigua and Barbuda</v>
      </c>
      <c r="B56" s="1174">
        <f t="shared" si="13"/>
        <v>9.5310475834493674E-2</v>
      </c>
      <c r="C56" s="1035">
        <f t="shared" ref="C56:C88" si="19">D56-E56</f>
        <v>0</v>
      </c>
      <c r="D56" s="1033">
        <f>TableB2!E56</f>
        <v>0</v>
      </c>
      <c r="E56" s="1033">
        <f>TableB2!I56</f>
        <v>0</v>
      </c>
      <c r="F56" s="1175">
        <f t="shared" ref="F56:F88" si="20">G56-H56</f>
        <v>5.3830000000000003E-2</v>
      </c>
      <c r="G56" s="1033">
        <f>TableB2!D56</f>
        <v>5.3830000000000003E-2</v>
      </c>
      <c r="H56" s="1033">
        <f>TableB2!H56</f>
        <v>0</v>
      </c>
      <c r="I56" s="1176">
        <f>+TableB2!F56-TableB2!J56</f>
        <v>2.3070000000000004E-2</v>
      </c>
      <c r="J56" s="1033">
        <f t="shared" ref="J56:J88" si="21">O56/(1-O56)*(F56+I56)</f>
        <v>4.0473684210526328E-3</v>
      </c>
      <c r="K56" s="1033">
        <f t="shared" si="18"/>
        <v>1.4363107413441031E-2</v>
      </c>
      <c r="L56" s="1177"/>
      <c r="M56" s="1178">
        <f>TableA2!G56/(TableA2!G56+TableA2!D56)</f>
        <v>0.15069809785004662</v>
      </c>
      <c r="N56" s="115"/>
      <c r="O56" s="1179">
        <f t="shared" si="16"/>
        <v>0.05</v>
      </c>
      <c r="P56" s="1155">
        <f>TableA3!J56</f>
        <v>0.05</v>
      </c>
      <c r="Q56" s="1186"/>
      <c r="R56" s="954"/>
      <c r="S56" s="954"/>
      <c r="T56" s="272"/>
      <c r="U56" s="273">
        <f t="shared" si="2"/>
        <v>0</v>
      </c>
      <c r="V56" s="173"/>
    </row>
    <row r="57" spans="1:22" ht="14.25" customHeight="1" x14ac:dyDescent="0.2">
      <c r="A57" s="1148" t="s">
        <v>76</v>
      </c>
      <c r="B57" s="1174">
        <f t="shared" si="13"/>
        <v>5.388286669783858E-2</v>
      </c>
      <c r="C57" s="1035">
        <f t="shared" si="19"/>
        <v>0</v>
      </c>
      <c r="D57" s="1033">
        <f>TableB2!E57</f>
        <v>0</v>
      </c>
      <c r="E57" s="1033">
        <f>TableB2!I57</f>
        <v>0</v>
      </c>
      <c r="F57" s="1175">
        <f t="shared" si="20"/>
        <v>2.9200558660000001E-2</v>
      </c>
      <c r="G57" s="1033">
        <f>TableB2!D57</f>
        <v>6.9100558660000005E-2</v>
      </c>
      <c r="H57" s="1033">
        <f>TableB2!H57</f>
        <v>3.9900000000000005E-2</v>
      </c>
      <c r="I57" s="1176">
        <f>+TableB2!F57-TableB2!J57</f>
        <v>1.251452514E-2</v>
      </c>
      <c r="J57" s="1033">
        <f t="shared" si="21"/>
        <v>2.1955307263157894E-3</v>
      </c>
      <c r="K57" s="1033">
        <f t="shared" si="18"/>
        <v>9.9722521715227986E-3</v>
      </c>
      <c r="L57" s="1177">
        <f>K57/B57</f>
        <v>0.18507278440556355</v>
      </c>
      <c r="M57" s="1178">
        <f>TableA2!G57/(TableA2!G57+TableA2!D57)</f>
        <v>0.18507278440556352</v>
      </c>
      <c r="N57" s="115"/>
      <c r="O57" s="1179">
        <f t="shared" si="16"/>
        <v>0.05</v>
      </c>
      <c r="P57" s="1155">
        <f>TableA3!J57</f>
        <v>0.05</v>
      </c>
      <c r="Q57" s="1186"/>
      <c r="R57" s="954"/>
      <c r="S57" s="954"/>
      <c r="T57" s="272"/>
      <c r="U57" s="273">
        <f t="shared" si="2"/>
        <v>0</v>
      </c>
      <c r="V57" s="173"/>
    </row>
    <row r="58" spans="1:22" ht="14.25" customHeight="1" x14ac:dyDescent="0.2">
      <c r="A58" s="1148" t="s">
        <v>152</v>
      </c>
      <c r="B58" s="1174">
        <f t="shared" si="13"/>
        <v>0.86376768801781456</v>
      </c>
      <c r="C58" s="1035">
        <f t="shared" si="19"/>
        <v>0</v>
      </c>
      <c r="D58" s="1033">
        <f>TableB2!E58</f>
        <v>0</v>
      </c>
      <c r="E58" s="1033">
        <f>TableB2!I58</f>
        <v>0</v>
      </c>
      <c r="F58" s="1175">
        <f t="shared" si="20"/>
        <v>0.51717766904770324</v>
      </c>
      <c r="G58" s="1033">
        <f>TableB2!D58</f>
        <v>1.7087601109938677</v>
      </c>
      <c r="H58" s="1033">
        <f>TableB2!H58</f>
        <v>1.1915824419461645</v>
      </c>
      <c r="I58" s="1176">
        <f>+TableB2!F58-TableB2!J58</f>
        <v>0.22164757244901567</v>
      </c>
      <c r="J58" s="1033">
        <f t="shared" si="21"/>
        <v>0</v>
      </c>
      <c r="K58" s="1033">
        <f t="shared" si="18"/>
        <v>0.12494244652109564</v>
      </c>
      <c r="L58" s="1177"/>
      <c r="M58" s="1178">
        <f>TableA2!G58/(TableA2!G58+TableA2!D58)</f>
        <v>0.14464820605620848</v>
      </c>
      <c r="N58" s="115"/>
      <c r="O58" s="1179">
        <f t="shared" si="16"/>
        <v>0</v>
      </c>
      <c r="P58" s="1155">
        <f>TableA3!J58</f>
        <v>0</v>
      </c>
      <c r="Q58" s="1186"/>
      <c r="R58" s="954"/>
      <c r="S58" s="954"/>
      <c r="T58" s="272"/>
      <c r="U58" s="273">
        <f t="shared" si="2"/>
        <v>0</v>
      </c>
      <c r="V58" s="173"/>
    </row>
    <row r="59" spans="1:22" ht="14.25" customHeight="1" x14ac:dyDescent="0.2">
      <c r="A59" s="1148" t="s">
        <v>78</v>
      </c>
      <c r="B59" s="1174">
        <f t="shared" si="13"/>
        <v>0.70390176012888261</v>
      </c>
      <c r="C59" s="1035">
        <f t="shared" si="19"/>
        <v>0</v>
      </c>
      <c r="D59" s="1033">
        <f>TableB2!E59</f>
        <v>0</v>
      </c>
      <c r="E59" s="1033">
        <f>TableB2!I59</f>
        <v>0</v>
      </c>
      <c r="F59" s="1175">
        <f t="shared" si="20"/>
        <v>0.44982563954713994</v>
      </c>
      <c r="G59" s="1033">
        <f>TableB2!D59</f>
        <v>0.50400563954713995</v>
      </c>
      <c r="H59" s="1033">
        <f>TableB2!H59</f>
        <v>5.4180000000000006E-2</v>
      </c>
      <c r="I59" s="1176">
        <f>+TableB2!F59-TableB2!J59</f>
        <v>0.19278241694877424</v>
      </c>
      <c r="J59" s="1033">
        <f t="shared" si="21"/>
        <v>0</v>
      </c>
      <c r="K59" s="1033">
        <f t="shared" si="18"/>
        <v>6.1293703632968426E-2</v>
      </c>
      <c r="L59" s="1177"/>
      <c r="M59" s="1178">
        <f>TableA2!G59/(TableA2!G59+TableA2!D59)</f>
        <v>8.7077071126723277E-2</v>
      </c>
      <c r="N59" s="115"/>
      <c r="O59" s="1179">
        <f t="shared" si="16"/>
        <v>0</v>
      </c>
      <c r="P59" s="1155">
        <f>TableA3!J59</f>
        <v>0</v>
      </c>
      <c r="Q59" s="1186"/>
      <c r="R59" s="954"/>
      <c r="S59" s="954"/>
      <c r="T59" s="272"/>
      <c r="U59" s="273">
        <f t="shared" si="2"/>
        <v>0</v>
      </c>
      <c r="V59" s="173"/>
    </row>
    <row r="60" spans="1:22" ht="14.25" customHeight="1" x14ac:dyDescent="0.2">
      <c r="A60" s="1148" t="str">
        <f>+TableA1!A60</f>
        <v>Barbados</v>
      </c>
      <c r="B60" s="1174">
        <f t="shared" si="13"/>
        <v>2.3540047098343044</v>
      </c>
      <c r="C60" s="1035">
        <f t="shared" si="19"/>
        <v>0</v>
      </c>
      <c r="D60" s="1033">
        <f>TableB2!E60</f>
        <v>0</v>
      </c>
      <c r="E60" s="1033">
        <f>TableB2!I60</f>
        <v>0</v>
      </c>
      <c r="F60" s="1175">
        <f t="shared" si="20"/>
        <v>1.327052905736777</v>
      </c>
      <c r="G60" s="1033">
        <f>TableB2!D60</f>
        <v>1.4915056965555711</v>
      </c>
      <c r="H60" s="1033">
        <f>TableB2!H60</f>
        <v>0.16445279081879405</v>
      </c>
      <c r="I60" s="1176">
        <f>+TableB2!F60-TableB2!J60</f>
        <v>0.56873695960147586</v>
      </c>
      <c r="J60" s="1033">
        <f t="shared" si="21"/>
        <v>9.9778413965171203E-2</v>
      </c>
      <c r="K60" s="1033">
        <f t="shared" si="18"/>
        <v>0.35843643053088037</v>
      </c>
      <c r="L60" s="1177"/>
      <c r="M60" s="1178">
        <f>TableA2!G60/(TableA2!G60+TableA2!D60)</f>
        <v>0.15226665819037816</v>
      </c>
      <c r="N60" s="1178">
        <f>VLOOKUP(A60,TableA10!$A$8:$G$95,7,)/(VLOOKUP(A60,TableA10!$A$8:$G$95,7,)+VLOOKUP(A60,TableA10!$A$8:$G$95,4,)+VLOOKUP(A60,TableA10!$A$8:$G$95,5,))</f>
        <v>0.11591355599214145</v>
      </c>
      <c r="O60" s="1179">
        <f t="shared" si="16"/>
        <v>0.05</v>
      </c>
      <c r="P60" s="1155">
        <f>TableA3!J60</f>
        <v>0.05</v>
      </c>
      <c r="Q60" s="1186"/>
      <c r="R60" s="954"/>
      <c r="S60" s="954"/>
      <c r="T60" s="272"/>
      <c r="U60" s="273">
        <f t="shared" si="2"/>
        <v>0</v>
      </c>
      <c r="V60" s="173"/>
    </row>
    <row r="61" spans="1:22" ht="14.25" customHeight="1" x14ac:dyDescent="0.2">
      <c r="A61" s="1148" t="s">
        <v>80</v>
      </c>
      <c r="B61" s="1174">
        <f t="shared" si="13"/>
        <v>7.6699473965693349E-2</v>
      </c>
      <c r="C61" s="1035">
        <f t="shared" si="19"/>
        <v>0</v>
      </c>
      <c r="D61" s="1033">
        <f>TableB2!E61</f>
        <v>0</v>
      </c>
      <c r="E61" s="1033">
        <f>TableB2!I61</f>
        <v>0</v>
      </c>
      <c r="F61" s="1175">
        <f t="shared" si="20"/>
        <v>4.5492634390000009E-2</v>
      </c>
      <c r="G61" s="1033">
        <f>TableB2!D61</f>
        <v>4.6340000000000006E-2</v>
      </c>
      <c r="H61" s="1033">
        <f>TableB2!H61</f>
        <v>8.4736561000000005E-4</v>
      </c>
      <c r="I61" s="1176">
        <f>+TableB2!F61-TableB2!J61</f>
        <v>1.9496843310000001E-2</v>
      </c>
      <c r="J61" s="1033">
        <f t="shared" si="21"/>
        <v>0</v>
      </c>
      <c r="K61" s="1033">
        <f t="shared" si="18"/>
        <v>1.1709996265693346E-2</v>
      </c>
      <c r="L61" s="1177">
        <f>K61/B61</f>
        <v>0.15267374937839953</v>
      </c>
      <c r="M61" s="1178">
        <f>TableA2!G61/(TableA2!G61+TableA2!D61)</f>
        <v>0.15267374937839953</v>
      </c>
      <c r="N61" s="115"/>
      <c r="O61" s="1179">
        <f t="shared" si="16"/>
        <v>0</v>
      </c>
      <c r="P61" s="1155">
        <f>TableA3!J61</f>
        <v>0</v>
      </c>
      <c r="Q61" s="1186"/>
      <c r="R61" s="954"/>
      <c r="S61" s="954"/>
      <c r="T61" s="272"/>
      <c r="U61" s="273">
        <f t="shared" si="2"/>
        <v>0</v>
      </c>
      <c r="V61" s="173"/>
    </row>
    <row r="62" spans="1:22" ht="14.25" customHeight="1" x14ac:dyDescent="0.2">
      <c r="A62" s="1148" t="s">
        <v>81</v>
      </c>
      <c r="B62" s="1174">
        <f t="shared" si="13"/>
        <v>17.600157933093634</v>
      </c>
      <c r="C62" s="1035">
        <f t="shared" si="19"/>
        <v>0</v>
      </c>
      <c r="D62" s="1033">
        <f>TableB2!E62</f>
        <v>0</v>
      </c>
      <c r="E62" s="1033">
        <f>TableB2!I62</f>
        <v>0</v>
      </c>
      <c r="F62" s="1175">
        <f t="shared" si="20"/>
        <v>10.813178969205666</v>
      </c>
      <c r="G62" s="1033">
        <f>TableB2!D62</f>
        <v>33.405915985248917</v>
      </c>
      <c r="H62" s="1033">
        <f>TableB2!H62</f>
        <v>22.592737016043252</v>
      </c>
      <c r="I62" s="1176">
        <f>+TableB2!F62-TableB2!J62</f>
        <v>4.6342195582309973</v>
      </c>
      <c r="J62" s="1033">
        <f t="shared" si="21"/>
        <v>0</v>
      </c>
      <c r="K62" s="1033">
        <f t="shared" si="18"/>
        <v>2.1527594056569712</v>
      </c>
      <c r="L62" s="1177">
        <f>K62/B62</f>
        <v>0.12231477773327992</v>
      </c>
      <c r="M62" s="1178">
        <f>TableA2!G62/(TableA2!G62+TableA2!D62)</f>
        <v>0.12231477773327991</v>
      </c>
      <c r="N62" s="1178">
        <f>VLOOKUP(A62,TableA10!$A$8:$G$95,7,)/(VLOOKUP(A62,TableA10!$A$8:$G$95,7,)+VLOOKUP(A62,TableA10!$A$8:$G$95,4,)+VLOOKUP(A62,TableA10!$A$8:$G$95,5,))</f>
        <v>-0.13774787535410765</v>
      </c>
      <c r="O62" s="1179">
        <f t="shared" si="16"/>
        <v>0</v>
      </c>
      <c r="P62" s="1155">
        <f>TableA3!J62</f>
        <v>0</v>
      </c>
      <c r="Q62" s="1186"/>
      <c r="R62" s="954"/>
      <c r="S62" s="954"/>
      <c r="T62" s="272"/>
      <c r="U62" s="273">
        <f t="shared" si="2"/>
        <v>0</v>
      </c>
      <c r="V62" s="173"/>
    </row>
    <row r="63" spans="1:22" ht="14.25" customHeight="1" x14ac:dyDescent="0.2">
      <c r="A63" s="1148" t="s">
        <v>82</v>
      </c>
      <c r="B63" s="1174">
        <f t="shared" si="13"/>
        <v>-1.2141862556307403E-2</v>
      </c>
      <c r="C63" s="1035">
        <f t="shared" si="19"/>
        <v>0</v>
      </c>
      <c r="D63" s="1033">
        <f>TableB2!E63</f>
        <v>0</v>
      </c>
      <c r="E63" s="1033">
        <f>TableB2!I63</f>
        <v>0</v>
      </c>
      <c r="F63" s="1175">
        <f t="shared" si="20"/>
        <v>-6.5799999999999999E-3</v>
      </c>
      <c r="G63" s="1033">
        <f>TableB2!D63</f>
        <v>7.0000000000000007E-5</v>
      </c>
      <c r="H63" s="1033">
        <f>TableB2!H63</f>
        <v>6.6499999999999997E-3</v>
      </c>
      <c r="I63" s="1176">
        <f>+TableB2!F63-TableB2!J63</f>
        <v>-2.8199999999999996E-3</v>
      </c>
      <c r="J63" s="1033">
        <f t="shared" si="21"/>
        <v>-4.9473684210526309E-4</v>
      </c>
      <c r="K63" s="1033">
        <f t="shared" si="18"/>
        <v>-2.247125714202141E-3</v>
      </c>
      <c r="L63" s="1177"/>
      <c r="M63" s="1178">
        <f>TableA2!G63/(TableA2!G63+TableA2!D63)</f>
        <v>0.18507257052047701</v>
      </c>
      <c r="N63" s="115"/>
      <c r="O63" s="1179">
        <f t="shared" si="16"/>
        <v>0.05</v>
      </c>
      <c r="P63" s="1155">
        <f>TableA3!J63</f>
        <v>0.05</v>
      </c>
      <c r="Q63" s="1186"/>
      <c r="R63" s="954"/>
      <c r="S63" s="954"/>
      <c r="T63" s="272"/>
      <c r="U63" s="273">
        <f t="shared" si="2"/>
        <v>0</v>
      </c>
      <c r="V63" s="173"/>
    </row>
    <row r="64" spans="1:22" ht="14.25" customHeight="1" x14ac:dyDescent="0.2">
      <c r="A64" s="1148" t="s">
        <v>153</v>
      </c>
      <c r="B64" s="1174">
        <f t="shared" si="13"/>
        <v>-4.9195801474907155</v>
      </c>
      <c r="C64" s="1035">
        <f t="shared" si="19"/>
        <v>0</v>
      </c>
      <c r="D64" s="1033">
        <f>TableB2!E64</f>
        <v>0</v>
      </c>
      <c r="E64" s="1033">
        <f>TableB2!I64</f>
        <v>0</v>
      </c>
      <c r="F64" s="1175">
        <f t="shared" si="20"/>
        <v>-2.8063716303540702</v>
      </c>
      <c r="G64" s="1033">
        <f>TableB2!D64</f>
        <v>0.37491732214233509</v>
      </c>
      <c r="H64" s="1033">
        <f>TableB2!H64</f>
        <v>3.1812889524964052</v>
      </c>
      <c r="I64" s="1176">
        <f>+TableB2!F64-TableB2!J64</f>
        <v>-1.2027306987231727</v>
      </c>
      <c r="J64" s="1033">
        <f t="shared" si="21"/>
        <v>0</v>
      </c>
      <c r="K64" s="1033">
        <f t="shared" si="18"/>
        <v>-0.91047781841347242</v>
      </c>
      <c r="L64" s="1177"/>
      <c r="M64" s="1178">
        <f>TableA2!G64/(TableA2!G64+TableA2!D64)</f>
        <v>0.18507226046065564</v>
      </c>
      <c r="N64" s="1178">
        <f>VLOOKUP("United Kingdom Islands, Caribbean",TableA10!$A$8:$G$95,7,)/(VLOOKUP("United Kingdom Islands, Caribbean",TableA10!$A$8:$G$95,7,)+VLOOKUP("United Kingdom Islands, Caribbean",TableA10!$A$8:$G$95,4,)+VLOOKUP("United Kingdom Islands, Caribbean",TableA10!$A$8:$G$95,5,))</f>
        <v>0.40218199851227376</v>
      </c>
      <c r="O64" s="1179">
        <f t="shared" si="16"/>
        <v>0</v>
      </c>
      <c r="P64" s="1155">
        <f>TableA3!J64</f>
        <v>0</v>
      </c>
      <c r="Q64" s="1186"/>
      <c r="R64" s="954"/>
      <c r="S64" s="954"/>
      <c r="T64" s="272"/>
      <c r="U64" s="273">
        <f t="shared" si="2"/>
        <v>0</v>
      </c>
      <c r="V64" s="173"/>
    </row>
    <row r="65" spans="1:22" ht="14.25" customHeight="1" x14ac:dyDescent="0.2">
      <c r="A65" s="113" t="s">
        <v>84</v>
      </c>
      <c r="B65" s="1174">
        <f t="shared" si="13"/>
        <v>24.582919082111488</v>
      </c>
      <c r="C65" s="1035">
        <f t="shared" si="19"/>
        <v>0</v>
      </c>
      <c r="D65" s="1033">
        <f>TableB2!E65</f>
        <v>0</v>
      </c>
      <c r="E65" s="1033">
        <f>TableB2!I65</f>
        <v>0</v>
      </c>
      <c r="F65" s="1175">
        <f t="shared" si="20"/>
        <v>11.229412722596891</v>
      </c>
      <c r="G65" s="1033">
        <f>TableB2!D65</f>
        <v>22.5772489778631</v>
      </c>
      <c r="H65" s="1033">
        <f>TableB2!H65</f>
        <v>11.347836255266209</v>
      </c>
      <c r="I65" s="1176">
        <f>+TableB2!F65-TableB2!J65</f>
        <v>4.8126054525415247</v>
      </c>
      <c r="J65" s="1033">
        <f t="shared" si="21"/>
        <v>0</v>
      </c>
      <c r="K65" s="1033">
        <f t="shared" si="18"/>
        <v>8.5409009069730697</v>
      </c>
      <c r="L65" s="1177">
        <f>K65/B65</f>
        <v>0.34743233211828439</v>
      </c>
      <c r="M65" s="1178">
        <f>TableA2!G65/(TableA2!G65+TableA2!D65)</f>
        <v>0.34743233211828445</v>
      </c>
      <c r="N65" s="1178">
        <f>VLOOKUP("United Kingdom Islands, Caribbean",TableA10!$A$8:$G$95,7,)/(VLOOKUP("United Kingdom Islands, Caribbean",TableA10!$A$8:$G$95,7,)+VLOOKUP("United Kingdom Islands, Caribbean",TableA10!$A$8:$G$95,4,)+VLOOKUP("United Kingdom Islands, Caribbean",TableA10!$A$8:$G$95,5,))</f>
        <v>0.40218199851227376</v>
      </c>
      <c r="O65" s="1179">
        <f t="shared" si="16"/>
        <v>0</v>
      </c>
      <c r="P65" s="1155">
        <f>TableA3!J65</f>
        <v>0</v>
      </c>
      <c r="Q65" s="1186"/>
      <c r="R65" s="954"/>
      <c r="S65" s="954"/>
      <c r="T65" s="272"/>
      <c r="U65" s="273">
        <f t="shared" si="2"/>
        <v>0</v>
      </c>
      <c r="V65" s="173"/>
    </row>
    <row r="66" spans="1:22" ht="14.25" customHeight="1" x14ac:dyDescent="0.2">
      <c r="A66" s="1148" t="s">
        <v>85</v>
      </c>
      <c r="B66" s="1174">
        <f t="shared" si="13"/>
        <v>-4.3205794797817463</v>
      </c>
      <c r="C66" s="1035">
        <f t="shared" si="19"/>
        <v>0</v>
      </c>
      <c r="D66" s="1033">
        <f>TableB2!E66</f>
        <v>0</v>
      </c>
      <c r="E66" s="1033">
        <f>TableB2!I66</f>
        <v>0</v>
      </c>
      <c r="F66" s="1175">
        <f t="shared" si="20"/>
        <v>-1.5393068330776738</v>
      </c>
      <c r="G66" s="1033">
        <f>TableB2!D66</f>
        <v>0.34110316692232601</v>
      </c>
      <c r="H66" s="1033">
        <f>TableB2!H66</f>
        <v>1.8804099999999999</v>
      </c>
      <c r="I66" s="1176">
        <f>+TableB2!F66-TableB2!J66</f>
        <v>-0.65970292846186018</v>
      </c>
      <c r="J66" s="1033">
        <f t="shared" si="21"/>
        <v>-0.1157373558705018</v>
      </c>
      <c r="K66" s="1033">
        <f t="shared" si="18"/>
        <v>-2.0058323623717107</v>
      </c>
      <c r="L66" s="1177">
        <f>K66/B66</f>
        <v>0.4642507727859308</v>
      </c>
      <c r="M66" s="1178">
        <f>TableA2!G66/(TableA2!G66+TableA2!D66)</f>
        <v>0.4642507727859308</v>
      </c>
      <c r="N66" s="115"/>
      <c r="O66" s="1179">
        <f t="shared" si="16"/>
        <v>0.05</v>
      </c>
      <c r="P66" s="1155">
        <f>TableA3!J66</f>
        <v>0.05</v>
      </c>
      <c r="Q66" s="1186"/>
      <c r="R66" s="954"/>
      <c r="S66" s="954"/>
      <c r="T66" s="272"/>
      <c r="U66" s="273">
        <f t="shared" si="2"/>
        <v>0</v>
      </c>
      <c r="V66" s="173"/>
    </row>
    <row r="67" spans="1:22" ht="14.25" customHeight="1" x14ac:dyDescent="0.2">
      <c r="A67" s="1148" t="str">
        <f>+TableA1!A67</f>
        <v>Cyprus</v>
      </c>
      <c r="B67" s="1174">
        <f t="shared" si="13"/>
        <v>5.1452073969721077</v>
      </c>
      <c r="C67" s="1035">
        <f t="shared" si="19"/>
        <v>0</v>
      </c>
      <c r="D67" s="1033">
        <f>TableB2!E67</f>
        <v>0</v>
      </c>
      <c r="E67" s="1033">
        <f>TableB2!I67</f>
        <v>0</v>
      </c>
      <c r="F67" s="1175">
        <f t="shared" si="20"/>
        <v>1.6018009391966599</v>
      </c>
      <c r="G67" s="1033">
        <f>TableB2!D67</f>
        <v>3.6846152882412486</v>
      </c>
      <c r="H67" s="1033">
        <f>TableB2!H67</f>
        <v>2.0828143490445887</v>
      </c>
      <c r="I67" s="1176">
        <f>+TableB2!F67-TableB2!J67</f>
        <v>0.68648611679856852</v>
      </c>
      <c r="J67" s="1033">
        <f t="shared" si="21"/>
        <v>1.3506954745294009</v>
      </c>
      <c r="K67" s="1033">
        <f t="shared" si="18"/>
        <v>1.5062248664474782</v>
      </c>
      <c r="L67" s="1177">
        <f>K67/B67</f>
        <v>0.29274327548659618</v>
      </c>
      <c r="M67" s="1178">
        <f>TableA2!G67/(TableA2!G67+TableA2!D67)</f>
        <v>0.29274327548659623</v>
      </c>
      <c r="N67" s="115"/>
      <c r="O67" s="1179">
        <f t="shared" si="16"/>
        <v>0.37117393754970079</v>
      </c>
      <c r="P67" s="1155">
        <f>TableA3!J67</f>
        <v>0.37117393754970079</v>
      </c>
      <c r="Q67" s="1186"/>
      <c r="R67" s="954"/>
      <c r="S67" s="954"/>
      <c r="T67" s="272"/>
      <c r="U67" s="273">
        <f t="shared" si="2"/>
        <v>0</v>
      </c>
      <c r="V67" s="173"/>
    </row>
    <row r="68" spans="1:22" ht="14.25" customHeight="1" x14ac:dyDescent="0.2">
      <c r="A68" s="1148" t="s">
        <v>87</v>
      </c>
      <c r="B68" s="1174">
        <f t="shared" si="13"/>
        <v>2.6286325789067266</v>
      </c>
      <c r="C68" s="1035">
        <f t="shared" si="19"/>
        <v>0</v>
      </c>
      <c r="D68" s="1033">
        <f>TableB2!E68</f>
        <v>0</v>
      </c>
      <c r="E68" s="1033">
        <f>TableB2!I68</f>
        <v>0</v>
      </c>
      <c r="F68" s="1175">
        <f t="shared" si="20"/>
        <v>1.424526347342622</v>
      </c>
      <c r="G68" s="1033">
        <f>TableB2!D68</f>
        <v>1.62967</v>
      </c>
      <c r="H68" s="1033">
        <f>TableB2!H68</f>
        <v>0.20514365265737788</v>
      </c>
      <c r="I68" s="1176">
        <f>+TableB2!F68-TableB2!J68</f>
        <v>0.61051129171826668</v>
      </c>
      <c r="J68" s="1033">
        <f t="shared" si="21"/>
        <v>0.10710724416109942</v>
      </c>
      <c r="K68" s="1033">
        <f t="shared" si="18"/>
        <v>0.48648769568473843</v>
      </c>
      <c r="L68" s="1177"/>
      <c r="M68" s="1178">
        <f>TableA2!G68/(TableA2!G68+TableA2!D68)</f>
        <v>0.18507253527500345</v>
      </c>
      <c r="N68" s="115"/>
      <c r="O68" s="1179">
        <f t="shared" si="16"/>
        <v>0.05</v>
      </c>
      <c r="P68" s="1155">
        <f>TableA3!J68</f>
        <v>0.05</v>
      </c>
      <c r="Q68" s="1186"/>
      <c r="R68" s="954"/>
      <c r="S68" s="954"/>
      <c r="T68" s="272"/>
      <c r="U68" s="273">
        <f t="shared" si="2"/>
        <v>0</v>
      </c>
      <c r="V68" s="173"/>
    </row>
    <row r="69" spans="1:22" ht="14.25" customHeight="1" x14ac:dyDescent="0.2">
      <c r="A69" s="1148" t="str">
        <f>+TableA1!A69</f>
        <v>Grenada</v>
      </c>
      <c r="B69" s="1174">
        <f t="shared" si="13"/>
        <v>1.9322926977407062E-2</v>
      </c>
      <c r="C69" s="1035">
        <f t="shared" si="19"/>
        <v>0</v>
      </c>
      <c r="D69" s="1033">
        <f>TableB2!E69</f>
        <v>0</v>
      </c>
      <c r="E69" s="1033">
        <f>TableB2!I69</f>
        <v>0</v>
      </c>
      <c r="F69" s="1175">
        <f t="shared" si="20"/>
        <v>1.064E-2</v>
      </c>
      <c r="G69" s="1033">
        <f>TableB2!D69</f>
        <v>1.064E-2</v>
      </c>
      <c r="H69" s="1033">
        <f>TableB2!H69</f>
        <v>0</v>
      </c>
      <c r="I69" s="1176">
        <f>+TableB2!F69-TableB2!J69</f>
        <v>4.5599999999999998E-3</v>
      </c>
      <c r="J69" s="1033">
        <f t="shared" si="21"/>
        <v>8.0000000000000004E-4</v>
      </c>
      <c r="K69" s="1033">
        <f t="shared" si="18"/>
        <v>3.3229269774070628E-3</v>
      </c>
      <c r="L69" s="1177"/>
      <c r="M69" s="1178">
        <f>TableA2!G69/(TableA2!G69+TableA2!D69)</f>
        <v>0.1719680968257204</v>
      </c>
      <c r="N69" s="115"/>
      <c r="O69" s="1179">
        <f t="shared" si="16"/>
        <v>0.05</v>
      </c>
      <c r="P69" s="1155">
        <f>TableA3!J69</f>
        <v>0.05</v>
      </c>
      <c r="Q69" s="1186"/>
      <c r="R69" s="954"/>
      <c r="S69" s="954"/>
      <c r="T69" s="272"/>
      <c r="U69" s="273">
        <f t="shared" si="2"/>
        <v>0</v>
      </c>
      <c r="V69" s="173"/>
    </row>
    <row r="70" spans="1:22" ht="14.25" customHeight="1" x14ac:dyDescent="0.2">
      <c r="A70" s="1148" t="s">
        <v>89</v>
      </c>
      <c r="B70" s="1174">
        <f t="shared" si="13"/>
        <v>-2.4084004906068452</v>
      </c>
      <c r="C70" s="1035">
        <f t="shared" si="19"/>
        <v>0</v>
      </c>
      <c r="D70" s="1033">
        <f>TableB2!E70</f>
        <v>0</v>
      </c>
      <c r="E70" s="1033">
        <f>TableB2!I70</f>
        <v>0</v>
      </c>
      <c r="F70" s="1175">
        <f t="shared" si="20"/>
        <v>-1.3738700480658073</v>
      </c>
      <c r="G70" s="1033">
        <f>TableB2!D70</f>
        <v>0.53683291697765623</v>
      </c>
      <c r="H70" s="1033">
        <f>TableB2!H70</f>
        <v>1.9107029650434635</v>
      </c>
      <c r="I70" s="1176">
        <f>+TableB2!F70-TableB2!J70</f>
        <v>-0.58880144917106025</v>
      </c>
      <c r="J70" s="1033">
        <f t="shared" si="21"/>
        <v>0</v>
      </c>
      <c r="K70" s="1033">
        <f t="shared" si="18"/>
        <v>-0.44572899336997757</v>
      </c>
      <c r="L70" s="1177"/>
      <c r="M70" s="1178">
        <f>TableA2!G70/(TableA2!G70+TableA2!D70)</f>
        <v>0.18507262189506826</v>
      </c>
      <c r="N70" s="115"/>
      <c r="O70" s="1179">
        <f t="shared" si="16"/>
        <v>0</v>
      </c>
      <c r="P70" s="1155">
        <f>TableA3!J70</f>
        <v>0</v>
      </c>
      <c r="Q70" s="1186"/>
      <c r="R70" s="954"/>
      <c r="S70" s="954"/>
      <c r="T70" s="272"/>
      <c r="U70" s="273">
        <f t="shared" si="2"/>
        <v>0</v>
      </c>
      <c r="V70" s="173"/>
    </row>
    <row r="71" spans="1:22" ht="14.25" customHeight="1" x14ac:dyDescent="0.2">
      <c r="A71" s="1148" t="s">
        <v>154</v>
      </c>
      <c r="B71" s="1174">
        <f t="shared" si="13"/>
        <v>-3.593802682811142</v>
      </c>
      <c r="C71" s="1035">
        <f t="shared" si="19"/>
        <v>0</v>
      </c>
      <c r="D71" s="1033">
        <f>TableB2!E71</f>
        <v>0</v>
      </c>
      <c r="E71" s="1033">
        <f>TableB2!I71</f>
        <v>0</v>
      </c>
      <c r="F71" s="1175">
        <f t="shared" si="20"/>
        <v>-1.9475763371898367</v>
      </c>
      <c r="G71" s="1033">
        <f>TableB2!D71</f>
        <v>0.21115366281016348</v>
      </c>
      <c r="H71" s="1033">
        <f>TableB2!H71</f>
        <v>2.1587300000000003</v>
      </c>
      <c r="I71" s="1176">
        <f>+TableB2!F71-TableB2!J71</f>
        <v>-0.83467557308135853</v>
      </c>
      <c r="J71" s="1033">
        <f t="shared" si="21"/>
        <v>-0.14643431106690502</v>
      </c>
      <c r="K71" s="1033">
        <f t="shared" si="18"/>
        <v>-0.66511646147304204</v>
      </c>
      <c r="L71" s="1177"/>
      <c r="M71" s="1178">
        <f>TableA2!G71/(TableA2!G71+TableA2!D71)</f>
        <v>0.18507317183946642</v>
      </c>
      <c r="N71" s="115"/>
      <c r="O71" s="1179">
        <f t="shared" si="16"/>
        <v>0.05</v>
      </c>
      <c r="P71" s="1155">
        <f>TableA3!J71</f>
        <v>0.05</v>
      </c>
      <c r="Q71" s="1186"/>
      <c r="R71" s="954"/>
      <c r="S71" s="954"/>
      <c r="T71" s="272"/>
      <c r="U71" s="273">
        <f t="shared" si="2"/>
        <v>0</v>
      </c>
      <c r="V71" s="173"/>
    </row>
    <row r="72" spans="1:22" ht="14.25" customHeight="1" x14ac:dyDescent="0.2">
      <c r="A72" s="1148" t="s">
        <v>91</v>
      </c>
      <c r="B72" s="1174">
        <f t="shared" si="13"/>
        <v>27.93788948706532</v>
      </c>
      <c r="C72" s="1035">
        <f t="shared" si="19"/>
        <v>0</v>
      </c>
      <c r="D72" s="1033">
        <f>TableB2!E72</f>
        <v>0</v>
      </c>
      <c r="E72" s="1033">
        <f>TableB2!I72</f>
        <v>0</v>
      </c>
      <c r="F72" s="1175">
        <f t="shared" si="20"/>
        <v>10.720822428890003</v>
      </c>
      <c r="G72" s="1033">
        <f>TableB2!D72</f>
        <v>95.9</v>
      </c>
      <c r="H72" s="1033">
        <f>TableB2!H72</f>
        <v>85.179177571110003</v>
      </c>
      <c r="I72" s="1176">
        <f>+TableB2!F72-TableB2!J72</f>
        <v>4.5946381838099981</v>
      </c>
      <c r="J72" s="1033">
        <f t="shared" si="21"/>
        <v>4.5094791427710925</v>
      </c>
      <c r="K72" s="1033">
        <f t="shared" si="18"/>
        <v>8.1129497315942292</v>
      </c>
      <c r="L72" s="1177">
        <f>K72/B72</f>
        <v>0.29039236250649358</v>
      </c>
      <c r="M72" s="1178">
        <f>TableA2!G72/(TableA2!G72+TableA2!D72)</f>
        <v>0.29039236250649358</v>
      </c>
      <c r="N72" s="1178">
        <f>VLOOKUP(A72,TableA10!$A$8:$G$95,7,)/(VLOOKUP(A72,TableA10!$A$8:$G$95,7,)+VLOOKUP(A72,TableA10!$A$8:$G$95,4,)+VLOOKUP(A72,TableA10!$A$8:$G$95,5,))</f>
        <v>9.1257847012322715E-2</v>
      </c>
      <c r="O72" s="1179">
        <f t="shared" si="16"/>
        <v>0.22746496072083197</v>
      </c>
      <c r="P72" s="1155">
        <f>TableA3!J72</f>
        <v>0.22746496072083197</v>
      </c>
      <c r="Q72" s="1186"/>
      <c r="R72" s="954"/>
      <c r="S72" s="954"/>
      <c r="T72" s="272"/>
      <c r="U72" s="273">
        <f t="shared" si="2"/>
        <v>0</v>
      </c>
      <c r="V72" s="173"/>
    </row>
    <row r="73" spans="1:22" ht="14.25" customHeight="1" x14ac:dyDescent="0.2">
      <c r="A73" s="1148" t="s">
        <v>92</v>
      </c>
      <c r="B73" s="1174">
        <f t="shared" si="13"/>
        <v>0.71146163152537345</v>
      </c>
      <c r="C73" s="1035">
        <f t="shared" si="19"/>
        <v>0</v>
      </c>
      <c r="D73" s="1033">
        <f>TableB2!E73</f>
        <v>0</v>
      </c>
      <c r="E73" s="1033">
        <f>TableB2!I73</f>
        <v>0</v>
      </c>
      <c r="F73" s="1175">
        <f t="shared" si="20"/>
        <v>0.40585305379506709</v>
      </c>
      <c r="G73" s="1033">
        <f>TableB2!D73</f>
        <v>0.42177244187344221</v>
      </c>
      <c r="H73" s="1033">
        <f>TableB2!H73</f>
        <v>1.5919388078375094E-2</v>
      </c>
      <c r="I73" s="1176">
        <f>+TableB2!F73-TableB2!J73</f>
        <v>0.17393702305502876</v>
      </c>
      <c r="J73" s="1033">
        <f t="shared" si="21"/>
        <v>0</v>
      </c>
      <c r="K73" s="1033">
        <f t="shared" si="18"/>
        <v>0.13167155467527755</v>
      </c>
      <c r="L73" s="1177"/>
      <c r="M73" s="1178">
        <f>TableA2!G73/(TableA2!G73+TableA2!D73)</f>
        <v>0.18507189824555093</v>
      </c>
      <c r="N73" s="115"/>
      <c r="O73" s="1179">
        <f t="shared" si="16"/>
        <v>0</v>
      </c>
      <c r="P73" s="1155">
        <f>TableA3!J73</f>
        <v>0</v>
      </c>
      <c r="Q73" s="1186"/>
      <c r="R73" s="954"/>
      <c r="S73" s="954"/>
      <c r="T73" s="272"/>
      <c r="U73" s="273">
        <f t="shared" si="2"/>
        <v>0</v>
      </c>
      <c r="V73" s="173"/>
    </row>
    <row r="74" spans="1:22" ht="14.25" customHeight="1" x14ac:dyDescent="0.2">
      <c r="A74" s="1148" t="s">
        <v>93</v>
      </c>
      <c r="B74" s="1174">
        <f t="shared" si="13"/>
        <v>-7.2275615089713682E-2</v>
      </c>
      <c r="C74" s="1035">
        <f t="shared" si="19"/>
        <v>0</v>
      </c>
      <c r="D74" s="1033">
        <f>TableB2!E74</f>
        <v>0</v>
      </c>
      <c r="E74" s="1033">
        <f>TableB2!I74</f>
        <v>0</v>
      </c>
      <c r="F74" s="1175">
        <f t="shared" si="20"/>
        <v>-3.6078973909999923E-2</v>
      </c>
      <c r="G74" s="1033">
        <f>TableB2!D74</f>
        <v>0.30520000000000003</v>
      </c>
      <c r="H74" s="1033">
        <f>TableB2!H74</f>
        <v>0.34127897390999995</v>
      </c>
      <c r="I74" s="1176">
        <f>+TableB2!F74-TableB2!J74</f>
        <v>-1.5462417389999983E-2</v>
      </c>
      <c r="J74" s="1033">
        <f t="shared" si="21"/>
        <v>-2.7127048052631533E-3</v>
      </c>
      <c r="K74" s="1033">
        <f t="shared" si="18"/>
        <v>-1.8021518984450629E-2</v>
      </c>
      <c r="L74" s="1177">
        <f>K74/B74</f>
        <v>0.24934438762065222</v>
      </c>
      <c r="M74" s="1178">
        <f>TableA2!G74/(TableA2!G74+TableA2!D74)</f>
        <v>0.2493443876206522</v>
      </c>
      <c r="N74" s="115"/>
      <c r="O74" s="1179">
        <f t="shared" si="16"/>
        <v>0.05</v>
      </c>
      <c r="P74" s="1155">
        <f>TableA3!J74</f>
        <v>0.05</v>
      </c>
      <c r="Q74" s="1186"/>
      <c r="R74" s="954"/>
      <c r="S74" s="954"/>
      <c r="T74" s="173"/>
      <c r="U74" s="273">
        <f t="shared" ref="U74:U91" si="22">B74-C74-F74-I74-J74-K74</f>
        <v>0</v>
      </c>
      <c r="V74" s="173"/>
    </row>
    <row r="75" spans="1:22" ht="14.25" customHeight="1" x14ac:dyDescent="0.2">
      <c r="A75" s="1148" t="s">
        <v>94</v>
      </c>
      <c r="B75" s="1174">
        <f t="shared" si="13"/>
        <v>-2.971201568196943</v>
      </c>
      <c r="C75" s="1035">
        <f t="shared" si="19"/>
        <v>0</v>
      </c>
      <c r="D75" s="1033">
        <f>TableB2!E75</f>
        <v>0</v>
      </c>
      <c r="E75" s="1033">
        <f>TableB2!I75</f>
        <v>0</v>
      </c>
      <c r="F75" s="1175">
        <f t="shared" si="20"/>
        <v>-1.2513558657243815</v>
      </c>
      <c r="G75" s="1033">
        <f>TableB2!D75</f>
        <v>5.2499999999999995E-3</v>
      </c>
      <c r="H75" s="1033">
        <f>TableB2!H75</f>
        <v>1.2566058657243815</v>
      </c>
      <c r="I75" s="1176">
        <f>+TableB2!F75-TableB2!J75</f>
        <v>-0.5362953710247349</v>
      </c>
      <c r="J75" s="1033">
        <f t="shared" si="21"/>
        <v>-9.408690719732192E-2</v>
      </c>
      <c r="K75" s="1033">
        <f t="shared" si="18"/>
        <v>-1.0894634242505048</v>
      </c>
      <c r="L75" s="1177"/>
      <c r="M75" s="1178">
        <f>TableA2!G75/(TableA2!G75+TableA2!D75)</f>
        <v>0.36667435690391059</v>
      </c>
      <c r="N75" s="115"/>
      <c r="O75" s="1179">
        <f t="shared" si="16"/>
        <v>0.05</v>
      </c>
      <c r="P75" s="1155">
        <f>TableA3!J75</f>
        <v>0.05</v>
      </c>
      <c r="Q75" s="1186"/>
      <c r="R75" s="954"/>
      <c r="S75" s="954"/>
      <c r="T75" s="173"/>
      <c r="U75" s="273">
        <f t="shared" si="22"/>
        <v>0</v>
      </c>
      <c r="V75" s="173"/>
    </row>
    <row r="76" spans="1:22" ht="14.25" customHeight="1" x14ac:dyDescent="0.2">
      <c r="A76" s="1148" t="s">
        <v>95</v>
      </c>
      <c r="B76" s="1174">
        <f t="shared" si="13"/>
        <v>8.6348199546800934</v>
      </c>
      <c r="C76" s="1035">
        <f t="shared" si="19"/>
        <v>0</v>
      </c>
      <c r="D76" s="1033">
        <f>TableB2!E76</f>
        <v>0</v>
      </c>
      <c r="E76" s="1033">
        <f>TableB2!I76</f>
        <v>0</v>
      </c>
      <c r="F76" s="1175">
        <f t="shared" si="20"/>
        <v>4.4466799999999997</v>
      </c>
      <c r="G76" s="1033">
        <f>TableB2!D76</f>
        <v>4.5009999999999994</v>
      </c>
      <c r="H76" s="1033">
        <f>TableB2!H76</f>
        <v>5.4319999999999993E-2</v>
      </c>
      <c r="I76" s="1176">
        <f>+TableB2!F76-TableB2!J76</f>
        <v>1.9057199999999999</v>
      </c>
      <c r="J76" s="1033">
        <f t="shared" si="21"/>
        <v>0.33433684210526315</v>
      </c>
      <c r="K76" s="1033">
        <f t="shared" si="18"/>
        <v>1.9480831125748301</v>
      </c>
      <c r="L76" s="1177">
        <f>K76/B76</f>
        <v>0.2256078439156064</v>
      </c>
      <c r="M76" s="1178">
        <f>TableA2!G76/(TableA2!G76+TableA2!D76)</f>
        <v>0.22560784391560645</v>
      </c>
      <c r="N76" s="115"/>
      <c r="O76" s="1179">
        <f t="shared" si="16"/>
        <v>0.05</v>
      </c>
      <c r="P76" s="1155">
        <f>TableA3!J76</f>
        <v>0.05</v>
      </c>
      <c r="Q76" s="1186"/>
      <c r="R76" s="954"/>
      <c r="S76" s="954"/>
      <c r="T76" s="173"/>
      <c r="U76" s="273">
        <f t="shared" si="22"/>
        <v>0</v>
      </c>
      <c r="V76" s="173"/>
    </row>
    <row r="77" spans="1:22" ht="14.25" customHeight="1" x14ac:dyDescent="0.2">
      <c r="A77" s="1148" t="s">
        <v>96</v>
      </c>
      <c r="B77" s="1174">
        <f>C77+F77+I77+J77+K77</f>
        <v>0</v>
      </c>
      <c r="C77" s="1035">
        <f t="shared" si="19"/>
        <v>0</v>
      </c>
      <c r="D77" s="1033">
        <f>TableB2!E77</f>
        <v>0</v>
      </c>
      <c r="E77" s="1033">
        <f>TableB2!I77</f>
        <v>0</v>
      </c>
      <c r="F77" s="1175">
        <f t="shared" si="20"/>
        <v>0</v>
      </c>
      <c r="G77" s="1033">
        <f>TableB2!D77</f>
        <v>7.07</v>
      </c>
      <c r="H77" s="791">
        <f>G77</f>
        <v>7.07</v>
      </c>
      <c r="I77" s="792">
        <v>0</v>
      </c>
      <c r="J77" s="1033">
        <f t="shared" si="21"/>
        <v>0</v>
      </c>
      <c r="K77" s="1033">
        <f t="shared" si="18"/>
        <v>0</v>
      </c>
      <c r="L77" s="1177"/>
      <c r="M77" s="1178">
        <f>TableA2!G77/(TableA2!G77+TableA2!D77)</f>
        <v>0.25301646215623858</v>
      </c>
      <c r="N77" s="115"/>
      <c r="O77" s="1179">
        <f t="shared" si="16"/>
        <v>0.27872677593663003</v>
      </c>
      <c r="P77" s="1155">
        <f>TableA3!J77</f>
        <v>0.27872677593663003</v>
      </c>
      <c r="Q77" s="1186"/>
      <c r="R77" s="954"/>
      <c r="S77" s="954"/>
      <c r="T77" s="173"/>
      <c r="U77" s="273">
        <f t="shared" si="22"/>
        <v>0</v>
      </c>
      <c r="V77" s="173"/>
    </row>
    <row r="78" spans="1:22" ht="14.25" customHeight="1" x14ac:dyDescent="0.2">
      <c r="A78" s="1148" t="s">
        <v>97</v>
      </c>
      <c r="B78" s="1174">
        <f>C78+F78+I78+J78+K78</f>
        <v>-0.45597905950344497</v>
      </c>
      <c r="C78" s="1035">
        <f t="shared" si="19"/>
        <v>0</v>
      </c>
      <c r="D78" s="1033">
        <f>TableB2!E78</f>
        <v>0</v>
      </c>
      <c r="E78" s="1033">
        <f>TableB2!I78</f>
        <v>0</v>
      </c>
      <c r="F78" s="1175">
        <f t="shared" si="20"/>
        <v>-0.19675737884627287</v>
      </c>
      <c r="G78" s="1033">
        <f>TableB2!D78</f>
        <v>8.6979830210929684E-2</v>
      </c>
      <c r="H78" s="1033">
        <f>TableB2!H78</f>
        <v>0.28373720905720257</v>
      </c>
      <c r="I78" s="1176">
        <f>+TableB2!F78-TableB2!J78</f>
        <v>-8.4324590934116955E-2</v>
      </c>
      <c r="J78" s="1033">
        <f t="shared" si="21"/>
        <v>0</v>
      </c>
      <c r="K78" s="1033">
        <f t="shared" si="18"/>
        <v>-0.17489708972305518</v>
      </c>
      <c r="L78" s="1177"/>
      <c r="M78" s="1178">
        <f>TableA2!G78/(TableA2!G78+TableA2!D78)</f>
        <v>0.3835638634667034</v>
      </c>
      <c r="N78" s="115"/>
      <c r="O78" s="1179">
        <f t="shared" si="16"/>
        <v>0</v>
      </c>
      <c r="P78" s="1155">
        <f>TableA3!J78</f>
        <v>0</v>
      </c>
      <c r="Q78" s="1186"/>
      <c r="R78" s="954"/>
      <c r="S78" s="954"/>
      <c r="T78" s="173"/>
      <c r="U78" s="273">
        <f t="shared" si="22"/>
        <v>0</v>
      </c>
      <c r="V78" s="173"/>
    </row>
    <row r="79" spans="1:22" ht="14.25" customHeight="1" x14ac:dyDescent="0.2">
      <c r="A79" s="1148" t="str">
        <f>+TableA1!A79</f>
        <v>Monaco</v>
      </c>
      <c r="B79" s="1174">
        <f t="shared" si="13"/>
        <v>0</v>
      </c>
      <c r="C79" s="1035">
        <f t="shared" si="19"/>
        <v>0</v>
      </c>
      <c r="D79" s="1033">
        <f>TableB2!E79</f>
        <v>0</v>
      </c>
      <c r="E79" s="1033">
        <f>TableB2!I79</f>
        <v>0</v>
      </c>
      <c r="F79" s="1175">
        <f t="shared" si="20"/>
        <v>0</v>
      </c>
      <c r="G79" s="1033">
        <f>TableB2!D79</f>
        <v>0</v>
      </c>
      <c r="H79" s="1033">
        <f>TableB2!H79</f>
        <v>0</v>
      </c>
      <c r="I79" s="1176">
        <f>+TableB2!F79-TableB2!J79</f>
        <v>0</v>
      </c>
      <c r="J79" s="1033">
        <f t="shared" si="21"/>
        <v>0</v>
      </c>
      <c r="K79" s="1033">
        <f t="shared" si="18"/>
        <v>0</v>
      </c>
      <c r="L79" s="1177"/>
      <c r="M79" s="1178">
        <f>TableA2!G79/(TableA2!G79+TableA2!D79)</f>
        <v>0.18507236662446314</v>
      </c>
      <c r="N79" s="115"/>
      <c r="O79" s="1179">
        <f t="shared" si="16"/>
        <v>0.05</v>
      </c>
      <c r="P79" s="1155">
        <f>TableA3!J79</f>
        <v>0.05</v>
      </c>
      <c r="Q79" s="1186"/>
      <c r="R79" s="954"/>
      <c r="S79" s="954"/>
      <c r="T79" s="173"/>
      <c r="U79" s="273">
        <f t="shared" si="22"/>
        <v>0</v>
      </c>
      <c r="V79" s="173"/>
    </row>
    <row r="80" spans="1:22" ht="14.25" customHeight="1" x14ac:dyDescent="0.2">
      <c r="A80" s="1148" t="s">
        <v>99</v>
      </c>
      <c r="B80" s="1174">
        <f t="shared" si="13"/>
        <v>4.5490481380809685E-3</v>
      </c>
      <c r="C80" s="1035">
        <f t="shared" si="19"/>
        <v>0</v>
      </c>
      <c r="D80" s="1033">
        <f>TableB2!E80</f>
        <v>0</v>
      </c>
      <c r="E80" s="1033">
        <f>TableB2!I80</f>
        <v>0</v>
      </c>
      <c r="F80" s="1175">
        <f t="shared" si="20"/>
        <v>2.4652513899999996E-3</v>
      </c>
      <c r="G80" s="1033">
        <f>TableB2!D80</f>
        <v>2.5199999999999997E-3</v>
      </c>
      <c r="H80" s="1033">
        <f>TableB2!H80</f>
        <v>5.474861E-5</v>
      </c>
      <c r="I80" s="1176">
        <f>+TableB2!F80-TableB2!J80</f>
        <v>1.0565363099999999E-3</v>
      </c>
      <c r="J80" s="1033">
        <f t="shared" si="21"/>
        <v>1.8535724736842106E-4</v>
      </c>
      <c r="K80" s="1033">
        <f t="shared" si="18"/>
        <v>8.4190319071254826E-4</v>
      </c>
      <c r="L80" s="1177">
        <f>K80/B80</f>
        <v>0.18507238550957783</v>
      </c>
      <c r="M80" s="1178">
        <f>TableA2!G80/(TableA2!G80+TableA2!D80)</f>
        <v>0.18507238550957783</v>
      </c>
      <c r="N80" s="115"/>
      <c r="O80" s="1179">
        <f t="shared" si="16"/>
        <v>0.05</v>
      </c>
      <c r="P80" s="1155">
        <f>TableA3!J80</f>
        <v>0.05</v>
      </c>
      <c r="Q80" s="1186"/>
      <c r="R80" s="954"/>
      <c r="S80" s="954"/>
      <c r="T80" s="173"/>
      <c r="U80" s="273">
        <f t="shared" si="22"/>
        <v>0</v>
      </c>
      <c r="V80" s="173"/>
    </row>
    <row r="81" spans="1:22" ht="14.25" customHeight="1" x14ac:dyDescent="0.2">
      <c r="A81" s="1148" t="s">
        <v>100</v>
      </c>
      <c r="B81" s="1174">
        <f t="shared" si="13"/>
        <v>0.39072469152832756</v>
      </c>
      <c r="C81" s="1035">
        <f t="shared" si="19"/>
        <v>0</v>
      </c>
      <c r="D81" s="1033">
        <f>TableB2!E81</f>
        <v>0</v>
      </c>
      <c r="E81" s="1033">
        <f>TableB2!I81</f>
        <v>0</v>
      </c>
      <c r="F81" s="1175">
        <f t="shared" si="20"/>
        <v>0.22299456745999979</v>
      </c>
      <c r="G81" s="1033">
        <f>TableB2!D81</f>
        <v>2.8140000000000001</v>
      </c>
      <c r="H81" s="1033">
        <f>TableB2!H81</f>
        <v>2.5910054325400003</v>
      </c>
      <c r="I81" s="1176">
        <f>+TableB2!F81-TableB2!J81</f>
        <v>9.5569100339999657E-2</v>
      </c>
      <c r="J81" s="1033">
        <f t="shared" si="21"/>
        <v>1.676650883157892E-2</v>
      </c>
      <c r="K81" s="1033">
        <f t="shared" si="18"/>
        <v>5.5394514896749167E-2</v>
      </c>
      <c r="L81" s="1177">
        <f>K81/B81</f>
        <v>0.14177377600599644</v>
      </c>
      <c r="M81" s="1178">
        <f>TableA2!G81/(TableA2!G81+TableA2!D81)</f>
        <v>0.14177377600599644</v>
      </c>
      <c r="N81" s="115"/>
      <c r="O81" s="1179">
        <f t="shared" si="16"/>
        <v>0.05</v>
      </c>
      <c r="P81" s="1155">
        <f>TableA3!J81</f>
        <v>0.05</v>
      </c>
      <c r="Q81" s="1186"/>
      <c r="R81" s="954"/>
      <c r="S81" s="954"/>
      <c r="T81" s="173"/>
      <c r="U81" s="273">
        <f t="shared" si="22"/>
        <v>0</v>
      </c>
      <c r="V81" s="173"/>
    </row>
    <row r="82" spans="1:22" ht="14.25" customHeight="1" x14ac:dyDescent="0.2">
      <c r="A82" s="1148" t="str">
        <f>+TableA1!A82</f>
        <v>Seychelles</v>
      </c>
      <c r="B82" s="1174">
        <f t="shared" si="13"/>
        <v>8.3934530023510492E-2</v>
      </c>
      <c r="C82" s="1035">
        <f t="shared" si="19"/>
        <v>0</v>
      </c>
      <c r="D82" s="1033">
        <f>TableB2!E82</f>
        <v>0</v>
      </c>
      <c r="E82" s="1033">
        <f>TableB2!I82</f>
        <v>0</v>
      </c>
      <c r="F82" s="1175">
        <f t="shared" si="20"/>
        <v>4.7680870986000004E-2</v>
      </c>
      <c r="G82" s="1033">
        <f>TableB2!D82</f>
        <v>4.8950505716000001E-2</v>
      </c>
      <c r="H82" s="1033">
        <f>TableB2!H82</f>
        <v>1.2696347299999999E-3</v>
      </c>
      <c r="I82" s="1176">
        <f>+TableB2!F82-TableB2!J82</f>
        <v>2.0434658993999995E-2</v>
      </c>
      <c r="J82" s="1033">
        <f t="shared" si="21"/>
        <v>3.585027893684211E-3</v>
      </c>
      <c r="K82" s="1033">
        <f t="shared" si="18"/>
        <v>1.2233972149826274E-2</v>
      </c>
      <c r="L82" s="1177">
        <f>K82/B82</f>
        <v>0.14575612857306136</v>
      </c>
      <c r="M82" s="1178">
        <f>TableA2!G82/(TableA2!G82+TableA2!D82)</f>
        <v>0.14575612857306136</v>
      </c>
      <c r="N82" s="115"/>
      <c r="O82" s="1179">
        <f t="shared" si="16"/>
        <v>0.05</v>
      </c>
      <c r="P82" s="1155">
        <f>TableA3!J82</f>
        <v>0.05</v>
      </c>
      <c r="Q82" s="1186"/>
      <c r="R82" s="954"/>
      <c r="S82" s="954"/>
      <c r="T82" s="173"/>
      <c r="U82" s="273">
        <f t="shared" si="22"/>
        <v>0</v>
      </c>
      <c r="V82" s="173"/>
    </row>
    <row r="83" spans="1:22" x14ac:dyDescent="0.2">
      <c r="A83" s="1148" t="s">
        <v>102</v>
      </c>
      <c r="B83" s="1189">
        <f t="shared" si="13"/>
        <v>106.75588327715457</v>
      </c>
      <c r="C83" s="1035">
        <f t="shared" si="19"/>
        <v>0</v>
      </c>
      <c r="D83" s="1033">
        <f>TableB2!E83</f>
        <v>0</v>
      </c>
      <c r="E83" s="1033">
        <f>TableB2!I83</f>
        <v>0</v>
      </c>
      <c r="F83" s="1175">
        <f t="shared" si="20"/>
        <v>31.945558430361711</v>
      </c>
      <c r="G83" s="1033">
        <f>TableB2!D83</f>
        <v>34.263951547629723</v>
      </c>
      <c r="H83" s="1033">
        <f>TableB2!H83</f>
        <v>2.3183931172680117</v>
      </c>
      <c r="I83" s="1176">
        <f>+TableB2!F83-TableB2!J83</f>
        <v>13.690953613012162</v>
      </c>
      <c r="J83" s="1033">
        <f t="shared" si="21"/>
        <v>8.3338832237044933</v>
      </c>
      <c r="K83" s="1033">
        <f t="shared" si="18"/>
        <v>52.7854880100762</v>
      </c>
      <c r="L83" s="1177"/>
      <c r="M83" s="1178">
        <f>TableA2!G83/(TableA2!G83+TableA2!D83)</f>
        <v>0.4944503889592391</v>
      </c>
      <c r="N83" s="1178">
        <f>VLOOKUP(A83,TableA10!$A$8:$G$95,7,)/(VLOOKUP(A83,TableA10!$A$8:$G$95,7,)+VLOOKUP(A83,TableA10!$A$8:$G$95,4,)+VLOOKUP(A83,TableA10!$A$8:$G$95,5,))</f>
        <v>0.12427618328298086</v>
      </c>
      <c r="O83" s="1179">
        <f t="shared" si="16"/>
        <v>0.15441582709304549</v>
      </c>
      <c r="P83" s="1155">
        <f>TableA3!J83</f>
        <v>0.15441582709304549</v>
      </c>
      <c r="Q83" s="1186"/>
      <c r="R83" s="954"/>
      <c r="S83" s="954"/>
      <c r="T83" s="173"/>
      <c r="U83" s="273">
        <f t="shared" si="22"/>
        <v>0</v>
      </c>
      <c r="V83" s="173"/>
    </row>
    <row r="84" spans="1:22" x14ac:dyDescent="0.2">
      <c r="A84" s="1148" t="str">
        <f>+TableA1!A84</f>
        <v>St. Kitts and Nevis</v>
      </c>
      <c r="B84" s="1174">
        <f t="shared" si="13"/>
        <v>3.7350371227657623E-4</v>
      </c>
      <c r="C84" s="1035">
        <f t="shared" si="19"/>
        <v>0</v>
      </c>
      <c r="D84" s="1033">
        <f>TableB2!E84</f>
        <v>0</v>
      </c>
      <c r="E84" s="1033">
        <f>TableB2!I84</f>
        <v>0</v>
      </c>
      <c r="F84" s="1175">
        <f t="shared" si="20"/>
        <v>2.1000000000000001E-4</v>
      </c>
      <c r="G84" s="1033">
        <f>TableB2!D84</f>
        <v>2.1000000000000001E-4</v>
      </c>
      <c r="H84" s="1033">
        <f>TableB2!H84</f>
        <v>0</v>
      </c>
      <c r="I84" s="1176">
        <f>+TableB2!F84-TableB2!J84</f>
        <v>9.0000000000000006E-5</v>
      </c>
      <c r="J84" s="1033">
        <f t="shared" si="21"/>
        <v>1.5789473684210529E-5</v>
      </c>
      <c r="K84" s="1033">
        <f t="shared" si="18"/>
        <v>5.7714238592365656E-5</v>
      </c>
      <c r="L84" s="1177"/>
      <c r="M84" s="1178">
        <f>TableA2!G84/(TableA2!G84+TableA2!D84)</f>
        <v>0.15452119134395315</v>
      </c>
      <c r="N84" s="115"/>
      <c r="O84" s="1179">
        <f t="shared" si="16"/>
        <v>0.05</v>
      </c>
      <c r="P84" s="1155">
        <f>TableA3!J84</f>
        <v>0.05</v>
      </c>
      <c r="Q84" s="1186"/>
      <c r="R84" s="954"/>
      <c r="S84" s="954"/>
      <c r="T84" s="173"/>
      <c r="U84" s="273">
        <f t="shared" si="22"/>
        <v>0</v>
      </c>
      <c r="V84" s="173"/>
    </row>
    <row r="85" spans="1:22" x14ac:dyDescent="0.2">
      <c r="A85" s="1148" t="str">
        <f>+TableA1!A85</f>
        <v>St. Lucia</v>
      </c>
      <c r="B85" s="1174">
        <f t="shared" si="13"/>
        <v>8.6036265576040702E-2</v>
      </c>
      <c r="C85" s="1035">
        <f t="shared" si="19"/>
        <v>0</v>
      </c>
      <c r="D85" s="1033">
        <f>TableB2!E85</f>
        <v>0</v>
      </c>
      <c r="E85" s="1033">
        <f>TableB2!I85</f>
        <v>0</v>
      </c>
      <c r="F85" s="1175">
        <f t="shared" si="20"/>
        <v>4.8579999999999998E-2</v>
      </c>
      <c r="G85" s="1033">
        <f>TableB2!D85</f>
        <v>5.033E-2</v>
      </c>
      <c r="H85" s="1033">
        <f>TableB2!H85</f>
        <v>1.75E-3</v>
      </c>
      <c r="I85" s="1176">
        <f>+TableB2!F85-TableB2!J85</f>
        <v>2.0820000000000002E-2</v>
      </c>
      <c r="J85" s="1033">
        <f t="shared" si="21"/>
        <v>3.6526315789473687E-3</v>
      </c>
      <c r="K85" s="1033">
        <f t="shared" si="18"/>
        <v>1.2983633997093333E-2</v>
      </c>
      <c r="L85" s="1177"/>
      <c r="M85" s="1178">
        <f>TableA2!G85/(TableA2!G85+TableA2!D85)</f>
        <v>0.15090885117065103</v>
      </c>
      <c r="N85" s="115"/>
      <c r="O85" s="1179">
        <f t="shared" si="16"/>
        <v>0.05</v>
      </c>
      <c r="P85" s="1155">
        <f>TableA3!J85</f>
        <v>0.05</v>
      </c>
      <c r="Q85" s="1186"/>
      <c r="R85" s="954"/>
      <c r="S85" s="954"/>
      <c r="T85" s="173"/>
      <c r="U85" s="273">
        <f t="shared" si="22"/>
        <v>0</v>
      </c>
      <c r="V85" s="173"/>
    </row>
    <row r="86" spans="1:22" x14ac:dyDescent="0.2">
      <c r="A86" s="1148" t="str">
        <f>+TableA1!A86</f>
        <v>St. Vincent and the Grenadines</v>
      </c>
      <c r="B86" s="1174">
        <f t="shared" si="13"/>
        <v>2.0383962300137334E-2</v>
      </c>
      <c r="C86" s="1035">
        <f t="shared" si="19"/>
        <v>0</v>
      </c>
      <c r="D86" s="1033">
        <f>TableB2!E86</f>
        <v>0</v>
      </c>
      <c r="E86" s="1033">
        <f>TableB2!I86</f>
        <v>0</v>
      </c>
      <c r="F86" s="1175">
        <f t="shared" si="20"/>
        <v>1.1410000000000002E-2</v>
      </c>
      <c r="G86" s="1033">
        <f>TableB2!D86</f>
        <v>1.1410000000000002E-2</v>
      </c>
      <c r="H86" s="1033">
        <f>TableB2!H86</f>
        <v>0</v>
      </c>
      <c r="I86" s="1176">
        <f>+TableB2!F86-TableB2!J86</f>
        <v>4.8900000000000002E-3</v>
      </c>
      <c r="J86" s="1033">
        <f t="shared" si="21"/>
        <v>8.5789473684210545E-4</v>
      </c>
      <c r="K86" s="1033">
        <f t="shared" si="18"/>
        <v>3.2260675632952264E-3</v>
      </c>
      <c r="L86" s="1177"/>
      <c r="M86" s="1178">
        <f>TableA2!G86/(TableA2!G86+TableA2!D86)</f>
        <v>0.15826498870994729</v>
      </c>
      <c r="N86" s="115"/>
      <c r="O86" s="1179">
        <f t="shared" si="16"/>
        <v>0.05</v>
      </c>
      <c r="P86" s="1155">
        <f>TableA3!J86</f>
        <v>0.05</v>
      </c>
      <c r="Q86" s="1186"/>
      <c r="R86" s="954"/>
      <c r="S86" s="954"/>
      <c r="T86" s="173"/>
      <c r="U86" s="273">
        <f t="shared" si="22"/>
        <v>0</v>
      </c>
      <c r="V86" s="173"/>
    </row>
    <row r="87" spans="1:22" x14ac:dyDescent="0.2">
      <c r="A87" s="1148" t="str">
        <f>+TableA1!A87</f>
        <v>Turks and Caicos</v>
      </c>
      <c r="B87" s="1174">
        <f t="shared" si="13"/>
        <v>0</v>
      </c>
      <c r="C87" s="1035">
        <f t="shared" si="19"/>
        <v>0</v>
      </c>
      <c r="D87" s="1033">
        <f>TableB2!E87</f>
        <v>0</v>
      </c>
      <c r="E87" s="1033">
        <f>TableB2!I87</f>
        <v>0</v>
      </c>
      <c r="F87" s="1175">
        <f t="shared" si="20"/>
        <v>0</v>
      </c>
      <c r="G87" s="1033">
        <f>TableB2!D87</f>
        <v>0</v>
      </c>
      <c r="H87" s="1033">
        <f>TableB2!H87</f>
        <v>0</v>
      </c>
      <c r="I87" s="1176">
        <f>+TableB2!F87-TableB2!J87</f>
        <v>0</v>
      </c>
      <c r="J87" s="1033">
        <f t="shared" si="21"/>
        <v>0</v>
      </c>
      <c r="K87" s="1033">
        <f t="shared" si="18"/>
        <v>0</v>
      </c>
      <c r="L87" s="1177"/>
      <c r="M87" s="1178">
        <f>TableA2!G87/(TableA2!G87+TableA2!D87)</f>
        <v>0.18507211580273081</v>
      </c>
      <c r="N87" s="115"/>
      <c r="O87" s="1179">
        <f t="shared" si="16"/>
        <v>0</v>
      </c>
      <c r="P87" s="1155">
        <f>TableA3!J87</f>
        <v>0</v>
      </c>
      <c r="Q87" s="1186"/>
      <c r="R87" s="954"/>
      <c r="S87" s="954"/>
      <c r="T87" s="173"/>
      <c r="U87" s="273">
        <f t="shared" si="22"/>
        <v>0</v>
      </c>
      <c r="V87" s="173"/>
    </row>
    <row r="88" spans="1:22" x14ac:dyDescent="0.2">
      <c r="A88" s="1148" t="str">
        <f>+TableA1!A88</f>
        <v>Panama</v>
      </c>
      <c r="B88" s="1174">
        <f t="shared" si="13"/>
        <v>4.3632064881005412</v>
      </c>
      <c r="C88" s="1035">
        <f t="shared" si="19"/>
        <v>0</v>
      </c>
      <c r="D88" s="1033">
        <f>TableB2!E88</f>
        <v>0</v>
      </c>
      <c r="E88" s="1033">
        <f>TableB2!I88</f>
        <v>0</v>
      </c>
      <c r="F88" s="1175">
        <f t="shared" si="20"/>
        <v>2.3465973257867718</v>
      </c>
      <c r="G88" s="1033">
        <f>TableB2!D88</f>
        <v>2.9539999999999997</v>
      </c>
      <c r="H88" s="1033">
        <f>TableB2!H88</f>
        <v>0.60740267421322791</v>
      </c>
      <c r="I88" s="1176">
        <f>+TableB2!F88-TableB2!J88</f>
        <v>1.0056845681943307</v>
      </c>
      <c r="J88" s="1033">
        <f t="shared" si="21"/>
        <v>0.17643588915690014</v>
      </c>
      <c r="K88" s="1033">
        <f t="shared" si="18"/>
        <v>0.83448870496253824</v>
      </c>
      <c r="L88" s="1177">
        <f>K88/B88</f>
        <v>0.19125583610089947</v>
      </c>
      <c r="M88" s="1178">
        <f>TableA2!G88/(TableA2!G88+TableA2!D88)</f>
        <v>0.19125583610089947</v>
      </c>
      <c r="N88" s="1178">
        <f>VLOOKUP(A88,TableA10!$A$8:$G$95,7,)/(VLOOKUP(A88,TableA10!$A$8:$G$95,7,)+VLOOKUP(A88,TableA10!$A$8:$G$95,4,)+VLOOKUP(A88,TableA10!$A$8:$G$95,5,))</f>
        <v>1.3405797101449275</v>
      </c>
      <c r="O88" s="1179">
        <f t="shared" si="16"/>
        <v>0.05</v>
      </c>
      <c r="P88" s="1155">
        <f>TableA3!J88</f>
        <v>0.05</v>
      </c>
      <c r="Q88" s="1186"/>
      <c r="R88" s="954"/>
      <c r="S88" s="954"/>
      <c r="T88" s="173"/>
      <c r="U88" s="273">
        <f t="shared" si="22"/>
        <v>0</v>
      </c>
      <c r="V88" s="173"/>
    </row>
    <row r="89" spans="1:22" x14ac:dyDescent="0.2">
      <c r="A89" s="1148" t="s">
        <v>108</v>
      </c>
      <c r="B89" s="1174">
        <f t="shared" si="13"/>
        <v>43.19704054805527</v>
      </c>
      <c r="C89" s="1190">
        <f>D89-E89</f>
        <v>0</v>
      </c>
      <c r="D89" s="1033">
        <f>TableB2!E89</f>
        <v>0</v>
      </c>
      <c r="E89" s="1033">
        <f>TableB2!I89</f>
        <v>0</v>
      </c>
      <c r="F89" s="1175">
        <f>G89-H89</f>
        <v>24.341380000000001</v>
      </c>
      <c r="G89" s="1033">
        <f>TableB2!D89</f>
        <v>24.588760000000001</v>
      </c>
      <c r="H89" s="1033">
        <f>TableB2!H89</f>
        <v>0.24737999999999999</v>
      </c>
      <c r="I89" s="1176">
        <f>+TableB2!F89-TableB2!J89</f>
        <v>10.432020000000001</v>
      </c>
      <c r="J89" s="1033">
        <f>O89/(1-O89)*(F89+I89)</f>
        <v>1.1843997377405751</v>
      </c>
      <c r="K89" s="1033">
        <f t="shared" si="18"/>
        <v>7.2392408103146941</v>
      </c>
      <c r="L89" s="1177">
        <f>K89/B89</f>
        <v>0.16758649940986767</v>
      </c>
      <c r="M89" s="1178">
        <f>TableA2!G89/(TableA2!G89+TableA2!D89)</f>
        <v>0.16758649940986764</v>
      </c>
      <c r="N89" s="115"/>
      <c r="O89" s="1179">
        <f t="shared" si="16"/>
        <v>3.2938604318924807E-2</v>
      </c>
      <c r="P89" s="1155">
        <f>TableA3!J89</f>
        <v>3.2938604318924807E-2</v>
      </c>
      <c r="Q89" s="1186"/>
      <c r="R89" s="954"/>
      <c r="S89" s="954"/>
      <c r="T89" s="270">
        <f>C89-(D89-E89)</f>
        <v>0</v>
      </c>
      <c r="U89" s="273">
        <f t="shared" si="22"/>
        <v>0</v>
      </c>
      <c r="V89" s="173"/>
    </row>
    <row r="90" spans="1:22" ht="40" customHeight="1" x14ac:dyDescent="0.2">
      <c r="A90" s="1461" t="s">
        <v>155</v>
      </c>
      <c r="B90" s="1770">
        <f>TableA4!E90</f>
        <v>177.76425731715625</v>
      </c>
      <c r="C90" s="1771">
        <f>$B90*C45/$B45</f>
        <v>10.288808649588438</v>
      </c>
      <c r="D90" s="1772"/>
      <c r="E90" s="1772"/>
      <c r="F90" s="1773">
        <f>$B90*F45/$B45</f>
        <v>71.329024464509786</v>
      </c>
      <c r="G90" s="1774">
        <f>TableB2!D90</f>
        <v>112.65635300127109</v>
      </c>
      <c r="H90" s="1772">
        <f>TableB2!H90</f>
        <v>13.403242844108608</v>
      </c>
      <c r="I90" s="1773">
        <f>$B90*I45/$B45</f>
        <v>20.647420484016745</v>
      </c>
      <c r="J90" s="1772">
        <f>$B90*J45/$B45</f>
        <v>22.206725319517055</v>
      </c>
      <c r="K90" s="1772">
        <f>$B90*K45/$B45</f>
        <v>53.292278399524236</v>
      </c>
      <c r="L90" s="1488">
        <f>K90/B90</f>
        <v>0.29979186594548851</v>
      </c>
      <c r="M90" s="1490">
        <f>TableA2!G90/(TableA2!G90+TableA2!D90)</f>
        <v>0.30998685314337643</v>
      </c>
      <c r="N90" s="1775"/>
      <c r="O90" s="1776">
        <f>J90/(B90-K90-C90)</f>
        <v>0.19448334870530432</v>
      </c>
      <c r="P90" s="1489">
        <f>TableA3!J90</f>
        <v>0.18757638370366683</v>
      </c>
      <c r="Q90" s="1343"/>
      <c r="R90" s="954"/>
      <c r="S90" s="954"/>
      <c r="T90" s="270"/>
      <c r="U90" s="273">
        <f t="shared" si="22"/>
        <v>0</v>
      </c>
      <c r="V90" s="173"/>
    </row>
    <row r="91" spans="1:22" ht="40" customHeight="1" thickBot="1" x14ac:dyDescent="0.25">
      <c r="A91" s="263" t="s">
        <v>110</v>
      </c>
      <c r="B91" s="280">
        <f>TableA4!E91</f>
        <v>2461.7056867330912</v>
      </c>
      <c r="C91" s="294">
        <f>C90+C53+C45+C9</f>
        <v>81.128710353781472</v>
      </c>
      <c r="D91" s="1191"/>
      <c r="E91" s="1191"/>
      <c r="F91" s="279">
        <f>F90+F53+F45+F9</f>
        <v>702.10208499047189</v>
      </c>
      <c r="G91" s="1192"/>
      <c r="H91" s="1191"/>
      <c r="I91" s="279">
        <f>I90+I53+I45+I9</f>
        <v>380.41147122022784</v>
      </c>
      <c r="J91" s="281">
        <f>J90+J53+J45+J9</f>
        <v>264.58600905513589</v>
      </c>
      <c r="K91" s="281">
        <f>K90+K53+K45+K9</f>
        <v>1051.0775690465673</v>
      </c>
      <c r="L91" s="282">
        <f t="shared" ref="L91" si="23">K91/B91</f>
        <v>0.42697125603241526</v>
      </c>
      <c r="M91" s="283">
        <f>TableA2!G91/(TableA2!G91+TableA2!D91)</f>
        <v>0.37792684078795064</v>
      </c>
      <c r="N91" s="284">
        <f>TableA10!G8/(TableA10!B8-TableA10!F8-TableA10!C8)</f>
        <v>0.2505997410030088</v>
      </c>
      <c r="O91" s="290">
        <f>J91/(B91-C91-K91)</f>
        <v>0.19901175404504431</v>
      </c>
      <c r="P91" s="289">
        <f>TableA3!J91</f>
        <v>0.19214345956509857</v>
      </c>
      <c r="Q91" s="288">
        <f>TableA11!L9</f>
        <v>0.18939162621434846</v>
      </c>
      <c r="R91" s="954"/>
      <c r="S91" s="954"/>
      <c r="T91" s="270"/>
      <c r="U91" s="273">
        <f t="shared" si="22"/>
        <v>-17.600157933093442</v>
      </c>
      <c r="V91" s="173"/>
    </row>
    <row r="92" spans="1:22" ht="17" thickTop="1" x14ac:dyDescent="0.2">
      <c r="A92" s="1027"/>
      <c r="B92" s="1152"/>
      <c r="C92" s="1035"/>
      <c r="D92" s="1033"/>
      <c r="E92" s="1033"/>
      <c r="F92" s="1035"/>
      <c r="G92" s="1033"/>
      <c r="H92" s="1033"/>
      <c r="I92" s="1034"/>
      <c r="J92" s="1033"/>
      <c r="K92" s="1033"/>
      <c r="L92" s="1178"/>
      <c r="M92" s="1178"/>
      <c r="N92" s="115"/>
      <c r="O92" s="262"/>
      <c r="P92" s="1155"/>
      <c r="Q92" s="1153"/>
      <c r="R92" s="954"/>
      <c r="S92" s="954"/>
      <c r="T92" s="954"/>
      <c r="U92" s="954"/>
      <c r="V92" s="954"/>
    </row>
    <row r="93" spans="1:22" s="2" customFormat="1" ht="17" thickBot="1" x14ac:dyDescent="0.25">
      <c r="B93" s="954"/>
      <c r="C93" s="954"/>
      <c r="D93" s="954"/>
      <c r="E93" s="954"/>
      <c r="F93" s="954"/>
      <c r="G93" s="954"/>
      <c r="H93" s="954"/>
      <c r="I93" s="954"/>
      <c r="J93" s="954"/>
      <c r="K93" s="954"/>
      <c r="O93" s="954"/>
      <c r="P93" s="954"/>
      <c r="Q93" s="954"/>
    </row>
    <row r="94" spans="1:22" s="2" customFormat="1" ht="50.25" customHeight="1" x14ac:dyDescent="0.2">
      <c r="A94" s="2043" t="s">
        <v>187</v>
      </c>
      <c r="B94" s="2044"/>
      <c r="C94" s="2044"/>
      <c r="D94" s="2044"/>
      <c r="E94" s="2044"/>
      <c r="F94" s="2044"/>
      <c r="G94" s="2044"/>
      <c r="H94" s="2044"/>
      <c r="I94" s="2044"/>
      <c r="J94" s="2044"/>
      <c r="K94" s="2044"/>
      <c r="L94" s="2044"/>
      <c r="M94" s="2044"/>
      <c r="N94" s="2044"/>
      <c r="O94" s="2044"/>
      <c r="P94" s="2044"/>
      <c r="Q94" s="2045"/>
    </row>
    <row r="95" spans="1:22" s="2" customFormat="1" ht="30" customHeight="1" x14ac:dyDescent="0.2">
      <c r="A95" s="2040" t="s">
        <v>188</v>
      </c>
      <c r="B95" s="2041"/>
      <c r="C95" s="2041"/>
      <c r="D95" s="2041"/>
      <c r="E95" s="2041"/>
      <c r="F95" s="2041"/>
      <c r="G95" s="2041"/>
      <c r="H95" s="2041"/>
      <c r="I95" s="2041"/>
      <c r="J95" s="2041"/>
      <c r="K95" s="2041"/>
      <c r="L95" s="2041"/>
      <c r="M95" s="2041"/>
      <c r="N95" s="2041"/>
      <c r="O95" s="2041"/>
      <c r="P95" s="2041"/>
      <c r="Q95" s="2042"/>
    </row>
    <row r="96" spans="1:22" s="2" customFormat="1" ht="33" customHeight="1" thickBot="1" x14ac:dyDescent="0.25">
      <c r="A96" s="2037" t="s">
        <v>189</v>
      </c>
      <c r="B96" s="2038"/>
      <c r="C96" s="2038"/>
      <c r="D96" s="2038"/>
      <c r="E96" s="2038"/>
      <c r="F96" s="2038"/>
      <c r="G96" s="2038"/>
      <c r="H96" s="2038"/>
      <c r="I96" s="2038"/>
      <c r="J96" s="2038"/>
      <c r="K96" s="2038"/>
      <c r="L96" s="2038"/>
      <c r="M96" s="2038"/>
      <c r="N96" s="2038"/>
      <c r="O96" s="2038"/>
      <c r="P96" s="2038"/>
      <c r="Q96" s="2039"/>
    </row>
    <row r="97" spans="1:17" s="2" customFormat="1" x14ac:dyDescent="0.2">
      <c r="A97" s="954"/>
      <c r="B97" s="954"/>
      <c r="C97" s="954"/>
      <c r="D97" s="954"/>
      <c r="E97" s="954"/>
      <c r="F97" s="954"/>
      <c r="G97" s="954"/>
      <c r="H97" s="954"/>
      <c r="I97" s="954"/>
      <c r="J97" s="954"/>
      <c r="K97" s="954"/>
      <c r="O97" s="954"/>
      <c r="P97" s="954"/>
      <c r="Q97" s="954"/>
    </row>
    <row r="98" spans="1:17" s="2" customFormat="1" x14ac:dyDescent="0.2">
      <c r="A98" s="954"/>
      <c r="B98" s="954"/>
      <c r="C98" s="954"/>
      <c r="D98" s="954"/>
      <c r="E98" s="954"/>
      <c r="F98" s="954"/>
      <c r="G98" s="954"/>
      <c r="H98" s="954"/>
      <c r="I98" s="954"/>
      <c r="J98" s="954"/>
      <c r="K98" s="954"/>
      <c r="O98" s="954"/>
      <c r="P98" s="954"/>
      <c r="Q98" s="954"/>
    </row>
    <row r="100" spans="1:17" s="2" customFormat="1" x14ac:dyDescent="0.2">
      <c r="A100" s="954"/>
      <c r="B100" s="954"/>
      <c r="C100" s="954"/>
      <c r="D100" s="954"/>
      <c r="E100" s="954"/>
      <c r="F100" s="954"/>
      <c r="G100" s="954"/>
      <c r="H100" s="954"/>
      <c r="I100" s="954"/>
      <c r="J100" s="954"/>
      <c r="K100" s="954"/>
      <c r="O100" s="954"/>
      <c r="P100" s="954"/>
      <c r="Q100" s="954"/>
    </row>
  </sheetData>
  <mergeCells count="19">
    <mergeCell ref="B6:K6"/>
    <mergeCell ref="A3:Q3"/>
    <mergeCell ref="B7:B8"/>
    <mergeCell ref="C7:C8"/>
    <mergeCell ref="F7:F8"/>
    <mergeCell ref="I7:I8"/>
    <mergeCell ref="J7:J8"/>
    <mergeCell ref="K7:K8"/>
    <mergeCell ref="L6:N6"/>
    <mergeCell ref="L7:L8"/>
    <mergeCell ref="M7:M8"/>
    <mergeCell ref="N7:N8"/>
    <mergeCell ref="O6:Q6"/>
    <mergeCell ref="O7:O8"/>
    <mergeCell ref="P7:P8"/>
    <mergeCell ref="Q7:Q8"/>
    <mergeCell ref="A96:Q96"/>
    <mergeCell ref="A95:Q95"/>
    <mergeCell ref="A94:Q94"/>
  </mergeCells>
  <pageMargins left="0.9055118110236221" right="0.9055118110236221" top="0.74803149606299213" bottom="0.74803149606299213" header="0.31496062992125984" footer="0.31496062992125984"/>
  <pageSetup scale="48" fitToHeight="0" orientation="landscape" horizontalDpi="4294967292" verticalDpi="4294967292"/>
  <ignoredErrors>
    <ignoredError sqref="O11:O12 O15:O22 O24 O26 O28:O30 O34:O44 O32" evalError="1"/>
  </ignoredErrors>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A52A1-4816-5045-9F5E-143690AFF465}">
  <dimension ref="C1:M46"/>
  <sheetViews>
    <sheetView zoomScale="96" workbookViewId="0">
      <selection activeCell="D7" sqref="D7"/>
    </sheetView>
  </sheetViews>
  <sheetFormatPr baseColWidth="10" defaultRowHeight="16" x14ac:dyDescent="0.2"/>
  <cols>
    <col min="1" max="2" width="10.83203125" style="1936"/>
    <col min="3" max="3" width="21" style="1936" customWidth="1"/>
    <col min="4" max="4" width="20" style="1936" customWidth="1"/>
    <col min="5" max="5" width="11.83203125" style="1936" customWidth="1"/>
    <col min="6" max="16384" width="10.83203125" style="1936"/>
  </cols>
  <sheetData>
    <row r="1" spans="3:13" ht="17" thickBot="1" x14ac:dyDescent="0.25"/>
    <row r="2" spans="3:13" ht="17" thickTop="1" x14ac:dyDescent="0.2">
      <c r="C2" s="1947" t="s">
        <v>5328</v>
      </c>
      <c r="D2" s="1946"/>
      <c r="E2" s="1946"/>
      <c r="F2" s="1946"/>
      <c r="G2" s="1946"/>
      <c r="H2" s="1946"/>
    </row>
    <row r="4" spans="3:13" ht="51" x14ac:dyDescent="0.2">
      <c r="D4" s="1945" t="s">
        <v>5327</v>
      </c>
      <c r="E4" s="1945" t="s">
        <v>5326</v>
      </c>
      <c r="F4" s="1945" t="s">
        <v>5325</v>
      </c>
    </row>
    <row r="5" spans="3:13" x14ac:dyDescent="0.2">
      <c r="C5" s="1936" t="s">
        <v>5324</v>
      </c>
      <c r="D5" s="1944">
        <f>523.9+38.9</f>
        <v>562.79999999999995</v>
      </c>
      <c r="E5" s="1938">
        <f>TableC4!$N$45/1000</f>
        <v>305.41459228542641</v>
      </c>
      <c r="F5" s="1943">
        <f>E5/D5</f>
        <v>0.54266985125342293</v>
      </c>
    </row>
    <row r="6" spans="3:13" x14ac:dyDescent="0.2">
      <c r="C6" s="1936" t="s">
        <v>5323</v>
      </c>
      <c r="D6" s="1938">
        <f>D7-D5</f>
        <v>1140.4290592571804</v>
      </c>
      <c r="E6" s="1938">
        <f>E7-E5</f>
        <v>311.04703756349085</v>
      </c>
      <c r="F6" s="1943">
        <f>E6/D6</f>
        <v>0.27274562590161605</v>
      </c>
    </row>
    <row r="7" spans="3:13" x14ac:dyDescent="0.2">
      <c r="C7" s="1942" t="s">
        <v>5322</v>
      </c>
      <c r="D7" s="1941">
        <f>TableA6!$E$91</f>
        <v>1703.2290592571803</v>
      </c>
      <c r="E7" s="1941">
        <f>TableC4!$N$93/1000</f>
        <v>616.46162984891726</v>
      </c>
      <c r="F7" s="1940">
        <f>E7/D7</f>
        <v>0.36193700811902024</v>
      </c>
    </row>
    <row r="8" spans="3:13" ht="17" thickBot="1" x14ac:dyDescent="0.25">
      <c r="C8" s="1939"/>
      <c r="D8" s="1939"/>
      <c r="E8" s="1939"/>
      <c r="F8" s="1939"/>
      <c r="G8" s="1939"/>
      <c r="H8" s="1939"/>
    </row>
    <row r="9" spans="3:13" ht="17" thickTop="1" x14ac:dyDescent="0.2">
      <c r="E9" s="1938"/>
    </row>
    <row r="10" spans="3:13" x14ac:dyDescent="0.2">
      <c r="C10" s="1936" t="s">
        <v>5321</v>
      </c>
    </row>
    <row r="11" spans="3:13" x14ac:dyDescent="0.2">
      <c r="C11" s="1936" t="s">
        <v>5320</v>
      </c>
    </row>
    <row r="12" spans="3:13" x14ac:dyDescent="0.2">
      <c r="C12" s="1936" t="s">
        <v>5319</v>
      </c>
    </row>
    <row r="14" spans="3:13" x14ac:dyDescent="0.2">
      <c r="J14" s="1936" t="s">
        <v>5318</v>
      </c>
    </row>
    <row r="15" spans="3:13" x14ac:dyDescent="0.2">
      <c r="J15" s="1936" t="s">
        <v>5317</v>
      </c>
      <c r="K15" s="1936" t="s">
        <v>5316</v>
      </c>
      <c r="L15" s="1936" t="s">
        <v>5315</v>
      </c>
      <c r="M15" s="1936" t="s">
        <v>5314</v>
      </c>
    </row>
    <row r="16" spans="3:13" x14ac:dyDescent="0.2">
      <c r="I16" s="1936">
        <v>1985</v>
      </c>
      <c r="J16" s="1937">
        <v>10.878821148295351</v>
      </c>
      <c r="K16" s="1937">
        <v>1.4252327666235287</v>
      </c>
      <c r="L16" s="1937">
        <f t="shared" ref="L16:L46" si="0">J16+K16</f>
        <v>12.30405391491888</v>
      </c>
      <c r="M16" s="1937">
        <f t="shared" ref="M16:M45" si="1">M17*L16/L17</f>
        <v>14.034467783965514</v>
      </c>
    </row>
    <row r="17" spans="9:13" x14ac:dyDescent="0.2">
      <c r="I17" s="1936">
        <v>1986</v>
      </c>
      <c r="J17" s="1937">
        <v>9.9159257000369738</v>
      </c>
      <c r="K17" s="1937">
        <v>1.4028693597711464</v>
      </c>
      <c r="L17" s="1937">
        <f t="shared" si="0"/>
        <v>11.318795059808121</v>
      </c>
      <c r="M17" s="1937">
        <f t="shared" si="1"/>
        <v>12.910644387503272</v>
      </c>
    </row>
    <row r="18" spans="9:13" x14ac:dyDescent="0.2">
      <c r="I18" s="1936">
        <v>1987</v>
      </c>
      <c r="J18" s="1937">
        <v>13.207348617358042</v>
      </c>
      <c r="K18" s="1937">
        <v>2.0922788681226812</v>
      </c>
      <c r="L18" s="1937">
        <f t="shared" si="0"/>
        <v>15.299627485480723</v>
      </c>
      <c r="M18" s="1937">
        <f t="shared" si="1"/>
        <v>17.451331937947558</v>
      </c>
    </row>
    <row r="19" spans="9:13" x14ac:dyDescent="0.2">
      <c r="I19" s="1936">
        <v>1988</v>
      </c>
      <c r="J19" s="1937">
        <v>13.223795990081888</v>
      </c>
      <c r="K19" s="1937">
        <v>1.9200252095678005</v>
      </c>
      <c r="L19" s="1937">
        <f t="shared" si="0"/>
        <v>15.143821199649688</v>
      </c>
      <c r="M19" s="1937">
        <f t="shared" si="1"/>
        <v>17.273613414105295</v>
      </c>
    </row>
    <row r="20" spans="9:13" x14ac:dyDescent="0.2">
      <c r="I20" s="1936">
        <v>1989</v>
      </c>
      <c r="J20" s="1937">
        <v>16.358327862764263</v>
      </c>
      <c r="K20" s="1937">
        <v>2.5279606809383548</v>
      </c>
      <c r="L20" s="1937">
        <f t="shared" si="0"/>
        <v>18.886288543702619</v>
      </c>
      <c r="M20" s="1937">
        <f t="shared" si="1"/>
        <v>21.542412765591241</v>
      </c>
    </row>
    <row r="21" spans="9:13" x14ac:dyDescent="0.2">
      <c r="I21" s="1936">
        <v>1990</v>
      </c>
      <c r="J21" s="1937">
        <v>19.351200810075106</v>
      </c>
      <c r="K21" s="1937">
        <v>2.8990918428529842</v>
      </c>
      <c r="L21" s="1937">
        <f t="shared" si="0"/>
        <v>22.250292652928088</v>
      </c>
      <c r="M21" s="1937">
        <f t="shared" si="1"/>
        <v>25.379522682576166</v>
      </c>
    </row>
    <row r="22" spans="9:13" x14ac:dyDescent="0.2">
      <c r="I22" s="1936">
        <v>1991</v>
      </c>
      <c r="J22" s="1937">
        <v>18.271433511824824</v>
      </c>
      <c r="K22" s="1937">
        <v>2.6570173900400404</v>
      </c>
      <c r="L22" s="1937">
        <f t="shared" si="0"/>
        <v>20.928450901864863</v>
      </c>
      <c r="M22" s="1937">
        <f t="shared" si="1"/>
        <v>23.87178014511024</v>
      </c>
    </row>
    <row r="23" spans="9:13" x14ac:dyDescent="0.2">
      <c r="I23" s="1936">
        <v>1992</v>
      </c>
      <c r="J23" s="1937">
        <v>17.094857660062157</v>
      </c>
      <c r="K23" s="1937">
        <v>2.3984022137976133</v>
      </c>
      <c r="L23" s="1937">
        <f t="shared" si="0"/>
        <v>19.49325987385977</v>
      </c>
      <c r="M23" s="1937">
        <f t="shared" si="1"/>
        <v>22.234747148859213</v>
      </c>
    </row>
    <row r="24" spans="9:13" x14ac:dyDescent="0.2">
      <c r="I24" s="1936">
        <v>1993</v>
      </c>
      <c r="J24" s="1937">
        <v>18.182966072120323</v>
      </c>
      <c r="K24" s="1937">
        <v>2.5284972798067393</v>
      </c>
      <c r="L24" s="1937">
        <f t="shared" si="0"/>
        <v>20.711463351927062</v>
      </c>
      <c r="M24" s="1937">
        <f t="shared" si="1"/>
        <v>23.624275964765971</v>
      </c>
    </row>
    <row r="25" spans="9:13" x14ac:dyDescent="0.2">
      <c r="I25" s="1936">
        <v>1994</v>
      </c>
      <c r="J25" s="1937">
        <v>20.991165042104186</v>
      </c>
      <c r="K25" s="1937">
        <v>2.8804182493140544</v>
      </c>
      <c r="L25" s="1937">
        <f t="shared" si="0"/>
        <v>23.87158329141824</v>
      </c>
      <c r="M25" s="1937">
        <f t="shared" si="1"/>
        <v>27.228827910891635</v>
      </c>
    </row>
    <row r="26" spans="9:13" x14ac:dyDescent="0.2">
      <c r="I26" s="1936">
        <v>1995</v>
      </c>
      <c r="J26" s="1937">
        <v>28.505201703626518</v>
      </c>
      <c r="K26" s="1937">
        <v>4.3449844332506036</v>
      </c>
      <c r="L26" s="1937">
        <f t="shared" si="0"/>
        <v>32.85018613687712</v>
      </c>
      <c r="M26" s="1937">
        <f t="shared" si="1"/>
        <v>37.470160828559081</v>
      </c>
    </row>
    <row r="27" spans="9:13" x14ac:dyDescent="0.2">
      <c r="I27" s="1936">
        <v>1996</v>
      </c>
      <c r="J27" s="1937">
        <v>29.520825114405827</v>
      </c>
      <c r="K27" s="1937">
        <v>4.5867988740916914</v>
      </c>
      <c r="L27" s="1937">
        <f t="shared" si="0"/>
        <v>34.107623988497522</v>
      </c>
      <c r="M27" s="1937">
        <f t="shared" si="1"/>
        <v>38.904441850158591</v>
      </c>
    </row>
    <row r="28" spans="9:13" x14ac:dyDescent="0.2">
      <c r="I28" s="1936">
        <v>1997</v>
      </c>
      <c r="J28" s="1937">
        <v>36.967103722083316</v>
      </c>
      <c r="K28" s="1937">
        <v>5.85266669142709</v>
      </c>
      <c r="L28" s="1937">
        <f t="shared" si="0"/>
        <v>42.819770413510405</v>
      </c>
      <c r="M28" s="1937">
        <f t="shared" si="1"/>
        <v>48.841844528700072</v>
      </c>
    </row>
    <row r="29" spans="9:13" x14ac:dyDescent="0.2">
      <c r="I29" s="1936">
        <v>1998</v>
      </c>
      <c r="J29" s="1937">
        <v>37.970192050155312</v>
      </c>
      <c r="K29" s="1937">
        <v>5.9681762558043117</v>
      </c>
      <c r="L29" s="1937">
        <f t="shared" si="0"/>
        <v>43.938368305959621</v>
      </c>
      <c r="M29" s="1937">
        <f t="shared" si="1"/>
        <v>50.117759458311603</v>
      </c>
    </row>
    <row r="30" spans="9:13" x14ac:dyDescent="0.2">
      <c r="I30" s="1936">
        <v>1999</v>
      </c>
      <c r="J30" s="1937">
        <v>42.776007699374603</v>
      </c>
      <c r="K30" s="1937">
        <v>6.174425613543586</v>
      </c>
      <c r="L30" s="1937">
        <f t="shared" si="0"/>
        <v>48.950433312918186</v>
      </c>
      <c r="M30" s="1937">
        <f t="shared" si="1"/>
        <v>55.834709770599353</v>
      </c>
    </row>
    <row r="31" spans="9:13" x14ac:dyDescent="0.2">
      <c r="I31" s="1936">
        <v>2000</v>
      </c>
      <c r="J31" s="1937">
        <v>51.738843258108545</v>
      </c>
      <c r="K31" s="1937">
        <v>7.4159496448136055</v>
      </c>
      <c r="L31" s="1937">
        <f t="shared" si="0"/>
        <v>59.154792902922154</v>
      </c>
      <c r="M31" s="1937">
        <f t="shared" si="1"/>
        <v>67.474187044692101</v>
      </c>
    </row>
    <row r="32" spans="9:13" x14ac:dyDescent="0.2">
      <c r="I32" s="1936">
        <v>2001</v>
      </c>
      <c r="J32" s="1937">
        <v>51.282187198590748</v>
      </c>
      <c r="K32" s="1937">
        <v>6.802973003085965</v>
      </c>
      <c r="L32" s="1937">
        <f t="shared" si="0"/>
        <v>58.085160201676715</v>
      </c>
      <c r="M32" s="1937">
        <f t="shared" si="1"/>
        <v>66.254123658257882</v>
      </c>
    </row>
    <row r="33" spans="9:13" x14ac:dyDescent="0.2">
      <c r="I33" s="1936">
        <v>2002</v>
      </c>
      <c r="J33" s="1937">
        <v>54.572447547717871</v>
      </c>
      <c r="K33" s="1937">
        <v>7.538266462782893</v>
      </c>
      <c r="L33" s="1937">
        <f t="shared" si="0"/>
        <v>62.110714010500764</v>
      </c>
      <c r="M33" s="1937">
        <f t="shared" si="1"/>
        <v>70.845822104414538</v>
      </c>
    </row>
    <row r="34" spans="9:13" x14ac:dyDescent="0.2">
      <c r="I34" s="1936">
        <v>2003</v>
      </c>
      <c r="J34" s="1937">
        <v>62.407682595670224</v>
      </c>
      <c r="K34" s="1937">
        <v>9.5957526403712698</v>
      </c>
      <c r="L34" s="1937">
        <f t="shared" si="0"/>
        <v>72.003435236041497</v>
      </c>
      <c r="M34" s="1937">
        <f t="shared" si="1"/>
        <v>82.129832910581314</v>
      </c>
    </row>
    <row r="35" spans="9:13" x14ac:dyDescent="0.2">
      <c r="I35" s="1936">
        <v>2004</v>
      </c>
      <c r="J35" s="1937">
        <v>90.972531542777404</v>
      </c>
      <c r="K35" s="1937">
        <v>12.817008343695896</v>
      </c>
      <c r="L35" s="1937">
        <f t="shared" si="0"/>
        <v>103.78953988647331</v>
      </c>
      <c r="M35" s="1937">
        <f t="shared" si="1"/>
        <v>118.38626227759964</v>
      </c>
    </row>
    <row r="36" spans="9:13" x14ac:dyDescent="0.2">
      <c r="I36" s="1936">
        <v>2005</v>
      </c>
      <c r="J36" s="1937">
        <v>94.970194626866856</v>
      </c>
      <c r="K36" s="1937">
        <v>13.765355774023046</v>
      </c>
      <c r="L36" s="1937">
        <f t="shared" si="0"/>
        <v>108.73555040088991</v>
      </c>
      <c r="M36" s="1937">
        <f t="shared" si="1"/>
        <v>124.02786834530129</v>
      </c>
    </row>
    <row r="37" spans="9:13" x14ac:dyDescent="0.2">
      <c r="I37" s="1936">
        <v>2006</v>
      </c>
      <c r="J37" s="1937">
        <v>113.80091309906757</v>
      </c>
      <c r="K37" s="1937">
        <v>16.75308906160528</v>
      </c>
      <c r="L37" s="1937">
        <f t="shared" si="0"/>
        <v>130.55400216067284</v>
      </c>
      <c r="M37" s="1937">
        <f t="shared" si="1"/>
        <v>148.91481702384974</v>
      </c>
    </row>
    <row r="38" spans="9:13" x14ac:dyDescent="0.2">
      <c r="I38" s="1936">
        <v>2007</v>
      </c>
      <c r="J38" s="1937">
        <v>130.77214223849157</v>
      </c>
      <c r="K38" s="1937">
        <v>19.605751244216865</v>
      </c>
      <c r="L38" s="1937">
        <f t="shared" si="0"/>
        <v>150.37789348270843</v>
      </c>
      <c r="M38" s="1937">
        <f t="shared" si="1"/>
        <v>171.52669486799655</v>
      </c>
    </row>
    <row r="39" spans="9:13" x14ac:dyDescent="0.2">
      <c r="I39" s="1936">
        <v>2008</v>
      </c>
      <c r="J39" s="1937">
        <v>134.14024531722319</v>
      </c>
      <c r="K39" s="1937">
        <v>18.474596100910393</v>
      </c>
      <c r="L39" s="1937">
        <f t="shared" si="0"/>
        <v>152.61484141813358</v>
      </c>
      <c r="M39" s="1937">
        <f t="shared" si="1"/>
        <v>174.07824202076597</v>
      </c>
    </row>
    <row r="40" spans="9:13" x14ac:dyDescent="0.2">
      <c r="I40" s="1936">
        <v>2009</v>
      </c>
      <c r="J40" s="1937">
        <v>145.53003849932554</v>
      </c>
      <c r="K40" s="1937">
        <v>21.854052306648168</v>
      </c>
      <c r="L40" s="1937">
        <f t="shared" si="0"/>
        <v>167.3840908059737</v>
      </c>
      <c r="M40" s="1937">
        <f t="shared" si="1"/>
        <v>190.92460470417925</v>
      </c>
    </row>
    <row r="41" spans="9:13" x14ac:dyDescent="0.2">
      <c r="I41" s="1936">
        <v>2010</v>
      </c>
      <c r="J41" s="1937">
        <v>157.19456666374333</v>
      </c>
      <c r="K41" s="1937">
        <v>21.930305654704512</v>
      </c>
      <c r="L41" s="1937">
        <f t="shared" si="0"/>
        <v>179.12487231844784</v>
      </c>
      <c r="M41" s="1937">
        <f t="shared" si="1"/>
        <v>204.31658274936669</v>
      </c>
    </row>
    <row r="42" spans="9:13" x14ac:dyDescent="0.2">
      <c r="I42" s="1936">
        <v>2011</v>
      </c>
      <c r="J42" s="1937">
        <v>176.84996305896362</v>
      </c>
      <c r="K42" s="1937">
        <v>27.758206221834989</v>
      </c>
      <c r="L42" s="1937">
        <f t="shared" si="0"/>
        <v>204.60816928079862</v>
      </c>
      <c r="M42" s="1937">
        <f t="shared" si="1"/>
        <v>233.38379203830584</v>
      </c>
    </row>
    <row r="43" spans="9:13" x14ac:dyDescent="0.2">
      <c r="I43" s="1936">
        <v>2012</v>
      </c>
      <c r="J43" s="1937">
        <v>185.77831086542812</v>
      </c>
      <c r="K43" s="1937">
        <v>29.580076927825459</v>
      </c>
      <c r="L43" s="1937">
        <f t="shared" si="0"/>
        <v>215.3583877932536</v>
      </c>
      <c r="M43" s="1937">
        <f t="shared" si="1"/>
        <v>245.64589657937114</v>
      </c>
    </row>
    <row r="44" spans="9:13" x14ac:dyDescent="0.2">
      <c r="I44" s="1936">
        <v>2013</v>
      </c>
      <c r="J44" s="1937">
        <v>186.21118261158009</v>
      </c>
      <c r="K44" s="1937">
        <v>27.643498577687772</v>
      </c>
      <c r="L44" s="1937">
        <f t="shared" si="0"/>
        <v>213.85468118926786</v>
      </c>
      <c r="M44" s="1937">
        <f t="shared" si="1"/>
        <v>243.93071213397585</v>
      </c>
    </row>
    <row r="45" spans="9:13" x14ac:dyDescent="0.2">
      <c r="I45" s="1936">
        <v>2014</v>
      </c>
      <c r="J45" s="1937">
        <v>203.98730926578102</v>
      </c>
      <c r="K45" s="1937">
        <v>34.203536537144039</v>
      </c>
      <c r="L45" s="1937">
        <f t="shared" si="0"/>
        <v>238.19084580292505</v>
      </c>
      <c r="M45" s="1937">
        <f t="shared" si="1"/>
        <v>271.68945901670236</v>
      </c>
    </row>
    <row r="46" spans="9:13" x14ac:dyDescent="0.2">
      <c r="I46" s="1936">
        <v>2015</v>
      </c>
      <c r="J46" s="1937">
        <v>229.6293416697755</v>
      </c>
      <c r="K46" s="1937">
        <v>38.128414999573373</v>
      </c>
      <c r="L46" s="1937">
        <f t="shared" si="0"/>
        <v>267.75775666934885</v>
      </c>
      <c r="M46" s="1937">
        <f>E5</f>
        <v>305.41459228542641</v>
      </c>
    </row>
  </sheetData>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100"/>
  <sheetViews>
    <sheetView workbookViewId="0">
      <pane xSplit="1" ySplit="8" topLeftCell="B73" activePane="bottomRight" state="frozen"/>
      <selection pane="topRight" activeCell="AR8" sqref="AR8"/>
      <selection pane="bottomLeft" activeCell="AR8" sqref="AR8"/>
      <selection pane="bottomRight" activeCell="A65" sqref="A65:XFD65"/>
    </sheetView>
  </sheetViews>
  <sheetFormatPr baseColWidth="10" defaultColWidth="10.83203125" defaultRowHeight="16" x14ac:dyDescent="0.2"/>
  <cols>
    <col min="1" max="1" width="19" style="1" customWidth="1"/>
    <col min="2" max="11" width="11.33203125" style="1" customWidth="1"/>
    <col min="12" max="16384" width="10.83203125" style="1"/>
  </cols>
  <sheetData>
    <row r="1" spans="1:12" x14ac:dyDescent="0.2">
      <c r="A1" s="954"/>
      <c r="B1" s="954"/>
      <c r="C1" s="954"/>
      <c r="D1" s="954"/>
      <c r="E1" s="954"/>
      <c r="F1" s="954"/>
      <c r="G1" s="954"/>
      <c r="H1" s="954"/>
      <c r="I1" s="954"/>
      <c r="J1" s="954"/>
      <c r="K1" s="954"/>
      <c r="L1" s="954"/>
    </row>
    <row r="2" spans="1:12" ht="17" thickBot="1" x14ac:dyDescent="0.25">
      <c r="A2" s="954"/>
      <c r="B2" s="954"/>
      <c r="C2" s="954"/>
      <c r="D2" s="954"/>
      <c r="E2" s="954"/>
      <c r="F2" s="954"/>
      <c r="G2" s="954"/>
      <c r="H2" s="954"/>
      <c r="I2" s="954"/>
      <c r="J2" s="954"/>
      <c r="K2" s="954"/>
      <c r="L2" s="954"/>
    </row>
    <row r="3" spans="1:12" ht="32.25" customHeight="1" thickTop="1" x14ac:dyDescent="0.2">
      <c r="A3" s="1951" t="s">
        <v>190</v>
      </c>
      <c r="B3" s="1952"/>
      <c r="C3" s="1952"/>
      <c r="D3" s="1952"/>
      <c r="E3" s="1952"/>
      <c r="F3" s="1952"/>
      <c r="G3" s="1952"/>
      <c r="H3" s="1952"/>
      <c r="I3" s="1952"/>
      <c r="J3" s="1952"/>
      <c r="K3" s="1952"/>
      <c r="L3" s="1953"/>
    </row>
    <row r="4" spans="1:12" ht="12" customHeight="1" x14ac:dyDescent="0.2">
      <c r="A4" s="4"/>
      <c r="B4" s="620"/>
      <c r="C4" s="620"/>
      <c r="D4" s="620"/>
      <c r="E4" s="620"/>
      <c r="F4" s="620"/>
      <c r="G4" s="620"/>
      <c r="H4" s="620"/>
      <c r="I4" s="620"/>
      <c r="J4" s="620"/>
      <c r="K4" s="620"/>
      <c r="L4" s="1073"/>
    </row>
    <row r="5" spans="1:12" x14ac:dyDescent="0.2">
      <c r="A5" s="1148"/>
      <c r="B5" s="3" t="s">
        <v>1</v>
      </c>
      <c r="C5" s="3" t="s">
        <v>2</v>
      </c>
      <c r="D5" s="3" t="s">
        <v>3</v>
      </c>
      <c r="E5" s="3" t="s">
        <v>4</v>
      </c>
      <c r="F5" s="3" t="s">
        <v>5</v>
      </c>
      <c r="G5" s="3" t="s">
        <v>6</v>
      </c>
      <c r="H5" s="3" t="s">
        <v>7</v>
      </c>
      <c r="I5" s="3" t="s">
        <v>8</v>
      </c>
      <c r="J5" s="3" t="s">
        <v>9</v>
      </c>
      <c r="K5" s="3" t="s">
        <v>10</v>
      </c>
      <c r="L5" s="6" t="s">
        <v>11</v>
      </c>
    </row>
    <row r="6" spans="1:12" ht="21" customHeight="1" x14ac:dyDescent="0.2">
      <c r="A6" s="1148"/>
      <c r="B6" s="2046" t="s">
        <v>14</v>
      </c>
      <c r="C6" s="2047"/>
      <c r="D6" s="2047"/>
      <c r="E6" s="2047"/>
      <c r="F6" s="2047"/>
      <c r="G6" s="2047"/>
      <c r="H6" s="2047"/>
      <c r="I6" s="2047"/>
      <c r="J6" s="2047"/>
      <c r="K6" s="2047"/>
      <c r="L6" s="2064" t="s">
        <v>191</v>
      </c>
    </row>
    <row r="7" spans="1:12" ht="85" customHeight="1" x14ac:dyDescent="0.2">
      <c r="A7" s="1148"/>
      <c r="B7" s="2049" t="s">
        <v>192</v>
      </c>
      <c r="C7" s="1813" t="s">
        <v>193</v>
      </c>
      <c r="D7" s="1813" t="s">
        <v>194</v>
      </c>
      <c r="E7" s="2066" t="s">
        <v>195</v>
      </c>
      <c r="F7" s="2058" t="s">
        <v>196</v>
      </c>
      <c r="G7" s="2058" t="s">
        <v>197</v>
      </c>
      <c r="H7" s="2058" t="s">
        <v>198</v>
      </c>
      <c r="I7" s="1820" t="s">
        <v>199</v>
      </c>
      <c r="J7" s="1820" t="s">
        <v>200</v>
      </c>
      <c r="K7" s="2068" t="s">
        <v>201</v>
      </c>
      <c r="L7" s="2065"/>
    </row>
    <row r="8" spans="1:12" ht="33" customHeight="1" x14ac:dyDescent="0.2">
      <c r="A8" s="1148"/>
      <c r="B8" s="2067"/>
      <c r="C8" s="1027"/>
      <c r="D8" s="1027"/>
      <c r="E8" s="2066"/>
      <c r="F8" s="2030"/>
      <c r="G8" s="2030"/>
      <c r="H8" s="2030"/>
      <c r="I8" s="1820"/>
      <c r="J8" s="1820"/>
      <c r="K8" s="2068"/>
      <c r="L8" s="2065"/>
    </row>
    <row r="9" spans="1:12" ht="40" customHeight="1" x14ac:dyDescent="0.2">
      <c r="A9" s="8" t="s">
        <v>28</v>
      </c>
      <c r="B9" s="306">
        <f>C9+D9</f>
        <v>6449.286986082956</v>
      </c>
      <c r="C9" s="298">
        <f t="shared" ref="C9:J9" si="0">SUM(C10:C44)</f>
        <v>6329.8496989524356</v>
      </c>
      <c r="D9" s="298">
        <f t="shared" si="0"/>
        <v>119.4372871305205</v>
      </c>
      <c r="E9" s="296">
        <f t="shared" si="0"/>
        <v>956.10086642796193</v>
      </c>
      <c r="F9" s="295">
        <f t="shared" si="0"/>
        <v>831.08377315482733</v>
      </c>
      <c r="G9" s="295">
        <f t="shared" si="0"/>
        <v>5.5798061426140979</v>
      </c>
      <c r="H9" s="295">
        <f t="shared" si="0"/>
        <v>119.4372871305205</v>
      </c>
      <c r="I9" s="295">
        <f t="shared" si="0"/>
        <v>102.3350799768593</v>
      </c>
      <c r="J9" s="295">
        <f t="shared" si="0"/>
        <v>17.102207153661201</v>
      </c>
      <c r="K9" s="256">
        <f>B9-E9</f>
        <v>5493.1861196549944</v>
      </c>
      <c r="L9" s="496">
        <f>TableA3!H9/TableA6!B9</f>
        <v>0.18501018092140112</v>
      </c>
    </row>
    <row r="10" spans="1:12" ht="14.25" customHeight="1" x14ac:dyDescent="0.2">
      <c r="A10" s="1149" t="s">
        <v>29</v>
      </c>
      <c r="B10" s="1193">
        <f t="shared" ref="B10:B73" si="1">C10+D10</f>
        <v>178.84741076861815</v>
      </c>
      <c r="C10" s="1194">
        <f>TableA3!B10</f>
        <v>178.84741076861815</v>
      </c>
      <c r="D10" s="1195">
        <f>H10</f>
        <v>0</v>
      </c>
      <c r="E10" s="1174">
        <f>F10+G10+H10</f>
        <v>28.299110069424813</v>
      </c>
      <c r="F10" s="1153">
        <f>TableA5!F10+TableA5!I10+TableA5!J10</f>
        <v>28.299110069424813</v>
      </c>
      <c r="G10" s="1152">
        <f>TableB5!C10+TableB5!E10-(TableB5!G10+TableB5!I10)</f>
        <v>0</v>
      </c>
      <c r="H10" s="1152">
        <f t="shared" ref="H10:H44" si="2">I10+J10</f>
        <v>0</v>
      </c>
      <c r="I10" s="297"/>
      <c r="J10" s="297"/>
      <c r="K10" s="299">
        <f t="shared" ref="K10:K52" si="3">B10-E10</f>
        <v>150.54830069919333</v>
      </c>
      <c r="L10" s="496">
        <f>TableA3!H10/TableA6!B10</f>
        <v>0.29682183632835152</v>
      </c>
    </row>
    <row r="11" spans="1:12" ht="14.25" customHeight="1" x14ac:dyDescent="0.2">
      <c r="A11" s="1149" t="s">
        <v>30</v>
      </c>
      <c r="B11" s="1193">
        <f t="shared" si="1"/>
        <v>47.957043627358011</v>
      </c>
      <c r="C11" s="1194">
        <f>TableA3!B11</f>
        <v>47.957043627358011</v>
      </c>
      <c r="D11" s="1195">
        <f t="shared" ref="D11:D44" si="4">H11</f>
        <v>0</v>
      </c>
      <c r="E11" s="1174">
        <f t="shared" ref="E11:E44" si="5">F11+G11+H11</f>
        <v>11.294821742987047</v>
      </c>
      <c r="F11" s="1153">
        <f>TableA5!F11+TableA5!I11+TableA5!J11</f>
        <v>11.36803305746286</v>
      </c>
      <c r="G11" s="1152">
        <f>TableB5!C11+TableB5!E11-(TableB5!G11+TableB5!I11)</f>
        <v>-7.3211314475813083E-2</v>
      </c>
      <c r="H11" s="1152">
        <f t="shared" si="2"/>
        <v>0</v>
      </c>
      <c r="I11" s="297"/>
      <c r="J11" s="297"/>
      <c r="K11" s="299">
        <f t="shared" si="3"/>
        <v>36.662221884370965</v>
      </c>
      <c r="L11" s="496">
        <f>TableA3!H11/TableA6!B11</f>
        <v>0.1771303557511523</v>
      </c>
    </row>
    <row r="12" spans="1:12" ht="14.25" customHeight="1" x14ac:dyDescent="0.2">
      <c r="A12" s="1149" t="s">
        <v>31</v>
      </c>
      <c r="B12" s="1193">
        <f t="shared" si="1"/>
        <v>80.241889758299209</v>
      </c>
      <c r="C12" s="1194">
        <f>TableA3!B12</f>
        <v>76.673664877742027</v>
      </c>
      <c r="D12" s="1195">
        <f t="shared" si="4"/>
        <v>3.5682248805571826</v>
      </c>
      <c r="E12" s="1174">
        <f t="shared" si="5"/>
        <v>32.206747942780808</v>
      </c>
      <c r="F12" s="1153">
        <f>TableA5!F12+TableA5!I12+TableA5!J12</f>
        <v>24.038987248077127</v>
      </c>
      <c r="G12" s="1152">
        <f>TableB5!C12+TableB5!E12-(TableB5!G12+TableB5!I12)</f>
        <v>4.5995358141464999</v>
      </c>
      <c r="H12" s="1152">
        <f t="shared" si="2"/>
        <v>3.5682248805571826</v>
      </c>
      <c r="I12" s="1152">
        <f>(TableA5!O12+1)*TableB10!$J$12/1000</f>
        <v>3.5682248805571826</v>
      </c>
      <c r="J12" s="1152">
        <f>MAX((TableA5!O12+1)*TableB10!$K$12,0)/1000</f>
        <v>0</v>
      </c>
      <c r="K12" s="299">
        <f t="shared" si="3"/>
        <v>48.035141815518401</v>
      </c>
      <c r="L12" s="496">
        <f>TableA3!H12/TableA6!B12</f>
        <v>0.18742426983704405</v>
      </c>
    </row>
    <row r="13" spans="1:12" ht="14.25" customHeight="1" x14ac:dyDescent="0.2">
      <c r="A13" s="1149" t="s">
        <v>32</v>
      </c>
      <c r="B13" s="1193">
        <f t="shared" si="1"/>
        <v>142.9569900038934</v>
      </c>
      <c r="C13" s="1194">
        <f>TableA3!B13</f>
        <v>142.9569900038934</v>
      </c>
      <c r="D13" s="1195">
        <f t="shared" si="4"/>
        <v>0</v>
      </c>
      <c r="E13" s="1174">
        <f t="shared" si="5"/>
        <v>46.935942392007277</v>
      </c>
      <c r="F13" s="1153">
        <f>TableA5!F13+TableA5!I13+TableA5!J13</f>
        <v>46.935942392007277</v>
      </c>
      <c r="G13" s="1152">
        <f>TableB5!C13+TableB5!E13-(TableB5!G13+TableB5!I13)</f>
        <v>0</v>
      </c>
      <c r="H13" s="1152">
        <f t="shared" si="2"/>
        <v>0</v>
      </c>
      <c r="I13" s="297"/>
      <c r="J13" s="297"/>
      <c r="K13" s="299">
        <f t="shared" si="3"/>
        <v>96.021047611886118</v>
      </c>
      <c r="L13" s="496">
        <f>TableA3!H13/TableA6!B13</f>
        <v>0.34611388196176218</v>
      </c>
    </row>
    <row r="14" spans="1:12" x14ac:dyDescent="0.2">
      <c r="A14" s="1149" t="s">
        <v>33</v>
      </c>
      <c r="B14" s="1193">
        <f t="shared" si="1"/>
        <v>67.542484958596845</v>
      </c>
      <c r="C14" s="1194">
        <f>TableA3!B14</f>
        <v>67.542484958596845</v>
      </c>
      <c r="D14" s="1195">
        <f t="shared" si="4"/>
        <v>0</v>
      </c>
      <c r="E14" s="1174">
        <f t="shared" si="5"/>
        <v>9.8951445885655183</v>
      </c>
      <c r="F14" s="1153">
        <f>TableA5!F14+TableA5!I14+TableA5!J14</f>
        <v>9.8952275885673977</v>
      </c>
      <c r="G14" s="1152">
        <f>TableB5!C14+TableB5!E14-(TableB5!G14+TableB5!I14)</f>
        <v>-8.3000001879995899E-5</v>
      </c>
      <c r="H14" s="1152">
        <f t="shared" si="2"/>
        <v>0</v>
      </c>
      <c r="I14" s="1196"/>
      <c r="J14" s="1196"/>
      <c r="K14" s="156">
        <f t="shared" si="3"/>
        <v>57.64734037003133</v>
      </c>
      <c r="L14" s="496">
        <f>TableA3!H14/TableA6!B14</f>
        <v>0.15479746660886656</v>
      </c>
    </row>
    <row r="15" spans="1:12" x14ac:dyDescent="0.2">
      <c r="A15" s="1149" t="s">
        <v>34</v>
      </c>
      <c r="B15" s="1193">
        <f t="shared" si="1"/>
        <v>33.577437877940952</v>
      </c>
      <c r="C15" s="1194">
        <f>TableA3!B15</f>
        <v>33.577437877940952</v>
      </c>
      <c r="D15" s="1195">
        <f t="shared" si="4"/>
        <v>0</v>
      </c>
      <c r="E15" s="1174">
        <f t="shared" si="5"/>
        <v>17.490778418103861</v>
      </c>
      <c r="F15" s="1153">
        <f>TableA5!F15+TableA5!I15+TableA5!J15</f>
        <v>17.490778418103861</v>
      </c>
      <c r="G15" s="1152">
        <f>TableB5!C15+TableB5!E15-(TableB5!G15+TableB5!I15)</f>
        <v>0</v>
      </c>
      <c r="H15" s="1152">
        <f t="shared" si="2"/>
        <v>0</v>
      </c>
      <c r="I15" s="1196"/>
      <c r="J15" s="1196"/>
      <c r="K15" s="156">
        <f t="shared" si="3"/>
        <v>16.08665945983709</v>
      </c>
      <c r="L15" s="496">
        <f>TableA3!H15/TableA6!B15</f>
        <v>0.19987578983562221</v>
      </c>
    </row>
    <row r="16" spans="1:12" x14ac:dyDescent="0.2">
      <c r="A16" s="1149" t="s">
        <v>35</v>
      </c>
      <c r="B16" s="1193">
        <f t="shared" si="1"/>
        <v>51.69259919912686</v>
      </c>
      <c r="C16" s="1194">
        <f>TableA3!B16</f>
        <v>51.69259919912686</v>
      </c>
      <c r="D16" s="1195">
        <f t="shared" si="4"/>
        <v>0</v>
      </c>
      <c r="E16" s="1174">
        <f t="shared" si="5"/>
        <v>5.1092950429719881</v>
      </c>
      <c r="F16" s="1153">
        <f>TableA5!F16+TableA5!I16+TableA5!J16</f>
        <v>5.0542797278977876</v>
      </c>
      <c r="G16" s="1152">
        <f>TableB5!C16+TableB5!E16-(TableB5!G16+TableB5!I16)</f>
        <v>5.50153150742001E-2</v>
      </c>
      <c r="H16" s="1152">
        <f t="shared" si="2"/>
        <v>0</v>
      </c>
      <c r="I16" s="1196"/>
      <c r="J16" s="1196"/>
      <c r="K16" s="156">
        <f t="shared" si="3"/>
        <v>46.583304156154874</v>
      </c>
      <c r="L16" s="496">
        <f>TableA3!H16/TableA6!B16</f>
        <v>0.14950708919067349</v>
      </c>
    </row>
    <row r="17" spans="1:13" x14ac:dyDescent="0.2">
      <c r="A17" s="1088" t="s">
        <v>36</v>
      </c>
      <c r="B17" s="1197">
        <f t="shared" si="1"/>
        <v>4.0797019715879275</v>
      </c>
      <c r="C17" s="1119">
        <f>TableA3!B17</f>
        <v>4.0797019715879275</v>
      </c>
      <c r="D17" s="1195">
        <f t="shared" si="4"/>
        <v>0</v>
      </c>
      <c r="E17" s="1174">
        <f t="shared" si="5"/>
        <v>1.4550356443784636</v>
      </c>
      <c r="F17" s="1153">
        <f>TableA5!F17+TableA5!I17+TableA5!J17</f>
        <v>1.4564133482054185</v>
      </c>
      <c r="G17" s="1152">
        <f>TableB5!C17+TableB5!E17-(TableB5!G17+TableB5!I17)</f>
        <v>-1.3777038269549985E-3</v>
      </c>
      <c r="H17" s="1152">
        <f t="shared" si="2"/>
        <v>0</v>
      </c>
      <c r="I17" s="1196"/>
      <c r="J17" s="1196"/>
      <c r="K17" s="156">
        <f t="shared" si="3"/>
        <v>2.6246663272094639</v>
      </c>
      <c r="L17" s="496">
        <f>TableA3!H17/TableA6!B17</f>
        <v>0.11534321054777766</v>
      </c>
      <c r="M17" s="954"/>
    </row>
    <row r="18" spans="1:13" x14ac:dyDescent="0.2">
      <c r="A18" s="1149" t="s">
        <v>37</v>
      </c>
      <c r="B18" s="1193">
        <f t="shared" si="1"/>
        <v>25.094852932206081</v>
      </c>
      <c r="C18" s="1194">
        <f>TableA3!B18</f>
        <v>25.094852932206081</v>
      </c>
      <c r="D18" s="1195">
        <f t="shared" si="4"/>
        <v>0</v>
      </c>
      <c r="E18" s="1174">
        <f t="shared" si="5"/>
        <v>4.2466092034416771</v>
      </c>
      <c r="F18" s="1153">
        <f>TableA5!F18+TableA5!I18+TableA5!J18</f>
        <v>4.2466092034416771</v>
      </c>
      <c r="G18" s="1152">
        <f>TableB5!C18+TableB5!E18-(TableB5!G18+TableB5!I18)</f>
        <v>0</v>
      </c>
      <c r="H18" s="1152">
        <f t="shared" si="2"/>
        <v>0</v>
      </c>
      <c r="I18" s="1196"/>
      <c r="J18" s="1196"/>
      <c r="K18" s="156">
        <f t="shared" si="3"/>
        <v>20.848243728764402</v>
      </c>
      <c r="L18" s="496">
        <f>TableA3!H18/TableA6!B18</f>
        <v>0.20095461174702786</v>
      </c>
      <c r="M18" s="954"/>
    </row>
    <row r="19" spans="1:13" x14ac:dyDescent="0.2">
      <c r="A19" s="1088" t="s">
        <v>38</v>
      </c>
      <c r="B19" s="1197">
        <f t="shared" si="1"/>
        <v>187.65852722592464</v>
      </c>
      <c r="C19" s="1119">
        <f>TableA3!B19</f>
        <v>187.65852722592464</v>
      </c>
      <c r="D19" s="1195">
        <f t="shared" si="4"/>
        <v>0</v>
      </c>
      <c r="E19" s="1174">
        <f t="shared" si="5"/>
        <v>31.778815000521959</v>
      </c>
      <c r="F19" s="1153">
        <f>TableA5!F19+TableA5!I19+TableA5!J19</f>
        <v>31.778815000521959</v>
      </c>
      <c r="G19" s="1152">
        <f>TableB5!C19+TableB5!E19-(TableB5!G19+TableB5!I19)</f>
        <v>0</v>
      </c>
      <c r="H19" s="1152">
        <f t="shared" si="2"/>
        <v>0</v>
      </c>
      <c r="I19" s="1196"/>
      <c r="J19" s="1196"/>
      <c r="K19" s="156">
        <f t="shared" si="3"/>
        <v>155.87971222540267</v>
      </c>
      <c r="L19" s="496">
        <f>TableA3!H19/TableA6!B19</f>
        <v>0.27138098390108983</v>
      </c>
      <c r="M19" s="954"/>
    </row>
    <row r="20" spans="1:13" x14ac:dyDescent="0.2">
      <c r="A20" s="1149" t="s">
        <v>39</v>
      </c>
      <c r="B20" s="1193">
        <f t="shared" si="1"/>
        <v>553.04943443142031</v>
      </c>
      <c r="C20" s="1194">
        <f>TableA3!B20</f>
        <v>553.04943443142031</v>
      </c>
      <c r="D20" s="1195">
        <f t="shared" si="4"/>
        <v>0</v>
      </c>
      <c r="E20" s="1174">
        <f t="shared" si="5"/>
        <v>42.83586575015805</v>
      </c>
      <c r="F20" s="1153">
        <f>TableA5!F20+TableA5!I20+TableA5!J20</f>
        <v>42.83586575015805</v>
      </c>
      <c r="G20" s="1152">
        <f>TableB5!C20+TableB5!E20-(TableB5!G20+TableB5!I20)</f>
        <v>0</v>
      </c>
      <c r="H20" s="1152">
        <f t="shared" si="2"/>
        <v>0</v>
      </c>
      <c r="I20" s="1196"/>
      <c r="J20" s="1196"/>
      <c r="K20" s="156">
        <f t="shared" si="3"/>
        <v>510.21356868126225</v>
      </c>
      <c r="L20" s="496">
        <f>TableA3!H20/TableA6!B20</f>
        <v>0.10568882329112707</v>
      </c>
      <c r="M20" s="954"/>
    </row>
    <row r="21" spans="1:13" x14ac:dyDescent="0.2">
      <c r="A21" s="1149" t="s">
        <v>40</v>
      </c>
      <c r="B21" s="1193">
        <f t="shared" si="1"/>
        <v>22.607784095761257</v>
      </c>
      <c r="C21" s="1194">
        <f>TableA3!B21</f>
        <v>22.607784095761257</v>
      </c>
      <c r="D21" s="1195">
        <f t="shared" si="4"/>
        <v>0</v>
      </c>
      <c r="E21" s="1174">
        <f t="shared" si="5"/>
        <v>1.3429928248302583</v>
      </c>
      <c r="F21" s="1153">
        <f>TableA5!F21+TableA5!I21+TableA5!J21</f>
        <v>1.3429928248302583</v>
      </c>
      <c r="G21" s="1152">
        <f>TableB5!C21+TableB5!E21-(TableB5!G21+TableB5!I21)</f>
        <v>0</v>
      </c>
      <c r="H21" s="1152">
        <f t="shared" si="2"/>
        <v>0</v>
      </c>
      <c r="I21" s="1196"/>
      <c r="J21" s="1196"/>
      <c r="K21" s="156">
        <f t="shared" si="3"/>
        <v>21.264791270930999</v>
      </c>
      <c r="L21" s="496">
        <f>TableA3!H21/TableA6!B21</f>
        <v>0.18641603978549989</v>
      </c>
      <c r="M21" s="954"/>
    </row>
    <row r="22" spans="1:13" x14ac:dyDescent="0.2">
      <c r="A22" s="1149" t="s">
        <v>41</v>
      </c>
      <c r="B22" s="1193">
        <f t="shared" si="1"/>
        <v>20.668289583202817</v>
      </c>
      <c r="C22" s="1194">
        <f>TableA3!B22</f>
        <v>20.668289583202817</v>
      </c>
      <c r="D22" s="1195">
        <f t="shared" si="4"/>
        <v>0</v>
      </c>
      <c r="E22" s="1174">
        <f t="shared" si="5"/>
        <v>9.7164397220911169</v>
      </c>
      <c r="F22" s="1153">
        <f>TableA5!F22+TableA5!I22+TableA5!J22</f>
        <v>9.1579151119634261</v>
      </c>
      <c r="G22" s="1152">
        <f>TableB5!C22+TableB5!E22-(TableB5!G22+TableB5!I22)</f>
        <v>0.55852461012769039</v>
      </c>
      <c r="H22" s="1152">
        <f t="shared" si="2"/>
        <v>0</v>
      </c>
      <c r="I22" s="1196"/>
      <c r="J22" s="1196"/>
      <c r="K22" s="156">
        <f t="shared" si="3"/>
        <v>10.9518498611117</v>
      </c>
      <c r="L22" s="496">
        <f>TableA3!H22/TableA6!B22</f>
        <v>0.10626839819341541</v>
      </c>
      <c r="M22" s="954"/>
    </row>
    <row r="23" spans="1:13" x14ac:dyDescent="0.2">
      <c r="A23" s="1149" t="s">
        <v>42</v>
      </c>
      <c r="B23" s="1193">
        <f t="shared" si="1"/>
        <v>2.1489969781260903</v>
      </c>
      <c r="C23" s="1194">
        <f>TableA3!B23</f>
        <v>2.1489969781260903</v>
      </c>
      <c r="D23" s="1195">
        <f t="shared" si="4"/>
        <v>0</v>
      </c>
      <c r="E23" s="1174">
        <f t="shared" si="5"/>
        <v>-9.6186838505018343E-2</v>
      </c>
      <c r="F23" s="1153">
        <f>TableA5!F23+TableA5!I23+TableA5!J23</f>
        <v>-0.10049325848256159</v>
      </c>
      <c r="G23" s="1152">
        <f>TableB5!C23+TableB5!E23-(TableB5!G23+TableB5!I23)</f>
        <v>4.3064199775432518E-3</v>
      </c>
      <c r="H23" s="1152">
        <f t="shared" si="2"/>
        <v>0</v>
      </c>
      <c r="I23" s="1196"/>
      <c r="J23" s="1196"/>
      <c r="K23" s="156">
        <f t="shared" si="3"/>
        <v>2.2451838166311084</v>
      </c>
      <c r="L23" s="496">
        <f>TableA3!H23/TableA6!B23</f>
        <v>0.18534366223782692</v>
      </c>
      <c r="M23" s="954"/>
    </row>
    <row r="24" spans="1:13" x14ac:dyDescent="0.2">
      <c r="A24" s="1149" t="s">
        <v>43</v>
      </c>
      <c r="B24" s="1193">
        <f t="shared" si="1"/>
        <v>174.30510209753976</v>
      </c>
      <c r="C24" s="1194">
        <f>TableA3!B24</f>
        <v>125.53464036847635</v>
      </c>
      <c r="D24" s="1195">
        <f t="shared" si="4"/>
        <v>48.77046172906342</v>
      </c>
      <c r="E24" s="1174">
        <f t="shared" si="5"/>
        <v>116.2731292562101</v>
      </c>
      <c r="F24" s="1153">
        <f>TableA5!F24+TableA5!I24+TableA5!J24</f>
        <v>67.502667527146684</v>
      </c>
      <c r="G24" s="1152">
        <f>TableB5!C24+TableB5!E24-(TableB5!G24+TableB5!I24)</f>
        <v>0</v>
      </c>
      <c r="H24" s="1152">
        <f t="shared" si="2"/>
        <v>48.77046172906342</v>
      </c>
      <c r="I24" s="1196">
        <f>(1+TableA5!$O24)*TableB10!J24/1000</f>
        <v>48.77046172906342</v>
      </c>
      <c r="J24" s="1196">
        <f>MAX((1+TableA5!$O24)*TableB10!K200)/1000</f>
        <v>0</v>
      </c>
      <c r="K24" s="156">
        <f t="shared" si="3"/>
        <v>58.031972841329662</v>
      </c>
      <c r="L24" s="496">
        <f>TableA3!H24/TableA6!B24</f>
        <v>4.3730990037364761E-2</v>
      </c>
      <c r="M24" s="954"/>
    </row>
    <row r="25" spans="1:13" x14ac:dyDescent="0.2">
      <c r="A25" s="1149" t="s">
        <v>44</v>
      </c>
      <c r="B25" s="1193">
        <f t="shared" si="1"/>
        <v>53.821062621875072</v>
      </c>
      <c r="C25" s="1194">
        <f>TableA3!B25</f>
        <v>53.821062621875072</v>
      </c>
      <c r="D25" s="1195">
        <f t="shared" si="4"/>
        <v>0</v>
      </c>
      <c r="E25" s="1174">
        <f t="shared" si="5"/>
        <v>5.8274626748237663</v>
      </c>
      <c r="F25" s="1153">
        <f>TableA5!F25+TableA5!I25+TableA5!J25</f>
        <v>5.8274626748237663</v>
      </c>
      <c r="G25" s="1152">
        <f>TableB5!C25+TableB5!E25-(TableB5!G25+TableB5!I25)</f>
        <v>0</v>
      </c>
      <c r="H25" s="1152">
        <f t="shared" si="2"/>
        <v>0</v>
      </c>
      <c r="I25" s="1196"/>
      <c r="J25" s="1196"/>
      <c r="K25" s="156">
        <f t="shared" si="3"/>
        <v>47.993599947051308</v>
      </c>
      <c r="L25" s="496">
        <f>TableA3!H25/TableA6!B25</f>
        <v>0.16576042245572675</v>
      </c>
      <c r="M25" s="954"/>
    </row>
    <row r="26" spans="1:13" x14ac:dyDescent="0.2">
      <c r="A26" s="1149" t="s">
        <v>45</v>
      </c>
      <c r="B26" s="1193">
        <f t="shared" si="1"/>
        <v>211.89440797463348</v>
      </c>
      <c r="C26" s="1194">
        <f>TableA3!B26</f>
        <v>211.89440797463348</v>
      </c>
      <c r="D26" s="1195">
        <f t="shared" si="4"/>
        <v>0</v>
      </c>
      <c r="E26" s="1174">
        <f t="shared" si="5"/>
        <v>13.197888688714203</v>
      </c>
      <c r="F26" s="1153">
        <f>TableA5!F26+TableA5!I26+TableA5!J26</f>
        <v>13.197888688714203</v>
      </c>
      <c r="G26" s="1152">
        <f>TableB5!C26+TableB5!E26-(TableB5!G26+TableB5!I26)</f>
        <v>0</v>
      </c>
      <c r="H26" s="1152">
        <f t="shared" si="2"/>
        <v>0</v>
      </c>
      <c r="I26" s="1196"/>
      <c r="J26" s="1196"/>
      <c r="K26" s="156">
        <f t="shared" si="3"/>
        <v>198.69651928591927</v>
      </c>
      <c r="L26" s="496">
        <f>TableA3!H26/TableA6!B26</f>
        <v>0.17596888878420774</v>
      </c>
      <c r="M26" s="954"/>
    </row>
    <row r="27" spans="1:13" x14ac:dyDescent="0.2">
      <c r="A27" s="1149" t="s">
        <v>46</v>
      </c>
      <c r="B27" s="1193">
        <f t="shared" si="1"/>
        <v>634.13536380108962</v>
      </c>
      <c r="C27" s="1194">
        <f>TableA3!B27</f>
        <v>634.13536380108962</v>
      </c>
      <c r="D27" s="1195">
        <f t="shared" si="4"/>
        <v>0</v>
      </c>
      <c r="E27" s="1174">
        <f t="shared" si="5"/>
        <v>32.091665406409945</v>
      </c>
      <c r="F27" s="1153">
        <f>TableA5!F27+TableA5!I27+TableA5!J27</f>
        <v>32.091665406409945</v>
      </c>
      <c r="G27" s="1152">
        <f>TableB5!C27+TableB5!E27-(TableB5!G27+TableB5!I27)</f>
        <v>0</v>
      </c>
      <c r="H27" s="1152">
        <f t="shared" si="2"/>
        <v>0</v>
      </c>
      <c r="I27" s="1196"/>
      <c r="J27" s="1196"/>
      <c r="K27" s="156">
        <f t="shared" si="3"/>
        <v>602.04369839467972</v>
      </c>
      <c r="L27" s="496">
        <f>TableA3!H27/TableA6!B27</f>
        <v>0.26194231763861364</v>
      </c>
      <c r="M27" s="954"/>
    </row>
    <row r="28" spans="1:13" x14ac:dyDescent="0.2">
      <c r="A28" s="1149" t="s">
        <v>47</v>
      </c>
      <c r="B28" s="1193">
        <f t="shared" si="1"/>
        <v>248.21706968304588</v>
      </c>
      <c r="C28" s="1194">
        <f>TableA3!B28</f>
        <v>248.21706968304588</v>
      </c>
      <c r="D28" s="1195">
        <f t="shared" si="4"/>
        <v>0</v>
      </c>
      <c r="E28" s="1174">
        <f t="shared" si="5"/>
        <v>2.54407878701964</v>
      </c>
      <c r="F28" s="1153">
        <f>TableA5!F28+TableA5!I28+TableA5!J28</f>
        <v>2.5171388281503817</v>
      </c>
      <c r="G28" s="1152">
        <f>TableB5!C28+TableB5!E28-(TableB5!G28+TableB5!I28)</f>
        <v>2.6939958869258179E-2</v>
      </c>
      <c r="H28" s="1152">
        <f t="shared" si="2"/>
        <v>0</v>
      </c>
      <c r="I28" s="1196"/>
      <c r="J28" s="1196"/>
      <c r="K28" s="156">
        <f t="shared" si="3"/>
        <v>245.67299089602625</v>
      </c>
      <c r="L28" s="496">
        <f>TableA3!H28/TableA6!B28</f>
        <v>0.18360409812068557</v>
      </c>
      <c r="M28" s="954"/>
    </row>
    <row r="29" spans="1:13" x14ac:dyDescent="0.2">
      <c r="A29" s="1148" t="s">
        <v>48</v>
      </c>
      <c r="B29" s="1198">
        <f t="shared" si="1"/>
        <v>4.1858751479217755</v>
      </c>
      <c r="C29" s="1153">
        <f>TableA3!B29</f>
        <v>4.1858751479217755</v>
      </c>
      <c r="D29" s="1195">
        <f t="shared" si="4"/>
        <v>0</v>
      </c>
      <c r="E29" s="1174">
        <f t="shared" si="5"/>
        <v>1.2242246708432463</v>
      </c>
      <c r="F29" s="1153">
        <f>TableA5!F29+TableA5!I29+TableA5!J29</f>
        <v>1.2242246708432463</v>
      </c>
      <c r="G29" s="1152">
        <f>TableB5!C29+TableB5!E29-(TableB5!G29+TableB5!I29)</f>
        <v>0</v>
      </c>
      <c r="H29" s="1152">
        <f t="shared" si="2"/>
        <v>0</v>
      </c>
      <c r="I29" s="1196"/>
      <c r="J29" s="1196"/>
      <c r="K29" s="156">
        <f t="shared" si="3"/>
        <v>2.9616504770785292</v>
      </c>
      <c r="L29" s="496">
        <f>TableA3!H29/TableA6!B29</f>
        <v>0.10296717318914152</v>
      </c>
      <c r="M29" s="954"/>
    </row>
    <row r="30" spans="1:13" x14ac:dyDescent="0.2">
      <c r="A30" s="1148" t="s">
        <v>49</v>
      </c>
      <c r="B30" s="1198">
        <f t="shared" si="1"/>
        <v>91.027431841444567</v>
      </c>
      <c r="C30" s="1153">
        <f>TableA3!B30</f>
        <v>59.277065941780656</v>
      </c>
      <c r="D30" s="1195">
        <f t="shared" si="4"/>
        <v>31.750365899663908</v>
      </c>
      <c r="E30" s="1174">
        <f t="shared" si="5"/>
        <v>51.304832182529623</v>
      </c>
      <c r="F30" s="1153">
        <f>TableA5!F30+TableA5!I30+TableA5!J30</f>
        <v>18.831227236832017</v>
      </c>
      <c r="G30" s="1152">
        <f>1.5*TableB5!C30+TableB5!E30-(TableB5!G30+TableB5!I30)</f>
        <v>0.72323904603369726</v>
      </c>
      <c r="H30" s="1152">
        <f t="shared" si="2"/>
        <v>31.750365899663908</v>
      </c>
      <c r="I30" s="1196">
        <f>(1+TableA5!$O30)*TableB10!J30/1000</f>
        <v>25.181850111311352</v>
      </c>
      <c r="J30" s="1196">
        <f>MAX((1+TableA5!$O30)*TableB10!K30,0)/1000</f>
        <v>6.5685157883525562</v>
      </c>
      <c r="K30" s="156">
        <f t="shared" si="3"/>
        <v>39.722599658914945</v>
      </c>
      <c r="L30" s="496">
        <f>TableA3!H30/TableA6!B30</f>
        <v>2.7963025736591773E-2</v>
      </c>
      <c r="M30" s="954"/>
    </row>
    <row r="31" spans="1:13" x14ac:dyDescent="0.2">
      <c r="A31" s="1148" t="s">
        <v>50</v>
      </c>
      <c r="B31" s="1198">
        <f t="shared" si="1"/>
        <v>325.04468785135941</v>
      </c>
      <c r="C31" s="1153">
        <f>TableA3!B31</f>
        <v>325.04468785135941</v>
      </c>
      <c r="D31" s="1195">
        <f t="shared" si="4"/>
        <v>0</v>
      </c>
      <c r="E31" s="1174">
        <f t="shared" si="5"/>
        <v>23.460473720946542</v>
      </c>
      <c r="F31" s="1153">
        <f>TableA5!F31+TableA5!I31+TableA5!J31</f>
        <v>23.460473720946542</v>
      </c>
      <c r="G31" s="1152">
        <f>TableB5!C31+TableB5!E31-(TableB5!G31+TableB5!I31)</f>
        <v>0</v>
      </c>
      <c r="H31" s="1152">
        <f t="shared" si="2"/>
        <v>0</v>
      </c>
      <c r="I31" s="1196"/>
      <c r="J31" s="1196"/>
      <c r="K31" s="156">
        <f t="shared" si="3"/>
        <v>301.58421413041287</v>
      </c>
      <c r="L31" s="496">
        <f>TableA3!H31/TableA6!B31</f>
        <v>0.11500632352983997</v>
      </c>
      <c r="M31" s="954"/>
    </row>
    <row r="32" spans="1:13" x14ac:dyDescent="0.2">
      <c r="A32" s="1148" t="s">
        <v>51</v>
      </c>
      <c r="B32" s="1198">
        <f t="shared" si="1"/>
        <v>195.09598848383817</v>
      </c>
      <c r="C32" s="1153">
        <f>TableA3!B32</f>
        <v>159.74775386260217</v>
      </c>
      <c r="D32" s="1195">
        <f t="shared" si="4"/>
        <v>35.348234621235996</v>
      </c>
      <c r="E32" s="1174">
        <f t="shared" si="5"/>
        <v>89.333947018983608</v>
      </c>
      <c r="F32" s="1153">
        <f>TableA5!F32+TableA5!I32+TableA5!J32</f>
        <v>57.882610097976929</v>
      </c>
      <c r="G32" s="1152">
        <f>TableB5!C32+TableB5!E32-(TableB5!G32+TableB5!I32)</f>
        <v>-3.8968977002293173</v>
      </c>
      <c r="H32" s="1152">
        <f t="shared" si="2"/>
        <v>35.348234621235996</v>
      </c>
      <c r="I32" s="1196">
        <f>(1+TableA5!$O32)*TableB10!J32/1000</f>
        <v>24.814543255927351</v>
      </c>
      <c r="J32" s="1196">
        <f>MAX((1+TableA5!$O32)*TableB10!K32,0)/1000</f>
        <v>10.533691365308645</v>
      </c>
      <c r="K32" s="156">
        <f t="shared" si="3"/>
        <v>105.76204146485456</v>
      </c>
      <c r="L32" s="496">
        <f>TableA3!H32/TableA6!B32</f>
        <v>0.10484903843270543</v>
      </c>
      <c r="M32" s="954"/>
    </row>
    <row r="33" spans="1:12" x14ac:dyDescent="0.2">
      <c r="A33" s="1148" t="s">
        <v>52</v>
      </c>
      <c r="B33" s="1198">
        <f t="shared" si="1"/>
        <v>43.62366684525152</v>
      </c>
      <c r="C33" s="1153">
        <f>TableA3!B33</f>
        <v>43.62366684525152</v>
      </c>
      <c r="D33" s="1195">
        <f t="shared" si="4"/>
        <v>0</v>
      </c>
      <c r="E33" s="1174">
        <f t="shared" si="5"/>
        <v>6.2361538780448305</v>
      </c>
      <c r="F33" s="1153">
        <f>TableA5!F33+TableA5!I33+TableA5!J33</f>
        <v>6.2361538780448305</v>
      </c>
      <c r="G33" s="1152">
        <f>TableB5!C33+TableB5!E33-(TableB5!G33+TableB5!I33)</f>
        <v>0</v>
      </c>
      <c r="H33" s="1152">
        <f t="shared" si="2"/>
        <v>0</v>
      </c>
      <c r="I33" s="1196"/>
      <c r="J33" s="1196"/>
      <c r="K33" s="156">
        <f t="shared" si="3"/>
        <v>37.387512967206689</v>
      </c>
      <c r="L33" s="496">
        <f>TableA3!H33/TableA6!B33</f>
        <v>0.18235080869942946</v>
      </c>
    </row>
    <row r="34" spans="1:12" x14ac:dyDescent="0.2">
      <c r="A34" s="1148" t="s">
        <v>53</v>
      </c>
      <c r="B34" s="1198">
        <f t="shared" si="1"/>
        <v>76.129871814410606</v>
      </c>
      <c r="C34" s="1153">
        <f>TableA3!B34</f>
        <v>76.129871814410606</v>
      </c>
      <c r="D34" s="1195">
        <f t="shared" si="4"/>
        <v>0</v>
      </c>
      <c r="E34" s="1174">
        <f t="shared" si="5"/>
        <v>6.9090708256049158</v>
      </c>
      <c r="F34" s="1153">
        <f>TableA5!F34+TableA5!I34+TableA5!J34</f>
        <v>7.0951998138617984</v>
      </c>
      <c r="G34" s="1152">
        <f>TableB5!C34+TableB5!E34-(TableB5!G34+TableB5!I34)</f>
        <v>-0.18612898825688301</v>
      </c>
      <c r="H34" s="1152">
        <f t="shared" si="2"/>
        <v>0</v>
      </c>
      <c r="I34" s="1196"/>
      <c r="J34" s="1196"/>
      <c r="K34" s="156">
        <f t="shared" si="3"/>
        <v>69.220800988805692</v>
      </c>
      <c r="L34" s="496">
        <f>TableA3!H34/TableA6!B34</f>
        <v>0.22304226581791881</v>
      </c>
    </row>
    <row r="35" spans="1:12" x14ac:dyDescent="0.2">
      <c r="A35" s="1148" t="s">
        <v>54</v>
      </c>
      <c r="B35" s="1198">
        <f t="shared" si="1"/>
        <v>87.784586815227485</v>
      </c>
      <c r="C35" s="1153">
        <f>TableA3!B35</f>
        <v>87.784586815227485</v>
      </c>
      <c r="D35" s="1195">
        <f t="shared" si="4"/>
        <v>0</v>
      </c>
      <c r="E35" s="1174">
        <f t="shared" si="5"/>
        <v>19.384207569701928</v>
      </c>
      <c r="F35" s="1153">
        <f>TableA5!F35+TableA5!I35+TableA5!J35</f>
        <v>19.382320242863766</v>
      </c>
      <c r="G35" s="1152">
        <f>TableB5!C35+TableB5!E35-(TableB5!G35+TableB5!I35)</f>
        <v>1.8873268381630615E-3</v>
      </c>
      <c r="H35" s="1152">
        <f t="shared" si="2"/>
        <v>0</v>
      </c>
      <c r="I35" s="1196"/>
      <c r="J35" s="1196"/>
      <c r="K35" s="156">
        <f t="shared" si="3"/>
        <v>68.400379245525556</v>
      </c>
      <c r="L35" s="496">
        <f>TableA3!H35/TableA6!B35</f>
        <v>0.10004109953339942</v>
      </c>
    </row>
    <row r="36" spans="1:12" x14ac:dyDescent="0.2">
      <c r="A36" s="1148" t="s">
        <v>55</v>
      </c>
      <c r="B36" s="1198">
        <f t="shared" si="1"/>
        <v>26.618072907828797</v>
      </c>
      <c r="C36" s="1153">
        <f>TableA3!B36</f>
        <v>26.618072907828797</v>
      </c>
      <c r="D36" s="1195">
        <f t="shared" si="4"/>
        <v>0</v>
      </c>
      <c r="E36" s="1174">
        <f t="shared" si="5"/>
        <v>4.8218004507448811</v>
      </c>
      <c r="F36" s="1153">
        <f>TableA5!F36+TableA5!I36+TableA5!J36</f>
        <v>4.5394815588159849</v>
      </c>
      <c r="G36" s="1152">
        <f>TableB5!C36+TableB5!E36-(TableB5!G36+TableB5!I36)</f>
        <v>0.28231889192889648</v>
      </c>
      <c r="H36" s="1152">
        <f t="shared" si="2"/>
        <v>0</v>
      </c>
      <c r="I36" s="1196"/>
      <c r="J36" s="1196"/>
      <c r="K36" s="156">
        <f t="shared" si="3"/>
        <v>21.796272457083916</v>
      </c>
      <c r="L36" s="496">
        <f>TableA3!H36/TableA6!B36</f>
        <v>0.23389494144374526</v>
      </c>
    </row>
    <row r="37" spans="1:12" x14ac:dyDescent="0.2">
      <c r="A37" s="1148" t="s">
        <v>56</v>
      </c>
      <c r="B37" s="1198">
        <f t="shared" si="1"/>
        <v>11.604550057172386</v>
      </c>
      <c r="C37" s="1153">
        <f>TableA3!B37</f>
        <v>11.604550057172386</v>
      </c>
      <c r="D37" s="1195">
        <f t="shared" si="4"/>
        <v>0</v>
      </c>
      <c r="E37" s="1174">
        <f t="shared" si="5"/>
        <v>5.4939498259811472</v>
      </c>
      <c r="F37" s="1153">
        <f>TableA5!F37+TableA5!I37+TableA5!J37</f>
        <v>5.4939498259811472</v>
      </c>
      <c r="G37" s="1152">
        <f>TableB5!C37+TableB5!E37-(TableB5!G37+TableB5!I37)</f>
        <v>0</v>
      </c>
      <c r="H37" s="1152">
        <f t="shared" si="2"/>
        <v>0</v>
      </c>
      <c r="I37" s="1196"/>
      <c r="J37" s="1196"/>
      <c r="K37" s="156">
        <f t="shared" si="3"/>
        <v>6.1106002311912384</v>
      </c>
      <c r="L37" s="496">
        <f>TableA3!H37/TableA6!B37</f>
        <v>0.25136691949526291</v>
      </c>
    </row>
    <row r="38" spans="1:12" x14ac:dyDescent="0.2">
      <c r="A38" s="1148" t="s">
        <v>57</v>
      </c>
      <c r="B38" s="1198">
        <f t="shared" si="1"/>
        <v>3.417758487410429</v>
      </c>
      <c r="C38" s="1153">
        <f>TableA3!B38</f>
        <v>3.417758487410429</v>
      </c>
      <c r="D38" s="1195">
        <f t="shared" si="4"/>
        <v>0</v>
      </c>
      <c r="E38" s="1174">
        <f t="shared" si="5"/>
        <v>1.2522612330475162</v>
      </c>
      <c r="F38" s="1153">
        <f>TableA5!F38+TableA5!I38+TableA5!J38</f>
        <v>1.2522612330475162</v>
      </c>
      <c r="G38" s="1152">
        <f>TableB5!C38+TableB5!E38-(TableB5!G38+TableB5!I38)</f>
        <v>0</v>
      </c>
      <c r="H38" s="1152">
        <f t="shared" si="2"/>
        <v>0</v>
      </c>
      <c r="I38" s="1196"/>
      <c r="J38" s="1196"/>
      <c r="K38" s="156">
        <f t="shared" si="3"/>
        <v>2.1654972543629127</v>
      </c>
      <c r="L38" s="496">
        <f>TableA3!H38/TableA6!B38</f>
        <v>0.18430597322014902</v>
      </c>
    </row>
    <row r="39" spans="1:12" x14ac:dyDescent="0.2">
      <c r="A39" s="1148" t="s">
        <v>58</v>
      </c>
      <c r="B39" s="1198">
        <f t="shared" si="1"/>
        <v>158.95366208289389</v>
      </c>
      <c r="C39" s="1153">
        <f>TableA3!B39</f>
        <v>158.95366208289389</v>
      </c>
      <c r="D39" s="1195">
        <f t="shared" si="4"/>
        <v>0</v>
      </c>
      <c r="E39" s="1174">
        <f t="shared" si="5"/>
        <v>20.844161911169302</v>
      </c>
      <c r="F39" s="1153">
        <f>TableA5!F39+TableA5!I39+TableA5!J39</f>
        <v>20.750419645412595</v>
      </c>
      <c r="G39" s="1152">
        <f>TableB5!C39+TableB5!E39-(TableB5!G39+TableB5!I39)</f>
        <v>9.3742265756707077E-2</v>
      </c>
      <c r="H39" s="1152">
        <f t="shared" si="2"/>
        <v>0</v>
      </c>
      <c r="I39" s="1196"/>
      <c r="J39" s="1196"/>
      <c r="K39" s="156">
        <f t="shared" si="3"/>
        <v>138.10950017172459</v>
      </c>
      <c r="L39" s="496">
        <f>TableA3!H39/TableA6!B39</f>
        <v>0.17854513612704259</v>
      </c>
    </row>
    <row r="40" spans="1:12" x14ac:dyDescent="0.2">
      <c r="A40" s="1074" t="s">
        <v>59</v>
      </c>
      <c r="B40" s="1199">
        <f t="shared" si="1"/>
        <v>63.367762356160583</v>
      </c>
      <c r="C40" s="1107">
        <f>TableA3!B40</f>
        <v>63.367762356160583</v>
      </c>
      <c r="D40" s="1195">
        <f t="shared" si="4"/>
        <v>0</v>
      </c>
      <c r="E40" s="1174">
        <f t="shared" si="5"/>
        <v>24.473912269549327</v>
      </c>
      <c r="F40" s="1153">
        <f>TableA5!F40+TableA5!I40+TableA5!J40</f>
        <v>24.073155938054335</v>
      </c>
      <c r="G40" s="1152">
        <f>TableB5!C40+TableB5!E40-(TableB5!G40+TableB5!I40)</f>
        <v>0.40075633149499124</v>
      </c>
      <c r="H40" s="1152">
        <f t="shared" si="2"/>
        <v>0</v>
      </c>
      <c r="I40" s="1196"/>
      <c r="J40" s="1196"/>
      <c r="K40" s="156">
        <f t="shared" si="3"/>
        <v>38.893850086611252</v>
      </c>
      <c r="L40" s="496">
        <f>TableA3!H40/TableA6!B40</f>
        <v>0.23240677496786705</v>
      </c>
    </row>
    <row r="41" spans="1:12" x14ac:dyDescent="0.2">
      <c r="A41" s="1148" t="s">
        <v>60</v>
      </c>
      <c r="B41" s="1198">
        <f t="shared" si="1"/>
        <v>94.889238877326122</v>
      </c>
      <c r="C41" s="1153">
        <f>TableA3!B41</f>
        <v>94.889238877326122</v>
      </c>
      <c r="D41" s="1195">
        <f t="shared" si="4"/>
        <v>0</v>
      </c>
      <c r="E41" s="1174">
        <f t="shared" si="5"/>
        <v>60.313127140541056</v>
      </c>
      <c r="F41" s="1153">
        <f>TableA5!F41+TableA5!I41+TableA5!J41</f>
        <v>57.321888271383756</v>
      </c>
      <c r="G41" s="1152">
        <f>TableB5!C41+TableB5!E41-(TableB5!G41+TableB5!I41)</f>
        <v>2.9912388691572991</v>
      </c>
      <c r="H41" s="1152">
        <f t="shared" si="2"/>
        <v>0</v>
      </c>
      <c r="I41" s="1196"/>
      <c r="J41" s="1196"/>
      <c r="K41" s="156">
        <f t="shared" si="3"/>
        <v>34.576111736785066</v>
      </c>
      <c r="L41" s="496">
        <f>TableA3!H41/TableA6!B41</f>
        <v>0.21188216848158226</v>
      </c>
    </row>
    <row r="42" spans="1:12" x14ac:dyDescent="0.2">
      <c r="A42" s="1148" t="s">
        <v>61</v>
      </c>
      <c r="B42" s="1198">
        <f t="shared" si="1"/>
        <v>212.59949330572061</v>
      </c>
      <c r="C42" s="1153">
        <f>TableA3!B42</f>
        <v>212.59949330572061</v>
      </c>
      <c r="D42" s="1195">
        <f t="shared" si="4"/>
        <v>0</v>
      </c>
      <c r="E42" s="1174">
        <f t="shared" si="5"/>
        <v>3.6081037546987877</v>
      </c>
      <c r="F42" s="1153">
        <f>TableA5!F42+TableA5!I42+TableA5!J42</f>
        <v>3.6081037546987877</v>
      </c>
      <c r="G42" s="1152">
        <f>TableB5!C42+TableB5!E42-(TableB5!G42+TableB5!I42)</f>
        <v>0</v>
      </c>
      <c r="H42" s="1152">
        <f t="shared" si="2"/>
        <v>0</v>
      </c>
      <c r="I42" s="1196"/>
      <c r="J42" s="1196"/>
      <c r="K42" s="156">
        <f t="shared" si="3"/>
        <v>208.99138955102183</v>
      </c>
      <c r="L42" s="496">
        <f>TableA3!H42/TableA6!B42</f>
        <v>5.7737739505824968E-2</v>
      </c>
    </row>
    <row r="43" spans="1:12" x14ac:dyDescent="0.2">
      <c r="A43" s="1148" t="s">
        <v>62</v>
      </c>
      <c r="B43" s="1198">
        <f t="shared" si="1"/>
        <v>425.05098961874262</v>
      </c>
      <c r="C43" s="1153">
        <f>TableA3!B43</f>
        <v>425.05098961874262</v>
      </c>
      <c r="D43" s="1195">
        <f t="shared" si="4"/>
        <v>0</v>
      </c>
      <c r="E43" s="1174">
        <f t="shared" si="5"/>
        <v>72.19500365863982</v>
      </c>
      <c r="F43" s="1153">
        <f>TableA5!F43+TableA5!I43+TableA5!J43</f>
        <v>72.19500365863982</v>
      </c>
      <c r="G43" s="1152">
        <f>TableB5!C43+TableB5!E43-(TableB5!G43+TableB5!I43)</f>
        <v>0</v>
      </c>
      <c r="H43" s="1152">
        <f t="shared" si="2"/>
        <v>0</v>
      </c>
      <c r="I43" s="1196"/>
      <c r="J43" s="1196"/>
      <c r="K43" s="156">
        <f t="shared" si="3"/>
        <v>352.85598596010277</v>
      </c>
      <c r="L43" s="496">
        <f>TableA3!H43/TableA6!B43</f>
        <v>0.16514206638750611</v>
      </c>
    </row>
    <row r="44" spans="1:12" x14ac:dyDescent="0.2">
      <c r="A44" s="1148" t="s">
        <v>63</v>
      </c>
      <c r="B44" s="1198">
        <f t="shared" si="1"/>
        <v>1889.3969000000002</v>
      </c>
      <c r="C44" s="1153">
        <f>TableA3!B44</f>
        <v>1889.3969000000002</v>
      </c>
      <c r="D44" s="1195">
        <f t="shared" si="4"/>
        <v>0</v>
      </c>
      <c r="E44" s="1174">
        <f t="shared" si="5"/>
        <v>152.79999999999998</v>
      </c>
      <c r="F44" s="1153">
        <f>TableA5!F44+TableA5!I44+TableA5!J44</f>
        <v>152.79999999999998</v>
      </c>
      <c r="G44" s="1152">
        <f>TableB5!C44+TableB5!E44-(TableB5!G44+TableB5!I44)</f>
        <v>0</v>
      </c>
      <c r="H44" s="1152">
        <f t="shared" si="2"/>
        <v>0</v>
      </c>
      <c r="I44" s="1196"/>
      <c r="J44" s="1196"/>
      <c r="K44" s="156">
        <f t="shared" si="3"/>
        <v>1736.5969000000002</v>
      </c>
      <c r="L44" s="496">
        <f>TableA3!H44/TableA6!B44</f>
        <v>0.21434974303175788</v>
      </c>
    </row>
    <row r="45" spans="1:12" ht="34" x14ac:dyDescent="0.2">
      <c r="A45" s="7" t="s">
        <v>64</v>
      </c>
      <c r="B45" s="1200">
        <f t="shared" si="1"/>
        <v>3157.101545061153</v>
      </c>
      <c r="C45" s="13">
        <f>TableA3!B45</f>
        <v>3157.101545061153</v>
      </c>
      <c r="D45" s="297">
        <f t="shared" ref="D45:J45" si="6">SUM(D46:D52)</f>
        <v>0</v>
      </c>
      <c r="E45" s="1201">
        <f t="shared" si="6"/>
        <v>253.30348219544206</v>
      </c>
      <c r="F45" s="245">
        <f t="shared" si="6"/>
        <v>253.30348219544206</v>
      </c>
      <c r="G45" s="245">
        <f t="shared" si="6"/>
        <v>0</v>
      </c>
      <c r="H45" s="275">
        <f t="shared" si="6"/>
        <v>0</v>
      </c>
      <c r="I45" s="245">
        <f t="shared" si="6"/>
        <v>0</v>
      </c>
      <c r="J45" s="245">
        <f t="shared" si="6"/>
        <v>0</v>
      </c>
      <c r="K45" s="304">
        <f t="shared" si="3"/>
        <v>2903.798062865711</v>
      </c>
      <c r="L45" s="496">
        <f>TableA3!G45/TableA6!B45</f>
        <v>0.18757638370366683</v>
      </c>
    </row>
    <row r="46" spans="1:12" x14ac:dyDescent="0.2">
      <c r="A46" s="1149" t="s">
        <v>65</v>
      </c>
      <c r="B46" s="1193">
        <f t="shared" si="1"/>
        <v>274.33569999999997</v>
      </c>
      <c r="C46" s="1194">
        <f>TableA3!B46</f>
        <v>274.33569999999997</v>
      </c>
      <c r="D46" s="1195">
        <f>H46</f>
        <v>0</v>
      </c>
      <c r="E46" s="1174">
        <f t="shared" ref="E46:E52" si="7">F46+G46+H46</f>
        <v>29.642380154899492</v>
      </c>
      <c r="F46" s="1153">
        <f>TableA5!F46+TableA5!I46+TableA5!J46</f>
        <v>29.642380154899492</v>
      </c>
      <c r="G46" s="1152">
        <f>TableB5!C46+TableB5!E46-(TableB5!G46+TableB5!I46)</f>
        <v>0</v>
      </c>
      <c r="H46" s="1152">
        <f t="shared" ref="H46:H52" si="8">I46+J46</f>
        <v>0</v>
      </c>
      <c r="I46" s="1035"/>
      <c r="J46" s="1035"/>
      <c r="K46" s="156">
        <f t="shared" si="3"/>
        <v>244.69331984510049</v>
      </c>
      <c r="L46" s="496">
        <f>TableA3!G46/TableA6!B46</f>
        <v>0.19512114040962047</v>
      </c>
    </row>
    <row r="47" spans="1:12" x14ac:dyDescent="0.2">
      <c r="A47" s="1148" t="s">
        <v>66</v>
      </c>
      <c r="B47" s="1198">
        <f t="shared" si="1"/>
        <v>2068.7040725409047</v>
      </c>
      <c r="C47" s="1153">
        <f>TableA3!B47</f>
        <v>2068.7040725409047</v>
      </c>
      <c r="D47" s="1195">
        <f t="shared" ref="D47:D52" si="9">H47</f>
        <v>0</v>
      </c>
      <c r="E47" s="1174">
        <f t="shared" si="7"/>
        <v>162.29225058924547</v>
      </c>
      <c r="F47" s="1153">
        <f>TableA5!F47+TableA5!I47+TableA5!J47</f>
        <v>162.29225058924547</v>
      </c>
      <c r="G47" s="1152">
        <f>TableB5!C47+TableB5!E47-(TableB5!G47+TableB5!I47)</f>
        <v>0</v>
      </c>
      <c r="H47" s="1152">
        <f t="shared" si="8"/>
        <v>0</v>
      </c>
      <c r="I47" s="1035"/>
      <c r="J47" s="1035"/>
      <c r="K47" s="156">
        <f t="shared" si="3"/>
        <v>1906.4118219516592</v>
      </c>
      <c r="L47" s="496">
        <f>TableA3!G47/TableA6!B47</f>
        <v>0.20396568806595239</v>
      </c>
    </row>
    <row r="48" spans="1:12" x14ac:dyDescent="0.2">
      <c r="A48" s="1148" t="s">
        <v>67</v>
      </c>
      <c r="B48" s="1198">
        <f t="shared" si="1"/>
        <v>58.600733808963028</v>
      </c>
      <c r="C48" s="1153">
        <f>TableA3!B48</f>
        <v>58.600733808963028</v>
      </c>
      <c r="D48" s="1195">
        <f t="shared" si="9"/>
        <v>0</v>
      </c>
      <c r="E48" s="1174">
        <f t="shared" si="7"/>
        <v>6.7581585025254878</v>
      </c>
      <c r="F48" s="1153">
        <f>TableA5!F48+TableA5!I48+TableA5!J48</f>
        <v>6.7581585025254878</v>
      </c>
      <c r="G48" s="1152">
        <f>TableB5!C48+TableB5!E48-(TableB5!G48+TableB5!I48)</f>
        <v>0</v>
      </c>
      <c r="H48" s="1152">
        <f t="shared" si="8"/>
        <v>0</v>
      </c>
      <c r="I48" s="1035"/>
      <c r="J48" s="1035"/>
      <c r="K48" s="156">
        <f t="shared" si="3"/>
        <v>51.842575306437539</v>
      </c>
      <c r="L48" s="496">
        <f>TableA3!G48/TableA6!B48</f>
        <v>0.29059680575582675</v>
      </c>
    </row>
    <row r="49" spans="1:12" x14ac:dyDescent="0.2">
      <c r="A49" s="1148" t="s">
        <v>68</v>
      </c>
      <c r="B49" s="1198">
        <f t="shared" si="1"/>
        <v>13.202740172271037</v>
      </c>
      <c r="C49" s="1153">
        <f>TableA3!B49</f>
        <v>13.202740172271037</v>
      </c>
      <c r="D49" s="1195">
        <f t="shared" si="9"/>
        <v>0</v>
      </c>
      <c r="E49" s="1174">
        <f t="shared" si="7"/>
        <v>1.0992314060745381</v>
      </c>
      <c r="F49" s="1153">
        <f>TableA5!F49+TableA5!I49+TableA5!J49</f>
        <v>1.0992314060745381</v>
      </c>
      <c r="G49" s="1152">
        <f>TableB5!C49+TableB5!E49-(TableB5!G49+TableB5!I49)</f>
        <v>0</v>
      </c>
      <c r="H49" s="1152">
        <f t="shared" si="8"/>
        <v>0</v>
      </c>
      <c r="I49" s="1035"/>
      <c r="J49" s="1035"/>
      <c r="K49" s="156">
        <f t="shared" si="3"/>
        <v>12.103508766196498</v>
      </c>
      <c r="L49" s="496">
        <f>TableA3!G49/TableA6!B49</f>
        <v>0.1165985538315733</v>
      </c>
    </row>
    <row r="50" spans="1:12" x14ac:dyDescent="0.2">
      <c r="A50" s="1148" t="s">
        <v>69</v>
      </c>
      <c r="B50" s="1198">
        <f t="shared" si="1"/>
        <v>376.12710693199818</v>
      </c>
      <c r="C50" s="1153">
        <f>TableA3!B50</f>
        <v>376.12710693199818</v>
      </c>
      <c r="D50" s="1195">
        <f t="shared" si="9"/>
        <v>0</v>
      </c>
      <c r="E50" s="1174">
        <f t="shared" si="7"/>
        <v>7.7329709258650219</v>
      </c>
      <c r="F50" s="1153">
        <f>TableA5!F50+TableA5!I50+TableA5!J50</f>
        <v>7.7329709258650219</v>
      </c>
      <c r="G50" s="1152">
        <f>TableB5!C50+TableB5!E50-(TableB5!G50+TableB5!I50)</f>
        <v>0</v>
      </c>
      <c r="H50" s="1152">
        <f t="shared" si="8"/>
        <v>0</v>
      </c>
      <c r="I50" s="1035"/>
      <c r="J50" s="1035"/>
      <c r="K50" s="156">
        <f t="shared" si="3"/>
        <v>368.39413600613318</v>
      </c>
      <c r="L50" s="496">
        <f>TableA3!G50/TableA6!B50</f>
        <v>9.9375912586799398E-2</v>
      </c>
    </row>
    <row r="51" spans="1:12" x14ac:dyDescent="0.2">
      <c r="A51" s="1148" t="s">
        <v>70</v>
      </c>
      <c r="B51" s="1198">
        <f t="shared" si="1"/>
        <v>289.6640115913587</v>
      </c>
      <c r="C51" s="1153">
        <f>TableA3!B51</f>
        <v>289.6640115913587</v>
      </c>
      <c r="D51" s="1195">
        <f t="shared" si="9"/>
        <v>0</v>
      </c>
      <c r="E51" s="1174">
        <f t="shared" si="7"/>
        <v>37.035306707060499</v>
      </c>
      <c r="F51" s="1153">
        <f>TableA5!F51+TableA5!I51+TableA5!J51</f>
        <v>37.035306707060499</v>
      </c>
      <c r="G51" s="1152">
        <f>TableB5!C51+TableB5!E51-(TableB5!G51+TableB5!I51)</f>
        <v>0</v>
      </c>
      <c r="H51" s="1152">
        <f t="shared" si="8"/>
        <v>0</v>
      </c>
      <c r="I51" s="1035"/>
      <c r="J51" s="1035"/>
      <c r="K51" s="156">
        <f t="shared" si="3"/>
        <v>252.6287048842982</v>
      </c>
      <c r="L51" s="496">
        <f>TableA3!G51/TableA6!B51</f>
        <v>0.14496428366386327</v>
      </c>
    </row>
    <row r="52" spans="1:12" x14ac:dyDescent="0.2">
      <c r="A52" s="1148" t="s">
        <v>71</v>
      </c>
      <c r="B52" s="1198">
        <f t="shared" si="1"/>
        <v>76.467180015656993</v>
      </c>
      <c r="C52" s="1153">
        <f>TableA3!B52</f>
        <v>76.467180015656993</v>
      </c>
      <c r="D52" s="1195">
        <f t="shared" si="9"/>
        <v>0</v>
      </c>
      <c r="E52" s="1174">
        <f t="shared" si="7"/>
        <v>8.7431839097715454</v>
      </c>
      <c r="F52" s="1153">
        <f>TableA5!F52+TableA5!I52+TableA5!J52</f>
        <v>8.7431839097715454</v>
      </c>
      <c r="G52" s="1152">
        <f>TableB5!C52+TableB5!E52-(TableB5!G52+TableB5!I52)</f>
        <v>0</v>
      </c>
      <c r="H52" s="1152">
        <f t="shared" si="8"/>
        <v>0</v>
      </c>
      <c r="I52" s="1035"/>
      <c r="J52" s="1035"/>
      <c r="K52" s="156">
        <f t="shared" si="3"/>
        <v>67.723996105885448</v>
      </c>
      <c r="L52" s="496">
        <f>TableA3!G52/TableA6!B52</f>
        <v>0.24568487670387729</v>
      </c>
    </row>
    <row r="53" spans="1:12" ht="34" x14ac:dyDescent="0.2">
      <c r="A53" s="7" t="s">
        <v>72</v>
      </c>
      <c r="B53" s="1200">
        <f t="shared" si="1"/>
        <v>485.7522611396821</v>
      </c>
      <c r="C53" s="13">
        <f>SUM(C54:C89)</f>
        <v>298.79844880635773</v>
      </c>
      <c r="D53" s="13">
        <f>SUM(D54:D89)</f>
        <v>186.95381233332435</v>
      </c>
      <c r="E53" s="1201">
        <f>B53-K53</f>
        <v>379.64154036573251</v>
      </c>
      <c r="F53" s="245">
        <f t="shared" ref="F53:K53" si="10">SUM(F54:F89)</f>
        <v>148.52913964752258</v>
      </c>
      <c r="G53" s="245">
        <f t="shared" si="10"/>
        <v>0</v>
      </c>
      <c r="H53" s="275">
        <f t="shared" si="10"/>
        <v>231.11240071820998</v>
      </c>
      <c r="I53" s="245">
        <f t="shared" si="10"/>
        <v>39.447339530225932</v>
      </c>
      <c r="J53" s="245">
        <f t="shared" si="10"/>
        <v>182.25557335301622</v>
      </c>
      <c r="K53" s="304">
        <f t="shared" si="10"/>
        <v>106.11072077394961</v>
      </c>
      <c r="L53" s="496">
        <f>TableA3!G53/TableA6!B53</f>
        <v>7.00691340466289E-2</v>
      </c>
    </row>
    <row r="54" spans="1:12" x14ac:dyDescent="0.2">
      <c r="A54" s="1148" t="s">
        <v>73</v>
      </c>
      <c r="B54" s="1198">
        <f t="shared" si="1"/>
        <v>1.2179448838266</v>
      </c>
      <c r="C54" s="1153">
        <f>TableA3!B54</f>
        <v>1.2179448838266</v>
      </c>
      <c r="D54" s="1153">
        <f>(1+0.05)*MAX(0,(TableB10!I54+TableB10!L54+TableB10!M54-TableB10!R54))/1000</f>
        <v>0</v>
      </c>
      <c r="E54" s="1201">
        <f>B54-K54</f>
        <v>1.0713339190228408</v>
      </c>
      <c r="F54" s="1153">
        <f>TableA5!F54+TableA5!I54+TableA5!J54</f>
        <v>-3.4421052631578949E-2</v>
      </c>
      <c r="G54" s="1152">
        <v>0</v>
      </c>
      <c r="H54" s="1202">
        <f>E54-F54-G54</f>
        <v>1.1057549716544197</v>
      </c>
      <c r="I54" s="1196">
        <f>H54*TableB10!J54/(TableB10!I54+TableB10!M54)</f>
        <v>0</v>
      </c>
      <c r="J54" s="1196">
        <f>H54-I54</f>
        <v>1.1057549716544197</v>
      </c>
      <c r="K54" s="156">
        <f>TableA7!O54*TableA4!G54</f>
        <v>0.14661096480375915</v>
      </c>
      <c r="L54" s="496">
        <f>TableA3!G54/TableA6!B54</f>
        <v>0.05</v>
      </c>
    </row>
    <row r="55" spans="1:12" x14ac:dyDescent="0.2">
      <c r="A55" s="1148" t="s">
        <v>74</v>
      </c>
      <c r="B55" s="1198">
        <f t="shared" si="1"/>
        <v>0.23996156292186116</v>
      </c>
      <c r="C55" s="1153">
        <f>TableA3!B55</f>
        <v>0.11526214699326522</v>
      </c>
      <c r="D55" s="1153">
        <f>(1+0.05)*MAX(0,(TableB10!I55+TableB10!L55+TableB10!M55-TableB10!R55))/1000</f>
        <v>0.12469941592859593</v>
      </c>
      <c r="E55" s="1201">
        <f>B55-K55</f>
        <v>0.22608681761471922</v>
      </c>
      <c r="F55" s="1153">
        <f>TableA5!F55+TableA5!I55+TableA5!J55</f>
        <v>0.10270000000000001</v>
      </c>
      <c r="G55" s="1152">
        <v>0</v>
      </c>
      <c r="H55" s="1202">
        <f>E55-F55-G55</f>
        <v>0.1233868176147192</v>
      </c>
      <c r="I55" s="1196">
        <f>H55*TableB10!J55/(TableB10!I55+TableB10!M55)</f>
        <v>0</v>
      </c>
      <c r="J55" s="1196">
        <f>H55-I55</f>
        <v>0.1233868176147192</v>
      </c>
      <c r="K55" s="156">
        <f>TableA7!O55*TableA4!G55</f>
        <v>1.3874745307141934E-2</v>
      </c>
      <c r="L55" s="496">
        <f>TableA3!G55/TableA6!B55</f>
        <v>0</v>
      </c>
    </row>
    <row r="56" spans="1:12" x14ac:dyDescent="0.2">
      <c r="A56" s="1148" t="str">
        <f>+TableA1!A56</f>
        <v>Antigua and Barbuda</v>
      </c>
      <c r="B56" s="1198">
        <f t="shared" si="1"/>
        <v>0.83688997048164881</v>
      </c>
      <c r="C56" s="1153">
        <f>TableA3!B56</f>
        <v>0.74419221854700335</v>
      </c>
      <c r="D56" s="1153">
        <f>(1+0.05)*MAX(0,(TableB10!I56+TableB10!L56+TableB10!M56-TableB10!R56))/1000</f>
        <v>9.2697751934645412E-2</v>
      </c>
      <c r="E56" s="1201">
        <f t="shared" ref="E56:E89" si="11">B56-K56</f>
        <v>0.80975658198969502</v>
      </c>
      <c r="F56" s="1153">
        <f>TableA5!F56+TableA5!I56+TableA5!J56</f>
        <v>8.0947368421052643E-2</v>
      </c>
      <c r="G56" s="1152">
        <v>0</v>
      </c>
      <c r="H56" s="1202">
        <f t="shared" ref="H56:H89" si="12">E56-F56-G56</f>
        <v>0.72880921356864237</v>
      </c>
      <c r="I56" s="1196">
        <f>H56*TableB10!J56/(TableB10!I56+TableB10!M56)</f>
        <v>0</v>
      </c>
      <c r="J56" s="1196">
        <f t="shared" ref="J56:J78" si="13">H56-I56</f>
        <v>0.72880921356864237</v>
      </c>
      <c r="K56" s="156">
        <f>TableA7!O56*TableA4!G56</f>
        <v>2.7133388491953736E-2</v>
      </c>
      <c r="L56" s="496">
        <f>TableA3!G56/TableA6!B56</f>
        <v>4.4461771845509403E-2</v>
      </c>
    </row>
    <row r="57" spans="1:12" x14ac:dyDescent="0.2">
      <c r="A57" s="1148" t="s">
        <v>76</v>
      </c>
      <c r="B57" s="1198">
        <f t="shared" si="1"/>
        <v>1.0830039076807072</v>
      </c>
      <c r="C57" s="1153">
        <f>TableA3!B57</f>
        <v>1.0830039076807072</v>
      </c>
      <c r="D57" s="1153">
        <f>(1+0.05)*MAX(0,(TableB10!I57+TableB10!L57+TableB10!M57-TableB10!R57))/1000</f>
        <v>0</v>
      </c>
      <c r="E57" s="1201">
        <f t="shared" si="11"/>
        <v>0.95263604569226357</v>
      </c>
      <c r="F57" s="1169">
        <f>TableA5!F57+TableA5!I57+TableA5!J57</f>
        <v>4.3910614526315783E-2</v>
      </c>
      <c r="G57" s="1152">
        <v>0</v>
      </c>
      <c r="H57" s="1202">
        <f t="shared" si="12"/>
        <v>0.90872543116594784</v>
      </c>
      <c r="I57" s="1196">
        <f>H57*TableB10!J57/(TableB10!I57+TableB10!M57)</f>
        <v>0</v>
      </c>
      <c r="J57" s="1196">
        <f t="shared" si="13"/>
        <v>0.90872543116594784</v>
      </c>
      <c r="K57" s="156">
        <f>TableA7!O57*TableA4!G57</f>
        <v>0.13036786198844358</v>
      </c>
      <c r="L57" s="496">
        <f>TableA3!G57/TableA6!B57</f>
        <v>0.05</v>
      </c>
    </row>
    <row r="58" spans="1:12" x14ac:dyDescent="0.2">
      <c r="A58" s="1148" t="s">
        <v>152</v>
      </c>
      <c r="B58" s="1198">
        <f t="shared" si="1"/>
        <v>7.5674507528223769</v>
      </c>
      <c r="C58" s="1153">
        <f>TableA3!B58</f>
        <v>6.4122604015352946</v>
      </c>
      <c r="D58" s="1153">
        <f>(1+0.05)*MAX(0,(TableB10!I58+TableB10!L58+TableB10!M58-TableB10!R58))/1000</f>
        <v>1.1551903512870825</v>
      </c>
      <c r="E58" s="1201">
        <f t="shared" si="11"/>
        <v>7.4256876071944387</v>
      </c>
      <c r="F58" s="1153">
        <f>TableA5!F58+TableA5!I58+TableA5!J58</f>
        <v>0.73882524149671891</v>
      </c>
      <c r="G58" s="1152">
        <v>0</v>
      </c>
      <c r="H58" s="1202">
        <f t="shared" si="12"/>
        <v>6.6868623656977197</v>
      </c>
      <c r="I58" s="1196">
        <f>H58*TableB10!J58/(TableB10!I58+TableB10!M58)</f>
        <v>5.4593606357566831</v>
      </c>
      <c r="J58" s="1196">
        <f t="shared" si="13"/>
        <v>1.2275017299410367</v>
      </c>
      <c r="K58" s="156">
        <f>TableA7!O58*TableA4!G58</f>
        <v>0.1417631456279379</v>
      </c>
      <c r="L58" s="496">
        <f>TableA3!G58/TableA6!B58</f>
        <v>0</v>
      </c>
    </row>
    <row r="59" spans="1:12" x14ac:dyDescent="0.2">
      <c r="A59" s="1148" t="s">
        <v>78</v>
      </c>
      <c r="B59" s="1198">
        <f t="shared" si="1"/>
        <v>12.818630643859262</v>
      </c>
      <c r="C59" s="1153">
        <f>TableA3!B59</f>
        <v>12.031979600790283</v>
      </c>
      <c r="D59" s="1153">
        <f>(1+0.05)*MAX(0,(TableB10!I59+TableB10!L59+TableB10!M59-TableB10!R59))/1000</f>
        <v>0.78665104306897782</v>
      </c>
      <c r="E59" s="1201">
        <f t="shared" si="11"/>
        <v>9.9035637652207527</v>
      </c>
      <c r="F59" s="1153">
        <f>TableA5!F59+TableA5!I59+TableA5!J59</f>
        <v>0.64260805649591424</v>
      </c>
      <c r="G59" s="1152">
        <v>0</v>
      </c>
      <c r="H59" s="1202">
        <f t="shared" si="12"/>
        <v>9.260955708724838</v>
      </c>
      <c r="I59" s="1196">
        <f>H59*TableB10!J59/(TableB10!I59+TableB10!M59)</f>
        <v>0.97472956871812955</v>
      </c>
      <c r="J59" s="1196">
        <f t="shared" si="13"/>
        <v>8.2862261400067077</v>
      </c>
      <c r="K59" s="156">
        <f>TableA7!O59*TableA4!G59</f>
        <v>2.9150668786385086</v>
      </c>
      <c r="L59" s="496">
        <f>TableA3!G59/TableA6!B59</f>
        <v>0</v>
      </c>
    </row>
    <row r="60" spans="1:12" x14ac:dyDescent="0.2">
      <c r="A60" s="1148" t="str">
        <f>+TableA1!A60</f>
        <v>Barbados</v>
      </c>
      <c r="B60" s="1198">
        <f t="shared" si="1"/>
        <v>4.7927919009162316</v>
      </c>
      <c r="C60" s="1153">
        <f>TableA3!B60</f>
        <v>2.4710292318886387</v>
      </c>
      <c r="D60" s="1153">
        <f>(1+0.05)*MAX(0,(TableB10!I60+TableB10!L60+TableB10!M60-TableB10!R60))/1000</f>
        <v>2.3217626690275925</v>
      </c>
      <c r="E60" s="1201">
        <f t="shared" si="11"/>
        <v>4.6934588361797722</v>
      </c>
      <c r="F60" s="1153">
        <f>TableA5!F60+TableA5!I60+TableA5!J60</f>
        <v>1.995568279303424</v>
      </c>
      <c r="G60" s="1152">
        <v>0</v>
      </c>
      <c r="H60" s="1202">
        <f t="shared" si="12"/>
        <v>2.6978905568763483</v>
      </c>
      <c r="I60" s="1196">
        <f>H60*TableB10!J60/(TableB10!I60+TableB10!M60)</f>
        <v>1.6047481432502093</v>
      </c>
      <c r="J60" s="1196">
        <f t="shared" si="13"/>
        <v>1.093142413626139</v>
      </c>
      <c r="K60" s="156">
        <f>TableA7!O60*TableA4!G60</f>
        <v>9.933306473645917E-2</v>
      </c>
      <c r="L60" s="496">
        <f>TableA3!G60/TableA6!B60</f>
        <v>2.5778599227480076E-2</v>
      </c>
    </row>
    <row r="61" spans="1:12" x14ac:dyDescent="0.2">
      <c r="A61" s="1148" t="s">
        <v>80</v>
      </c>
      <c r="B61" s="1198">
        <f t="shared" si="1"/>
        <v>0.96228953856820065</v>
      </c>
      <c r="C61" s="1153">
        <f>TableA3!B61</f>
        <v>0.93652438608518407</v>
      </c>
      <c r="D61" s="1153">
        <f>(1+0.05)*MAX(0,(TableB10!I61+TableB10!L61+TableB10!M61-TableB10!R61))/1000</f>
        <v>2.5765152483016581E-2</v>
      </c>
      <c r="E61" s="1201">
        <f t="shared" si="11"/>
        <v>0.92373045597548575</v>
      </c>
      <c r="F61" s="1203">
        <f>TableA5!F61+TableA5!I61+TableA5!J61</f>
        <v>6.4989477700000006E-2</v>
      </c>
      <c r="G61" s="1152">
        <v>0</v>
      </c>
      <c r="H61" s="1202">
        <f t="shared" si="12"/>
        <v>0.85874097827548579</v>
      </c>
      <c r="I61" s="1196">
        <f>H61*TableB10!J61/(TableB10!I61+TableB10!M61)</f>
        <v>6.9992058287534867E-2</v>
      </c>
      <c r="J61" s="1196">
        <f t="shared" si="13"/>
        <v>0.78874891998795094</v>
      </c>
      <c r="K61" s="156">
        <f>TableA7!O61*TableA4!G61</f>
        <v>3.855908259271492E-2</v>
      </c>
      <c r="L61" s="496">
        <f>TableA3!G61/TableA6!B61</f>
        <v>0</v>
      </c>
    </row>
    <row r="62" spans="1:12" x14ac:dyDescent="0.2">
      <c r="A62" s="1148" t="s">
        <v>81</v>
      </c>
      <c r="B62" s="1198">
        <f t="shared" si="1"/>
        <v>25.438024032487199</v>
      </c>
      <c r="C62" s="1153">
        <f>TableA3!B62</f>
        <v>1.7711671665296007</v>
      </c>
      <c r="D62" s="1153">
        <f>(1+0.05)*MAX(0,(TableB10!I62+TableB10!L62+TableB10!M62-TableB10!R62))/1000</f>
        <v>23.666856865957598</v>
      </c>
      <c r="E62" s="1201">
        <f t="shared" si="11"/>
        <v>24.545618103452078</v>
      </c>
      <c r="F62" s="1169">
        <f>TableA5!F62+TableA5!I62+TableA5!J62</f>
        <v>15.447398527436663</v>
      </c>
      <c r="G62" s="1152">
        <v>0</v>
      </c>
      <c r="H62" s="1202">
        <f t="shared" si="12"/>
        <v>9.0982195760154152</v>
      </c>
      <c r="I62" s="1196">
        <f>H62*TableB10!J62/(TableB10!I62+TableB10!M62)</f>
        <v>5.0571137077397967</v>
      </c>
      <c r="J62" s="1196">
        <f t="shared" si="13"/>
        <v>4.0411058682756185</v>
      </c>
      <c r="K62" s="156">
        <f>TableA7!O62*TableA4!G62</f>
        <v>0.89240592903512039</v>
      </c>
      <c r="L62" s="496">
        <f>TableA3!G62/TableA6!B62</f>
        <v>0</v>
      </c>
    </row>
    <row r="63" spans="1:12" x14ac:dyDescent="0.2">
      <c r="A63" s="1148" t="s">
        <v>82</v>
      </c>
      <c r="B63" s="1198">
        <f t="shared" si="1"/>
        <v>0.17335876526209473</v>
      </c>
      <c r="C63" s="1153">
        <f>TableA3!B63</f>
        <v>0.17335876526209473</v>
      </c>
      <c r="D63" s="1153">
        <f>(1+0.05)*MAX(0,(TableB10!I63+TableB10!L63+TableB10!M63-TableB10!R63))/1000</f>
        <v>0</v>
      </c>
      <c r="E63" s="1201">
        <f t="shared" si="11"/>
        <v>0.1524905077468249</v>
      </c>
      <c r="F63" s="1153">
        <f>TableA5!F63+TableA5!I63+TableA5!J63</f>
        <v>-9.8947368421052617E-3</v>
      </c>
      <c r="G63" s="1152">
        <v>0</v>
      </c>
      <c r="H63" s="1202">
        <f t="shared" si="12"/>
        <v>0.16238524458893017</v>
      </c>
      <c r="I63" s="1196">
        <f>H63*TableB10!J63/(TableB10!I63+TableB10!M63)</f>
        <v>0</v>
      </c>
      <c r="J63" s="1196">
        <f t="shared" si="13"/>
        <v>0.16238524458893017</v>
      </c>
      <c r="K63" s="156">
        <f>TableA7!O63*TableA4!G63</f>
        <v>2.0868257515269825E-2</v>
      </c>
      <c r="L63" s="496">
        <f>TableA3!G63/TableA6!B63</f>
        <v>0.05</v>
      </c>
    </row>
    <row r="64" spans="1:12" x14ac:dyDescent="0.2">
      <c r="A64" s="1148" t="s">
        <v>153</v>
      </c>
      <c r="B64" s="1198">
        <f t="shared" si="1"/>
        <v>29.125071697810739</v>
      </c>
      <c r="C64" s="1153">
        <f>TableA3!B64</f>
        <v>0.38988210454728756</v>
      </c>
      <c r="D64" s="1153">
        <f>(1+0.05)*MAX(0,(TableB10!I64+TableB10!L64+TableB10!M64-TableB10!R64))/1000</f>
        <v>28.735189593263453</v>
      </c>
      <c r="E64" s="1201">
        <f t="shared" si="11"/>
        <v>29.078139371166927</v>
      </c>
      <c r="F64" s="1153">
        <f>TableA5!F64+TableA5!I64+TableA5!J64</f>
        <v>-4.0091023290772432</v>
      </c>
      <c r="G64" s="1152">
        <v>0</v>
      </c>
      <c r="H64" s="1202">
        <f t="shared" si="12"/>
        <v>33.087241700244171</v>
      </c>
      <c r="I64" s="1196">
        <f>H64*TableB10!J64/(TableB10!I64+TableB10!M64)</f>
        <v>0</v>
      </c>
      <c r="J64" s="1196">
        <f t="shared" si="13"/>
        <v>33.087241700244171</v>
      </c>
      <c r="K64" s="156">
        <f>TableA7!O64*TableA4!G64</f>
        <v>4.6932326643812639E-2</v>
      </c>
      <c r="L64" s="496">
        <f>TableA3!G64/TableA6!B64</f>
        <v>0</v>
      </c>
    </row>
    <row r="65" spans="1:13" x14ac:dyDescent="0.2">
      <c r="A65" s="113" t="s">
        <v>84</v>
      </c>
      <c r="B65" s="1198">
        <f t="shared" si="1"/>
        <v>22.920824144129366</v>
      </c>
      <c r="C65" s="1153">
        <f>TableA3!B65</f>
        <v>1.06456062592</v>
      </c>
      <c r="D65" s="1153">
        <f>(1+0.05)*MAX(0,(TableB10!I65+TableB10!L65+TableB10!M65-TableB10!R65))/1000</f>
        <v>21.856263518209367</v>
      </c>
      <c r="E65" s="1201">
        <f t="shared" si="11"/>
        <v>22.512935193051696</v>
      </c>
      <c r="F65" s="1153">
        <f>TableA5!F65+TableA5!I65+TableA5!J65</f>
        <v>16.042018175138416</v>
      </c>
      <c r="G65" s="1152">
        <v>0</v>
      </c>
      <c r="H65" s="1202">
        <f t="shared" si="12"/>
        <v>6.4709170179132798</v>
      </c>
      <c r="I65" s="1196">
        <f>H65*TableB10!J65/(TableB10!I65+TableB10!M65)</f>
        <v>4.0740893427377438</v>
      </c>
      <c r="J65" s="1196">
        <f t="shared" si="13"/>
        <v>2.396827675175536</v>
      </c>
      <c r="K65" s="156">
        <f>TableA7!O65*TableA4!G65</f>
        <v>0.40788895107766843</v>
      </c>
      <c r="L65" s="496">
        <f>TableA3!G65/TableA6!B65</f>
        <v>0</v>
      </c>
      <c r="M65" s="954"/>
    </row>
    <row r="66" spans="1:13" x14ac:dyDescent="0.2">
      <c r="A66" s="1148" t="s">
        <v>85</v>
      </c>
      <c r="B66" s="1198">
        <f t="shared" si="1"/>
        <v>11.68734919710977</v>
      </c>
      <c r="C66" s="1153">
        <f>TableA3!B66</f>
        <v>0.45606590283580151</v>
      </c>
      <c r="D66" s="1153">
        <f>(1+0.05)*MAX(0,(TableB10!I66+TableB10!L66+TableB10!M66-TableB10!R66))/1000</f>
        <v>11.231283294273968</v>
      </c>
      <c r="E66" s="1201">
        <f t="shared" si="11"/>
        <v>11.296185999728888</v>
      </c>
      <c r="F66" s="1153">
        <f>TableA5!F66+TableA5!I66+TableA5!J66</f>
        <v>-2.3147471174100356</v>
      </c>
      <c r="G66" s="1152">
        <v>0</v>
      </c>
      <c r="H66" s="1202">
        <f t="shared" si="12"/>
        <v>13.610933117138924</v>
      </c>
      <c r="I66" s="1196">
        <f>H66*TableB10!J66/(TableB10!I66+TableB10!M66)</f>
        <v>1.802297585689395</v>
      </c>
      <c r="J66" s="1196">
        <f t="shared" si="13"/>
        <v>11.808635531449529</v>
      </c>
      <c r="K66" s="156">
        <f>TableA7!O66*TableA4!G66</f>
        <v>0.39116319738088223</v>
      </c>
      <c r="L66" s="496">
        <f>TableA3!G66/TableA6!B66</f>
        <v>1.9511092513116006E-3</v>
      </c>
      <c r="M66" s="954"/>
    </row>
    <row r="67" spans="1:13" x14ac:dyDescent="0.2">
      <c r="A67" s="1148" t="str">
        <f>+TableA1!A67</f>
        <v>Cyprus</v>
      </c>
      <c r="B67" s="1198">
        <f t="shared" si="1"/>
        <v>6.8820083274691735</v>
      </c>
      <c r="C67" s="1153">
        <f>TableA3!B67</f>
        <v>3.12425</v>
      </c>
      <c r="D67" s="1153">
        <f>(1+0.05)*MAX(0,(TableB10!I67+TableB10!L67+TableB10!M67-TableB10!R67))/1000</f>
        <v>3.7577583274691735</v>
      </c>
      <c r="E67" s="1201">
        <f t="shared" si="11"/>
        <v>5.2850761004134004</v>
      </c>
      <c r="F67" s="1153">
        <f>TableA5!F67+TableA5!I67+TableA5!J67</f>
        <v>3.6389825305246291</v>
      </c>
      <c r="G67" s="1152">
        <v>0</v>
      </c>
      <c r="H67" s="1202">
        <f t="shared" si="12"/>
        <v>1.6460935698887713</v>
      </c>
      <c r="I67" s="1196">
        <f>H67*TableB10!J67/(TableB10!I67+TableB10!M67)</f>
        <v>5.5942269651531561E-2</v>
      </c>
      <c r="J67" s="1196">
        <f t="shared" si="13"/>
        <v>1.5901513002372398</v>
      </c>
      <c r="K67" s="156">
        <f>TableA7!O67*TableA4!G67</f>
        <v>1.5969322270557735</v>
      </c>
      <c r="L67" s="496">
        <f>TableA3!G67/TableA6!B67</f>
        <v>0.16850316349676739</v>
      </c>
      <c r="M67" s="954"/>
    </row>
    <row r="68" spans="1:13" x14ac:dyDescent="0.2">
      <c r="A68" s="1148" t="s">
        <v>87</v>
      </c>
      <c r="B68" s="1198">
        <f t="shared" si="1"/>
        <v>5.5192543961170966</v>
      </c>
      <c r="C68" s="1153">
        <f>TableA3!B68</f>
        <v>3.0206026933210057</v>
      </c>
      <c r="D68" s="1153">
        <f>(1+0.05)*MAX(0,(TableB10!I68+TableB10!L68+TableB10!M68-TableB10!R68))/1000</f>
        <v>2.4986517027960913</v>
      </c>
      <c r="E68" s="1201">
        <f t="shared" si="11"/>
        <v>5.1556449197022696</v>
      </c>
      <c r="F68" s="1153">
        <f>TableA5!F68+TableA5!I68+TableA5!J68</f>
        <v>2.142144883221988</v>
      </c>
      <c r="G68" s="1152">
        <v>0</v>
      </c>
      <c r="H68" s="1202">
        <f t="shared" si="12"/>
        <v>3.0135000364802815</v>
      </c>
      <c r="I68" s="1196">
        <f>H68*TableB10!J68/(TableB10!I68+TableB10!M68)</f>
        <v>0</v>
      </c>
      <c r="J68" s="1196">
        <f t="shared" si="13"/>
        <v>3.0135000364802815</v>
      </c>
      <c r="K68" s="156">
        <f>TableA7!O68*TableA4!G68</f>
        <v>0.36360947641482677</v>
      </c>
      <c r="L68" s="496">
        <f>TableA3!G68/TableA6!B68</f>
        <v>2.7364227815319216E-2</v>
      </c>
      <c r="M68" s="954"/>
    </row>
    <row r="69" spans="1:13" x14ac:dyDescent="0.2">
      <c r="A69" s="1148" t="str">
        <f>+TableA1!A69</f>
        <v>Grenada</v>
      </c>
      <c r="B69" s="1198">
        <f t="shared" si="1"/>
        <v>0.4015897418869116</v>
      </c>
      <c r="C69" s="1153">
        <f>TableA3!B69</f>
        <v>0.38326716933285948</v>
      </c>
      <c r="D69" s="1153">
        <f>(1+0.05)*MAX(0,(TableB10!I69+TableB10!L69+TableB10!M69-TableB10!R69))/1000</f>
        <v>1.8322572554052143E-2</v>
      </c>
      <c r="E69" s="1201">
        <f t="shared" si="11"/>
        <v>0.38030614888924363</v>
      </c>
      <c r="F69" s="1153">
        <f>TableA5!F69+TableA5!I69+TableA5!J69</f>
        <v>1.6E-2</v>
      </c>
      <c r="G69" s="1152">
        <v>0</v>
      </c>
      <c r="H69" s="1202">
        <f t="shared" si="12"/>
        <v>0.36430614888924362</v>
      </c>
      <c r="I69" s="1196">
        <f>H69*TableB10!J69/(TableB10!I69+TableB10!M69)</f>
        <v>0</v>
      </c>
      <c r="J69" s="1196">
        <f t="shared" si="13"/>
        <v>0.36430614888924362</v>
      </c>
      <c r="K69" s="156">
        <f>TableA7!O69*TableA4!G69</f>
        <v>2.1283592997667938E-2</v>
      </c>
      <c r="L69" s="496">
        <f>TableA3!G69/TableA6!B69</f>
        <v>4.7718744947522623E-2</v>
      </c>
      <c r="M69" s="954"/>
    </row>
    <row r="70" spans="1:13" x14ac:dyDescent="0.2">
      <c r="A70" s="1148" t="s">
        <v>89</v>
      </c>
      <c r="B70" s="1198">
        <f t="shared" si="1"/>
        <v>2.0311467085553057</v>
      </c>
      <c r="C70" s="1153">
        <f>TableA3!B70</f>
        <v>2.0311467085553057</v>
      </c>
      <c r="D70" s="1153">
        <f>(1+0.05)*MAX(0,(TableB10!I70+TableB10!L70+TableB10!M70-TableB10!R70))/1000</f>
        <v>0</v>
      </c>
      <c r="E70" s="1201">
        <f t="shared" si="11"/>
        <v>1.7866451600802939</v>
      </c>
      <c r="F70" s="1153">
        <f>TableA5!F70+TableA5!I70+TableA5!J70</f>
        <v>-1.9626714972368675</v>
      </c>
      <c r="G70" s="1152">
        <v>0</v>
      </c>
      <c r="H70" s="1202">
        <f t="shared" si="12"/>
        <v>3.7493166573171615</v>
      </c>
      <c r="I70" s="1196">
        <f>H70*TableB10!J70/(TableB10!I70+TableB10!M70)</f>
        <v>0</v>
      </c>
      <c r="J70" s="1196">
        <f t="shared" si="13"/>
        <v>3.7493166573171615</v>
      </c>
      <c r="K70" s="156">
        <f>TableA7!O70*TableA4!G70</f>
        <v>0.24450154847501168</v>
      </c>
      <c r="L70" s="496">
        <f>TableA3!G70/TableA6!B70</f>
        <v>0</v>
      </c>
      <c r="M70" s="954"/>
    </row>
    <row r="71" spans="1:13" x14ac:dyDescent="0.2">
      <c r="A71" s="1148" t="s">
        <v>154</v>
      </c>
      <c r="B71" s="1198">
        <f t="shared" si="1"/>
        <v>1.0873325907085956</v>
      </c>
      <c r="C71" s="1153">
        <f>TableA3!B71</f>
        <v>1.0873325907085956</v>
      </c>
      <c r="D71" s="1153">
        <f>(1+0.05)*MAX(0,(TableB10!I71+TableB10!L71+TableB10!M71-TableB10!R71))/1000</f>
        <v>0</v>
      </c>
      <c r="E71" s="1201">
        <f t="shared" si="11"/>
        <v>0.95644320082853906</v>
      </c>
      <c r="F71" s="1153">
        <f>TableA5!F71+TableA5!I71+TableA5!J71</f>
        <v>-2.9286862213381002</v>
      </c>
      <c r="G71" s="1152">
        <v>0</v>
      </c>
      <c r="H71" s="1202">
        <f t="shared" si="12"/>
        <v>3.8851294221666395</v>
      </c>
      <c r="I71" s="1196">
        <f>0.5*H71</f>
        <v>1.9425647110833197</v>
      </c>
      <c r="J71" s="1196">
        <f t="shared" si="13"/>
        <v>1.9425647110833197</v>
      </c>
      <c r="K71" s="156">
        <f>TableA7!O71*TableA4!G71</f>
        <v>0.13088938988005652</v>
      </c>
      <c r="L71" s="496">
        <f>TableA3!G71/TableA6!B71</f>
        <v>0.05</v>
      </c>
      <c r="M71" s="954"/>
    </row>
    <row r="72" spans="1:13" x14ac:dyDescent="0.2">
      <c r="A72" s="1148" t="s">
        <v>91</v>
      </c>
      <c r="B72" s="1198">
        <f t="shared" si="1"/>
        <v>95.223967679643692</v>
      </c>
      <c r="C72" s="1153">
        <f>TableA3!B72</f>
        <v>73.929728212200004</v>
      </c>
      <c r="D72" s="1153">
        <f>(1+0.05)*MAX(0,(TableB10!I72+TableB10!L72+TableB10!M72-TableB10!R72))/1000</f>
        <v>21.294239467443685</v>
      </c>
      <c r="E72" s="1201">
        <f t="shared" si="11"/>
        <v>50.356172185286226</v>
      </c>
      <c r="F72" s="1153">
        <f>TableA5!F72+TableA5!I72+TableA5!J72</f>
        <v>19.824939755471092</v>
      </c>
      <c r="G72" s="1152">
        <v>0</v>
      </c>
      <c r="H72" s="1202">
        <f t="shared" si="12"/>
        <v>30.531232429815134</v>
      </c>
      <c r="I72" s="1196">
        <f>H72*TableB10!J72/(TableB10!I72+TableB10!M72)</f>
        <v>0</v>
      </c>
      <c r="J72" s="1196">
        <f t="shared" si="13"/>
        <v>30.531232429815134</v>
      </c>
      <c r="K72" s="156">
        <f>TableA7!O72*TableA4!G72</f>
        <v>44.867795494357466</v>
      </c>
      <c r="L72" s="496">
        <f>TableA3!G72/TableA6!B72</f>
        <v>0.17659863513001625</v>
      </c>
      <c r="M72" s="954"/>
    </row>
    <row r="73" spans="1:13" x14ac:dyDescent="0.2">
      <c r="A73" s="1148" t="s">
        <v>92</v>
      </c>
      <c r="B73" s="1198">
        <f t="shared" si="1"/>
        <v>3.6449297805671903</v>
      </c>
      <c r="C73" s="1153">
        <f>TableA3!B73</f>
        <v>2.9424971928045003</v>
      </c>
      <c r="D73" s="1153">
        <f>(1+0.05)*MAX(0,(TableB10!I73+TableB10!L73+TableB10!M73-TableB10!R73))/1000</f>
        <v>0.70243258776268991</v>
      </c>
      <c r="E73" s="1201">
        <f t="shared" si="11"/>
        <v>3.2907256608282767</v>
      </c>
      <c r="F73" s="1153">
        <f>TableA5!F73+TableA5!I73+TableA5!J73</f>
        <v>0.57979007685009587</v>
      </c>
      <c r="G73" s="1152">
        <v>0</v>
      </c>
      <c r="H73" s="1202">
        <f t="shared" si="12"/>
        <v>2.7109355839781806</v>
      </c>
      <c r="I73" s="1196">
        <f>H73*TableB10!J73/(TableB10!I73+TableB10!M73)</f>
        <v>0</v>
      </c>
      <c r="J73" s="1196">
        <f t="shared" si="13"/>
        <v>2.7109355839781806</v>
      </c>
      <c r="K73" s="156">
        <f>TableA7!O73*TableA4!G73</f>
        <v>0.35420411973891358</v>
      </c>
      <c r="L73" s="496">
        <f>TableA3!G73/TableA6!B73</f>
        <v>0</v>
      </c>
      <c r="M73" s="954"/>
    </row>
    <row r="74" spans="1:13" x14ac:dyDescent="0.2">
      <c r="A74" s="1148" t="s">
        <v>93</v>
      </c>
      <c r="B74" s="1198">
        <f t="shared" ref="B74:B91" si="14">C74+D74</f>
        <v>15.231019080376919</v>
      </c>
      <c r="C74" s="1153">
        <f>TableA3!B74</f>
        <v>15.163250551852792</v>
      </c>
      <c r="D74" s="1153">
        <f>(1+0.05)*MAX(0,(TableB10!I74+TableB10!L74+TableB10!M74-TableB10!R74))/1000</f>
        <v>6.7768528524127347E-2</v>
      </c>
      <c r="E74" s="1201">
        <f t="shared" si="11"/>
        <v>10.848362353703763</v>
      </c>
      <c r="F74" s="1153">
        <f>TableA5!F74+TableA5!I74+TableA5!J74</f>
        <v>-5.4254096105263057E-2</v>
      </c>
      <c r="G74" s="1152">
        <v>0</v>
      </c>
      <c r="H74" s="1202">
        <f t="shared" si="12"/>
        <v>10.902616449809026</v>
      </c>
      <c r="I74" s="1196">
        <f>H74*TableB10!J74/(TableB10!I74+TableB10!M74)</f>
        <v>0</v>
      </c>
      <c r="J74" s="1196">
        <f t="shared" si="13"/>
        <v>10.902616449809026</v>
      </c>
      <c r="K74" s="156">
        <f>TableA7!O74*TableA4!G74</f>
        <v>4.3826567266731562</v>
      </c>
      <c r="L74" s="496">
        <f>TableA3!G74/TableA6!B74</f>
        <v>4.9777531207312861E-2</v>
      </c>
      <c r="M74" s="954"/>
    </row>
    <row r="75" spans="1:13" x14ac:dyDescent="0.2">
      <c r="A75" s="1148" t="s">
        <v>94</v>
      </c>
      <c r="B75" s="1198">
        <f t="shared" si="14"/>
        <v>1.3847476300640333</v>
      </c>
      <c r="C75" s="1153">
        <f>TableA3!B75</f>
        <v>1.3847476300640333</v>
      </c>
      <c r="D75" s="1153">
        <f>(1+0.05)*MAX(0,(TableB10!I75+TableB10!L75+TableB10!M75-TableB10!R75))/1000</f>
        <v>0</v>
      </c>
      <c r="E75" s="1201">
        <f t="shared" si="11"/>
        <v>0.54431306414287628</v>
      </c>
      <c r="F75" s="1153">
        <f>TableA5!F75+TableA5!I75+TableA5!J75</f>
        <v>-1.8817381439464382</v>
      </c>
      <c r="G75" s="1152">
        <v>0</v>
      </c>
      <c r="H75" s="1202">
        <f t="shared" si="12"/>
        <v>2.4260512080893144</v>
      </c>
      <c r="I75" s="1196">
        <f>0.5*H75</f>
        <v>1.2130256040446572</v>
      </c>
      <c r="J75" s="1196">
        <f t="shared" si="13"/>
        <v>1.2130256040446572</v>
      </c>
      <c r="K75" s="156">
        <f>TableA7!O75*TableA4!G75</f>
        <v>0.84043456592115706</v>
      </c>
      <c r="L75" s="496">
        <f>TableA3!G75/TableA6!B75</f>
        <v>0.05</v>
      </c>
      <c r="M75" s="954"/>
    </row>
    <row r="76" spans="1:13" x14ac:dyDescent="0.2">
      <c r="A76" s="1148" t="s">
        <v>95</v>
      </c>
      <c r="B76" s="1198">
        <f t="shared" si="14"/>
        <v>13.856227663292829</v>
      </c>
      <c r="C76" s="1153">
        <f>TableA3!B76</f>
        <v>12.938277299966822</v>
      </c>
      <c r="D76" s="1153">
        <f>(1+0.05)*MAX(0,(TableB10!I76+TableB10!L76+TableB10!M76-TableB10!R76))/1000</f>
        <v>0.91795036332600666</v>
      </c>
      <c r="E76" s="1201">
        <f t="shared" si="11"/>
        <v>10.807557501271878</v>
      </c>
      <c r="F76" s="1153">
        <f>TableA5!F76+TableA5!I76+TableA5!J76</f>
        <v>6.6867368421052626</v>
      </c>
      <c r="G76" s="1152">
        <v>0</v>
      </c>
      <c r="H76" s="1202">
        <f t="shared" si="12"/>
        <v>4.1208206591666157</v>
      </c>
      <c r="I76" s="1196">
        <f>H76*TableB10!J76/(TableB10!I76+TableB10!M76)</f>
        <v>0</v>
      </c>
      <c r="J76" s="1196">
        <f t="shared" si="13"/>
        <v>4.1208206591666157</v>
      </c>
      <c r="K76" s="156">
        <f>TableA7!O76*TableA4!G76</f>
        <v>3.0486701620209504</v>
      </c>
      <c r="L76" s="496">
        <f>TableA3!G76/TableA6!B76</f>
        <v>4.6687589199483959E-2</v>
      </c>
      <c r="M76" s="954"/>
    </row>
    <row r="77" spans="1:13" x14ac:dyDescent="0.2">
      <c r="A77" s="1148" t="s">
        <v>96</v>
      </c>
      <c r="B77" s="1198">
        <f t="shared" si="14"/>
        <v>13.646495114506827</v>
      </c>
      <c r="C77" s="1153">
        <f>TableA3!B77</f>
        <v>2.3329148139999996</v>
      </c>
      <c r="D77" s="515">
        <f>(1+0.05)*(TableB10!E77+TableB10!I77+TableB10!L77+TableB10!M77-TableB10!R77)/1000</f>
        <v>11.313580300506827</v>
      </c>
      <c r="E77" s="1201">
        <f t="shared" si="11"/>
        <v>12.855054220700584</v>
      </c>
      <c r="F77" s="1153">
        <f>TableA5!F77+TableA5!I77+TableA5!J77</f>
        <v>0</v>
      </c>
      <c r="G77" s="1152">
        <v>0</v>
      </c>
      <c r="H77" s="1202">
        <f t="shared" si="12"/>
        <v>12.855054220700584</v>
      </c>
      <c r="I77" s="1196">
        <f>H77*TableB10!J77/(TableB10!I77+TableB10!M77)</f>
        <v>0.30093196148432139</v>
      </c>
      <c r="J77" s="1196">
        <f>H77-I77</f>
        <v>12.554122259216262</v>
      </c>
      <c r="K77" s="156">
        <f>TableA7!O77*TableA4!G77</f>
        <v>0.79144089380624261</v>
      </c>
      <c r="L77" s="496">
        <f>TableA3!G77/TableA6!B77</f>
        <v>4.7649291571561309E-2</v>
      </c>
      <c r="M77" s="1204"/>
    </row>
    <row r="78" spans="1:13" x14ac:dyDescent="0.2">
      <c r="A78" s="1148" t="s">
        <v>97</v>
      </c>
      <c r="B78" s="1198">
        <f t="shared" si="14"/>
        <v>3.4329997064598869E-2</v>
      </c>
      <c r="C78" s="1153">
        <f>TableA3!B78</f>
        <v>3.4329997064598869E-2</v>
      </c>
      <c r="D78" s="1153">
        <f>(1+0.05)*MAX(0,(TableB10!I78+TableB10!L78+TableB10!M78-TableB10!R78))/1000</f>
        <v>0</v>
      </c>
      <c r="E78" s="1201">
        <f t="shared" si="11"/>
        <v>1.0287836568069537E-2</v>
      </c>
      <c r="F78" s="1153">
        <f>TableA5!F78+TableA5!I78+TableA5!J78</f>
        <v>-0.2810819697803898</v>
      </c>
      <c r="G78" s="1152">
        <v>0</v>
      </c>
      <c r="H78" s="1202">
        <f t="shared" si="12"/>
        <v>0.29136980634845933</v>
      </c>
      <c r="I78" s="1196">
        <f>H78*TableB10!J78/(TableB10!I78+TableB10!M78)</f>
        <v>0.48203932502515956</v>
      </c>
      <c r="J78" s="1196">
        <f t="shared" si="13"/>
        <v>-0.19066951867670023</v>
      </c>
      <c r="K78" s="156">
        <f>TableA7!O78*TableA4!G78</f>
        <v>2.4042160496529331E-2</v>
      </c>
      <c r="L78" s="496">
        <f>TableA3!G78/TableA6!B78</f>
        <v>0</v>
      </c>
      <c r="M78" s="954"/>
    </row>
    <row r="79" spans="1:13" x14ac:dyDescent="0.2">
      <c r="A79" s="1148" t="str">
        <f>+TableA1!A79</f>
        <v>Monaco</v>
      </c>
      <c r="B79" s="1198">
        <f t="shared" si="14"/>
        <v>2.4865786089930788</v>
      </c>
      <c r="C79" s="1153">
        <f>TableA3!B79</f>
        <v>2.4865786089930788</v>
      </c>
      <c r="D79" s="1153">
        <f>(1+0.05)*MAX(0,(TableB10!I79+TableB10!L79+TableB10!M79-TableB10!R79))/1000</f>
        <v>0</v>
      </c>
      <c r="E79" s="1201">
        <f t="shared" si="11"/>
        <v>2.1872544286824804</v>
      </c>
      <c r="F79" s="1153">
        <f>TableA5!F79+TableA5!I79+TableA5!J79</f>
        <v>0</v>
      </c>
      <c r="G79" s="1152">
        <v>0</v>
      </c>
      <c r="H79" s="1202">
        <f t="shared" si="12"/>
        <v>2.1872544286824804</v>
      </c>
      <c r="I79" s="1196">
        <v>0</v>
      </c>
      <c r="J79" s="1196">
        <v>0</v>
      </c>
      <c r="K79" s="156">
        <f>TableA7!O79*TableA4!G79</f>
        <v>0.29932418031059849</v>
      </c>
      <c r="L79" s="496">
        <f>TableA3!G79/TableA6!B79</f>
        <v>0.05</v>
      </c>
      <c r="M79" s="954"/>
    </row>
    <row r="80" spans="1:13" x14ac:dyDescent="0.2">
      <c r="A80" s="1148" t="s">
        <v>99</v>
      </c>
      <c r="B80" s="1198">
        <f t="shared" si="14"/>
        <v>0.34823567512391918</v>
      </c>
      <c r="C80" s="1153">
        <f>TableA3!B80</f>
        <v>0.34426567154188054</v>
      </c>
      <c r="D80" s="1153">
        <f>(1+0.05)*MAX(0,(TableB10!I80+TableB10!L80+TableB10!M80-TableB10!R80))/1000</f>
        <v>3.9700035820386661E-3</v>
      </c>
      <c r="E80" s="1201">
        <f t="shared" si="11"/>
        <v>0.30679422220146713</v>
      </c>
      <c r="F80" s="1153">
        <f>TableA5!F80+TableA5!I80+TableA5!J80</f>
        <v>3.7071449473684206E-3</v>
      </c>
      <c r="G80" s="1152">
        <v>0</v>
      </c>
      <c r="H80" s="1202">
        <f t="shared" si="12"/>
        <v>0.30308707725409872</v>
      </c>
      <c r="I80" s="1196">
        <f>H80*TableB10!J80/(TableB10!I80+TableB10!M80)</f>
        <v>0</v>
      </c>
      <c r="J80" s="1196">
        <f t="shared" ref="J80:J88" si="15">H80-I80</f>
        <v>0.30308707725409872</v>
      </c>
      <c r="K80" s="156">
        <f>TableA7!O80*TableA4!G80</f>
        <v>4.1441452922452063E-2</v>
      </c>
      <c r="L80" s="496">
        <f>TableA3!G80/TableA6!B80</f>
        <v>4.942998321745383E-2</v>
      </c>
      <c r="M80" s="954"/>
    </row>
    <row r="81" spans="1:12" x14ac:dyDescent="0.2">
      <c r="A81" s="1148" t="s">
        <v>100</v>
      </c>
      <c r="B81" s="1198">
        <f t="shared" si="14"/>
        <v>7.4441225761320906</v>
      </c>
      <c r="C81" s="1153">
        <f>TableA3!B81</f>
        <v>6.819284308547247</v>
      </c>
      <c r="D81" s="1153">
        <f>(1+0.05)*MAX(0,(TableB10!I81+TableB10!L81+TableB10!M81-TableB10!R81))/1000</f>
        <v>0.62483826758484384</v>
      </c>
      <c r="E81" s="1201">
        <f t="shared" si="11"/>
        <v>7.360135250471358</v>
      </c>
      <c r="F81" s="1153">
        <f>TableA5!F81+TableA5!I81+TableA5!J81</f>
        <v>0.33533017663157838</v>
      </c>
      <c r="G81" s="1152">
        <v>0</v>
      </c>
      <c r="H81" s="1202">
        <f t="shared" si="12"/>
        <v>7.0248050738397794</v>
      </c>
      <c r="I81" s="1196">
        <f>H81*TableB10!J81/(TableB10!I81+TableB10!M81)</f>
        <v>0</v>
      </c>
      <c r="J81" s="1196">
        <f t="shared" si="15"/>
        <v>7.0248050738397794</v>
      </c>
      <c r="K81" s="156">
        <f>TableA7!O81*TableA4!G81</f>
        <v>8.3987325660732859E-2</v>
      </c>
      <c r="L81" s="496">
        <f>TableA3!G81/TableA6!B81</f>
        <v>4.5803143613001168E-2</v>
      </c>
    </row>
    <row r="82" spans="1:12" x14ac:dyDescent="0.2">
      <c r="A82" s="1148" t="str">
        <f>+TableA1!A82</f>
        <v>Seychelles</v>
      </c>
      <c r="B82" s="1198">
        <f t="shared" si="14"/>
        <v>0.82419693736547761</v>
      </c>
      <c r="C82" s="1153">
        <f>TableA3!B82</f>
        <v>0.81332765904671878</v>
      </c>
      <c r="D82" s="1153">
        <f>(1+0.05)*MAX(0,(TableB10!I82+TableB10!L82+TableB10!M82-TableB10!R82))/1000</f>
        <v>1.0869278318758861E-2</v>
      </c>
      <c r="E82" s="1201">
        <f t="shared" si="11"/>
        <v>0.80997916157337257</v>
      </c>
      <c r="F82" s="1153">
        <f>TableA5!F82+TableA5!I82+TableA5!J82</f>
        <v>7.170055787368422E-2</v>
      </c>
      <c r="G82" s="1152">
        <v>0</v>
      </c>
      <c r="H82" s="1202">
        <f t="shared" si="12"/>
        <v>0.73827860369968834</v>
      </c>
      <c r="I82" s="1196">
        <f>H82*TableB10!J82/(TableB10!I82+TableB10!M82)</f>
        <v>0</v>
      </c>
      <c r="J82" s="1196">
        <f t="shared" si="15"/>
        <v>0.73827860369968834</v>
      </c>
      <c r="K82" s="156">
        <f>TableA7!O82*TableA4!G82</f>
        <v>1.4217775792105054E-2</v>
      </c>
      <c r="L82" s="496">
        <f>TableA3!G82/TableA6!B82</f>
        <v>4.9340614007041685E-2</v>
      </c>
    </row>
    <row r="83" spans="1:12" x14ac:dyDescent="0.2">
      <c r="A83" s="1148" t="s">
        <v>102</v>
      </c>
      <c r="B83" s="1198">
        <f t="shared" si="14"/>
        <v>120.07387384516201</v>
      </c>
      <c r="C83" s="1153">
        <f>TableA3!B83</f>
        <v>64.547352786104156</v>
      </c>
      <c r="D83" s="1153">
        <f>(1+0.05)*MAX(0,(TableB10!I83+TableB10!L83+TableB10!M83-TableB10!R83))/1000</f>
        <v>55.526521059057849</v>
      </c>
      <c r="E83" s="1201">
        <f t="shared" si="11"/>
        <v>90.279312540155431</v>
      </c>
      <c r="F83" s="1153">
        <f>TableA5!F83+TableA5!I83+TableA5!J83</f>
        <v>53.970395267078359</v>
      </c>
      <c r="G83" s="1152">
        <v>0</v>
      </c>
      <c r="H83" s="1202">
        <f t="shared" si="12"/>
        <v>36.308917273077071</v>
      </c>
      <c r="I83" s="1196">
        <f>H83*TableB10!J83/(TableB10!I83+TableB10!M83)</f>
        <v>16.184926106278052</v>
      </c>
      <c r="J83" s="1196">
        <f t="shared" si="15"/>
        <v>20.123991166799019</v>
      </c>
      <c r="K83" s="156">
        <f>TableA7!O83*TableA4!G83</f>
        <v>29.794561305006578</v>
      </c>
      <c r="L83" s="496">
        <f>TableA3!G83/TableA6!B83</f>
        <v>8.300833934937181E-2</v>
      </c>
    </row>
    <row r="84" spans="1:12" x14ac:dyDescent="0.2">
      <c r="A84" s="1148" t="str">
        <f>+TableA1!A84</f>
        <v>St. Kitts and Nevis</v>
      </c>
      <c r="B84" s="1198">
        <f t="shared" si="14"/>
        <v>0.47270768679271868</v>
      </c>
      <c r="C84" s="1153">
        <f>TableA3!B84</f>
        <v>0.46577557662910313</v>
      </c>
      <c r="D84" s="1153">
        <f>(1+0.05)*MAX(0,(TableB10!I84+TableB10!L84+TableB10!M84-TableB10!R84))/1000</f>
        <v>6.9321101636155456E-3</v>
      </c>
      <c r="E84" s="1201">
        <f t="shared" si="11"/>
        <v>0.45147281043247117</v>
      </c>
      <c r="F84" s="1153">
        <f>TableA5!F84+TableA5!I84+TableA5!J84</f>
        <v>3.1578947368421058E-4</v>
      </c>
      <c r="G84" s="1152">
        <v>0</v>
      </c>
      <c r="H84" s="1202">
        <f t="shared" si="12"/>
        <v>0.45115702095878696</v>
      </c>
      <c r="I84" s="1196">
        <f>0.5*H84</f>
        <v>0.22557851047939348</v>
      </c>
      <c r="J84" s="1196">
        <f t="shared" si="15"/>
        <v>0.22557851047939348</v>
      </c>
      <c r="K84" s="156">
        <f>TableA7!O84*TableA4!G84</f>
        <v>2.1234876360247523E-2</v>
      </c>
      <c r="L84" s="496">
        <f>TableA3!G84/TableA6!B84</f>
        <v>4.9266765661179608E-2</v>
      </c>
    </row>
    <row r="85" spans="1:12" x14ac:dyDescent="0.2">
      <c r="A85" s="1148" t="str">
        <f>+TableA1!A85</f>
        <v>St. Lucia</v>
      </c>
      <c r="B85" s="1198">
        <f t="shared" si="14"/>
        <v>0.98185335484198899</v>
      </c>
      <c r="C85" s="1153">
        <f>TableA3!B85</f>
        <v>0.89780776493170278</v>
      </c>
      <c r="D85" s="1153">
        <f>(1+0.05)*MAX(0,(TableB10!I85+TableB10!L85+TableB10!M85-TableB10!R85))/1000</f>
        <v>8.4045589910286156E-2</v>
      </c>
      <c r="E85" s="1201">
        <f t="shared" si="11"/>
        <v>0.94866880291806055</v>
      </c>
      <c r="F85" s="1153">
        <f>TableA5!F85+TableA5!I85+TableA5!J85</f>
        <v>7.3052631578947369E-2</v>
      </c>
      <c r="G85" s="1152">
        <v>0</v>
      </c>
      <c r="H85" s="1202">
        <f t="shared" si="12"/>
        <v>0.87561617133911318</v>
      </c>
      <c r="I85" s="1196">
        <f>H85*TableB10!J85/(TableB10!I85+TableB10!M85)</f>
        <v>0</v>
      </c>
      <c r="J85" s="1196">
        <f t="shared" si="15"/>
        <v>0.87561617133911318</v>
      </c>
      <c r="K85" s="156">
        <f>TableA7!O85*TableA4!G85</f>
        <v>3.318455192392842E-2</v>
      </c>
      <c r="L85" s="496">
        <f>TableA3!G85/TableA6!B85</f>
        <v>4.5720053840228939E-2</v>
      </c>
    </row>
    <row r="86" spans="1:12" x14ac:dyDescent="0.2">
      <c r="A86" s="1148" t="str">
        <f>+TableA1!A86</f>
        <v>St. Vincent and the Grenadines</v>
      </c>
      <c r="B86" s="1198">
        <f t="shared" si="14"/>
        <v>0.4096430975806486</v>
      </c>
      <c r="C86" s="1153">
        <f>TableA3!B86</f>
        <v>0.3899945493812374</v>
      </c>
      <c r="D86" s="1153">
        <f>(1+0.05)*MAX(0,(TableB10!I86+TableB10!L86+TableB10!M86-TableB10!R86))/1000</f>
        <v>1.9648548199411184E-2</v>
      </c>
      <c r="E86" s="1201">
        <f t="shared" si="11"/>
        <v>0.38835723070985412</v>
      </c>
      <c r="F86" s="1153">
        <f>TableA5!F86+TableA5!I86+TableA5!J86</f>
        <v>1.7157894736842108E-2</v>
      </c>
      <c r="G86" s="1152">
        <v>0</v>
      </c>
      <c r="H86" s="1202">
        <f t="shared" si="12"/>
        <v>0.37119933597301202</v>
      </c>
      <c r="I86" s="1196">
        <f>H86*TableB10!J86/(TableB10!I86+TableB10!M86)</f>
        <v>0</v>
      </c>
      <c r="J86" s="1196">
        <f t="shared" si="15"/>
        <v>0.37119933597301202</v>
      </c>
      <c r="K86" s="156">
        <f>TableA7!O86*TableA4!G86</f>
        <v>2.1285866870794486E-2</v>
      </c>
      <c r="L86" s="496">
        <f>TableA3!G86/TableA6!B86</f>
        <v>4.7601747922099084E-2</v>
      </c>
    </row>
    <row r="87" spans="1:12" x14ac:dyDescent="0.2">
      <c r="A87" s="1148" t="str">
        <f>+TableA1!A87</f>
        <v>Turks and Caicos</v>
      </c>
      <c r="B87" s="1198">
        <f t="shared" si="14"/>
        <v>0.29994738122448317</v>
      </c>
      <c r="C87" s="1153">
        <f>TableA3!B87</f>
        <v>0.27378414777319332</v>
      </c>
      <c r="D87" s="1153">
        <f>(1+0.05)*MAX(0,(TableB10!I87+TableB10!L87+TableB10!M87-TableB10!R87))/1000</f>
        <v>2.6163233451289829E-2</v>
      </c>
      <c r="E87" s="1201">
        <f t="shared" si="11"/>
        <v>0.26699033180435056</v>
      </c>
      <c r="F87" s="1153">
        <f>TableA5!F87+TableA5!I87+TableA5!J87</f>
        <v>0</v>
      </c>
      <c r="G87" s="1152">
        <v>0</v>
      </c>
      <c r="H87" s="1202">
        <f t="shared" si="12"/>
        <v>0.26699033180435056</v>
      </c>
      <c r="I87" s="1196">
        <v>0</v>
      </c>
      <c r="J87" s="1196">
        <v>0</v>
      </c>
      <c r="K87" s="156">
        <f>TableA7!O87*TableA4!G87</f>
        <v>3.2957049420132598E-2</v>
      </c>
      <c r="L87" s="496">
        <f>TableA3!G87/TableA6!B87</f>
        <v>0</v>
      </c>
    </row>
    <row r="88" spans="1:12" x14ac:dyDescent="0.2">
      <c r="A88" s="1148" t="str">
        <f>+TableA1!A88</f>
        <v>Panama</v>
      </c>
      <c r="B88" s="1198">
        <f t="shared" si="14"/>
        <v>21.839627936803055</v>
      </c>
      <c r="C88" s="1153">
        <f>TableA3!B88</f>
        <v>21.755867199563681</v>
      </c>
      <c r="D88" s="1153">
        <f>(1+0.05)*MAX(0,(TableB10!I88+TableB10!L88+TableB10!M88-TableB10!R88))/1000</f>
        <v>8.376073723937226E-2</v>
      </c>
      <c r="E88" s="1201">
        <f t="shared" si="11"/>
        <v>17.861321218110369</v>
      </c>
      <c r="F88" s="1153">
        <f>TableA5!F88+TableA5!I88+TableA5!J88</f>
        <v>3.5287177831380028</v>
      </c>
      <c r="G88" s="1152">
        <v>0</v>
      </c>
      <c r="H88" s="1202">
        <f t="shared" si="12"/>
        <v>14.332603434972366</v>
      </c>
      <c r="I88" s="1196">
        <f>H88*TableB10!J88/(TableB10!I88+TableB10!M88)</f>
        <v>0</v>
      </c>
      <c r="J88" s="1196">
        <f t="shared" si="15"/>
        <v>14.332603434972366</v>
      </c>
      <c r="K88" s="156">
        <f>TableA7!O88*TableA4!G88</f>
        <v>3.9783067186926862</v>
      </c>
      <c r="L88" s="496">
        <f>TableA3!G88/TableA6!B88</f>
        <v>4.980823680357159E-2</v>
      </c>
    </row>
    <row r="89" spans="1:12" x14ac:dyDescent="0.2">
      <c r="A89" s="1148" t="s">
        <v>108</v>
      </c>
      <c r="B89" s="1198">
        <f t="shared" si="14"/>
        <v>52.764834331533464</v>
      </c>
      <c r="C89" s="1153">
        <f>TableA3!B89</f>
        <v>52.764834331533464</v>
      </c>
      <c r="D89" s="1153">
        <f>(1+0.05)*MAX(0,(TableB10!I89+TableB10!L89+TableB10!M89-TableB10!R89))/1000</f>
        <v>0</v>
      </c>
      <c r="E89" s="1201">
        <f t="shared" si="11"/>
        <v>42.913042812221541</v>
      </c>
      <c r="F89" s="1153">
        <f>TableA5!F89+TableA5!I89+TableA5!J89</f>
        <v>35.957799737740579</v>
      </c>
      <c r="G89" s="1152">
        <v>0</v>
      </c>
      <c r="H89" s="1202">
        <f t="shared" si="12"/>
        <v>6.9552430744809612</v>
      </c>
      <c r="I89" s="1196">
        <v>0</v>
      </c>
      <c r="J89" s="1196">
        <v>0</v>
      </c>
      <c r="K89" s="156">
        <f>TableA7!O89*TableA4!G89</f>
        <v>9.8517915193119219</v>
      </c>
      <c r="L89" s="496">
        <f>TableA3!G89/TableA6!B89</f>
        <v>3.2938604318924807E-2</v>
      </c>
    </row>
    <row r="90" spans="1:12" ht="40" customHeight="1" x14ac:dyDescent="0.2">
      <c r="A90" s="7" t="s">
        <v>155</v>
      </c>
      <c r="B90" s="1200">
        <f t="shared" si="14"/>
        <v>1423.1461018568671</v>
      </c>
      <c r="C90" s="13">
        <f>TableA3!B90</f>
        <v>1423.1461018568671</v>
      </c>
      <c r="D90" s="1832">
        <v>0</v>
      </c>
      <c r="E90" s="1205">
        <f>F90+G90+H90</f>
        <v>114.1831702680436</v>
      </c>
      <c r="F90" s="245">
        <f>TableA5!F90+TableA5!I90+TableA5!J90</f>
        <v>114.1831702680436</v>
      </c>
      <c r="G90" s="297">
        <v>0</v>
      </c>
      <c r="H90" s="297">
        <f>(1+TableA5!$O90)*MAX(TableB10!L90-TableB10!R90,(TableB10!I90+TableB10!M90-TableB10!R90),0)/1000</f>
        <v>0</v>
      </c>
      <c r="I90" s="277">
        <v>0</v>
      </c>
      <c r="J90" s="277">
        <v>0</v>
      </c>
      <c r="K90" s="304">
        <f>B90-E90</f>
        <v>1308.9629315888235</v>
      </c>
      <c r="L90" s="1777">
        <f>TableA3!G90/TableA6!B90</f>
        <v>0.18757638370366686</v>
      </c>
    </row>
    <row r="91" spans="1:12" ht="40" customHeight="1" thickBot="1" x14ac:dyDescent="0.25">
      <c r="A91" s="247" t="s">
        <v>110</v>
      </c>
      <c r="B91" s="307">
        <f t="shared" si="14"/>
        <v>11515.286894140658</v>
      </c>
      <c r="C91" s="300">
        <f>C90+C53+C45+C9</f>
        <v>11208.895794676813</v>
      </c>
      <c r="D91" s="300">
        <f>D90+D53+D45+D9</f>
        <v>306.39109946384485</v>
      </c>
      <c r="E91" s="301">
        <f>F91+G91+H91</f>
        <v>1703.2290592571803</v>
      </c>
      <c r="F91" s="300">
        <f t="shared" ref="F91:J91" si="16">F90+F53+F45+F9</f>
        <v>1347.0995652658355</v>
      </c>
      <c r="G91" s="300">
        <f t="shared" si="16"/>
        <v>5.5798061426140979</v>
      </c>
      <c r="H91" s="393">
        <f t="shared" si="16"/>
        <v>350.54968784873051</v>
      </c>
      <c r="I91" s="300">
        <f t="shared" si="16"/>
        <v>141.78241950708525</v>
      </c>
      <c r="J91" s="300">
        <f t="shared" si="16"/>
        <v>199.35778050667741</v>
      </c>
      <c r="K91" s="495">
        <f>K90+K53+K45+K9</f>
        <v>9812.0578348834788</v>
      </c>
      <c r="L91" s="497">
        <f>TableA3!G91/TableA6!B91</f>
        <v>0.18703103411081895</v>
      </c>
    </row>
    <row r="92" spans="1:12" ht="17" thickTop="1" x14ac:dyDescent="0.2">
      <c r="A92" s="954"/>
      <c r="B92" s="954"/>
      <c r="C92" s="954"/>
      <c r="D92" s="954"/>
      <c r="E92" s="954"/>
      <c r="F92" s="1000"/>
      <c r="G92" s="954"/>
      <c r="H92" s="954"/>
      <c r="I92" s="954"/>
      <c r="J92" s="954"/>
      <c r="K92" s="954"/>
      <c r="L92" s="1139"/>
    </row>
    <row r="93" spans="1:12" s="2" customFormat="1" ht="17" thickBot="1" x14ac:dyDescent="0.25">
      <c r="E93" s="954"/>
      <c r="F93" s="954"/>
      <c r="G93" s="954"/>
      <c r="H93" s="954"/>
      <c r="I93" s="954"/>
      <c r="J93" s="954"/>
      <c r="K93" s="954"/>
    </row>
    <row r="94" spans="1:12" s="2" customFormat="1" ht="38.25" customHeight="1" thickBot="1" x14ac:dyDescent="0.25">
      <c r="A94" s="1948" t="s">
        <v>202</v>
      </c>
      <c r="B94" s="1949"/>
      <c r="C94" s="1949"/>
      <c r="D94" s="1949"/>
      <c r="E94" s="1949"/>
      <c r="F94" s="1949"/>
      <c r="G94" s="1949"/>
      <c r="H94" s="1949"/>
      <c r="I94" s="1949"/>
      <c r="J94" s="1949"/>
      <c r="K94" s="1949"/>
      <c r="L94" s="1950"/>
    </row>
    <row r="95" spans="1:12" s="2" customFormat="1" x14ac:dyDescent="0.2">
      <c r="A95" s="954"/>
      <c r="B95" s="954"/>
      <c r="C95" s="954"/>
      <c r="D95" s="954"/>
      <c r="E95" s="954"/>
      <c r="F95" s="954"/>
      <c r="G95" s="954"/>
      <c r="H95" s="954"/>
      <c r="I95" s="954"/>
      <c r="J95" s="954"/>
      <c r="K95" s="954"/>
    </row>
    <row r="96" spans="1:12" s="2" customFormat="1" x14ac:dyDescent="0.2">
      <c r="A96" s="954"/>
      <c r="B96" s="954"/>
      <c r="C96" s="954"/>
      <c r="D96" s="954"/>
      <c r="E96" s="954"/>
      <c r="F96" s="954"/>
      <c r="G96" s="954"/>
      <c r="H96" s="954"/>
      <c r="I96" s="954"/>
      <c r="J96" s="954"/>
      <c r="K96" s="954"/>
    </row>
    <row r="97" spans="1:11" s="2" customFormat="1" x14ac:dyDescent="0.2">
      <c r="A97" s="954"/>
      <c r="B97" s="954"/>
      <c r="C97" s="954"/>
      <c r="D97" s="954"/>
      <c r="E97" s="954"/>
      <c r="F97" s="954"/>
      <c r="G97" s="954"/>
      <c r="H97" s="954"/>
      <c r="I97" s="954"/>
      <c r="J97" s="954"/>
      <c r="K97" s="954"/>
    </row>
    <row r="98" spans="1:11" s="2" customFormat="1" x14ac:dyDescent="0.2">
      <c r="A98" s="954"/>
      <c r="B98" s="268">
        <f t="shared" ref="B98:K98" si="17">B91-B90-B53-B45-B9</f>
        <v>0</v>
      </c>
      <c r="C98" s="268">
        <f t="shared" si="17"/>
        <v>0</v>
      </c>
      <c r="D98" s="268">
        <f t="shared" si="17"/>
        <v>0</v>
      </c>
      <c r="E98" s="268">
        <f t="shared" si="17"/>
        <v>0</v>
      </c>
      <c r="F98" s="268">
        <f t="shared" si="17"/>
        <v>0</v>
      </c>
      <c r="G98" s="268">
        <f t="shared" si="17"/>
        <v>0</v>
      </c>
      <c r="H98" s="268">
        <f t="shared" si="17"/>
        <v>0</v>
      </c>
      <c r="I98" s="268">
        <f t="shared" si="17"/>
        <v>0</v>
      </c>
      <c r="J98" s="268">
        <f t="shared" si="17"/>
        <v>0</v>
      </c>
      <c r="K98" s="268">
        <f t="shared" si="17"/>
        <v>0</v>
      </c>
    </row>
    <row r="100" spans="1:11" s="2" customFormat="1" x14ac:dyDescent="0.2">
      <c r="A100" s="954"/>
      <c r="B100" s="954"/>
      <c r="C100" s="954"/>
      <c r="D100" s="954"/>
      <c r="E100" s="954"/>
      <c r="F100" s="954"/>
      <c r="G100" s="954"/>
      <c r="H100" s="954"/>
      <c r="I100" s="954"/>
      <c r="J100" s="954"/>
      <c r="K100" s="954"/>
    </row>
  </sheetData>
  <mergeCells count="10">
    <mergeCell ref="L6:L8"/>
    <mergeCell ref="A94:L94"/>
    <mergeCell ref="A3:L3"/>
    <mergeCell ref="E7:E8"/>
    <mergeCell ref="F7:F8"/>
    <mergeCell ref="H7:H8"/>
    <mergeCell ref="G7:G8"/>
    <mergeCell ref="B7:B8"/>
    <mergeCell ref="K7:K8"/>
    <mergeCell ref="B6:K6"/>
  </mergeCells>
  <pageMargins left="0.7" right="0.7" top="0.75" bottom="0.75" header="0.3" footer="0.3"/>
  <pageSetup scale="63" fitToHeight="0"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99"/>
  <sheetViews>
    <sheetView zoomScale="93" zoomScaleNormal="93" zoomScalePageLayoutView="85" workbookViewId="0">
      <pane xSplit="1" ySplit="8" topLeftCell="B9" activePane="bottomRight" state="frozen"/>
      <selection pane="topRight" activeCell="AR8" sqref="AR8"/>
      <selection pane="bottomLeft" activeCell="AR8" sqref="AR8"/>
      <selection pane="bottomRight" activeCell="M95" sqref="M95"/>
    </sheetView>
  </sheetViews>
  <sheetFormatPr baseColWidth="10" defaultColWidth="10.83203125" defaultRowHeight="16" x14ac:dyDescent="0.2"/>
  <cols>
    <col min="1" max="1" width="19" style="1" customWidth="1"/>
    <col min="2" max="12" width="11.33203125" style="1" customWidth="1"/>
    <col min="13" max="13" width="10.83203125" style="1" customWidth="1"/>
    <col min="14" max="15" width="11.33203125" style="1" customWidth="1"/>
    <col min="16" max="22" width="10.83203125" style="1"/>
    <col min="26" max="16384" width="10.83203125" style="1"/>
  </cols>
  <sheetData>
    <row r="1" spans="1:21" x14ac:dyDescent="0.2">
      <c r="A1" s="954"/>
      <c r="B1" s="954"/>
      <c r="C1" s="954"/>
      <c r="D1" s="954"/>
      <c r="E1" s="954"/>
      <c r="F1" s="954"/>
      <c r="G1" s="954"/>
      <c r="H1" s="954"/>
      <c r="I1" s="954"/>
      <c r="J1" s="954"/>
      <c r="K1" s="954"/>
      <c r="L1" s="954"/>
      <c r="M1" s="954"/>
      <c r="N1" s="954"/>
      <c r="O1" s="954"/>
      <c r="P1" s="1000"/>
      <c r="Q1" s="954"/>
      <c r="R1" s="954"/>
      <c r="S1" s="954"/>
      <c r="T1" s="954"/>
      <c r="U1" s="954"/>
    </row>
    <row r="2" spans="1:21" ht="17" thickBot="1" x14ac:dyDescent="0.25">
      <c r="A2" s="954"/>
      <c r="B2" s="954"/>
      <c r="C2" s="954"/>
      <c r="D2" s="954"/>
      <c r="E2" s="954"/>
      <c r="F2" s="954"/>
      <c r="G2" s="954"/>
      <c r="H2" s="954"/>
      <c r="I2" s="954"/>
      <c r="J2" s="954"/>
      <c r="K2" s="954"/>
      <c r="L2" s="954"/>
      <c r="M2" s="954"/>
      <c r="N2" s="954"/>
      <c r="O2" s="954"/>
      <c r="P2" s="954"/>
      <c r="Q2" s="954"/>
      <c r="R2" s="954"/>
      <c r="S2" s="954"/>
      <c r="T2" s="954"/>
      <c r="U2" s="954"/>
    </row>
    <row r="3" spans="1:21" ht="32.25" customHeight="1" thickTop="1" x14ac:dyDescent="0.2">
      <c r="A3" s="1951" t="s">
        <v>203</v>
      </c>
      <c r="B3" s="1952"/>
      <c r="C3" s="1952"/>
      <c r="D3" s="1952"/>
      <c r="E3" s="1952"/>
      <c r="F3" s="1952"/>
      <c r="G3" s="1952"/>
      <c r="H3" s="1952"/>
      <c r="I3" s="1952"/>
      <c r="J3" s="1952"/>
      <c r="K3" s="1952"/>
      <c r="L3" s="1952"/>
      <c r="M3" s="1952"/>
      <c r="N3" s="1952"/>
      <c r="O3" s="1952"/>
      <c r="P3" s="1952"/>
      <c r="Q3" s="1953"/>
      <c r="R3" s="954"/>
      <c r="S3" s="954"/>
      <c r="T3" s="954"/>
      <c r="U3" s="954"/>
    </row>
    <row r="4" spans="1:21" ht="12" customHeight="1" x14ac:dyDescent="0.2">
      <c r="A4" s="4"/>
      <c r="B4" s="620"/>
      <c r="C4" s="620"/>
      <c r="D4" s="620"/>
      <c r="E4" s="620"/>
      <c r="F4" s="620"/>
      <c r="G4" s="620"/>
      <c r="H4" s="620"/>
      <c r="I4" s="620"/>
      <c r="J4" s="620"/>
      <c r="K4" s="620"/>
      <c r="L4" s="620"/>
      <c r="M4" s="620"/>
      <c r="N4" s="620"/>
      <c r="O4" s="620"/>
      <c r="P4" s="1027"/>
      <c r="Q4" s="1073"/>
      <c r="R4" s="954"/>
      <c r="S4" s="954"/>
      <c r="T4" s="954"/>
      <c r="U4" s="954"/>
    </row>
    <row r="5" spans="1:21" x14ac:dyDescent="0.2">
      <c r="A5" s="1148"/>
      <c r="B5" s="3" t="s">
        <v>1</v>
      </c>
      <c r="C5" s="3" t="s">
        <v>2</v>
      </c>
      <c r="D5" s="3" t="s">
        <v>3</v>
      </c>
      <c r="E5" s="3" t="s">
        <v>4</v>
      </c>
      <c r="F5" s="3" t="s">
        <v>5</v>
      </c>
      <c r="G5" s="3" t="s">
        <v>6</v>
      </c>
      <c r="H5" s="3" t="s">
        <v>7</v>
      </c>
      <c r="I5" s="3" t="s">
        <v>8</v>
      </c>
      <c r="J5" s="3" t="s">
        <v>9</v>
      </c>
      <c r="K5" s="3" t="s">
        <v>10</v>
      </c>
      <c r="L5" s="3" t="s">
        <v>11</v>
      </c>
      <c r="M5" s="3" t="s">
        <v>12</v>
      </c>
      <c r="N5" s="3" t="s">
        <v>13</v>
      </c>
      <c r="O5" s="3" t="s">
        <v>177</v>
      </c>
      <c r="P5" s="3" t="s">
        <v>178</v>
      </c>
      <c r="Q5" s="1778" t="s">
        <v>179</v>
      </c>
      <c r="R5" s="954"/>
      <c r="S5" s="954"/>
      <c r="T5" s="954"/>
      <c r="U5" s="954"/>
    </row>
    <row r="6" spans="1:21" ht="21" customHeight="1" x14ac:dyDescent="0.2">
      <c r="A6" s="1148"/>
      <c r="B6" s="2079" t="s">
        <v>14</v>
      </c>
      <c r="C6" s="2080"/>
      <c r="D6" s="2080"/>
      <c r="E6" s="2080"/>
      <c r="F6" s="2074" t="s">
        <v>204</v>
      </c>
      <c r="G6" s="2077" t="s">
        <v>205</v>
      </c>
      <c r="H6" s="2083" t="s">
        <v>206</v>
      </c>
      <c r="I6" s="2057" t="s">
        <v>207</v>
      </c>
      <c r="J6" s="2069" t="s">
        <v>208</v>
      </c>
      <c r="K6" s="2070" t="s">
        <v>209</v>
      </c>
      <c r="L6" s="2072" t="s">
        <v>210</v>
      </c>
      <c r="M6" s="2057" t="s">
        <v>211</v>
      </c>
      <c r="N6" s="2081" t="s">
        <v>212</v>
      </c>
      <c r="O6" s="2057" t="s">
        <v>213</v>
      </c>
      <c r="P6" s="2046" t="s">
        <v>136</v>
      </c>
      <c r="Q6" s="2073"/>
      <c r="R6" s="954"/>
      <c r="S6" s="954"/>
      <c r="T6" s="954"/>
      <c r="U6" s="954"/>
    </row>
    <row r="7" spans="1:21" ht="85" customHeight="1" x14ac:dyDescent="0.2">
      <c r="A7" s="1148"/>
      <c r="B7" s="2072" t="s">
        <v>214</v>
      </c>
      <c r="C7" s="1829" t="s">
        <v>215</v>
      </c>
      <c r="D7" s="1829" t="s">
        <v>216</v>
      </c>
      <c r="E7" s="1819" t="s">
        <v>162</v>
      </c>
      <c r="F7" s="2075"/>
      <c r="G7" s="2033"/>
      <c r="H7" s="2058"/>
      <c r="I7" s="2058"/>
      <c r="J7" s="2034"/>
      <c r="K7" s="2071"/>
      <c r="L7" s="2024"/>
      <c r="M7" s="2058"/>
      <c r="N7" s="2082"/>
      <c r="O7" s="2058"/>
      <c r="P7" s="2072" t="s">
        <v>217</v>
      </c>
      <c r="Q7" s="1206" t="s">
        <v>218</v>
      </c>
      <c r="R7" s="1027"/>
      <c r="S7" s="954"/>
      <c r="T7" s="173" t="s">
        <v>166</v>
      </c>
      <c r="U7" s="954"/>
    </row>
    <row r="8" spans="1:21" ht="33" customHeight="1" x14ac:dyDescent="0.2">
      <c r="A8" s="1148"/>
      <c r="B8" s="2028"/>
      <c r="C8" s="1814"/>
      <c r="D8" s="1814"/>
      <c r="E8" s="1814"/>
      <c r="F8" s="2076"/>
      <c r="G8" s="2078"/>
      <c r="H8" s="2030"/>
      <c r="I8" s="2030"/>
      <c r="J8" s="1814"/>
      <c r="K8" s="1814"/>
      <c r="L8" s="2028"/>
      <c r="M8" s="1814"/>
      <c r="N8" s="1814"/>
      <c r="O8" s="1814"/>
      <c r="P8" s="2028"/>
      <c r="Q8" s="1816"/>
      <c r="R8" s="954"/>
      <c r="S8" s="954"/>
      <c r="T8" s="172"/>
      <c r="U8" s="954"/>
    </row>
    <row r="9" spans="1:21" ht="40" customHeight="1" x14ac:dyDescent="0.2">
      <c r="A9" s="267" t="s">
        <v>28</v>
      </c>
      <c r="B9" s="256">
        <f>SUM(B10:B44)</f>
        <v>6449.286986082956</v>
      </c>
      <c r="C9" s="295">
        <f>SUM(C10:C44)</f>
        <v>956.10086642796193</v>
      </c>
      <c r="D9" s="295">
        <f>SUM(D10:D44)</f>
        <v>83.176702611519431</v>
      </c>
      <c r="E9" s="258">
        <f>SUM(E10:E44)</f>
        <v>5410.0094170434731</v>
      </c>
      <c r="F9" s="1207">
        <f t="shared" ref="F9:F44" si="0">C9/(B9-D9)</f>
        <v>0.1501860357195384</v>
      </c>
      <c r="G9" s="266">
        <f>TableA2!L9</f>
        <v>0.41149842417638866</v>
      </c>
      <c r="H9" s="266">
        <f>D9/TableA2!C9</f>
        <v>5.4072503583288559E-3</v>
      </c>
      <c r="I9" s="266">
        <f>J9+K9</f>
        <v>7.7645217153016902E-3</v>
      </c>
      <c r="J9" s="266">
        <f>TableA6!I9/TableA2!$C9</f>
        <v>6.6527210204393103E-3</v>
      </c>
      <c r="K9" s="266">
        <f>TableA6!J9/TableA2!$C9</f>
        <v>1.1118006948623801E-3</v>
      </c>
      <c r="L9" s="265">
        <f>G9-H9+I9</f>
        <v>0.41385569553336149</v>
      </c>
      <c r="M9" s="266">
        <f>C9/TableA4!D9</f>
        <v>0.42001657601288439</v>
      </c>
      <c r="N9" s="266"/>
      <c r="O9" s="266">
        <f>E9/TableA4!G9</f>
        <v>0.41278563924415895</v>
      </c>
      <c r="P9" s="16">
        <f>P12+P24+P30+P32+P41</f>
        <v>281.74149562210863</v>
      </c>
      <c r="Q9" s="1830"/>
      <c r="R9" s="954"/>
      <c r="S9" s="954"/>
      <c r="T9" s="320">
        <f t="shared" ref="T9:T40" si="1">L9-G9-I9+H9</f>
        <v>0</v>
      </c>
      <c r="U9" s="320">
        <f t="shared" ref="U9:U40" si="2">B9-C9-D9-E9</f>
        <v>0</v>
      </c>
    </row>
    <row r="10" spans="1:21" ht="14.25" customHeight="1" x14ac:dyDescent="0.2">
      <c r="A10" s="1149" t="s">
        <v>29</v>
      </c>
      <c r="B10" s="1208">
        <f>TableA6!B10</f>
        <v>178.84741076861815</v>
      </c>
      <c r="C10" s="1153">
        <f>TableA6!E10</f>
        <v>28.299110069424813</v>
      </c>
      <c r="D10" s="1153">
        <v>0</v>
      </c>
      <c r="E10" s="1153">
        <f>B10-C10-D10</f>
        <v>150.54830069919333</v>
      </c>
      <c r="F10" s="1209">
        <f t="shared" si="0"/>
        <v>0.15823047114747707</v>
      </c>
      <c r="G10" s="1210">
        <f>TableA2!L10</f>
        <v>0.35986511293798373</v>
      </c>
      <c r="H10" s="1210">
        <f>D10/TableA2!C10</f>
        <v>0</v>
      </c>
      <c r="I10" s="1210">
        <f>J10+K10</f>
        <v>0</v>
      </c>
      <c r="J10" s="1210">
        <f>TableA6!I10/TableA2!$C10</f>
        <v>0</v>
      </c>
      <c r="K10" s="1210">
        <f>TableA6!J10/TableA2!$C10</f>
        <v>0</v>
      </c>
      <c r="L10" s="265">
        <f t="shared" ref="L10:L44" si="3">G10-H10+I10</f>
        <v>0.35986511293798373</v>
      </c>
      <c r="M10" s="1210">
        <f>C10/TableA4!D10</f>
        <v>0.27383940346897767</v>
      </c>
      <c r="N10" s="1210">
        <f>AVERAGE((VLOOKUP(A10,TableA10!$A$8:$G$95,4,)/VLOOKUP(A10,TableA10!$A$8:$G$95,3,)),(VLOOKUP(A10,TableA10b!$A$8:$G$95,4,)/VLOOKUP(A10,TableA10b!$A$8:$G$95,3,)))</f>
        <v>0.27383940346897767</v>
      </c>
      <c r="O10" s="1210">
        <f>E10/TableA4!G10</f>
        <v>0.38244922547378107</v>
      </c>
      <c r="P10" s="120">
        <f>C10-O10*TableA4!D10</f>
        <v>-11.223955605361816</v>
      </c>
      <c r="Q10" s="1211"/>
      <c r="R10" s="954"/>
      <c r="S10" s="954"/>
      <c r="T10" s="320">
        <f t="shared" si="1"/>
        <v>0</v>
      </c>
      <c r="U10" s="320">
        <f t="shared" si="2"/>
        <v>0</v>
      </c>
    </row>
    <row r="11" spans="1:21" ht="14.25" customHeight="1" x14ac:dyDescent="0.2">
      <c r="A11" s="1149" t="s">
        <v>30</v>
      </c>
      <c r="B11" s="1208">
        <f>TableA6!B11</f>
        <v>47.957043627358011</v>
      </c>
      <c r="C11" s="1153">
        <f>TableA6!E11</f>
        <v>11.294821742987047</v>
      </c>
      <c r="D11" s="1153">
        <v>0</v>
      </c>
      <c r="E11" s="1153">
        <f t="shared" ref="E11:E52" si="4">B11-C11-D11</f>
        <v>36.662221884370965</v>
      </c>
      <c r="F11" s="1209">
        <f t="shared" si="0"/>
        <v>0.23551955851890127</v>
      </c>
      <c r="G11" s="1178">
        <f>TableA2!L11</f>
        <v>0.38573161702393371</v>
      </c>
      <c r="H11" s="1178">
        <f>D11/TableA2!C11</f>
        <v>0</v>
      </c>
      <c r="I11" s="1178">
        <f t="shared" ref="I11:I52" si="5">J11+K11</f>
        <v>0</v>
      </c>
      <c r="J11" s="1178">
        <f>TableA6!I11/TableA2!$C11</f>
        <v>0</v>
      </c>
      <c r="K11" s="1178">
        <f>TableA6!J11/TableA2!$C11</f>
        <v>0</v>
      </c>
      <c r="L11" s="119">
        <f t="shared" si="3"/>
        <v>0.38573161702393371</v>
      </c>
      <c r="M11" s="1178">
        <f>C11/TableA4!D11</f>
        <v>0.33058399232200741</v>
      </c>
      <c r="N11" s="1178">
        <f>VLOOKUP(A11,TableA10!$A$8:$G$95,4,)/VLOOKUP(A11,TableA10!$A$8:$G$95,3,)</f>
        <v>-3.7660055234747677E-3</v>
      </c>
      <c r="O11" s="1178">
        <f>E11/TableA4!G11</f>
        <v>0.40662961061080261</v>
      </c>
      <c r="P11" s="120">
        <f>C11-O11*TableA4!D11</f>
        <v>-2.5981950816013484</v>
      </c>
      <c r="Q11" s="1211"/>
      <c r="R11" s="954"/>
      <c r="S11" s="954"/>
      <c r="T11" s="320">
        <f t="shared" si="1"/>
        <v>0</v>
      </c>
      <c r="U11" s="320">
        <f t="shared" si="2"/>
        <v>0</v>
      </c>
    </row>
    <row r="12" spans="1:21" x14ac:dyDescent="0.2">
      <c r="A12" s="1149" t="s">
        <v>31</v>
      </c>
      <c r="B12" s="1208">
        <f>TableA6!B12</f>
        <v>80.241889758299209</v>
      </c>
      <c r="C12" s="1153">
        <f>TableA6!E12</f>
        <v>32.206747942780808</v>
      </c>
      <c r="D12" s="1153">
        <v>0</v>
      </c>
      <c r="E12" s="1153">
        <f t="shared" si="4"/>
        <v>48.035141815518401</v>
      </c>
      <c r="F12" s="1209">
        <f t="shared" si="0"/>
        <v>0.40137075584576132</v>
      </c>
      <c r="G12" s="1178">
        <f>TableA2!L12</f>
        <v>0.46042895713758619</v>
      </c>
      <c r="H12" s="1178">
        <f>D12/TableA2!C12</f>
        <v>0</v>
      </c>
      <c r="I12" s="1178">
        <f t="shared" si="5"/>
        <v>2.1427357922788704E-2</v>
      </c>
      <c r="J12" s="1178">
        <f>TableA6!I12/TableA2!$C12</f>
        <v>2.1427357922788704E-2</v>
      </c>
      <c r="K12" s="1178">
        <f>TableA6!J12/TableA2!$C12</f>
        <v>0</v>
      </c>
      <c r="L12" s="119">
        <f t="shared" si="3"/>
        <v>0.48185631506037491</v>
      </c>
      <c r="M12" s="1178">
        <f>C12/TableA4!D12</f>
        <v>0.67980103327038299</v>
      </c>
      <c r="N12" s="1178">
        <f>VLOOKUP(A12,TableA10!$A$8:$G$95,4,)/VLOOKUP(A12,TableA10!$A$8:$G$95,3,)</f>
        <v>0.60110878851222393</v>
      </c>
      <c r="O12" s="1178">
        <f>E12/TableA4!G12</f>
        <v>0.4031489417707429</v>
      </c>
      <c r="P12" s="120">
        <f>C12-O12*TableA4!D12</f>
        <v>13.106870602869716</v>
      </c>
      <c r="Q12" s="1211"/>
      <c r="R12" s="954"/>
      <c r="S12" s="954"/>
      <c r="T12" s="320">
        <f t="shared" si="1"/>
        <v>1.0408340855860843E-17</v>
      </c>
      <c r="U12" s="320">
        <f t="shared" si="2"/>
        <v>0</v>
      </c>
    </row>
    <row r="13" spans="1:21" x14ac:dyDescent="0.2">
      <c r="A13" s="1149" t="s">
        <v>32</v>
      </c>
      <c r="B13" s="1208">
        <f>TableA6!B13</f>
        <v>142.9569900038934</v>
      </c>
      <c r="C13" s="1153">
        <f>TableA6!E13</f>
        <v>46.935942392007277</v>
      </c>
      <c r="D13" s="1153">
        <v>0</v>
      </c>
      <c r="E13" s="1153">
        <f t="shared" si="4"/>
        <v>96.021047611886118</v>
      </c>
      <c r="F13" s="1209">
        <f t="shared" si="0"/>
        <v>0.3283221225539863</v>
      </c>
      <c r="G13" s="1178">
        <f>TableA2!L13</f>
        <v>0.23305888899623428</v>
      </c>
      <c r="H13" s="1178">
        <f>D13/TableA2!C13</f>
        <v>0</v>
      </c>
      <c r="I13" s="1178">
        <f t="shared" si="5"/>
        <v>0</v>
      </c>
      <c r="J13" s="1178">
        <f>TableA6!I13/TableA2!$C13</f>
        <v>0</v>
      </c>
      <c r="K13" s="1178">
        <f>TableA6!J13/TableA2!$C13</f>
        <v>0</v>
      </c>
      <c r="L13" s="119">
        <f t="shared" si="3"/>
        <v>0.23305888899623428</v>
      </c>
      <c r="M13" s="1178">
        <f>C13/TableA4!D13</f>
        <v>0.51265902111925798</v>
      </c>
      <c r="N13" s="1178">
        <f>VLOOKUP(A13,TableA10!$A$8:$G$95,4,)/VLOOKUP(A13,TableA10!$A$8:$G$95,3,)</f>
        <v>0.51265902111925798</v>
      </c>
      <c r="O13" s="1178">
        <f>E13/TableA4!G13</f>
        <v>0.18400463874630477</v>
      </c>
      <c r="P13" s="278">
        <f>C13-O13*TableA4!D13</f>
        <v>30.089596637272944</v>
      </c>
      <c r="Q13" s="1211"/>
      <c r="R13" s="954"/>
      <c r="S13" s="954"/>
      <c r="T13" s="320">
        <f t="shared" si="1"/>
        <v>0</v>
      </c>
      <c r="U13" s="320">
        <f t="shared" si="2"/>
        <v>0</v>
      </c>
    </row>
    <row r="14" spans="1:21" x14ac:dyDescent="0.2">
      <c r="A14" s="1149" t="s">
        <v>33</v>
      </c>
      <c r="B14" s="1208">
        <f>TableA6!B14</f>
        <v>67.542484958596845</v>
      </c>
      <c r="C14" s="1153">
        <f>TableA6!E14</f>
        <v>9.8951445885655183</v>
      </c>
      <c r="D14" s="1153">
        <v>0</v>
      </c>
      <c r="E14" s="1153">
        <f t="shared" si="4"/>
        <v>57.64734037003133</v>
      </c>
      <c r="F14" s="1209">
        <f t="shared" si="0"/>
        <v>0.14650252496086255</v>
      </c>
      <c r="G14" s="1178">
        <f>TableA2!L14</f>
        <v>1.0076535203150763</v>
      </c>
      <c r="H14" s="1178">
        <f>D14/TableA2!C14</f>
        <v>0</v>
      </c>
      <c r="I14" s="1178">
        <f t="shared" si="5"/>
        <v>0</v>
      </c>
      <c r="J14" s="1178">
        <f>TableA6!I14/TableA2!$C14</f>
        <v>0</v>
      </c>
      <c r="K14" s="1178">
        <f>TableA6!J14/TableA2!$C14</f>
        <v>0</v>
      </c>
      <c r="L14" s="119">
        <f t="shared" si="3"/>
        <v>1.0076535203150763</v>
      </c>
      <c r="M14" s="1178">
        <f>C14/TableA4!D14</f>
        <v>0.99074432261467493</v>
      </c>
      <c r="N14" s="1178">
        <f>VLOOKUP(A14,TableA10!$A$8:$G$95,4,)/VLOOKUP(A14,TableA10!$A$8:$G$95,3,)</f>
        <v>0.99075263293090166</v>
      </c>
      <c r="O14" s="1178">
        <f>E14/TableA4!G14</f>
        <v>1.0106141880425457</v>
      </c>
      <c r="P14" s="120">
        <f>C14-O14*TableA4!D14</f>
        <v>-0.19845199904374233</v>
      </c>
      <c r="Q14" s="1211"/>
      <c r="R14" s="954"/>
      <c r="S14" s="954"/>
      <c r="T14" s="320">
        <f t="shared" si="1"/>
        <v>0</v>
      </c>
      <c r="U14" s="320">
        <f t="shared" si="2"/>
        <v>0</v>
      </c>
    </row>
    <row r="15" spans="1:21" x14ac:dyDescent="0.2">
      <c r="A15" s="1149" t="s">
        <v>34</v>
      </c>
      <c r="B15" s="1208">
        <f>TableA6!B15</f>
        <v>33.577437877940952</v>
      </c>
      <c r="C15" s="1153">
        <f>TableA6!E15</f>
        <v>17.490778418103861</v>
      </c>
      <c r="D15" s="1153">
        <v>0</v>
      </c>
      <c r="E15" s="1153">
        <f t="shared" si="4"/>
        <v>16.08665945983709</v>
      </c>
      <c r="F15" s="1209">
        <f t="shared" si="0"/>
        <v>0.52090866735232977</v>
      </c>
      <c r="G15" s="1178">
        <f>TableA2!L15</f>
        <v>0.62169699268833523</v>
      </c>
      <c r="H15" s="1178">
        <f>D15/TableA2!C15</f>
        <v>0</v>
      </c>
      <c r="I15" s="1178">
        <f t="shared" si="5"/>
        <v>0</v>
      </c>
      <c r="J15" s="1178">
        <f>TableA6!I15/TableA2!$C15</f>
        <v>0</v>
      </c>
      <c r="K15" s="1178">
        <f>TableA6!J15/TableA2!$C15</f>
        <v>0</v>
      </c>
      <c r="L15" s="119">
        <f t="shared" si="3"/>
        <v>0.62169699268833523</v>
      </c>
      <c r="M15" s="1178">
        <f>C15/TableA4!D15</f>
        <v>0.76443329218162037</v>
      </c>
      <c r="N15" s="1178">
        <f>VLOOKUP(A15,TableA10!$A$8:$G$95,4,)/VLOOKUP(A15,TableA10!$A$8:$G$95,3,)</f>
        <v>0.60775473399458968</v>
      </c>
      <c r="O15" s="1178">
        <f>E15/TableA4!G15</f>
        <v>0.51678040684408355</v>
      </c>
      <c r="P15" s="120">
        <f>C15-O15*TableA4!D15</f>
        <v>5.6664744803053289</v>
      </c>
      <c r="Q15" s="1211"/>
      <c r="R15" s="954"/>
      <c r="S15" s="954"/>
      <c r="T15" s="320">
        <f t="shared" si="1"/>
        <v>0</v>
      </c>
      <c r="U15" s="320">
        <f t="shared" si="2"/>
        <v>0</v>
      </c>
    </row>
    <row r="16" spans="1:21" x14ac:dyDescent="0.2">
      <c r="A16" s="1149" t="s">
        <v>35</v>
      </c>
      <c r="B16" s="1208">
        <f>TableA6!B16</f>
        <v>51.69259919912686</v>
      </c>
      <c r="C16" s="1153">
        <f>TableA6!E16</f>
        <v>5.1092950429719881</v>
      </c>
      <c r="D16" s="1153">
        <v>0</v>
      </c>
      <c r="E16" s="1153">
        <f t="shared" si="4"/>
        <v>46.583304156154874</v>
      </c>
      <c r="F16" s="1209">
        <f t="shared" si="0"/>
        <v>9.8839971719941855E-2</v>
      </c>
      <c r="G16" s="1178">
        <f>TableA2!L16</f>
        <v>0.52437213243531344</v>
      </c>
      <c r="H16" s="1178">
        <f>D16/TableA2!C16</f>
        <v>0</v>
      </c>
      <c r="I16" s="1178">
        <f t="shared" si="5"/>
        <v>0</v>
      </c>
      <c r="J16" s="1178">
        <f>TableA6!I16/TableA2!$C16</f>
        <v>0</v>
      </c>
      <c r="K16" s="1178">
        <f>TableA6!J16/TableA2!$C16</f>
        <v>0</v>
      </c>
      <c r="L16" s="119">
        <f t="shared" si="3"/>
        <v>0.52437213243531344</v>
      </c>
      <c r="M16" s="1178">
        <f>C16/TableA4!D16</f>
        <v>0.22447139293998325</v>
      </c>
      <c r="N16" s="1178">
        <f>VLOOKUP(A16,TableA10!$A$8:$G$95,4,)/VLOOKUP(A16,TableA10!$A$8:$G$95,3,)</f>
        <v>0.2613430127041742</v>
      </c>
      <c r="O16" s="1178">
        <f>E16/TableA4!G16</f>
        <v>0.6144052152506192</v>
      </c>
      <c r="P16" s="120">
        <f>C16-O16*TableA4!D16</f>
        <v>-8.8754603396234497</v>
      </c>
      <c r="Q16" s="1211"/>
      <c r="R16" s="954"/>
      <c r="S16" s="954"/>
      <c r="T16" s="320">
        <f t="shared" si="1"/>
        <v>0</v>
      </c>
      <c r="U16" s="320">
        <f t="shared" si="2"/>
        <v>0</v>
      </c>
    </row>
    <row r="17" spans="1:21" x14ac:dyDescent="0.2">
      <c r="A17" s="1149" t="s">
        <v>36</v>
      </c>
      <c r="B17" s="1208">
        <f>TableA6!B17</f>
        <v>4.0797019715879275</v>
      </c>
      <c r="C17" s="1153">
        <f>TableA6!E17</f>
        <v>1.4550356443784636</v>
      </c>
      <c r="D17" s="1153">
        <v>0</v>
      </c>
      <c r="E17" s="1153">
        <f t="shared" si="4"/>
        <v>2.6246663272094639</v>
      </c>
      <c r="F17" s="1209">
        <f t="shared" si="0"/>
        <v>0.35665243552389325</v>
      </c>
      <c r="G17" s="1178">
        <f>TableA2!L17</f>
        <v>0.51266863641431581</v>
      </c>
      <c r="H17" s="1178">
        <f>D17/TableA2!C17</f>
        <v>0</v>
      </c>
      <c r="I17" s="1178">
        <f t="shared" si="5"/>
        <v>0</v>
      </c>
      <c r="J17" s="1178">
        <f>TableA6!I17/TableA2!$C17</f>
        <v>0</v>
      </c>
      <c r="K17" s="1178">
        <f>TableA6!J17/TableA2!$C17</f>
        <v>0</v>
      </c>
      <c r="L17" s="119">
        <f t="shared" si="3"/>
        <v>0.51266863641431581</v>
      </c>
      <c r="M17" s="1178">
        <f>C17/TableA4!D17</f>
        <v>0.45190986584988918</v>
      </c>
      <c r="N17" s="1178"/>
      <c r="O17" s="1178">
        <f>E17/TableA4!G17</f>
        <v>0.55395752101378837</v>
      </c>
      <c r="P17" s="120">
        <f>C17-O17*TableA4!D17</f>
        <v>-0.32856767888762328</v>
      </c>
      <c r="Q17" s="1211"/>
      <c r="R17" s="954"/>
      <c r="S17" s="954"/>
      <c r="T17" s="320">
        <f t="shared" si="1"/>
        <v>0</v>
      </c>
      <c r="U17" s="320">
        <f t="shared" si="2"/>
        <v>0</v>
      </c>
    </row>
    <row r="18" spans="1:21" x14ac:dyDescent="0.2">
      <c r="A18" s="1149" t="s">
        <v>37</v>
      </c>
      <c r="B18" s="1208">
        <f>TableA6!B18</f>
        <v>25.094852932206081</v>
      </c>
      <c r="C18" s="1153">
        <f>TableA6!E18</f>
        <v>4.2466092034416771</v>
      </c>
      <c r="D18" s="1153">
        <v>0</v>
      </c>
      <c r="E18" s="1153">
        <f t="shared" si="4"/>
        <v>20.848243728764402</v>
      </c>
      <c r="F18" s="1209">
        <f t="shared" si="0"/>
        <v>0.16922231881230471</v>
      </c>
      <c r="G18" s="1178">
        <f>TableA2!L18</f>
        <v>0.33261304168871642</v>
      </c>
      <c r="H18" s="1178">
        <f>D18/TableA2!C18</f>
        <v>0</v>
      </c>
      <c r="I18" s="1178">
        <f t="shared" si="5"/>
        <v>0</v>
      </c>
      <c r="J18" s="1178">
        <f>TableA6!I18/TableA2!$C18</f>
        <v>0</v>
      </c>
      <c r="K18" s="1178">
        <f>TableA6!J18/TableA2!$C18</f>
        <v>0</v>
      </c>
      <c r="L18" s="119">
        <f t="shared" si="3"/>
        <v>0.33261304168871642</v>
      </c>
      <c r="M18" s="1178">
        <f>C18/TableA4!D18</f>
        <v>0.25990349075974173</v>
      </c>
      <c r="N18" s="1178">
        <f>VLOOKUP(A18,TableA10!$A$8:$G$95,4,)/VLOOKUP(A18,TableA10!$A$8:$G$95,3,)</f>
        <v>-0.86225490196078436</v>
      </c>
      <c r="O18" s="1178">
        <f>E18/TableA4!G18</f>
        <v>0.35271194390671812</v>
      </c>
      <c r="P18" s="120">
        <f>C18-O18*TableA4!D18</f>
        <v>-1.516413766275523</v>
      </c>
      <c r="Q18" s="1211"/>
      <c r="R18" s="954"/>
      <c r="S18" s="954"/>
      <c r="T18" s="320">
        <f t="shared" si="1"/>
        <v>0</v>
      </c>
      <c r="U18" s="320">
        <f t="shared" si="2"/>
        <v>0</v>
      </c>
    </row>
    <row r="19" spans="1:21" x14ac:dyDescent="0.2">
      <c r="A19" s="1149" t="s">
        <v>38</v>
      </c>
      <c r="B19" s="1208">
        <f>TableA6!B19</f>
        <v>187.65852722592464</v>
      </c>
      <c r="C19" s="1153">
        <f>TableA6!E19</f>
        <v>31.778815000521959</v>
      </c>
      <c r="D19" s="1153">
        <v>0</v>
      </c>
      <c r="E19" s="1153">
        <f t="shared" si="4"/>
        <v>155.87971222540267</v>
      </c>
      <c r="F19" s="1209">
        <f t="shared" si="0"/>
        <v>0.16934383675655204</v>
      </c>
      <c r="G19" s="1178">
        <f>TableA2!L19</f>
        <v>0.21535775015018682</v>
      </c>
      <c r="H19" s="1178">
        <f>D19/TableA2!C19</f>
        <v>0</v>
      </c>
      <c r="I19" s="1178">
        <f t="shared" si="5"/>
        <v>0</v>
      </c>
      <c r="J19" s="1178">
        <f>TableA6!I19/TableA2!$C19</f>
        <v>0</v>
      </c>
      <c r="K19" s="1178">
        <f>TableA6!J19/TableA2!$C19</f>
        <v>0</v>
      </c>
      <c r="L19" s="119">
        <f t="shared" si="3"/>
        <v>0.21535775015018682</v>
      </c>
      <c r="M19" s="1178">
        <f>C19/TableA4!D19</f>
        <v>0.2071972615008727</v>
      </c>
      <c r="N19" s="1178">
        <f>VLOOKUP(A19,TableA10!$A$8:$G$95,4,)/VLOOKUP(A19,TableA10!$A$8:$G$95,3,)</f>
        <v>0.14399522601820081</v>
      </c>
      <c r="O19" s="1178">
        <f>E19/TableA4!G19</f>
        <v>0.2171009289647885</v>
      </c>
      <c r="P19" s="120">
        <f>C19-O19*TableA4!D19</f>
        <v>-1.5189718912435666</v>
      </c>
      <c r="Q19" s="1211"/>
      <c r="R19" s="954"/>
      <c r="S19" s="954"/>
      <c r="T19" s="320">
        <f t="shared" si="1"/>
        <v>0</v>
      </c>
      <c r="U19" s="320">
        <f t="shared" si="2"/>
        <v>0</v>
      </c>
    </row>
    <row r="20" spans="1:21" x14ac:dyDescent="0.2">
      <c r="A20" s="1149" t="s">
        <v>39</v>
      </c>
      <c r="B20" s="1208">
        <f>TableA6!B20</f>
        <v>553.04943443142031</v>
      </c>
      <c r="C20" s="1153">
        <f>TableA6!E20</f>
        <v>42.83586575015805</v>
      </c>
      <c r="D20" s="1153">
        <v>0</v>
      </c>
      <c r="E20" s="1153">
        <f t="shared" si="4"/>
        <v>510.21356868126225</v>
      </c>
      <c r="F20" s="1209">
        <f t="shared" si="0"/>
        <v>7.7453954535179656E-2</v>
      </c>
      <c r="G20" s="1178">
        <f>TableA2!L20</f>
        <v>0.45220474547375394</v>
      </c>
      <c r="H20" s="1178">
        <f>D20/TableA2!C20</f>
        <v>0</v>
      </c>
      <c r="I20" s="1178">
        <f t="shared" si="5"/>
        <v>0</v>
      </c>
      <c r="J20" s="1178">
        <f>TableA6!I20/TableA2!$C20</f>
        <v>0</v>
      </c>
      <c r="K20" s="1178">
        <f>TableA6!J20/TableA2!$C20</f>
        <v>0</v>
      </c>
      <c r="L20" s="119">
        <f t="shared" si="3"/>
        <v>0.45220474547375394</v>
      </c>
      <c r="M20" s="1178">
        <f>C20/TableA4!D20</f>
        <v>0.18304850872360104</v>
      </c>
      <c r="N20" s="1178">
        <f>VLOOKUP(A20,TableA10!$A$8:$G$95,4,)/VLOOKUP(A20,TableA10!$A$8:$G$95,3,)</f>
        <v>0.24505490373044525</v>
      </c>
      <c r="O20" s="1178">
        <f>E20/TableA4!G20</f>
        <v>0.51589201053413136</v>
      </c>
      <c r="P20" s="121">
        <f>C20-O20*TableA4!D20</f>
        <v>-77.889952006640314</v>
      </c>
      <c r="Q20" s="1073"/>
      <c r="R20" s="954"/>
      <c r="S20" s="954"/>
      <c r="T20" s="320">
        <f t="shared" si="1"/>
        <v>0</v>
      </c>
      <c r="U20" s="320">
        <f t="shared" si="2"/>
        <v>0</v>
      </c>
    </row>
    <row r="21" spans="1:21" x14ac:dyDescent="0.2">
      <c r="A21" s="1149" t="s">
        <v>40</v>
      </c>
      <c r="B21" s="1208">
        <f>TableA6!B21</f>
        <v>22.607784095761257</v>
      </c>
      <c r="C21" s="1153">
        <f>TableA6!E21</f>
        <v>1.3429928248302583</v>
      </c>
      <c r="D21" s="1153">
        <v>0</v>
      </c>
      <c r="E21" s="1153">
        <f t="shared" si="4"/>
        <v>21.264791270930999</v>
      </c>
      <c r="F21" s="1209">
        <f t="shared" si="0"/>
        <v>5.9404000814129172E-2</v>
      </c>
      <c r="G21" s="1178">
        <f>TableA2!L21</f>
        <v>0.81636062215561511</v>
      </c>
      <c r="H21" s="1178">
        <f>D21/TableA2!C21</f>
        <v>0</v>
      </c>
      <c r="I21" s="1178">
        <f t="shared" si="5"/>
        <v>0</v>
      </c>
      <c r="J21" s="1178">
        <f>TableA6!I21/TableA2!$C21</f>
        <v>0</v>
      </c>
      <c r="K21" s="1178">
        <f>TableA6!J21/TableA2!$C21</f>
        <v>0</v>
      </c>
      <c r="L21" s="119">
        <f t="shared" si="3"/>
        <v>0.81636062215561511</v>
      </c>
      <c r="M21" s="1178">
        <f>C21/TableA4!D21</f>
        <v>0.32015467353035559</v>
      </c>
      <c r="N21" s="1178">
        <f>VLOOKUP(A21,TableA10!$A$8:$G$95,4,)/VLOOKUP(A21,TableA10!$A$8:$G$95,3,)</f>
        <v>0.14510686164229472</v>
      </c>
      <c r="O21" s="1178">
        <f>E21/TableA4!G21</f>
        <v>0.90494041789473145</v>
      </c>
      <c r="P21" s="121">
        <f>C21-O21*TableA4!D21</f>
        <v>-2.4530738535975614</v>
      </c>
      <c r="Q21" s="1073"/>
      <c r="R21" s="954"/>
      <c r="S21" s="954"/>
      <c r="T21" s="320">
        <f t="shared" si="1"/>
        <v>0</v>
      </c>
      <c r="U21" s="320">
        <f t="shared" si="2"/>
        <v>0</v>
      </c>
    </row>
    <row r="22" spans="1:21" x14ac:dyDescent="0.2">
      <c r="A22" s="1149" t="s">
        <v>41</v>
      </c>
      <c r="B22" s="1208">
        <f>TableA6!B22</f>
        <v>20.668289583202817</v>
      </c>
      <c r="C22" s="1153">
        <f>TableA6!E22</f>
        <v>9.7164397220911169</v>
      </c>
      <c r="D22" s="1153">
        <v>0</v>
      </c>
      <c r="E22" s="1153">
        <f t="shared" si="4"/>
        <v>10.9518498611117</v>
      </c>
      <c r="F22" s="1209">
        <f t="shared" si="0"/>
        <v>0.47011339196581114</v>
      </c>
      <c r="G22" s="1178">
        <f>TableA2!L22</f>
        <v>0.60422536243108271</v>
      </c>
      <c r="H22" s="1178">
        <f>D22/TableA2!C22</f>
        <v>0</v>
      </c>
      <c r="I22" s="1178">
        <f t="shared" si="5"/>
        <v>0</v>
      </c>
      <c r="J22" s="1178">
        <f>TableA6!I22/TableA2!$C22</f>
        <v>0</v>
      </c>
      <c r="K22" s="1178">
        <f>TableA6!J22/TableA2!$C22</f>
        <v>0</v>
      </c>
      <c r="L22" s="119">
        <f t="shared" si="3"/>
        <v>0.60422536243108271</v>
      </c>
      <c r="M22" s="1178">
        <f>C22/TableA4!D22</f>
        <v>0.61386905762305399</v>
      </c>
      <c r="N22" s="1178">
        <f>VLOOKUP(A22,TableA10!$A$8:$G$95,4,)/VLOOKUP(A22,TableA10!$A$8:$G$95,3,)</f>
        <v>7.4171817058096412</v>
      </c>
      <c r="O22" s="1178">
        <f>E22/TableA4!G22</f>
        <v>0.59591968343815072</v>
      </c>
      <c r="P22" s="121">
        <f>C22-O22*TableA4!D22</f>
        <v>0.28410621149757276</v>
      </c>
      <c r="Q22" s="1073"/>
      <c r="R22" s="954"/>
      <c r="S22" s="954"/>
      <c r="T22" s="320">
        <f t="shared" si="1"/>
        <v>0</v>
      </c>
      <c r="U22" s="320">
        <f t="shared" si="2"/>
        <v>0</v>
      </c>
    </row>
    <row r="23" spans="1:21" x14ac:dyDescent="0.2">
      <c r="A23" s="1149" t="s">
        <v>42</v>
      </c>
      <c r="B23" s="1208">
        <f>TableA6!B23</f>
        <v>2.1489969781260903</v>
      </c>
      <c r="C23" s="1153">
        <f>TableA6!E23</f>
        <v>-9.6186838505018343E-2</v>
      </c>
      <c r="D23" s="1153">
        <v>0</v>
      </c>
      <c r="E23" s="1153">
        <f t="shared" si="4"/>
        <v>2.2451838166311084</v>
      </c>
      <c r="F23" s="1209">
        <f t="shared" si="0"/>
        <v>-4.4758945444815172E-2</v>
      </c>
      <c r="G23" s="1178">
        <f>TableA2!L23</f>
        <v>0.41910792740626918</v>
      </c>
      <c r="H23" s="1178">
        <f>D23/TableA2!C23</f>
        <v>0</v>
      </c>
      <c r="I23" s="1178">
        <f t="shared" si="5"/>
        <v>0</v>
      </c>
      <c r="J23" s="1178">
        <f>TableA6!I23/TableA2!$C23</f>
        <v>0</v>
      </c>
      <c r="K23" s="1178">
        <f>TableA6!J23/TableA2!$C23</f>
        <v>0</v>
      </c>
      <c r="L23" s="119">
        <f t="shared" si="3"/>
        <v>0.41910792740626918</v>
      </c>
      <c r="M23" s="1178">
        <f>C23/TableA4!D23</f>
        <v>-6.7952586167860679E-2</v>
      </c>
      <c r="N23" s="1178"/>
      <c r="O23" s="1178">
        <f>E23/TableA4!G23</f>
        <v>0.60483646934821078</v>
      </c>
      <c r="P23" s="121">
        <f>C23-O23*TableA4!D23</f>
        <v>-0.95233244060805888</v>
      </c>
      <c r="Q23" s="1073"/>
      <c r="R23" s="954"/>
      <c r="S23" s="954"/>
      <c r="T23" s="320">
        <f t="shared" si="1"/>
        <v>0</v>
      </c>
      <c r="U23" s="320">
        <f t="shared" si="2"/>
        <v>0</v>
      </c>
    </row>
    <row r="24" spans="1:21" x14ac:dyDescent="0.2">
      <c r="A24" s="1149" t="s">
        <v>43</v>
      </c>
      <c r="B24" s="1208">
        <f>TableA6!B24</f>
        <v>174.30510209753976</v>
      </c>
      <c r="C24" s="1153">
        <f>TableA6!E24</f>
        <v>116.2731292562101</v>
      </c>
      <c r="D24" s="1153">
        <v>25.995157260117182</v>
      </c>
      <c r="E24" s="1153">
        <f t="shared" si="4"/>
        <v>32.03681558121248</v>
      </c>
      <c r="F24" s="1209">
        <f t="shared" si="0"/>
        <v>0.78398740815168366</v>
      </c>
      <c r="G24" s="1178">
        <f>TableA2!L24</f>
        <v>2.0458364548956904</v>
      </c>
      <c r="H24" s="1178">
        <f>D24/TableA2!C24</f>
        <v>0.42364275085659048</v>
      </c>
      <c r="I24" s="1178">
        <f t="shared" si="5"/>
        <v>0.79481160128028239</v>
      </c>
      <c r="J24" s="1178">
        <f>TableA6!I24/TableA2!$C24</f>
        <v>0.79481160128028239</v>
      </c>
      <c r="K24" s="1178">
        <f>TableA6!J24/TableA2!$C24</f>
        <v>0</v>
      </c>
      <c r="L24" s="119">
        <f t="shared" si="3"/>
        <v>2.4170053053193823</v>
      </c>
      <c r="M24" s="1178">
        <f>C24/TableA4!D24</f>
        <v>7.9996490577609283</v>
      </c>
      <c r="N24" s="1178">
        <f>VLOOKUP(A24,TableA10!$A$8:$G$95,4,)/VLOOKUP(A24,TableA10!$A$8:$G$95,3,)</f>
        <v>7.7427987962166807</v>
      </c>
      <c r="O24" s="1117">
        <f>E24/TableA4!G24</f>
        <v>0.68416351867003244</v>
      </c>
      <c r="P24" s="121">
        <f>C24-O24*TableA4!D24</f>
        <v>106.3289638729139</v>
      </c>
      <c r="Q24" s="1073"/>
      <c r="R24" s="954"/>
      <c r="S24" s="954"/>
      <c r="T24" s="320">
        <f t="shared" si="1"/>
        <v>0</v>
      </c>
      <c r="U24" s="320">
        <f t="shared" si="2"/>
        <v>0</v>
      </c>
    </row>
    <row r="25" spans="1:21" x14ac:dyDescent="0.2">
      <c r="A25" s="1149" t="s">
        <v>44</v>
      </c>
      <c r="B25" s="1208">
        <f>TableA6!B25</f>
        <v>53.821062621875072</v>
      </c>
      <c r="C25" s="1153">
        <f>TableA6!E25</f>
        <v>5.8274626748237663</v>
      </c>
      <c r="D25" s="1153">
        <v>0</v>
      </c>
      <c r="E25" s="1153">
        <f t="shared" si="4"/>
        <v>47.993599947051308</v>
      </c>
      <c r="F25" s="1209">
        <f t="shared" si="0"/>
        <v>0.10827476067808532</v>
      </c>
      <c r="G25" s="1178">
        <f>TableA2!L25</f>
        <v>0.58530208289956809</v>
      </c>
      <c r="H25" s="1178">
        <f>D25/TableA2!C25</f>
        <v>0</v>
      </c>
      <c r="I25" s="1178">
        <f t="shared" si="5"/>
        <v>0</v>
      </c>
      <c r="J25" s="1178">
        <f>TableA6!I25/TableA2!$C25</f>
        <v>0</v>
      </c>
      <c r="K25" s="1178">
        <f>TableA6!J25/TableA2!$C25</f>
        <v>0</v>
      </c>
      <c r="L25" s="119">
        <f t="shared" si="3"/>
        <v>0.58530208289956809</v>
      </c>
      <c r="M25" s="1178">
        <f>C25/TableA4!D25</f>
        <v>0.507499525346497</v>
      </c>
      <c r="N25" s="1178">
        <f>VLOOKUP(A25,TableA10!$A$8:$G$95,4,)/VLOOKUP(A25,TableA10!$A$8:$G$95,3,)</f>
        <v>0.507499525346497</v>
      </c>
      <c r="O25" s="1178">
        <f>E25/TableA4!G25</f>
        <v>0.59640392117908991</v>
      </c>
      <c r="P25" s="121">
        <f>C25-O25*TableA4!D25</f>
        <v>-1.0208621337891248</v>
      </c>
      <c r="Q25" s="1073"/>
      <c r="R25" s="954"/>
      <c r="S25" s="954"/>
      <c r="T25" s="320">
        <f t="shared" si="1"/>
        <v>0</v>
      </c>
      <c r="U25" s="320">
        <f t="shared" si="2"/>
        <v>0</v>
      </c>
    </row>
    <row r="26" spans="1:21" x14ac:dyDescent="0.2">
      <c r="A26" s="1149" t="s">
        <v>45</v>
      </c>
      <c r="B26" s="1208">
        <f>TableA6!B26</f>
        <v>211.89440797463348</v>
      </c>
      <c r="C26" s="1153">
        <f>TableA6!E26</f>
        <v>13.197888688714203</v>
      </c>
      <c r="D26" s="1153">
        <v>0</v>
      </c>
      <c r="E26" s="1153">
        <f t="shared" si="4"/>
        <v>198.69651928591927</v>
      </c>
      <c r="F26" s="1209">
        <f t="shared" si="0"/>
        <v>6.228521467302791E-2</v>
      </c>
      <c r="G26" s="1178">
        <f>TableA2!L26</f>
        <v>0.43094579515647402</v>
      </c>
      <c r="H26" s="1178">
        <f>D26/TableA2!C26</f>
        <v>0</v>
      </c>
      <c r="I26" s="1178">
        <f t="shared" si="5"/>
        <v>0</v>
      </c>
      <c r="J26" s="1178">
        <f>TableA6!I26/TableA2!$C26</f>
        <v>0</v>
      </c>
      <c r="K26" s="1178">
        <f>TableA6!J26/TableA2!$C26</f>
        <v>0</v>
      </c>
      <c r="L26" s="119">
        <f t="shared" si="3"/>
        <v>0.43094579515647402</v>
      </c>
      <c r="M26" s="1178">
        <f>C26/TableA4!D26</f>
        <v>0.16233602672515596</v>
      </c>
      <c r="N26" s="1178">
        <f>VLOOKUP(A26,TableA10!$A$8:$G$95,4,)/VLOOKUP(A26,TableA10!$A$8:$G$95,3,)</f>
        <v>0.29230028211656228</v>
      </c>
      <c r="O26" s="1178">
        <f>E26/TableA4!G26</f>
        <v>0.48415758018996907</v>
      </c>
      <c r="P26" s="121">
        <f>C26-O26*TableA4!D26</f>
        <v>-26.164032260372608</v>
      </c>
      <c r="Q26" s="1073"/>
      <c r="R26" s="954"/>
      <c r="S26" s="954"/>
      <c r="T26" s="320">
        <f t="shared" si="1"/>
        <v>0</v>
      </c>
      <c r="U26" s="320">
        <f t="shared" si="2"/>
        <v>0</v>
      </c>
    </row>
    <row r="27" spans="1:21" x14ac:dyDescent="0.2">
      <c r="A27" s="1149" t="s">
        <v>46</v>
      </c>
      <c r="B27" s="1208">
        <f>TableA6!B27</f>
        <v>634.13536380108962</v>
      </c>
      <c r="C27" s="1153">
        <f>TableA6!E27</f>
        <v>32.091665406409945</v>
      </c>
      <c r="D27" s="1153">
        <v>0</v>
      </c>
      <c r="E27" s="1153">
        <f t="shared" si="4"/>
        <v>602.04369839467972</v>
      </c>
      <c r="F27" s="1209">
        <f t="shared" si="0"/>
        <v>5.0606963809821832E-2</v>
      </c>
      <c r="G27" s="1178">
        <f>TableA2!L27</f>
        <v>0.41884260770852871</v>
      </c>
      <c r="H27" s="1178">
        <f>D27/TableA2!C27</f>
        <v>0</v>
      </c>
      <c r="I27" s="1178">
        <f t="shared" si="5"/>
        <v>0</v>
      </c>
      <c r="J27" s="1178">
        <f>TableA6!I27/TableA2!$C27</f>
        <v>0</v>
      </c>
      <c r="K27" s="1178">
        <f>TableA6!J27/TableA2!$C27</f>
        <v>0</v>
      </c>
      <c r="L27" s="119">
        <f t="shared" si="3"/>
        <v>0.41884260770852871</v>
      </c>
      <c r="M27" s="1178">
        <f>C27/TableA4!D27</f>
        <v>0.23732566147384185</v>
      </c>
      <c r="N27" s="1178">
        <f>VLOOKUP(A27,TableA10!$A$8:$G$95,4,)/VLOOKUP(A27,TableA10!$A$8:$G$95,3,)</f>
        <v>0.85962139029186102</v>
      </c>
      <c r="O27" s="1178">
        <f>E27/TableA4!G27</f>
        <v>0.43664443770241151</v>
      </c>
      <c r="P27" s="122">
        <f>C27-O27*TableA4!D27</f>
        <v>-26.952295997908244</v>
      </c>
      <c r="Q27" s="1073"/>
      <c r="R27" s="954"/>
      <c r="S27" s="954"/>
      <c r="T27" s="320">
        <f t="shared" si="1"/>
        <v>0</v>
      </c>
      <c r="U27" s="320">
        <f t="shared" si="2"/>
        <v>0</v>
      </c>
    </row>
    <row r="28" spans="1:21" x14ac:dyDescent="0.2">
      <c r="A28" s="1149" t="s">
        <v>47</v>
      </c>
      <c r="B28" s="1208">
        <f>TableA6!B28</f>
        <v>248.21706968304588</v>
      </c>
      <c r="C28" s="1153">
        <f>TableA6!E28</f>
        <v>2.54407878701964</v>
      </c>
      <c r="D28" s="1153">
        <v>0</v>
      </c>
      <c r="E28" s="1153">
        <f t="shared" si="4"/>
        <v>245.67299089602625</v>
      </c>
      <c r="F28" s="1209">
        <f t="shared" si="0"/>
        <v>1.0249411091139835E-2</v>
      </c>
      <c r="G28" s="1178">
        <f>TableA2!L28</f>
        <v>0.59857470740953445</v>
      </c>
      <c r="H28" s="1178">
        <f>D28/TableA2!C28</f>
        <v>0</v>
      </c>
      <c r="I28" s="1178">
        <f t="shared" si="5"/>
        <v>0</v>
      </c>
      <c r="J28" s="1178">
        <f>TableA6!I28/TableA2!$C28</f>
        <v>0</v>
      </c>
      <c r="K28" s="1178">
        <f>TableA6!J28/TableA2!$C28</f>
        <v>0</v>
      </c>
      <c r="L28" s="119">
        <f t="shared" si="3"/>
        <v>0.59857470740953445</v>
      </c>
      <c r="M28" s="1178">
        <f>C28/TableA4!D28</f>
        <v>3.9749361886952154E-2</v>
      </c>
      <c r="N28" s="1178">
        <f>VLOOKUP(A28,TableA10!$A$8:$G$95,4,)/VLOOKUP(A28,TableA10!$A$8:$G$95,3,)</f>
        <v>0.68300783844825297</v>
      </c>
      <c r="O28" s="1178">
        <f>E28/TableA4!G28</f>
        <v>0.70056738480426717</v>
      </c>
      <c r="P28" s="121">
        <f>C28-O28*TableA4!D28</f>
        <v>-42.29434220769339</v>
      </c>
      <c r="Q28" s="1073"/>
      <c r="R28" s="954"/>
      <c r="S28" s="954"/>
      <c r="T28" s="320">
        <f t="shared" si="1"/>
        <v>0</v>
      </c>
      <c r="U28" s="320">
        <f t="shared" si="2"/>
        <v>0</v>
      </c>
    </row>
    <row r="29" spans="1:21" x14ac:dyDescent="0.2">
      <c r="A29" s="1148" t="s">
        <v>48</v>
      </c>
      <c r="B29" s="1208">
        <f>TableA6!B29</f>
        <v>4.1858751479217755</v>
      </c>
      <c r="C29" s="1153">
        <f>TableA6!E29</f>
        <v>1.2242246708432463</v>
      </c>
      <c r="D29" s="1153">
        <v>0</v>
      </c>
      <c r="E29" s="1153">
        <f t="shared" si="4"/>
        <v>2.9616504770785292</v>
      </c>
      <c r="F29" s="1209">
        <f t="shared" si="0"/>
        <v>0.29246564400064717</v>
      </c>
      <c r="G29" s="1178">
        <f>TableA2!L29</f>
        <v>0.4548799812563365</v>
      </c>
      <c r="H29" s="1178">
        <f>D29/TableA2!C29</f>
        <v>0</v>
      </c>
      <c r="I29" s="1178">
        <f t="shared" si="5"/>
        <v>0</v>
      </c>
      <c r="J29" s="1178">
        <f>TableA6!I29/TableA2!$C29</f>
        <v>0</v>
      </c>
      <c r="K29" s="1178">
        <f>TableA6!J29/TableA2!$C29</f>
        <v>0</v>
      </c>
      <c r="L29" s="119">
        <f t="shared" si="3"/>
        <v>0.4548799812563365</v>
      </c>
      <c r="M29" s="1178">
        <f>C29/TableA4!D29</f>
        <v>0.41891257424263328</v>
      </c>
      <c r="N29" s="1178"/>
      <c r="O29" s="1178">
        <f>E29/TableA4!G29</f>
        <v>0.47161797519422538</v>
      </c>
      <c r="P29" s="121">
        <f>C29-O29*TableA4!D29</f>
        <v>-0.15402557979616138</v>
      </c>
      <c r="Q29" s="1073"/>
      <c r="R29" s="954"/>
      <c r="S29" s="954"/>
      <c r="T29" s="320">
        <f t="shared" si="1"/>
        <v>0</v>
      </c>
      <c r="U29" s="320">
        <f t="shared" si="2"/>
        <v>0</v>
      </c>
    </row>
    <row r="30" spans="1:21" x14ac:dyDescent="0.2">
      <c r="A30" s="1148" t="s">
        <v>49</v>
      </c>
      <c r="B30" s="1208">
        <f>TableA6!B30</f>
        <v>91.027431841444567</v>
      </c>
      <c r="C30" s="1153">
        <f>TableA6!E30</f>
        <v>51.304832182529623</v>
      </c>
      <c r="D30" s="1153">
        <v>35.507497845637872</v>
      </c>
      <c r="E30" s="1153">
        <f t="shared" si="4"/>
        <v>4.215101813277073</v>
      </c>
      <c r="F30" s="1209">
        <f t="shared" si="0"/>
        <v>0.92407948803405582</v>
      </c>
      <c r="G30" s="1178">
        <f>TableA2!L30</f>
        <v>2.7503859454118813</v>
      </c>
      <c r="H30" s="1178">
        <f>D30/TableA2!C30</f>
        <v>1.6475060207484251</v>
      </c>
      <c r="I30" s="1178">
        <f t="shared" si="5"/>
        <v>1.4731795298014214</v>
      </c>
      <c r="J30" s="1178">
        <f>TableA6!I30/TableA2!$C30</f>
        <v>1.1684081444524146</v>
      </c>
      <c r="K30" s="1178">
        <f>TableA6!J30/TableA2!$C30</f>
        <v>0.30477138534900672</v>
      </c>
      <c r="L30" s="119">
        <f t="shared" si="3"/>
        <v>2.5760594544648776</v>
      </c>
      <c r="M30" s="1178">
        <f>C30/TableA4!D30</f>
        <v>4.6076539817790847</v>
      </c>
      <c r="N30" s="1178">
        <f>VLOOKUP(A30,TableA10!$A$8:$G$95,4,)/VLOOKUP(A30,TableA10!$A$8:$G$95,3,)</f>
        <v>5.5750591016548467</v>
      </c>
      <c r="O30" s="1105">
        <f>E30/TableA4!G30</f>
        <v>0.40461450275815142</v>
      </c>
      <c r="P30" s="121">
        <f>C30-O30*TableA4!D30</f>
        <v>46.799572185855702</v>
      </c>
      <c r="Q30" s="1073"/>
      <c r="R30" s="954"/>
      <c r="S30" s="954"/>
      <c r="T30" s="320">
        <f t="shared" si="1"/>
        <v>0</v>
      </c>
      <c r="U30" s="320">
        <f t="shared" si="2"/>
        <v>0</v>
      </c>
    </row>
    <row r="31" spans="1:21" x14ac:dyDescent="0.2">
      <c r="A31" s="1148" t="s">
        <v>50</v>
      </c>
      <c r="B31" s="1208">
        <f>TableA6!B31</f>
        <v>325.04468785135941</v>
      </c>
      <c r="C31" s="1153">
        <f>TableA6!E31</f>
        <v>23.460473720946542</v>
      </c>
      <c r="D31" s="1153">
        <v>0</v>
      </c>
      <c r="E31" s="1153">
        <f t="shared" si="4"/>
        <v>301.58421413041287</v>
      </c>
      <c r="F31" s="1209">
        <f t="shared" si="0"/>
        <v>7.2176148689053019E-2</v>
      </c>
      <c r="G31" s="1178">
        <f>TableA2!L31</f>
        <v>2.3179694326877476</v>
      </c>
      <c r="H31" s="1178">
        <f>D31/TableA2!C31</f>
        <v>0</v>
      </c>
      <c r="I31" s="1178">
        <f t="shared" si="5"/>
        <v>0</v>
      </c>
      <c r="J31" s="1178">
        <f>TableA6!I31/TableA2!$C31</f>
        <v>0</v>
      </c>
      <c r="K31" s="1178">
        <f>TableA6!J31/TableA2!$C31</f>
        <v>0</v>
      </c>
      <c r="L31" s="119">
        <f t="shared" si="3"/>
        <v>2.3179694326877476</v>
      </c>
      <c r="M31" s="1178">
        <f>C31/TableA4!D31</f>
        <v>0.72504257375615577</v>
      </c>
      <c r="N31" s="1178">
        <f>VLOOKUP(A31,TableA10!$A$8:$G$95,4,)/VLOOKUP(A31,TableA10!$A$8:$G$95,3,)</f>
        <v>0.72504257375615588</v>
      </c>
      <c r="O31" s="1178">
        <f>E31/TableA4!G31</f>
        <v>2.7957902732061406</v>
      </c>
      <c r="P31" s="121">
        <f>C31-O31*TableA4!D31</f>
        <v>-67.003957759307255</v>
      </c>
      <c r="Q31" s="1073"/>
      <c r="R31" s="954"/>
      <c r="S31" s="954"/>
      <c r="T31" s="320">
        <f t="shared" si="1"/>
        <v>0</v>
      </c>
      <c r="U31" s="320">
        <f t="shared" si="2"/>
        <v>0</v>
      </c>
    </row>
    <row r="32" spans="1:21" x14ac:dyDescent="0.2">
      <c r="A32" s="1148" t="s">
        <v>51</v>
      </c>
      <c r="B32" s="1208">
        <f>TableA6!B32</f>
        <v>195.09598848383817</v>
      </c>
      <c r="C32" s="1153">
        <f>TableA6!E32</f>
        <v>89.333947018983608</v>
      </c>
      <c r="D32" s="1153">
        <v>21.674047505764374</v>
      </c>
      <c r="E32" s="1153">
        <f t="shared" si="4"/>
        <v>84.087993959090184</v>
      </c>
      <c r="F32" s="1209">
        <f t="shared" si="0"/>
        <v>0.51512482512393487</v>
      </c>
      <c r="G32" s="1178">
        <f>TableA2!L32</f>
        <v>0.56640307035308279</v>
      </c>
      <c r="H32" s="1178">
        <f>D32/TableA2!C32</f>
        <v>7.6847697431803794E-2</v>
      </c>
      <c r="I32" s="1178">
        <f t="shared" si="5"/>
        <v>0.12533101803891036</v>
      </c>
      <c r="J32" s="1178">
        <f>TableA6!I32/TableA2!$C32</f>
        <v>8.7982667359788116E-2</v>
      </c>
      <c r="K32" s="1178">
        <f>TableA6!J32/TableA2!$C32</f>
        <v>3.7348350679122254E-2</v>
      </c>
      <c r="L32" s="119">
        <f t="shared" si="3"/>
        <v>0.61488639096018938</v>
      </c>
      <c r="M32" s="1178">
        <f>C32/TableA4!D32</f>
        <v>1.1495705968665206</v>
      </c>
      <c r="N32" s="1105">
        <f>VLOOKUP(A32,TableA10!$A$8:$G$95,4,)/VLOOKUP(A32,TableA10!$A$8:$G$95,3,)</f>
        <v>1.7924291254711313</v>
      </c>
      <c r="O32" s="1178">
        <f>E32/TableA4!G32</f>
        <v>0.41153378760859277</v>
      </c>
      <c r="P32" s="121">
        <f>C32-O32*TableA4!D32</f>
        <v>57.353364287520073</v>
      </c>
      <c r="Q32" s="1073"/>
      <c r="R32" s="954"/>
      <c r="S32" s="954"/>
      <c r="T32" s="320">
        <f t="shared" si="1"/>
        <v>0</v>
      </c>
      <c r="U32" s="320">
        <f t="shared" si="2"/>
        <v>0</v>
      </c>
    </row>
    <row r="33" spans="1:21" x14ac:dyDescent="0.2">
      <c r="A33" s="1148" t="s">
        <v>52</v>
      </c>
      <c r="B33" s="1208">
        <f>TableA6!B33</f>
        <v>43.62366684525152</v>
      </c>
      <c r="C33" s="1153">
        <f>TableA6!E33</f>
        <v>6.2361538780448305</v>
      </c>
      <c r="D33" s="1153">
        <v>0</v>
      </c>
      <c r="E33" s="1153">
        <f t="shared" si="4"/>
        <v>37.387512967206689</v>
      </c>
      <c r="F33" s="1209">
        <f t="shared" si="0"/>
        <v>0.1429534546045077</v>
      </c>
      <c r="G33" s="1178">
        <f>TableA2!L33</f>
        <v>0.76342747942908895</v>
      </c>
      <c r="H33" s="1178">
        <f>D33/TableA2!C33</f>
        <v>0</v>
      </c>
      <c r="I33" s="1178">
        <f t="shared" si="5"/>
        <v>0</v>
      </c>
      <c r="J33" s="1178">
        <f>TableA6!I33/TableA2!$C33</f>
        <v>0</v>
      </c>
      <c r="K33" s="1178">
        <f>TableA6!J33/TableA2!$C33</f>
        <v>0</v>
      </c>
      <c r="L33" s="119">
        <f t="shared" si="3"/>
        <v>0.76342747942908895</v>
      </c>
      <c r="M33" s="1178">
        <f>C33/TableA4!D33</f>
        <v>0.67991169977924948</v>
      </c>
      <c r="N33" s="1178">
        <f>VLOOKUP(A33,TableA10!$A$8:$G$95,4,)/VLOOKUP(A33,TableA10!$A$8:$G$95,3,)</f>
        <v>0.67991169977924948</v>
      </c>
      <c r="O33" s="1178">
        <f>E33/TableA4!G33</f>
        <v>0.77939599106707602</v>
      </c>
      <c r="P33" s="121">
        <f>C33-O33*TableA4!D33</f>
        <v>-0.91247047097520007</v>
      </c>
      <c r="Q33" s="1073"/>
      <c r="R33" s="954"/>
      <c r="S33" s="954"/>
      <c r="T33" s="320">
        <f t="shared" si="1"/>
        <v>0</v>
      </c>
      <c r="U33" s="320">
        <f t="shared" si="2"/>
        <v>0</v>
      </c>
    </row>
    <row r="34" spans="1:21" x14ac:dyDescent="0.2">
      <c r="A34" s="1148" t="s">
        <v>53</v>
      </c>
      <c r="B34" s="1208">
        <f>TableA6!B34</f>
        <v>76.129871814410606</v>
      </c>
      <c r="C34" s="1153">
        <f>TableA6!E34</f>
        <v>6.9090708256049158</v>
      </c>
      <c r="D34" s="1153">
        <v>0</v>
      </c>
      <c r="E34" s="1153">
        <f t="shared" si="4"/>
        <v>69.220800988805692</v>
      </c>
      <c r="F34" s="1209">
        <f t="shared" si="0"/>
        <v>9.0753743056967803E-2</v>
      </c>
      <c r="G34" s="1178">
        <f>TableA2!L34</f>
        <v>0.63204211939456467</v>
      </c>
      <c r="H34" s="1178">
        <f>D34/TableA2!C34</f>
        <v>0</v>
      </c>
      <c r="I34" s="1178">
        <f t="shared" si="5"/>
        <v>0</v>
      </c>
      <c r="J34" s="1178">
        <f>TableA6!I34/TableA2!$C34</f>
        <v>0</v>
      </c>
      <c r="K34" s="1178">
        <f>TableA6!J34/TableA2!$C34</f>
        <v>0</v>
      </c>
      <c r="L34" s="119">
        <f t="shared" si="3"/>
        <v>0.63204211939456467</v>
      </c>
      <c r="M34" s="1178">
        <f>C34/TableA4!D34</f>
        <v>0.2081320757956302</v>
      </c>
      <c r="N34" s="1178">
        <f>VLOOKUP(A34,TableA10!$A$8:$G$95,4,)/VLOOKUP(A34,TableA10!$A$8:$G$95,3,)</f>
        <v>1.3034855769230769</v>
      </c>
      <c r="O34" s="1178">
        <f>E34/TableA4!G34</f>
        <v>0.79331594976644759</v>
      </c>
      <c r="P34" s="121">
        <f>C34-O34*TableA4!D34</f>
        <v>-19.425534559297006</v>
      </c>
      <c r="Q34" s="1073"/>
      <c r="R34" s="954"/>
      <c r="S34" s="954"/>
      <c r="T34" s="320">
        <f t="shared" si="1"/>
        <v>0</v>
      </c>
      <c r="U34" s="320">
        <f t="shared" si="2"/>
        <v>0</v>
      </c>
    </row>
    <row r="35" spans="1:21" x14ac:dyDescent="0.2">
      <c r="A35" s="1148" t="s">
        <v>54</v>
      </c>
      <c r="B35" s="1208">
        <f>TableA6!B35</f>
        <v>87.784586815227485</v>
      </c>
      <c r="C35" s="1153">
        <f>TableA6!E35</f>
        <v>19.384207569701928</v>
      </c>
      <c r="D35" s="1153">
        <v>0</v>
      </c>
      <c r="E35" s="1153">
        <f t="shared" si="4"/>
        <v>68.400379245525556</v>
      </c>
      <c r="F35" s="1209">
        <f t="shared" si="0"/>
        <v>0.22081561550779508</v>
      </c>
      <c r="G35" s="1178">
        <f>TableA2!L35</f>
        <v>0.79203427559300121</v>
      </c>
      <c r="H35" s="1178">
        <f>D35/TableA2!C35</f>
        <v>0</v>
      </c>
      <c r="I35" s="1178">
        <f t="shared" si="5"/>
        <v>0</v>
      </c>
      <c r="J35" s="1178">
        <f>TableA6!I35/TableA2!$C35</f>
        <v>0</v>
      </c>
      <c r="K35" s="1178">
        <f>TableA6!J35/TableA2!$C35</f>
        <v>0</v>
      </c>
      <c r="L35" s="119">
        <f t="shared" si="3"/>
        <v>0.79203427559300121</v>
      </c>
      <c r="M35" s="1178">
        <f>C35/TableA4!D35</f>
        <v>0.49458294133053354</v>
      </c>
      <c r="N35" s="1178">
        <f>VLOOKUP(A35,TableA10!$A$8:$G$95,4,)/VLOOKUP(A35,TableA10!$A$8:$G$95,3,)</f>
        <v>0.35369993211133743</v>
      </c>
      <c r="O35" s="1178">
        <f>E35/TableA4!G35</f>
        <v>0.9547619569021214</v>
      </c>
      <c r="P35" s="121">
        <f>C35-O35*TableA4!D35</f>
        <v>-18.035813230968905</v>
      </c>
      <c r="Q35" s="1073"/>
      <c r="R35" s="954"/>
      <c r="S35" s="954"/>
      <c r="T35" s="320">
        <f t="shared" si="1"/>
        <v>0</v>
      </c>
      <c r="U35" s="320">
        <f t="shared" si="2"/>
        <v>0</v>
      </c>
    </row>
    <row r="36" spans="1:21" x14ac:dyDescent="0.2">
      <c r="A36" s="1148" t="s">
        <v>55</v>
      </c>
      <c r="B36" s="1208">
        <f>TableA6!B36</f>
        <v>26.618072907828797</v>
      </c>
      <c r="C36" s="1153">
        <f>TableA6!E36</f>
        <v>4.8218004507448811</v>
      </c>
      <c r="D36" s="1153">
        <v>0</v>
      </c>
      <c r="E36" s="1153">
        <f t="shared" si="4"/>
        <v>21.796272457083916</v>
      </c>
      <c r="F36" s="1209">
        <f t="shared" si="0"/>
        <v>0.18114761603672341</v>
      </c>
      <c r="G36" s="1178">
        <f>TableA2!L36</f>
        <v>0.45898248483094545</v>
      </c>
      <c r="H36" s="1178">
        <f>D36/TableA2!C36</f>
        <v>0</v>
      </c>
      <c r="I36" s="1178">
        <f t="shared" si="5"/>
        <v>0</v>
      </c>
      <c r="J36" s="1178">
        <f>TableA6!I36/TableA2!$C36</f>
        <v>0</v>
      </c>
      <c r="K36" s="1178">
        <f>TableA6!J36/TableA2!$C36</f>
        <v>0</v>
      </c>
      <c r="L36" s="119">
        <f t="shared" si="3"/>
        <v>0.45898248483094545</v>
      </c>
      <c r="M36" s="1178">
        <f>C36/TableA4!D36</f>
        <v>0.36763705254070139</v>
      </c>
      <c r="N36" s="1178">
        <f>VLOOKUP(A36,TableA10!$A$8:$G$95,4,)/VLOOKUP(A36,TableA10!$A$8:$G$95,3,)</f>
        <v>0.39500390320062451</v>
      </c>
      <c r="O36" s="1178">
        <f>E36/TableA4!G36</f>
        <v>0.48567830507336524</v>
      </c>
      <c r="P36" s="121">
        <f>C36-O36*TableA4!D36</f>
        <v>-1.5481882490761061</v>
      </c>
      <c r="Q36" s="1073"/>
      <c r="R36" s="954"/>
      <c r="S36" s="954"/>
      <c r="T36" s="320">
        <f t="shared" si="1"/>
        <v>0</v>
      </c>
      <c r="U36" s="320">
        <f t="shared" si="2"/>
        <v>0</v>
      </c>
    </row>
    <row r="37" spans="1:21" x14ac:dyDescent="0.2">
      <c r="A37" s="1148" t="s">
        <v>56</v>
      </c>
      <c r="B37" s="1208">
        <f>TableA6!B37</f>
        <v>11.604550057172386</v>
      </c>
      <c r="C37" s="1153">
        <f>TableA6!E37</f>
        <v>5.4939498259811472</v>
      </c>
      <c r="D37" s="1153">
        <v>0</v>
      </c>
      <c r="E37" s="1153">
        <f t="shared" si="4"/>
        <v>6.1106002311912384</v>
      </c>
      <c r="F37" s="1209">
        <f t="shared" si="0"/>
        <v>0.47343066287912816</v>
      </c>
      <c r="G37" s="1178">
        <f>TableA2!L37</f>
        <v>0.546278965386233</v>
      </c>
      <c r="H37" s="1178">
        <f>D37/TableA2!C37</f>
        <v>0</v>
      </c>
      <c r="I37" s="1178">
        <f t="shared" si="5"/>
        <v>0</v>
      </c>
      <c r="J37" s="1178">
        <f>TableA6!I37/TableA2!$C37</f>
        <v>0</v>
      </c>
      <c r="K37" s="1178">
        <f>TableA6!J37/TableA2!$C37</f>
        <v>0</v>
      </c>
      <c r="L37" s="119">
        <f t="shared" si="3"/>
        <v>0.546278965386233</v>
      </c>
      <c r="M37" s="1178">
        <f>C37/TableA4!D37</f>
        <v>0.57224436371630738</v>
      </c>
      <c r="N37" s="1178"/>
      <c r="O37" s="1178">
        <f>E37/TableA4!G37</f>
        <v>0.52486666755881606</v>
      </c>
      <c r="P37" s="121">
        <f>C37-O37*TableA4!D37</f>
        <v>0.45485932595201106</v>
      </c>
      <c r="Q37" s="1073"/>
      <c r="R37" s="954"/>
      <c r="S37" s="954"/>
      <c r="T37" s="320">
        <f t="shared" si="1"/>
        <v>0</v>
      </c>
      <c r="U37" s="320">
        <f t="shared" si="2"/>
        <v>0</v>
      </c>
    </row>
    <row r="38" spans="1:21" x14ac:dyDescent="0.2">
      <c r="A38" s="1148" t="s">
        <v>57</v>
      </c>
      <c r="B38" s="1208">
        <f>TableA6!B38</f>
        <v>3.417758487410429</v>
      </c>
      <c r="C38" s="1153">
        <f>TableA6!E38</f>
        <v>1.2522612330475162</v>
      </c>
      <c r="D38" s="1153">
        <v>0</v>
      </c>
      <c r="E38" s="1153">
        <f t="shared" si="4"/>
        <v>2.1654972543629127</v>
      </c>
      <c r="F38" s="1209">
        <f t="shared" si="0"/>
        <v>0.36639839756387554</v>
      </c>
      <c r="G38" s="1178">
        <f>TableA2!L38</f>
        <v>0.22872131230765103</v>
      </c>
      <c r="H38" s="1178">
        <f>D38/TableA2!C38</f>
        <v>0</v>
      </c>
      <c r="I38" s="1178">
        <f t="shared" si="5"/>
        <v>0</v>
      </c>
      <c r="J38" s="1178">
        <f>TableA6!I38/TableA2!$C38</f>
        <v>0</v>
      </c>
      <c r="K38" s="1178">
        <f>TableA6!J38/TableA2!$C38</f>
        <v>0</v>
      </c>
      <c r="L38" s="119">
        <f t="shared" si="3"/>
        <v>0.22872131230765103</v>
      </c>
      <c r="M38" s="1178">
        <f>C38/TableA4!D38</f>
        <v>0.31396441219878563</v>
      </c>
      <c r="N38" s="1178"/>
      <c r="O38" s="1178">
        <f>E38/TableA4!G38</f>
        <v>0.19768378236215448</v>
      </c>
      <c r="P38" s="121">
        <f>C38-O38*TableA4!D38</f>
        <v>0.46379054198845515</v>
      </c>
      <c r="Q38" s="1073"/>
      <c r="R38" s="954"/>
      <c r="S38" s="954"/>
      <c r="T38" s="320">
        <f t="shared" si="1"/>
        <v>0</v>
      </c>
      <c r="U38" s="320">
        <f t="shared" si="2"/>
        <v>0</v>
      </c>
    </row>
    <row r="39" spans="1:21" x14ac:dyDescent="0.2">
      <c r="A39" s="1148" t="s">
        <v>58</v>
      </c>
      <c r="B39" s="1208">
        <f>TableA6!B39</f>
        <v>158.95366208289389</v>
      </c>
      <c r="C39" s="1153">
        <f>TableA6!E39</f>
        <v>20.844161911169302</v>
      </c>
      <c r="D39" s="1153">
        <v>0</v>
      </c>
      <c r="E39" s="1153">
        <f t="shared" si="4"/>
        <v>138.10950017172459</v>
      </c>
      <c r="F39" s="1209">
        <f t="shared" si="0"/>
        <v>0.13113357464075995</v>
      </c>
      <c r="G39" s="1178">
        <f>TableA2!L39</f>
        <v>0.40428538787668511</v>
      </c>
      <c r="H39" s="1178">
        <f>D39/TableA2!C39</f>
        <v>0</v>
      </c>
      <c r="I39" s="1178">
        <f t="shared" si="5"/>
        <v>0</v>
      </c>
      <c r="J39" s="1178">
        <f>TableA6!I39/TableA2!$C39</f>
        <v>0</v>
      </c>
      <c r="K39" s="1178">
        <f>TableA6!J39/TableA2!$C39</f>
        <v>0</v>
      </c>
      <c r="L39" s="119">
        <f t="shared" si="3"/>
        <v>0.40428538787668511</v>
      </c>
      <c r="M39" s="1178">
        <f>C39/TableA4!D39</f>
        <v>0.24643753940062663</v>
      </c>
      <c r="N39" s="1178">
        <f>VLOOKUP(A39,TableA10!$A$8:$G$95,4,)/VLOOKUP(A39,TableA10!$A$8:$G$95,3,)</f>
        <v>0.26873857404021939</v>
      </c>
      <c r="O39" s="1178">
        <f>E39/TableA4!G39</f>
        <v>0.44755015816737814</v>
      </c>
      <c r="P39" s="121">
        <f>C39-O39*TableA4!D39</f>
        <v>-17.010492793220834</v>
      </c>
      <c r="Q39" s="1073"/>
      <c r="R39" s="954"/>
      <c r="S39" s="954"/>
      <c r="T39" s="320">
        <f t="shared" si="1"/>
        <v>0</v>
      </c>
      <c r="U39" s="320">
        <f t="shared" si="2"/>
        <v>0</v>
      </c>
    </row>
    <row r="40" spans="1:21" x14ac:dyDescent="0.2">
      <c r="A40" s="1148" t="s">
        <v>59</v>
      </c>
      <c r="B40" s="1208">
        <f>TableA6!B40</f>
        <v>63.367762356160583</v>
      </c>
      <c r="C40" s="1153">
        <f>TableA6!E40</f>
        <v>24.473912269549327</v>
      </c>
      <c r="D40" s="1153">
        <v>0</v>
      </c>
      <c r="E40" s="1153">
        <f t="shared" si="4"/>
        <v>38.893850086611252</v>
      </c>
      <c r="F40" s="1209">
        <f t="shared" si="0"/>
        <v>0.38622023817083678</v>
      </c>
      <c r="G40" s="1178">
        <f>TableA2!L40</f>
        <v>0.38626088690911503</v>
      </c>
      <c r="H40" s="1178">
        <f>D40/TableA2!C40</f>
        <v>0</v>
      </c>
      <c r="I40" s="1178">
        <f t="shared" si="5"/>
        <v>0</v>
      </c>
      <c r="J40" s="1178">
        <f>TableA6!I40/TableA2!$C40</f>
        <v>0</v>
      </c>
      <c r="K40" s="1178">
        <f>TableA6!J40/TableA2!$C40</f>
        <v>0</v>
      </c>
      <c r="L40" s="119">
        <f t="shared" si="3"/>
        <v>0.38626088690911503</v>
      </c>
      <c r="M40" s="1178">
        <f>C40/TableA4!D40</f>
        <v>0.53949704245493946</v>
      </c>
      <c r="N40" s="1178">
        <f>VLOOKUP(A40,TableA10!$A$8:$G$95,4,)/VLOOKUP(A40,TableA10!$A$8:$G$95,3,)</f>
        <v>0.46141975308641975</v>
      </c>
      <c r="O40" s="1178">
        <f>E40/TableA4!G40</f>
        <v>0.32769274240203272</v>
      </c>
      <c r="P40" s="121">
        <f>C40-O40*TableA4!D40</f>
        <v>9.6083563947268509</v>
      </c>
      <c r="Q40" s="1073"/>
      <c r="R40" s="954"/>
      <c r="S40" s="954"/>
      <c r="T40" s="320">
        <f t="shared" si="1"/>
        <v>0</v>
      </c>
      <c r="U40" s="320">
        <f t="shared" si="2"/>
        <v>0</v>
      </c>
    </row>
    <row r="41" spans="1:21" x14ac:dyDescent="0.2">
      <c r="A41" s="1148" t="s">
        <v>60</v>
      </c>
      <c r="B41" s="1208">
        <f>TableA6!B41</f>
        <v>94.889238877326122</v>
      </c>
      <c r="C41" s="1153">
        <f>TableA6!E41</f>
        <v>60.313127140541056</v>
      </c>
      <c r="D41" s="1153">
        <v>0</v>
      </c>
      <c r="E41" s="1153">
        <f t="shared" si="4"/>
        <v>34.576111736785066</v>
      </c>
      <c r="F41" s="1209">
        <f t="shared" si="0"/>
        <v>0.6356160914992115</v>
      </c>
      <c r="G41" s="1178">
        <f>TableA2!L41</f>
        <v>0.29546351380205693</v>
      </c>
      <c r="H41" s="1178">
        <f>D41/TableA2!C41</f>
        <v>0</v>
      </c>
      <c r="I41" s="1178">
        <f t="shared" si="5"/>
        <v>0</v>
      </c>
      <c r="J41" s="1178">
        <f>TableA6!I41/TableA2!$C41</f>
        <v>0</v>
      </c>
      <c r="K41" s="1178">
        <f>TableA6!J41/TableA2!$C41</f>
        <v>0</v>
      </c>
      <c r="L41" s="119">
        <f t="shared" si="3"/>
        <v>0.29546351380205693</v>
      </c>
      <c r="M41" s="1178">
        <f>C41/TableA4!D41</f>
        <v>3.1934639833073937</v>
      </c>
      <c r="N41" s="1178">
        <f>VLOOKUP(A41,TableA10!$A$8:$G$95,4,)/VLOOKUP(A41,TableA10!$A$8:$G$95,3,)</f>
        <v>3.0350836431226766</v>
      </c>
      <c r="O41" s="1105">
        <f>E41/TableA4!G41</f>
        <v>0.11438915202699569</v>
      </c>
      <c r="P41" s="122">
        <f>C41-O41*TableA4!D41</f>
        <v>58.152724672949248</v>
      </c>
      <c r="Q41" s="1073"/>
      <c r="R41" s="954"/>
      <c r="S41" s="954"/>
      <c r="T41" s="320">
        <f t="shared" ref="T41:T72" si="6">L41-G41-I41+H41</f>
        <v>0</v>
      </c>
      <c r="U41" s="320">
        <f t="shared" ref="U41:U73" si="7">B41-C41-D41-E41</f>
        <v>0</v>
      </c>
    </row>
    <row r="42" spans="1:21" x14ac:dyDescent="0.2">
      <c r="A42" s="1148" t="s">
        <v>61</v>
      </c>
      <c r="B42" s="1208">
        <f>TableA6!B42</f>
        <v>212.59949330572061</v>
      </c>
      <c r="C42" s="1153">
        <f>TableA6!E42</f>
        <v>3.6081037546987877</v>
      </c>
      <c r="D42" s="1153">
        <v>0</v>
      </c>
      <c r="E42" s="1153">
        <f t="shared" si="4"/>
        <v>208.99138955102183</v>
      </c>
      <c r="F42" s="1209">
        <f t="shared" si="0"/>
        <v>1.6971365729034411E-2</v>
      </c>
      <c r="G42" s="1178">
        <f>TableA2!L42</f>
        <v>1.1786568376604671</v>
      </c>
      <c r="H42" s="1178">
        <f>D42/TableA2!C42</f>
        <v>0</v>
      </c>
      <c r="I42" s="1178">
        <f t="shared" si="5"/>
        <v>0</v>
      </c>
      <c r="J42" s="1178">
        <f>TableA6!I42/TableA2!$C42</f>
        <v>0</v>
      </c>
      <c r="K42" s="1178">
        <f>TableA6!J42/TableA2!$C42</f>
        <v>0</v>
      </c>
      <c r="L42" s="119">
        <f t="shared" si="3"/>
        <v>1.1786568376604671</v>
      </c>
      <c r="M42" s="1178">
        <f>C42/TableA4!D42</f>
        <v>0.43176052765093853</v>
      </c>
      <c r="N42" s="1178">
        <f>VLOOKUP(A42,TableA10!$A$8:$G$95,4,)/VLOOKUP(A42,TableA10!$A$8:$G$95,3,)</f>
        <v>0.43176052765093859</v>
      </c>
      <c r="O42" s="1178">
        <f>E42/TableA4!G42</f>
        <v>1.2149415243838195</v>
      </c>
      <c r="P42" s="121">
        <f>C42-O42*TableA4!D42</f>
        <v>-6.5448277782474689</v>
      </c>
      <c r="Q42" s="1073"/>
      <c r="R42" s="954"/>
      <c r="S42" s="954"/>
      <c r="T42" s="320">
        <f t="shared" si="6"/>
        <v>0</v>
      </c>
      <c r="U42" s="320">
        <f t="shared" si="7"/>
        <v>0</v>
      </c>
    </row>
    <row r="43" spans="1:21" x14ac:dyDescent="0.2">
      <c r="A43" s="1148" t="s">
        <v>62</v>
      </c>
      <c r="B43" s="1208">
        <f>TableA6!B43</f>
        <v>425.05098961874262</v>
      </c>
      <c r="C43" s="1153">
        <f>TableA6!E43</f>
        <v>72.19500365863982</v>
      </c>
      <c r="D43" s="1153">
        <v>0</v>
      </c>
      <c r="E43" s="1153">
        <f t="shared" si="4"/>
        <v>352.85598596010277</v>
      </c>
      <c r="F43" s="1209">
        <f t="shared" si="0"/>
        <v>0.16985021896642677</v>
      </c>
      <c r="G43" s="1178">
        <f>TableA2!L43</f>
        <v>0.41977482452487414</v>
      </c>
      <c r="H43" s="1178">
        <f>D43/TableA2!C43</f>
        <v>0</v>
      </c>
      <c r="I43" s="1178">
        <f t="shared" si="5"/>
        <v>0</v>
      </c>
      <c r="J43" s="1178">
        <f>TableA6!I43/TableA2!$C43</f>
        <v>0</v>
      </c>
      <c r="K43" s="1178">
        <f>TableA6!J43/TableA2!$C43</f>
        <v>0</v>
      </c>
      <c r="L43" s="119">
        <f t="shared" si="3"/>
        <v>0.41977482452487414</v>
      </c>
      <c r="M43" s="1178">
        <f>C43/TableA4!D43</f>
        <v>0.25723407405999843</v>
      </c>
      <c r="N43" s="1178">
        <f>VLOOKUP(A43,TableA10!$A$8:$G$95,4,)/VLOOKUP(A43,TableA10!$A$8:$G$95,3,)</f>
        <v>0.32541900820732633</v>
      </c>
      <c r="O43" s="1178">
        <f>E43/TableA4!G43</f>
        <v>0.48210280844721259</v>
      </c>
      <c r="P43" s="121">
        <f>C43-O43*TableA4!D43</f>
        <v>-63.111386627620902</v>
      </c>
      <c r="Q43" s="1073"/>
      <c r="R43" s="954"/>
      <c r="S43" s="954"/>
      <c r="T43" s="320">
        <f t="shared" si="6"/>
        <v>0</v>
      </c>
      <c r="U43" s="320">
        <f t="shared" si="7"/>
        <v>0</v>
      </c>
    </row>
    <row r="44" spans="1:21" x14ac:dyDescent="0.2">
      <c r="A44" s="1148" t="s">
        <v>63</v>
      </c>
      <c r="B44" s="1208">
        <f>TableA6!B44</f>
        <v>1889.3969000000002</v>
      </c>
      <c r="C44" s="1153">
        <f>TableA6!E44</f>
        <v>152.79999999999998</v>
      </c>
      <c r="D44" s="1153">
        <v>0</v>
      </c>
      <c r="E44" s="1153">
        <f t="shared" si="4"/>
        <v>1736.5969000000002</v>
      </c>
      <c r="F44" s="1209">
        <f t="shared" si="0"/>
        <v>8.0872367261743669E-2</v>
      </c>
      <c r="G44" s="1178">
        <f>TableA2!L44</f>
        <v>0.31301581156556391</v>
      </c>
      <c r="H44" s="1178">
        <f>D44/TableA2!C44</f>
        <v>0</v>
      </c>
      <c r="I44" s="1178">
        <f t="shared" si="5"/>
        <v>0</v>
      </c>
      <c r="J44" s="1178">
        <f>TableA6!I44/TableA2!$C44</f>
        <v>0</v>
      </c>
      <c r="K44" s="1178">
        <f>TableA6!J44/TableA2!$C44</f>
        <v>0</v>
      </c>
      <c r="L44" s="119">
        <f t="shared" si="3"/>
        <v>0.31301581156556391</v>
      </c>
      <c r="M44" s="1178">
        <f>C44/TableA4!D44</f>
        <v>0.28343272646330486</v>
      </c>
      <c r="N44" s="1178"/>
      <c r="O44" s="1212">
        <f>E44/TableA4!G44</f>
        <v>0.3159171001923794</v>
      </c>
      <c r="P44" s="121">
        <f>C44-O44*TableA4!D44</f>
        <v>-17.51248829921272</v>
      </c>
      <c r="Q44" s="1073"/>
      <c r="R44" s="954"/>
      <c r="S44" s="954"/>
      <c r="T44" s="320">
        <f t="shared" si="6"/>
        <v>0</v>
      </c>
      <c r="U44" s="320">
        <f t="shared" si="7"/>
        <v>0</v>
      </c>
    </row>
    <row r="45" spans="1:21" ht="40" customHeight="1" x14ac:dyDescent="0.2">
      <c r="A45" s="7" t="s">
        <v>64</v>
      </c>
      <c r="B45" s="304">
        <f>SUM(B46:B52)</f>
        <v>3157.101545061153</v>
      </c>
      <c r="C45" s="245">
        <f>SUM(C46:C52)</f>
        <v>253.30348219544206</v>
      </c>
      <c r="D45" s="245">
        <f>SUM(D46:D52)</f>
        <v>0</v>
      </c>
      <c r="E45" s="245">
        <f>SUM(E46:E52)</f>
        <v>2903.7980628657106</v>
      </c>
      <c r="F45" s="1207">
        <f t="shared" ref="F45:F53" si="8">C45/(B45-D45)</f>
        <v>8.0232922058430522E-2</v>
      </c>
      <c r="G45" s="266">
        <f>TableA2!L45</f>
        <v>0.68108145790918762</v>
      </c>
      <c r="H45" s="266">
        <f>D45/TableA2!C45</f>
        <v>0</v>
      </c>
      <c r="I45" s="266">
        <f>J45+K45</f>
        <v>0</v>
      </c>
      <c r="J45" s="266">
        <f>TableA6!I45/TableA2!$C45</f>
        <v>0</v>
      </c>
      <c r="K45" s="266">
        <f>TableA6!J45/TableA2!$C45</f>
        <v>0</v>
      </c>
      <c r="L45" s="265">
        <f>G45-H45+I45</f>
        <v>0.68108145790918762</v>
      </c>
      <c r="M45" s="266">
        <f>C45/TableA4!D45</f>
        <v>0.60344989333222621</v>
      </c>
      <c r="N45" s="266">
        <f>(TableA10!D43+TableA10!D52+TableA10!D45+TableA10!D81+TableA10!D31+TableA10!D68)/(TableA10!C43+TableA10!C45+TableA10!C52+TableA10!C81+TableA10!C31+TableA10!C68)</f>
        <v>0.20871685346538396</v>
      </c>
      <c r="O45" s="309">
        <f>E45/TableA4!G45</f>
        <v>0.68881132725607408</v>
      </c>
      <c r="P45" s="310">
        <v>0</v>
      </c>
      <c r="Q45" s="1073"/>
      <c r="R45" s="954"/>
      <c r="S45" s="954"/>
      <c r="T45" s="320">
        <f t="shared" si="6"/>
        <v>0</v>
      </c>
      <c r="U45" s="320">
        <f t="shared" si="7"/>
        <v>0</v>
      </c>
    </row>
    <row r="46" spans="1:21" x14ac:dyDescent="0.2">
      <c r="A46" s="1149" t="s">
        <v>65</v>
      </c>
      <c r="B46" s="1208">
        <f>TableA6!B46</f>
        <v>274.33569999999997</v>
      </c>
      <c r="C46" s="1153">
        <f>TableA6!E46</f>
        <v>29.642380154899492</v>
      </c>
      <c r="D46" s="1153">
        <v>0</v>
      </c>
      <c r="E46" s="1153">
        <f t="shared" si="4"/>
        <v>244.69331984510049</v>
      </c>
      <c r="F46" s="1209">
        <f t="shared" si="8"/>
        <v>0.10805148639021277</v>
      </c>
      <c r="G46" s="1178">
        <f>TableA2!L46</f>
        <v>0.40116486198248541</v>
      </c>
      <c r="H46" s="1178">
        <f>D46/TableA2!C46</f>
        <v>0</v>
      </c>
      <c r="I46" s="1178">
        <f t="shared" si="5"/>
        <v>0</v>
      </c>
      <c r="J46" s="1178">
        <f>TableA6!I46/TableA2!$C46</f>
        <v>0</v>
      </c>
      <c r="K46" s="1178">
        <f>TableA6!J46/TableA2!$C46</f>
        <v>0</v>
      </c>
      <c r="L46" s="119">
        <f t="shared" ref="L46:L52" si="9">G46-H46+I46</f>
        <v>0.40116486198248541</v>
      </c>
      <c r="M46" s="1178">
        <f>C46/TableA4!D46</f>
        <v>0.28488946288839928</v>
      </c>
      <c r="N46" s="1178">
        <f>VLOOKUP(A46,TableA10b!$A$8:$G$95,4,)/VLOOKUP(A46,TableA10b!$A$8:$G$95,3,)</f>
        <v>0.28488946288839928</v>
      </c>
      <c r="O46" s="1212">
        <f>E46/TableA4!G46</f>
        <v>0.42203123701335166</v>
      </c>
      <c r="P46" s="121">
        <f>C46-O46*TableA4!D46</f>
        <v>-14.269424226903311</v>
      </c>
      <c r="Q46" s="1073"/>
      <c r="R46" s="954"/>
      <c r="S46" s="954"/>
      <c r="T46" s="320">
        <f t="shared" si="6"/>
        <v>0</v>
      </c>
      <c r="U46" s="320">
        <f t="shared" si="7"/>
        <v>0</v>
      </c>
    </row>
    <row r="47" spans="1:21" x14ac:dyDescent="0.2">
      <c r="A47" s="1148" t="s">
        <v>66</v>
      </c>
      <c r="B47" s="1208">
        <f>TableA6!B47</f>
        <v>2068.7040725409047</v>
      </c>
      <c r="C47" s="1153">
        <f>TableA6!E47</f>
        <v>162.29225058924547</v>
      </c>
      <c r="D47" s="1153">
        <v>0</v>
      </c>
      <c r="E47" s="1153">
        <f t="shared" si="4"/>
        <v>1906.4118219516592</v>
      </c>
      <c r="F47" s="1209">
        <f t="shared" si="8"/>
        <v>7.8451167928484097E-2</v>
      </c>
      <c r="G47" s="1178">
        <f>TableA2!L47</f>
        <v>0.6894883048234598</v>
      </c>
      <c r="H47" s="1178">
        <f>D47/TableA2!C47</f>
        <v>0</v>
      </c>
      <c r="I47" s="1178">
        <f t="shared" si="5"/>
        <v>0</v>
      </c>
      <c r="J47" s="1178">
        <f>TableA6!I47/TableA2!$C47</f>
        <v>0</v>
      </c>
      <c r="K47" s="1178">
        <f>TableA6!J47/TableA2!$C47</f>
        <v>0</v>
      </c>
      <c r="L47" s="119">
        <f t="shared" si="9"/>
        <v>0.6894883048234598</v>
      </c>
      <c r="M47" s="1178">
        <f>C47/TableA4!D47</f>
        <v>0.86041477550450374</v>
      </c>
      <c r="N47" s="1178">
        <f>VLOOKUP(A47,TableA10!$A$8:$G$95,4,)/VLOOKUP(A47,TableA10!$A$8:$G$95,3,)</f>
        <v>0.86041477550450385</v>
      </c>
      <c r="O47" s="1212">
        <f>E47/TableA4!G47</f>
        <v>0.67802192655512161</v>
      </c>
      <c r="P47" s="121">
        <f>C47-O47*TableA4!D47</f>
        <v>34.40311206885427</v>
      </c>
      <c r="Q47" s="1073"/>
      <c r="R47" s="954"/>
      <c r="S47" s="954"/>
      <c r="T47" s="320">
        <f t="shared" si="6"/>
        <v>0</v>
      </c>
      <c r="U47" s="320">
        <f t="shared" si="7"/>
        <v>0</v>
      </c>
    </row>
    <row r="48" spans="1:21" x14ac:dyDescent="0.2">
      <c r="A48" s="1148" t="s">
        <v>67</v>
      </c>
      <c r="B48" s="1208">
        <f>TableA6!B48</f>
        <v>58.600733808963028</v>
      </c>
      <c r="C48" s="1153">
        <f>TableA6!E48</f>
        <v>6.7581585025254878</v>
      </c>
      <c r="D48" s="1153">
        <v>0</v>
      </c>
      <c r="E48" s="1153">
        <f t="shared" si="4"/>
        <v>51.842575306437539</v>
      </c>
      <c r="F48" s="1209">
        <f t="shared" si="8"/>
        <v>0.11532549275845112</v>
      </c>
      <c r="G48" s="1178">
        <f>TableA2!L48</f>
        <v>1.0817835759803136</v>
      </c>
      <c r="H48" s="1178">
        <f>D48/TableA2!C48</f>
        <v>0</v>
      </c>
      <c r="I48" s="1178">
        <f t="shared" si="5"/>
        <v>0</v>
      </c>
      <c r="J48" s="1178">
        <f>TableA6!I48/TableA2!$C48</f>
        <v>0</v>
      </c>
      <c r="K48" s="1178">
        <f>TableA6!J48/TableA2!$C48</f>
        <v>0</v>
      </c>
      <c r="L48" s="119">
        <f t="shared" si="9"/>
        <v>1.0817835759803136</v>
      </c>
      <c r="M48" s="1178">
        <f>C48/TableA4!D48</f>
        <v>0.59300746775288526</v>
      </c>
      <c r="N48" s="1178">
        <f>VLOOKUP(A48,TableA10b!$A$8:$G$95,4,)/VLOOKUP(A48,TableA10b!$A$8:$G$95,3,)</f>
        <v>0.59300746775288526</v>
      </c>
      <c r="O48" s="1212">
        <f>E48/TableA4!G48</f>
        <v>1.2120095634890702</v>
      </c>
      <c r="P48" s="121">
        <f>C48-O48*TableA4!D48</f>
        <v>-7.0544040401930346</v>
      </c>
      <c r="Q48" s="1073"/>
      <c r="R48" s="954"/>
      <c r="S48" s="954"/>
      <c r="T48" s="320">
        <f t="shared" si="6"/>
        <v>0</v>
      </c>
      <c r="U48" s="320">
        <f t="shared" si="7"/>
        <v>0</v>
      </c>
    </row>
    <row r="49" spans="1:22" x14ac:dyDescent="0.2">
      <c r="A49" s="1148" t="s">
        <v>68</v>
      </c>
      <c r="B49" s="1208">
        <f>TableA6!B49</f>
        <v>13.202740172271037</v>
      </c>
      <c r="C49" s="1153">
        <f>TableA6!E49</f>
        <v>1.0992314060745381</v>
      </c>
      <c r="D49" s="1153">
        <v>0</v>
      </c>
      <c r="E49" s="1153">
        <f t="shared" si="4"/>
        <v>12.103508766196498</v>
      </c>
      <c r="F49" s="1209">
        <f t="shared" si="8"/>
        <v>8.3257823128504119E-2</v>
      </c>
      <c r="G49" s="1178">
        <f>TableA2!L49</f>
        <v>0.84460673307568312</v>
      </c>
      <c r="H49" s="1178">
        <f>D49/TableA2!C49</f>
        <v>0</v>
      </c>
      <c r="I49" s="1178">
        <f t="shared" si="5"/>
        <v>0</v>
      </c>
      <c r="J49" s="1178">
        <f>TableA6!I49/TableA2!$C49</f>
        <v>0</v>
      </c>
      <c r="K49" s="1178">
        <f>TableA6!J49/TableA2!$C49</f>
        <v>0</v>
      </c>
      <c r="L49" s="119">
        <f t="shared" si="9"/>
        <v>0.84460673307568312</v>
      </c>
      <c r="M49" s="1178">
        <f>C49/TableA4!D49</f>
        <v>0.58033898305084741</v>
      </c>
      <c r="N49" s="1178">
        <f>VLOOKUP(A49,TableA10!$A$8:$G$95,4,)/VLOOKUP(A49,TableA10!$A$8:$G$95,3,)</f>
        <v>0.58033898305084741</v>
      </c>
      <c r="O49" s="1212">
        <f>E49/TableA4!G49</f>
        <v>0.88104330559766775</v>
      </c>
      <c r="P49" s="121">
        <f>C49-O49*TableA4!D49</f>
        <v>-0.56956993229743369</v>
      </c>
      <c r="Q49" s="1073"/>
      <c r="R49" s="954"/>
      <c r="S49" s="954"/>
      <c r="T49" s="320">
        <f t="shared" si="6"/>
        <v>0</v>
      </c>
      <c r="U49" s="320">
        <f t="shared" si="7"/>
        <v>0</v>
      </c>
      <c r="V49" s="954"/>
    </row>
    <row r="50" spans="1:22" x14ac:dyDescent="0.2">
      <c r="A50" s="1148" t="s">
        <v>69</v>
      </c>
      <c r="B50" s="1208">
        <f>TableA6!B50</f>
        <v>376.12710693199818</v>
      </c>
      <c r="C50" s="1153">
        <f>TableA6!E50</f>
        <v>7.7329709258650219</v>
      </c>
      <c r="D50" s="1153">
        <v>0</v>
      </c>
      <c r="E50" s="1153">
        <f t="shared" si="4"/>
        <v>368.39413600613318</v>
      </c>
      <c r="F50" s="1209">
        <f t="shared" si="8"/>
        <v>2.0559461903560974E-2</v>
      </c>
      <c r="G50" s="1178">
        <f>TableA2!L50</f>
        <v>1.1804668339549873</v>
      </c>
      <c r="H50" s="1178">
        <f>D50/TableA2!C50</f>
        <v>0</v>
      </c>
      <c r="I50" s="1178">
        <f t="shared" si="5"/>
        <v>0</v>
      </c>
      <c r="J50" s="1178">
        <f>TableA6!I50/TableA2!$C50</f>
        <v>0</v>
      </c>
      <c r="K50" s="1178">
        <f>TableA6!J50/TableA2!$C50</f>
        <v>0</v>
      </c>
      <c r="L50" s="119">
        <f t="shared" si="9"/>
        <v>1.1804668339549873</v>
      </c>
      <c r="M50" s="1178">
        <f>C50/TableA4!D50</f>
        <v>0.36740237691001698</v>
      </c>
      <c r="N50" s="1178">
        <f>VLOOKUP(A50,TableA10!$A$8:$G$95,4,)/VLOOKUP(A50,TableA10!$A$8:$G$95,3,)</f>
        <v>0.36740237691001698</v>
      </c>
      <c r="O50" s="1212">
        <f>E50/TableA4!G50</f>
        <v>1.2379748666810551</v>
      </c>
      <c r="P50" s="121">
        <f>C50-O50*TableA4!D50</f>
        <v>-18.323538919036906</v>
      </c>
      <c r="Q50" s="1073"/>
      <c r="R50" s="954"/>
      <c r="S50" s="954"/>
      <c r="T50" s="320">
        <f t="shared" si="6"/>
        <v>0</v>
      </c>
      <c r="U50" s="320">
        <f t="shared" si="7"/>
        <v>0</v>
      </c>
      <c r="V50" s="954"/>
    </row>
    <row r="51" spans="1:22" x14ac:dyDescent="0.2">
      <c r="A51" s="1148" t="s">
        <v>70</v>
      </c>
      <c r="B51" s="1208">
        <f>TableA6!B51</f>
        <v>289.6640115913587</v>
      </c>
      <c r="C51" s="1153">
        <f>TableA6!E51</f>
        <v>37.035306707060499</v>
      </c>
      <c r="D51" s="1153">
        <v>0</v>
      </c>
      <c r="E51" s="1153">
        <f t="shared" si="4"/>
        <v>252.6287048842982</v>
      </c>
      <c r="F51" s="1209">
        <f t="shared" si="8"/>
        <v>0.12785608575810162</v>
      </c>
      <c r="G51" s="1178">
        <f>TableA2!L51</f>
        <v>0.62204444586734098</v>
      </c>
      <c r="H51" s="1178">
        <f>D51/TableA2!C51</f>
        <v>0</v>
      </c>
      <c r="I51" s="1178">
        <f t="shared" si="5"/>
        <v>0</v>
      </c>
      <c r="J51" s="1178">
        <f>TableA6!I51/TableA2!$C51</f>
        <v>0</v>
      </c>
      <c r="K51" s="1178">
        <f>TableA6!J51/TableA2!$C51</f>
        <v>0</v>
      </c>
      <c r="L51" s="119">
        <f t="shared" si="9"/>
        <v>0.62204444586734098</v>
      </c>
      <c r="M51" s="1178">
        <f>C51/TableA4!D51</f>
        <v>0.57186108637577915</v>
      </c>
      <c r="N51" s="1178">
        <f>VLOOKUP(A51,TableA10b!$A$8:$G$95,4,)/VLOOKUP(A51,TableA10b!$A$8:$G$95,3,)</f>
        <v>0.57186108637577915</v>
      </c>
      <c r="O51" s="1212">
        <f>E51/TableA4!G51</f>
        <v>0.63015120382906453</v>
      </c>
      <c r="P51" s="121">
        <f>C51-O51*TableA4!D51</f>
        <v>-3.7750293372023975</v>
      </c>
      <c r="Q51" s="1073"/>
      <c r="R51" s="954"/>
      <c r="S51" s="954"/>
      <c r="T51" s="320">
        <f t="shared" si="6"/>
        <v>0</v>
      </c>
      <c r="U51" s="320">
        <f t="shared" si="7"/>
        <v>0</v>
      </c>
      <c r="V51" s="954"/>
    </row>
    <row r="52" spans="1:22" x14ac:dyDescent="0.2">
      <c r="A52" s="1148" t="s">
        <v>71</v>
      </c>
      <c r="B52" s="1208">
        <f>TableA6!B52</f>
        <v>76.467180015656993</v>
      </c>
      <c r="C52" s="1153">
        <f>TableA6!E52</f>
        <v>8.7431839097715454</v>
      </c>
      <c r="D52" s="1153">
        <v>0</v>
      </c>
      <c r="E52" s="1153">
        <f t="shared" si="4"/>
        <v>67.723996105885448</v>
      </c>
      <c r="F52" s="1209">
        <f t="shared" si="8"/>
        <v>0.11433903941509729</v>
      </c>
      <c r="G52" s="1178">
        <f>TableA2!L52</f>
        <v>0.78720845080042035</v>
      </c>
      <c r="H52" s="1178">
        <f>D52/TableA2!C52</f>
        <v>0</v>
      </c>
      <c r="I52" s="1178">
        <f t="shared" si="5"/>
        <v>0</v>
      </c>
      <c r="J52" s="1178">
        <f>TableA6!I52/TableA2!$C52</f>
        <v>0</v>
      </c>
      <c r="K52" s="1178">
        <f>TableA6!J52/TableA2!$C52</f>
        <v>0</v>
      </c>
      <c r="L52" s="119">
        <f t="shared" si="9"/>
        <v>0.78720845080042035</v>
      </c>
      <c r="M52" s="1178">
        <f>C52/TableA4!D52</f>
        <v>0.31238725195429945</v>
      </c>
      <c r="N52" s="1178">
        <f>VLOOKUP(A52,TableA10!$A$8:$G$95,4,)/VLOOKUP(A52,TableA10!$A$8:$G$95,3,)</f>
        <v>0.31238725195429945</v>
      </c>
      <c r="O52" s="1212">
        <f>E52/TableA4!G52</f>
        <v>0.97939430014021822</v>
      </c>
      <c r="P52" s="121">
        <f>C52-O52*TableA4!D52</f>
        <v>-18.668384368823393</v>
      </c>
      <c r="Q52" s="1073"/>
      <c r="R52" s="954"/>
      <c r="S52" s="954"/>
      <c r="T52" s="320">
        <f t="shared" si="6"/>
        <v>0</v>
      </c>
      <c r="U52" s="320">
        <f t="shared" si="7"/>
        <v>0</v>
      </c>
      <c r="V52" s="954"/>
    </row>
    <row r="53" spans="1:22" ht="40" customHeight="1" x14ac:dyDescent="0.2">
      <c r="A53" s="7" t="s">
        <v>72</v>
      </c>
      <c r="B53" s="304">
        <f>SUM(B54:B89)</f>
        <v>485.75226113968216</v>
      </c>
      <c r="C53" s="245">
        <f>SUM(C54:C89)</f>
        <v>379.64154036573251</v>
      </c>
      <c r="D53" s="245">
        <f>SUM(D54:D89)</f>
        <v>0</v>
      </c>
      <c r="E53" s="245">
        <f>SUM(E54:E89)</f>
        <v>106.11072077394961</v>
      </c>
      <c r="F53" s="1207">
        <f t="shared" si="8"/>
        <v>0.7815538304958366</v>
      </c>
      <c r="G53" s="266">
        <f>TableA2!L53</f>
        <v>0.9495478158383921</v>
      </c>
      <c r="H53" s="266">
        <f>D53/TableA2!C53</f>
        <v>0</v>
      </c>
      <c r="I53" s="266">
        <f>TableA6!D53/TableA2!C53</f>
        <v>0.59411815848754679</v>
      </c>
      <c r="J53" s="266">
        <f>TableA6!I53/TableA2!$C53</f>
        <v>0.1253592019677329</v>
      </c>
      <c r="K53" s="266">
        <f>TableA6!J53/TableA2!$C53</f>
        <v>0.57918768418334599</v>
      </c>
      <c r="L53" s="265">
        <f>(C53+E53)/TableA2!C53</f>
        <v>1.5436659743259391</v>
      </c>
      <c r="M53" s="266">
        <f>C53/TableA4!D53</f>
        <v>4.0562827786519096</v>
      </c>
      <c r="N53" s="266">
        <f>(TableA10!D59+TableA10!D60+TableA10!D62+TableA10!D63+TableA10!D80+TableA10!D88+C89*1000)/(TableA10!C59+TableA10!C60+TableA10!C62+TableA10!C63+TableA10!C80+TableA10!C88+TableA4!D89*1000)</f>
        <v>3.6378279827459132</v>
      </c>
      <c r="O53" s="514">
        <f>(E9+E45)/(TableA4!G9+TableA4!G45)</f>
        <v>0.47996308817683037</v>
      </c>
      <c r="P53" s="305">
        <f>SUM(P54:P89)</f>
        <v>334.72013422680857</v>
      </c>
      <c r="Q53" s="1213"/>
      <c r="R53" s="954"/>
      <c r="S53" s="954"/>
      <c r="T53" s="320">
        <f t="shared" si="6"/>
        <v>2.2204460492503131E-16</v>
      </c>
      <c r="U53" s="320">
        <f t="shared" si="7"/>
        <v>0</v>
      </c>
      <c r="V53" s="954"/>
    </row>
    <row r="54" spans="1:22" x14ac:dyDescent="0.2">
      <c r="A54" s="1148" t="s">
        <v>73</v>
      </c>
      <c r="B54" s="1208">
        <f>TableA6!B54</f>
        <v>1.2179448838266</v>
      </c>
      <c r="C54" s="1153">
        <f>TableA6!E54</f>
        <v>1.0713339190228408</v>
      </c>
      <c r="D54" s="1153">
        <v>0</v>
      </c>
      <c r="E54" s="1153">
        <f>TableA6!K54</f>
        <v>0.14661096480375915</v>
      </c>
      <c r="F54" s="1207">
        <f t="shared" ref="F54:F83" si="10">C54/(B54-D54)</f>
        <v>0.87962430258491697</v>
      </c>
      <c r="G54" s="1210">
        <f>TableA2!L54</f>
        <v>2.3923255199351803</v>
      </c>
      <c r="H54" s="1210">
        <f>D54/TableA2!C54</f>
        <v>0</v>
      </c>
      <c r="I54" s="1210">
        <f>TableA6!D54/TableA2!C54</f>
        <v>0</v>
      </c>
      <c r="J54" s="1210">
        <f>TableA6!I54/TableA2!$C54</f>
        <v>0</v>
      </c>
      <c r="K54" s="1210">
        <f>TableA6!J54/TableA2!$C54</f>
        <v>2.171958577610551</v>
      </c>
      <c r="L54" s="119">
        <f>(C54+E54)/TableA2!C54</f>
        <v>2.3923255199351803</v>
      </c>
      <c r="M54" s="1178">
        <f>C54/TableA4!D54</f>
        <v>5.2608691675727046</v>
      </c>
      <c r="N54" s="1178">
        <f>TableA10!D37/TableA10!C37</f>
        <v>1.5591216216216208</v>
      </c>
      <c r="O54" s="1214">
        <f>O$53</f>
        <v>0.47996308817683037</v>
      </c>
      <c r="P54" s="121">
        <f>C54-O54*TableA4!D54</f>
        <v>0.97359327582033472</v>
      </c>
      <c r="Q54" s="1215">
        <v>3.0833378643837484E-3</v>
      </c>
      <c r="R54" s="954"/>
      <c r="S54" s="954"/>
      <c r="T54" s="320">
        <f t="shared" si="6"/>
        <v>0</v>
      </c>
      <c r="U54" s="320">
        <f t="shared" si="7"/>
        <v>0</v>
      </c>
      <c r="V54" s="954"/>
    </row>
    <row r="55" spans="1:22" x14ac:dyDescent="0.2">
      <c r="A55" s="1148" t="s">
        <v>74</v>
      </c>
      <c r="B55" s="1208">
        <f>TableA6!B55</f>
        <v>0.23996156292186116</v>
      </c>
      <c r="C55" s="1153">
        <f>TableA6!E55</f>
        <v>0.22608681761471922</v>
      </c>
      <c r="D55" s="1860">
        <v>0</v>
      </c>
      <c r="E55" s="1153">
        <f>TableA6!K55</f>
        <v>1.3874745307141934E-2</v>
      </c>
      <c r="F55" s="1209">
        <f t="shared" si="10"/>
        <v>0.94217930097554836</v>
      </c>
      <c r="G55" s="1210">
        <f>TableA2!L55</f>
        <v>2.3923282826230872</v>
      </c>
      <c r="H55" s="1178">
        <f>D55/TableA2!C55</f>
        <v>0</v>
      </c>
      <c r="I55" s="1178">
        <f>TableA6!D55/TableA2!C55</f>
        <v>2.5882039102567727</v>
      </c>
      <c r="J55" s="1178">
        <f>TableA6!I55/TableA2!$C55</f>
        <v>0</v>
      </c>
      <c r="K55" s="1178">
        <f>TableA6!J55/TableA2!$C55</f>
        <v>2.5609602213968543</v>
      </c>
      <c r="L55" s="119">
        <f>(C55+E55)/TableA2!C55</f>
        <v>4.9805321928798598</v>
      </c>
      <c r="M55" s="1178">
        <f>C55/TableA4!D55</f>
        <v>11.731385849934403</v>
      </c>
      <c r="N55" s="1178">
        <f>TableA10!D$63/TableA10!C$63</f>
        <v>14.031458531935176</v>
      </c>
      <c r="O55" s="1214">
        <f t="shared" ref="O55:O90" si="11">O$53</f>
        <v>0.47996308817683037</v>
      </c>
      <c r="P55" s="121">
        <f>C55-O55*TableA4!D55</f>
        <v>0.21683698740995794</v>
      </c>
      <c r="Q55" s="1215">
        <v>-1.5052088272046125E-2</v>
      </c>
      <c r="R55" s="954"/>
      <c r="S55" s="954"/>
      <c r="T55" s="320">
        <f t="shared" si="6"/>
        <v>0</v>
      </c>
      <c r="U55" s="320">
        <f t="shared" si="7"/>
        <v>0</v>
      </c>
      <c r="V55" s="954"/>
    </row>
    <row r="56" spans="1:22" x14ac:dyDescent="0.2">
      <c r="A56" s="1148" t="str">
        <f>+TableA1!A56</f>
        <v>Antigua and Barbuda</v>
      </c>
      <c r="B56" s="1208">
        <f>TableA6!B56</f>
        <v>0.83688997048164881</v>
      </c>
      <c r="C56" s="1153">
        <f>TableA6!E56</f>
        <v>0.80975658198969502</v>
      </c>
      <c r="D56" s="1153">
        <v>0</v>
      </c>
      <c r="E56" s="1153">
        <f>TableA6!K56</f>
        <v>2.7133388491953736E-2</v>
      </c>
      <c r="F56" s="1209">
        <f t="shared" si="10"/>
        <v>0.96757830844078829</v>
      </c>
      <c r="G56" s="1210">
        <f>TableA2!L56</f>
        <v>7.8984192228753365</v>
      </c>
      <c r="H56" s="1178">
        <f>D56/TableA2!C56</f>
        <v>0</v>
      </c>
      <c r="I56" s="1178">
        <f>TableA6!D56/TableA2!C56</f>
        <v>0.98383950752326899</v>
      </c>
      <c r="J56" s="1178">
        <f>TableA6!I56/TableA2!$C56</f>
        <v>0</v>
      </c>
      <c r="K56" s="1178">
        <f>TableA6!J56/TableA2!$C56</f>
        <v>7.7351530408344944</v>
      </c>
      <c r="L56" s="119">
        <f>(C56+E56)/TableA2!C56</f>
        <v>8.8822587303986058</v>
      </c>
      <c r="M56" s="1178">
        <f>C56/TableA4!D56</f>
        <v>21.485702193731267</v>
      </c>
      <c r="N56" s="1178">
        <f>TableA10!D$63/TableA10!C$63</f>
        <v>14.031458531935176</v>
      </c>
      <c r="O56" s="1214">
        <f t="shared" si="11"/>
        <v>0.47996308817683037</v>
      </c>
      <c r="P56" s="121">
        <f>C56-O56*TableA4!D56</f>
        <v>0.79166765632839253</v>
      </c>
      <c r="Q56" s="1215">
        <v>8.6504554915528709E-3</v>
      </c>
      <c r="R56" s="954"/>
      <c r="S56" s="954"/>
      <c r="T56" s="320">
        <f t="shared" si="6"/>
        <v>3.3306690738754696E-16</v>
      </c>
      <c r="U56" s="320">
        <f t="shared" si="7"/>
        <v>5.5511151231257827E-17</v>
      </c>
      <c r="V56" s="954"/>
    </row>
    <row r="57" spans="1:22" x14ac:dyDescent="0.2">
      <c r="A57" s="1148" t="s">
        <v>76</v>
      </c>
      <c r="B57" s="1208">
        <f>TableA6!B57</f>
        <v>1.0830039076807072</v>
      </c>
      <c r="C57" s="1153">
        <f>TableA6!E57</f>
        <v>0.95263604569226357</v>
      </c>
      <c r="D57" s="1860">
        <v>0</v>
      </c>
      <c r="E57" s="1153">
        <f>TableA6!K57</f>
        <v>0.13036786198844358</v>
      </c>
      <c r="F57" s="1209">
        <f t="shared" si="10"/>
        <v>0.87962383047386117</v>
      </c>
      <c r="G57" s="1210">
        <f>TableA2!L57</f>
        <v>2.3923161373195709</v>
      </c>
      <c r="H57" s="1178">
        <f>D57/TableA2!C57</f>
        <v>0</v>
      </c>
      <c r="I57" s="1178">
        <f>TableA6!D57/TableA2!C57</f>
        <v>0</v>
      </c>
      <c r="J57" s="1178">
        <f>TableA6!I57/TableA2!$C57</f>
        <v>0</v>
      </c>
      <c r="K57" s="1178">
        <f>TableA6!J57/TableA2!$C57</f>
        <v>2.0073413382474254</v>
      </c>
      <c r="L57" s="119">
        <f>(C57+E57)/TableA2!C57</f>
        <v>2.3923161373195709</v>
      </c>
      <c r="M57" s="1178">
        <f>C57/TableA4!D57</f>
        <v>5.2608457110336815</v>
      </c>
      <c r="N57" s="1178">
        <f>TableA10!D$63/TableA10!C$63</f>
        <v>14.031458531935176</v>
      </c>
      <c r="O57" s="1214">
        <f t="shared" si="11"/>
        <v>0.47996308817683037</v>
      </c>
      <c r="P57" s="121">
        <f>C57-O57*TableA4!D57</f>
        <v>0.86572413769996781</v>
      </c>
      <c r="Q57" s="1215">
        <v>0.24127676815119031</v>
      </c>
      <c r="R57" s="954"/>
      <c r="S57" s="954"/>
      <c r="T57" s="320">
        <f t="shared" si="6"/>
        <v>0</v>
      </c>
      <c r="U57" s="320">
        <f t="shared" si="7"/>
        <v>0</v>
      </c>
      <c r="V57" s="954"/>
    </row>
    <row r="58" spans="1:22" x14ac:dyDescent="0.2">
      <c r="A58" s="1148" t="s">
        <v>152</v>
      </c>
      <c r="B58" s="1208">
        <f>TableA6!B58</f>
        <v>7.5674507528223769</v>
      </c>
      <c r="C58" s="1153">
        <f>TableA6!E58</f>
        <v>7.4256876071944387</v>
      </c>
      <c r="D58" s="1860">
        <v>0</v>
      </c>
      <c r="E58" s="1153">
        <f>TableA6!K58</f>
        <v>0.1417631456279379</v>
      </c>
      <c r="F58" s="1209">
        <f t="shared" si="10"/>
        <v>0.98126672372792567</v>
      </c>
      <c r="G58" s="1210">
        <f>TableA2!L58</f>
        <v>13.025874775347917</v>
      </c>
      <c r="H58" s="1178">
        <f>D58/TableA2!C58</f>
        <v>0</v>
      </c>
      <c r="I58" s="1178">
        <f>TableA6!D58/TableA2!C58</f>
        <v>2.3466553002047297</v>
      </c>
      <c r="J58" s="1178">
        <f>TableA6!I58/TableA2!$C58</f>
        <v>11.090152854335686</v>
      </c>
      <c r="K58" s="1178">
        <f>TableA6!J58/TableA2!$C58</f>
        <v>2.493548736246979</v>
      </c>
      <c r="L58" s="119">
        <f>(C58+E58)/TableA2!C58</f>
        <v>15.372530075552646</v>
      </c>
      <c r="M58" s="1178">
        <f>C58/TableA4!D58</f>
        <v>37.711380556616369</v>
      </c>
      <c r="N58" s="1178">
        <f>TableA10!D$63/TableA10!C$63</f>
        <v>14.031458531935176</v>
      </c>
      <c r="O58" s="1214">
        <f t="shared" si="11"/>
        <v>0.47996308817683037</v>
      </c>
      <c r="P58" s="121">
        <f>C58-O58*TableA4!D58</f>
        <v>7.3311788434424798</v>
      </c>
      <c r="Q58" s="1215">
        <v>0.82004020553788814</v>
      </c>
      <c r="R58" s="954"/>
      <c r="S58" s="954"/>
      <c r="T58" s="320">
        <f t="shared" si="6"/>
        <v>-8.8817841970012523E-16</v>
      </c>
      <c r="U58" s="320">
        <f t="shared" si="7"/>
        <v>3.3306690738754696E-16</v>
      </c>
      <c r="V58" s="954"/>
    </row>
    <row r="59" spans="1:22" x14ac:dyDescent="0.2">
      <c r="A59" s="1148" t="s">
        <v>78</v>
      </c>
      <c r="B59" s="1208">
        <f>TableA6!B59</f>
        <v>12.818630643859262</v>
      </c>
      <c r="C59" s="1153">
        <f>TableA6!E59</f>
        <v>9.9035637652207527</v>
      </c>
      <c r="D59" s="1860">
        <v>0</v>
      </c>
      <c r="E59" s="1153">
        <f>TableA6!K59</f>
        <v>2.9150668786385086</v>
      </c>
      <c r="F59" s="1209">
        <f t="shared" si="10"/>
        <v>0.7725913976595491</v>
      </c>
      <c r="G59" s="1210">
        <f>TableA2!L59</f>
        <v>1.1886326440866672</v>
      </c>
      <c r="H59" s="1178">
        <f>D59/TableA2!C59</f>
        <v>0</v>
      </c>
      <c r="I59" s="1178">
        <f>TableA6!D59/TableA2!C59</f>
        <v>7.7712823684907076E-2</v>
      </c>
      <c r="J59" s="1178">
        <f>TableA6!I59/TableA2!$C59</f>
        <v>9.6292997742348937E-2</v>
      </c>
      <c r="K59" s="1178">
        <f>TableA6!J59/TableA2!$C59</f>
        <v>0.81859172082117837</v>
      </c>
      <c r="L59" s="119">
        <f>(C59+E59)/TableA2!C59</f>
        <v>1.2663454677715744</v>
      </c>
      <c r="M59" s="1178">
        <f>C59/TableA4!D59</f>
        <v>2.4459190371636907</v>
      </c>
      <c r="N59" s="1178">
        <f>TableA10!D75/TableA10!C75</f>
        <v>2.6792645556690502</v>
      </c>
      <c r="O59" s="1214">
        <f t="shared" si="11"/>
        <v>0.47996308817683037</v>
      </c>
      <c r="P59" s="121">
        <f>C59-O59*TableA4!D59</f>
        <v>7.9601858461284136</v>
      </c>
      <c r="Q59" s="1215">
        <v>1.6053543751581547</v>
      </c>
      <c r="R59" s="954"/>
      <c r="S59" s="954"/>
      <c r="T59" s="320">
        <f t="shared" si="6"/>
        <v>9.7144514654701197E-17</v>
      </c>
      <c r="U59" s="320">
        <f t="shared" si="7"/>
        <v>0</v>
      </c>
      <c r="V59" s="954"/>
    </row>
    <row r="60" spans="1:22" x14ac:dyDescent="0.2">
      <c r="A60" s="1148" t="str">
        <f>+TableA1!A60</f>
        <v>Barbados</v>
      </c>
      <c r="B60" s="1208">
        <f>TableA6!B60</f>
        <v>4.7927919009162316</v>
      </c>
      <c r="C60" s="1153">
        <f>TableA6!E60</f>
        <v>4.6934588361797722</v>
      </c>
      <c r="D60" s="1860">
        <v>0</v>
      </c>
      <c r="E60" s="1153">
        <f>TableA6!K60</f>
        <v>9.933306473645917E-2</v>
      </c>
      <c r="F60" s="1209">
        <f t="shared" si="10"/>
        <v>0.97927448827530561</v>
      </c>
      <c r="G60" s="1210">
        <f>TableA2!L60</f>
        <v>7.1637948004065679</v>
      </c>
      <c r="H60" s="1178">
        <f>D60/TableA2!C60</f>
        <v>0</v>
      </c>
      <c r="I60" s="1178">
        <f>TableA6!D60/TableA2!C60</f>
        <v>6.7310540569548074</v>
      </c>
      <c r="J60" s="1178">
        <f>TableA6!I60/TableA2!$C60</f>
        <v>4.65234739282762</v>
      </c>
      <c r="K60" s="1178">
        <f>TableA6!J60/TableA2!$C60</f>
        <v>3.1691441921362671</v>
      </c>
      <c r="L60" s="119">
        <f>(C60+E60)/TableA2!C60</f>
        <v>13.894848857361376</v>
      </c>
      <c r="M60" s="1178">
        <f>C60/TableA4!D60</f>
        <v>34.017177511138193</v>
      </c>
      <c r="N60" s="1178">
        <f>VLOOKUP(A60,TableA10!$A$8:$G$95,4,)/VLOOKUP(A60,TableA10!$A$8:$G$95,3,)</f>
        <v>25.326530612244898</v>
      </c>
      <c r="O60" s="1214">
        <f t="shared" si="11"/>
        <v>0.47996308817683037</v>
      </c>
      <c r="P60" s="121">
        <f>C60-O60*TableA4!D60</f>
        <v>4.6272367930221332</v>
      </c>
      <c r="Q60" s="1215">
        <v>2.145785584697153</v>
      </c>
      <c r="R60" s="954"/>
      <c r="S60" s="954"/>
      <c r="T60" s="320">
        <f t="shared" si="6"/>
        <v>8.8817841970012523E-16</v>
      </c>
      <c r="U60" s="320">
        <f t="shared" si="7"/>
        <v>2.4980018054066022E-16</v>
      </c>
      <c r="V60" s="954"/>
    </row>
    <row r="61" spans="1:22" x14ac:dyDescent="0.2">
      <c r="A61" s="1148" t="s">
        <v>80</v>
      </c>
      <c r="B61" s="1208">
        <f>TableA6!B61</f>
        <v>0.96228953856820065</v>
      </c>
      <c r="C61" s="1153">
        <f>TableA6!E61</f>
        <v>0.92373045597548575</v>
      </c>
      <c r="D61" s="1153">
        <v>0</v>
      </c>
      <c r="E61" s="1153">
        <f>TableA6!K61</f>
        <v>3.855908259271492E-2</v>
      </c>
      <c r="F61" s="1209">
        <f t="shared" si="10"/>
        <v>0.95992985370069872</v>
      </c>
      <c r="G61" s="1210">
        <f>TableA2!L61</f>
        <v>6.9944164581853387</v>
      </c>
      <c r="H61" s="1178">
        <f>D61/TableA2!C61</f>
        <v>0</v>
      </c>
      <c r="I61" s="1178">
        <f>TableA6!D61/TableA2!C61</f>
        <v>0.19242660335646011</v>
      </c>
      <c r="J61" s="1178">
        <f>TableA6!I61/TableA2!$C61</f>
        <v>0.52273449757673773</v>
      </c>
      <c r="K61" s="1178">
        <f>TableA6!J61/TableA2!$C61</f>
        <v>5.8907579015650278</v>
      </c>
      <c r="L61" s="119">
        <f>(C61+E61)/TableA2!C61</f>
        <v>7.1868430615417989</v>
      </c>
      <c r="M61" s="1178">
        <f>C61/TableA4!D61</f>
        <v>17.247163021589252</v>
      </c>
      <c r="N61" s="1178">
        <f>TableA10!D$63/TableA10!C$63</f>
        <v>14.031458531935176</v>
      </c>
      <c r="O61" s="1214">
        <f t="shared" si="11"/>
        <v>0.47996308817683037</v>
      </c>
      <c r="P61" s="121">
        <f>C61-O61*TableA4!D61</f>
        <v>0.89802440091367575</v>
      </c>
      <c r="Q61" s="1215">
        <v>-1.8547049554088986E-2</v>
      </c>
      <c r="R61" s="954"/>
      <c r="S61" s="954"/>
      <c r="T61" s="320">
        <f t="shared" si="6"/>
        <v>0</v>
      </c>
      <c r="U61" s="320">
        <f t="shared" si="7"/>
        <v>0</v>
      </c>
      <c r="V61" s="954"/>
    </row>
    <row r="62" spans="1:22" x14ac:dyDescent="0.2">
      <c r="A62" s="1148" t="s">
        <v>81</v>
      </c>
      <c r="B62" s="1208">
        <f>TableA6!B62</f>
        <v>25.438024032487199</v>
      </c>
      <c r="C62" s="1153">
        <f>TableA6!E62</f>
        <v>24.545618103452078</v>
      </c>
      <c r="D62" s="1860">
        <v>0</v>
      </c>
      <c r="E62" s="1153">
        <f>TableA6!K62</f>
        <v>0.89240592903512039</v>
      </c>
      <c r="F62" s="1209">
        <f t="shared" si="10"/>
        <v>0.96491842574346898</v>
      </c>
      <c r="G62" s="1210">
        <f>TableA2!L62</f>
        <v>0.57155258740431214</v>
      </c>
      <c r="H62" s="1178">
        <f>D62/TableA2!C62</f>
        <v>0</v>
      </c>
      <c r="I62" s="1178">
        <f>TableA6!D62/TableA2!C62</f>
        <v>7.6372538589736259</v>
      </c>
      <c r="J62" s="1178">
        <f>TableA6!I62/TableA2!$C62</f>
        <v>1.6319218643375801</v>
      </c>
      <c r="K62" s="1178">
        <f>TableA6!J62/TableA2!$C62</f>
        <v>1.3040578882868976</v>
      </c>
      <c r="L62" s="119">
        <f>(C62+E62)/TableA2!C62</f>
        <v>8.2088064463779382</v>
      </c>
      <c r="M62" s="1178">
        <f>C62/TableA4!D62</f>
        <v>19.802071483679597</v>
      </c>
      <c r="N62" s="1178">
        <f>VLOOKUP(A62,TableA10!$A$8:$G$95,4,)/VLOOKUP(A62,TableA10!$A$8:$G$95,3,)</f>
        <v>1.3093313739897134</v>
      </c>
      <c r="O62" s="1214">
        <f t="shared" si="11"/>
        <v>0.47996308817683037</v>
      </c>
      <c r="P62" s="121">
        <f>C62-O62*TableA4!D62</f>
        <v>23.950680817428665</v>
      </c>
      <c r="Q62" s="1215">
        <v>64.707001886643411</v>
      </c>
      <c r="R62" s="954"/>
      <c r="S62" s="954"/>
      <c r="T62" s="320">
        <f t="shared" si="6"/>
        <v>0</v>
      </c>
      <c r="U62" s="320">
        <f t="shared" si="7"/>
        <v>0</v>
      </c>
      <c r="V62" s="954"/>
    </row>
    <row r="63" spans="1:22" x14ac:dyDescent="0.2">
      <c r="A63" s="1148" t="s">
        <v>82</v>
      </c>
      <c r="B63" s="1208">
        <f>TableA6!B63</f>
        <v>0.17335876526209473</v>
      </c>
      <c r="C63" s="1153">
        <f>TableA6!E63</f>
        <v>0.1524905077468249</v>
      </c>
      <c r="D63" s="1860">
        <v>0</v>
      </c>
      <c r="E63" s="1153">
        <f>TableA6!K63</f>
        <v>2.0868257515269825E-2</v>
      </c>
      <c r="F63" s="1209">
        <f t="shared" si="10"/>
        <v>0.87962386854959496</v>
      </c>
      <c r="G63" s="1210">
        <f>TableA2!L63</f>
        <v>2.3923168940243364</v>
      </c>
      <c r="H63" s="1178">
        <f>D63/TableA2!C63</f>
        <v>0</v>
      </c>
      <c r="I63" s="1178">
        <f>TableA6!D63/TableA2!C63</f>
        <v>0</v>
      </c>
      <c r="J63" s="1178">
        <f>TableA6!I63/TableA2!$C63</f>
        <v>0</v>
      </c>
      <c r="K63" s="1178">
        <f>TableA6!J63/TableA2!$C63</f>
        <v>2.2408844651324529</v>
      </c>
      <c r="L63" s="119">
        <f>(C63+E63)/TableA2!C63</f>
        <v>2.3923168940243364</v>
      </c>
      <c r="M63" s="1178">
        <f>C63/TableA4!D63</f>
        <v>5.2608476027955957</v>
      </c>
      <c r="N63" s="1178">
        <f>TableA10!D$63/TableA10!C$63</f>
        <v>14.031458531935176</v>
      </c>
      <c r="O63" s="1214">
        <f t="shared" si="11"/>
        <v>0.47996308817683037</v>
      </c>
      <c r="P63" s="121">
        <f>C63-O63*TableA4!D63</f>
        <v>0.13857833606997835</v>
      </c>
      <c r="Q63" s="1215"/>
      <c r="R63" s="954"/>
      <c r="S63" s="954"/>
      <c r="T63" s="320">
        <f t="shared" si="6"/>
        <v>0</v>
      </c>
      <c r="U63" s="320">
        <f t="shared" si="7"/>
        <v>0</v>
      </c>
      <c r="V63" s="954"/>
    </row>
    <row r="64" spans="1:22" x14ac:dyDescent="0.2">
      <c r="A64" s="1148" t="s">
        <v>153</v>
      </c>
      <c r="B64" s="1208">
        <f>TableA6!B64</f>
        <v>29.125071697810739</v>
      </c>
      <c r="C64" s="1153">
        <f>TableA6!E64</f>
        <v>29.078139371166927</v>
      </c>
      <c r="D64" s="1860">
        <v>0</v>
      </c>
      <c r="E64" s="1153">
        <f>TableA6!K64</f>
        <v>4.6932326643812639E-2</v>
      </c>
      <c r="F64" s="1209">
        <f t="shared" si="10"/>
        <v>0.99838859360997423</v>
      </c>
      <c r="G64" s="1210">
        <f>TableA2!L64</f>
        <v>2.3923257034784351</v>
      </c>
      <c r="H64" s="1178">
        <f>D64/TableA2!C64</f>
        <v>0</v>
      </c>
      <c r="I64" s="1178">
        <f>TableA6!D64/TableA2!C64</f>
        <v>176.31979477004302</v>
      </c>
      <c r="J64" s="1178">
        <f>TableA6!I64/TableA2!$C64</f>
        <v>0</v>
      </c>
      <c r="K64" s="1178">
        <f>TableA6!J64/TableA2!$C64</f>
        <v>203.02408818842605</v>
      </c>
      <c r="L64" s="119">
        <f>(C64+E64)/TableA2!C64</f>
        <v>178.71212047352145</v>
      </c>
      <c r="M64" s="1178">
        <f>C64/TableA4!D64</f>
        <v>446.06035655153835</v>
      </c>
      <c r="N64" s="1178">
        <f>TableA10!D$62/TableA10!C$62</f>
        <v>8.901215805471125</v>
      </c>
      <c r="O64" s="1214">
        <f t="shared" si="11"/>
        <v>0.47996308817683037</v>
      </c>
      <c r="P64" s="121">
        <f>C64-O64*TableA4!D64</f>
        <v>29.046851153404386</v>
      </c>
      <c r="Q64" s="1215">
        <v>26.831251057190428</v>
      </c>
      <c r="R64" s="954"/>
      <c r="S64" s="954"/>
      <c r="T64" s="320">
        <f t="shared" si="6"/>
        <v>0</v>
      </c>
      <c r="U64" s="320">
        <f t="shared" si="7"/>
        <v>-2.2204460492503131E-16</v>
      </c>
      <c r="V64" s="954"/>
    </row>
    <row r="65" spans="1:21" x14ac:dyDescent="0.2">
      <c r="A65" s="113" t="s">
        <v>84</v>
      </c>
      <c r="B65" s="1208">
        <f>TableA6!B65</f>
        <v>22.920824144129366</v>
      </c>
      <c r="C65" s="1153">
        <f>TableA6!E65</f>
        <v>22.512935193051696</v>
      </c>
      <c r="D65" s="1216">
        <v>0</v>
      </c>
      <c r="E65" s="1153">
        <f>TableA6!K65</f>
        <v>0.40788895107766843</v>
      </c>
      <c r="F65" s="1209">
        <f t="shared" si="10"/>
        <v>0.98220443782855249</v>
      </c>
      <c r="G65" s="1210">
        <f>TableA2!L65</f>
        <v>0.75160134279400448</v>
      </c>
      <c r="H65" s="1178">
        <f>D65/TableA2!C65</f>
        <v>0</v>
      </c>
      <c r="I65" s="1178">
        <f>TableA6!D65/TableA2!C65</f>
        <v>15.430964295292515</v>
      </c>
      <c r="J65" s="1178">
        <f>TableA6!I65/TableA2!$C65</f>
        <v>2.876389513296298</v>
      </c>
      <c r="K65" s="1178">
        <f>TableA6!J65/TableA2!$C65</f>
        <v>1.6922088373792077</v>
      </c>
      <c r="L65" s="119">
        <f>(C65+E65)/TableA2!C65</f>
        <v>16.182565638086519</v>
      </c>
      <c r="M65" s="1178">
        <f>C65/TableA4!D65</f>
        <v>39.73646946295105</v>
      </c>
      <c r="N65" s="1178">
        <f>TableA10!D$62/TableA10!C$62</f>
        <v>8.901215805471125</v>
      </c>
      <c r="O65" s="1214">
        <f t="shared" si="11"/>
        <v>0.47996308817683037</v>
      </c>
      <c r="P65" s="121">
        <f>C65-O65*TableA4!D65</f>
        <v>22.241009225666584</v>
      </c>
      <c r="Q65" s="1215">
        <v>54.346532662599117</v>
      </c>
      <c r="R65" s="954"/>
      <c r="S65" s="954"/>
      <c r="T65" s="320">
        <f t="shared" si="6"/>
        <v>0</v>
      </c>
      <c r="U65" s="320">
        <f t="shared" si="7"/>
        <v>1.3322676295501878E-15</v>
      </c>
    </row>
    <row r="66" spans="1:21" x14ac:dyDescent="0.2">
      <c r="A66" s="1148" t="s">
        <v>85</v>
      </c>
      <c r="B66" s="1208">
        <f>TableA6!B66</f>
        <v>11.68734919710977</v>
      </c>
      <c r="C66" s="1153">
        <f>TableA6!E66</f>
        <v>11.296185999728888</v>
      </c>
      <c r="D66" s="1860">
        <v>0</v>
      </c>
      <c r="E66" s="1153">
        <f>TableA6!K66</f>
        <v>0.39116319738088223</v>
      </c>
      <c r="F66" s="1209">
        <f t="shared" si="10"/>
        <v>0.96653105928608563</v>
      </c>
      <c r="G66" s="1210">
        <f>TableA2!L66</f>
        <v>0.33575980655064125</v>
      </c>
      <c r="H66" s="1178">
        <f>D66/TableA2!C66</f>
        <v>0</v>
      </c>
      <c r="I66" s="1178">
        <f>TableA6!D66/TableA2!C66</f>
        <v>8.2685714559076864</v>
      </c>
      <c r="J66" s="1178">
        <f>TableA6!I66/TableA2!$C66</f>
        <v>1.3268676411786671</v>
      </c>
      <c r="K66" s="1178">
        <f>TableA6!J66/TableA2!$C66</f>
        <v>8.6936233491982904</v>
      </c>
      <c r="L66" s="119">
        <f>(C66+E66)/TableA2!C66</f>
        <v>8.6043312624583272</v>
      </c>
      <c r="M66" s="1178">
        <f>C66/TableA4!D66</f>
        <v>20.79088352388057</v>
      </c>
      <c r="N66" s="1178">
        <f>TableA10!D$63/TableA10!C$63</f>
        <v>14.031458531935176</v>
      </c>
      <c r="O66" s="1214">
        <f t="shared" si="11"/>
        <v>0.47996308817683037</v>
      </c>
      <c r="P66" s="121">
        <f>C66-O66*TableA4!D66</f>
        <v>11.0354105348083</v>
      </c>
      <c r="Q66" s="1215">
        <v>10.265996857440456</v>
      </c>
      <c r="R66" s="954"/>
      <c r="S66" s="954"/>
      <c r="T66" s="320">
        <f t="shared" si="6"/>
        <v>0</v>
      </c>
      <c r="U66" s="320">
        <f t="shared" si="7"/>
        <v>0</v>
      </c>
    </row>
    <row r="67" spans="1:21" x14ac:dyDescent="0.2">
      <c r="A67" s="1148" t="str">
        <f>+TableA1!A67</f>
        <v>Cyprus</v>
      </c>
      <c r="B67" s="1208">
        <f>TableA6!B67</f>
        <v>6.8820083274691735</v>
      </c>
      <c r="C67" s="1153">
        <f>TableA6!E67</f>
        <v>5.2850761004134004</v>
      </c>
      <c r="D67" s="1860">
        <v>0</v>
      </c>
      <c r="E67" s="1153">
        <f>TableA6!K67</f>
        <v>1.5969322270557735</v>
      </c>
      <c r="F67" s="1209">
        <f t="shared" si="10"/>
        <v>0.76795549335770164</v>
      </c>
      <c r="G67" s="1210">
        <f>TableA2!L67</f>
        <v>0.56340199771699795</v>
      </c>
      <c r="H67" s="1178">
        <f>D67/TableA2!C67</f>
        <v>0</v>
      </c>
      <c r="I67" s="1178">
        <f>TableA6!D67/TableA2!C67</f>
        <v>0.67764377006763776</v>
      </c>
      <c r="J67" s="1178">
        <f>TableA6!I67/TableA2!$C67</f>
        <v>1.0088176835559211E-2</v>
      </c>
      <c r="K67" s="1178">
        <f>TableA6!J67/TableA2!$C67</f>
        <v>0.28675503536078822</v>
      </c>
      <c r="L67" s="119">
        <f>(C67+E67)/TableA2!C67</f>
        <v>1.2410457677846358</v>
      </c>
      <c r="M67" s="1178">
        <f>C67/TableA4!D67</f>
        <v>2.3826697871963436</v>
      </c>
      <c r="N67" s="1178">
        <f>TableA10!D$63/TableA10!C$63</f>
        <v>14.031458531935176</v>
      </c>
      <c r="O67" s="1214">
        <f t="shared" si="11"/>
        <v>0.47996308817683037</v>
      </c>
      <c r="P67" s="121">
        <f>C67-O67*TableA4!D67</f>
        <v>4.220454615709551</v>
      </c>
      <c r="Q67" s="1215"/>
      <c r="R67" s="954"/>
      <c r="S67" s="954"/>
      <c r="T67" s="320">
        <f t="shared" si="6"/>
        <v>1.1102230246251565E-16</v>
      </c>
      <c r="U67" s="320">
        <f t="shared" si="7"/>
        <v>0</v>
      </c>
    </row>
    <row r="68" spans="1:21" x14ac:dyDescent="0.2">
      <c r="A68" s="1148" t="s">
        <v>87</v>
      </c>
      <c r="B68" s="1208">
        <f>TableA6!B68</f>
        <v>5.5192543961170966</v>
      </c>
      <c r="C68" s="1153">
        <f>TableA6!E68</f>
        <v>5.1556449197022696</v>
      </c>
      <c r="D68" s="1860">
        <v>0</v>
      </c>
      <c r="E68" s="1153">
        <f>TableA6!K68</f>
        <v>0.36360947641482677</v>
      </c>
      <c r="F68" s="1209">
        <f t="shared" si="10"/>
        <v>0.93411981939614286</v>
      </c>
      <c r="G68" s="1210">
        <f>TableA2!L68</f>
        <v>2.3923102518718911</v>
      </c>
      <c r="H68" s="1178">
        <f>D68/TableA2!C68</f>
        <v>0</v>
      </c>
      <c r="I68" s="1178">
        <f>TableA6!D68/TableA2!C68</f>
        <v>1.978926290992683</v>
      </c>
      <c r="J68" s="1178">
        <f>TableA6!I68/TableA2!$C68</f>
        <v>0</v>
      </c>
      <c r="K68" s="1178">
        <f>TableA6!J68/TableA2!$C68</f>
        <v>2.3866849643048886</v>
      </c>
      <c r="L68" s="119">
        <f>(C68+E68)/TableA2!C68</f>
        <v>4.3712365428645743</v>
      </c>
      <c r="M68" s="1178">
        <f>C68/TableA4!D68</f>
        <v>10.208146724896189</v>
      </c>
      <c r="N68" s="1178">
        <f>TableA10!D$37/TableA10!C$37</f>
        <v>1.5591216216216208</v>
      </c>
      <c r="O68" s="1214">
        <f t="shared" si="11"/>
        <v>0.47996308817683037</v>
      </c>
      <c r="P68" s="121">
        <f>C68-O68*TableA4!D68</f>
        <v>4.9132386020923846</v>
      </c>
      <c r="Q68" s="1215">
        <v>6.0919306056908296</v>
      </c>
      <c r="R68" s="954"/>
      <c r="S68" s="954"/>
      <c r="T68" s="320">
        <f t="shared" si="6"/>
        <v>2.2204460492503131E-16</v>
      </c>
      <c r="U68" s="320">
        <f t="shared" si="7"/>
        <v>0</v>
      </c>
    </row>
    <row r="69" spans="1:21" x14ac:dyDescent="0.2">
      <c r="A69" s="1148" t="str">
        <f>+TableA1!A69</f>
        <v>Grenada</v>
      </c>
      <c r="B69" s="1208">
        <f>TableA6!B69</f>
        <v>0.4015897418869116</v>
      </c>
      <c r="C69" s="1153">
        <f>TableA6!E69</f>
        <v>0.38030614888924363</v>
      </c>
      <c r="D69" s="1860">
        <v>0</v>
      </c>
      <c r="E69" s="1153">
        <f>TableA6!K69</f>
        <v>2.1283592997667938E-2</v>
      </c>
      <c r="F69" s="1209">
        <f t="shared" si="10"/>
        <v>0.94700165174124029</v>
      </c>
      <c r="G69" s="1210">
        <f>TableA2!L69</f>
        <v>5.1857999974895419</v>
      </c>
      <c r="H69" s="1178">
        <f>D69/TableA2!C69</f>
        <v>0</v>
      </c>
      <c r="I69" s="1178">
        <f>TableA6!D69/TableA2!C69</f>
        <v>0.2479137382682656</v>
      </c>
      <c r="J69" s="1178">
        <f>TableA6!I69/TableA2!$C69</f>
        <v>0</v>
      </c>
      <c r="K69" s="1178">
        <f>TableA6!J69/TableA2!$C69</f>
        <v>4.929247734116557</v>
      </c>
      <c r="L69" s="119">
        <f>(C69+E69)/TableA2!C69</f>
        <v>5.4337137357578067</v>
      </c>
      <c r="M69" s="1178">
        <f>C69/TableA4!D69</f>
        <v>12.864339707129272</v>
      </c>
      <c r="N69" s="1178">
        <f>TableA10!D$37/TableA10!C$37</f>
        <v>1.5591216216216208</v>
      </c>
      <c r="O69" s="1214">
        <f t="shared" si="11"/>
        <v>0.47996308817683037</v>
      </c>
      <c r="P69" s="121">
        <f>C69-O69*TableA4!D69</f>
        <v>0.36611708689079836</v>
      </c>
      <c r="Q69" s="1215">
        <v>1.5644565335773208E-4</v>
      </c>
      <c r="R69" s="954"/>
      <c r="S69" s="954"/>
      <c r="T69" s="320">
        <f t="shared" si="6"/>
        <v>-8.0491169285323849E-16</v>
      </c>
      <c r="U69" s="320">
        <f t="shared" si="7"/>
        <v>2.7755575615628914E-17</v>
      </c>
    </row>
    <row r="70" spans="1:21" x14ac:dyDescent="0.2">
      <c r="A70" s="1148" t="s">
        <v>89</v>
      </c>
      <c r="B70" s="1208">
        <f>TableA6!B70</f>
        <v>2.0311467085553057</v>
      </c>
      <c r="C70" s="1153">
        <f>TableA6!E70</f>
        <v>1.7866451600802939</v>
      </c>
      <c r="D70" s="1860">
        <v>0</v>
      </c>
      <c r="E70" s="1153">
        <f>TableA6!K70</f>
        <v>0.24450154847501168</v>
      </c>
      <c r="F70" s="1209">
        <f t="shared" si="10"/>
        <v>0.87962388563802052</v>
      </c>
      <c r="G70" s="1210">
        <f>TableA2!L70</f>
        <v>2.3923172336343113</v>
      </c>
      <c r="H70" s="1178">
        <f>D70/TableA2!C70</f>
        <v>0</v>
      </c>
      <c r="I70" s="1178">
        <f>TableA6!D70/TableA2!C70</f>
        <v>0</v>
      </c>
      <c r="J70" s="1178">
        <f>TableA6!I70/TableA2!$C70</f>
        <v>0</v>
      </c>
      <c r="K70" s="1178">
        <f>TableA6!J70/TableA2!$C70</f>
        <v>4.416005410082767</v>
      </c>
      <c r="L70" s="119">
        <f>(C70+E70)/TableA2!C70</f>
        <v>2.3923172336343113</v>
      </c>
      <c r="M70" s="1178">
        <f>C70/TableA4!D70</f>
        <v>5.2608484518205323</v>
      </c>
      <c r="N70" s="1178">
        <f>TableA10!D$37/TableA10!C$37</f>
        <v>1.5591216216216208</v>
      </c>
      <c r="O70" s="1214">
        <f t="shared" si="11"/>
        <v>0.47996308817683037</v>
      </c>
      <c r="P70" s="121">
        <f>C70-O70*TableA4!D70</f>
        <v>1.6236441277636195</v>
      </c>
      <c r="Q70" s="1215">
        <v>2.1409007013652608</v>
      </c>
      <c r="R70" s="954"/>
      <c r="S70" s="954"/>
      <c r="T70" s="320">
        <f t="shared" si="6"/>
        <v>0</v>
      </c>
      <c r="U70" s="320">
        <f t="shared" si="7"/>
        <v>0</v>
      </c>
    </row>
    <row r="71" spans="1:21" x14ac:dyDescent="0.2">
      <c r="A71" s="1148" t="s">
        <v>90</v>
      </c>
      <c r="B71" s="1208">
        <f>TableA6!B71</f>
        <v>1.0873325907085956</v>
      </c>
      <c r="C71" s="1153">
        <f>TableA6!E71</f>
        <v>0.95644320082853906</v>
      </c>
      <c r="D71" s="1860">
        <v>0</v>
      </c>
      <c r="E71" s="1153">
        <f>TableA6!K71</f>
        <v>0.13088938988005652</v>
      </c>
      <c r="F71" s="1209">
        <f t="shared" si="10"/>
        <v>0.87962340961861707</v>
      </c>
      <c r="G71" s="1210">
        <f>TableA2!L71</f>
        <v>2.3923077734110332</v>
      </c>
      <c r="H71" s="1178">
        <f>D71/TableA2!C71</f>
        <v>0</v>
      </c>
      <c r="I71" s="1178">
        <f>TableA6!D71/TableA2!C71</f>
        <v>0</v>
      </c>
      <c r="J71" s="1178">
        <f>TableA6!I71/TableA2!$C71</f>
        <v>4.2739569276131757</v>
      </c>
      <c r="K71" s="1178">
        <f>TableA6!J71/TableA2!$C71</f>
        <v>4.2739569276131757</v>
      </c>
      <c r="L71" s="119">
        <f>(C71+E71)/TableA2!C71</f>
        <v>2.3923077734110332</v>
      </c>
      <c r="M71" s="1178">
        <f>C71/TableA4!D71</f>
        <v>5.2608248012623369</v>
      </c>
      <c r="N71" s="1178">
        <f>TableA10!D$37/TableA10!C$37</f>
        <v>1.5591216216216208</v>
      </c>
      <c r="O71" s="1214">
        <f t="shared" si="11"/>
        <v>0.47996308817683037</v>
      </c>
      <c r="P71" s="121">
        <f>C71-O71*TableA4!D71</f>
        <v>0.86918360757516799</v>
      </c>
      <c r="Q71" s="1215">
        <v>2.9267442283957052</v>
      </c>
      <c r="R71" s="954"/>
      <c r="S71" s="954"/>
      <c r="T71" s="320">
        <f t="shared" si="6"/>
        <v>0</v>
      </c>
      <c r="U71" s="320">
        <f t="shared" si="7"/>
        <v>0</v>
      </c>
    </row>
    <row r="72" spans="1:21" x14ac:dyDescent="0.2">
      <c r="A72" s="1148" t="s">
        <v>91</v>
      </c>
      <c r="B72" s="1208">
        <f>TableA6!B72</f>
        <v>95.223967679643692</v>
      </c>
      <c r="C72" s="1153">
        <f>TableA6!E72</f>
        <v>50.356172185286226</v>
      </c>
      <c r="D72" s="1196">
        <v>0</v>
      </c>
      <c r="E72" s="1153">
        <f>TableA6!K72</f>
        <v>44.867795494357466</v>
      </c>
      <c r="F72" s="1209">
        <f t="shared" si="10"/>
        <v>0.52881825250861725</v>
      </c>
      <c r="G72" s="1210">
        <f>TableA2!L72</f>
        <v>0.63150559253260896</v>
      </c>
      <c r="H72" s="1178">
        <f>D72/TableA2!C72</f>
        <v>0</v>
      </c>
      <c r="I72" s="1178">
        <f>TableA6!D72/TableA2!C72</f>
        <v>0.18189477545245697</v>
      </c>
      <c r="J72" s="1178">
        <f>TableA6!I72/TableA2!$C72</f>
        <v>0</v>
      </c>
      <c r="K72" s="1178">
        <f>TableA6!J72/TableA2!$C72</f>
        <v>0.26079690122761051</v>
      </c>
      <c r="L72" s="119">
        <f>(C72+E72)/TableA2!C72</f>
        <v>0.81340036798506599</v>
      </c>
      <c r="M72" s="1178">
        <f>C72/TableA4!D72</f>
        <v>2.1348906384735855</v>
      </c>
      <c r="N72" s="1178">
        <f>VLOOKUP(A72,TableA10!$A$8:$G$95,4,)/VLOOKUP(A72,TableA10!$A$8:$G$95,3,)</f>
        <v>0.84049435164622965</v>
      </c>
      <c r="O72" s="1214">
        <f t="shared" si="11"/>
        <v>0.47996308817683037</v>
      </c>
      <c r="P72" s="121">
        <f>C72-O72*TableA4!D72</f>
        <v>39.035168909870336</v>
      </c>
      <c r="Q72" s="1215">
        <v>45.913366784824078</v>
      </c>
      <c r="R72" s="954"/>
      <c r="S72" s="954"/>
      <c r="T72" s="320">
        <f t="shared" si="6"/>
        <v>5.5511151231257827E-17</v>
      </c>
      <c r="U72" s="320">
        <f t="shared" si="7"/>
        <v>0</v>
      </c>
    </row>
    <row r="73" spans="1:21" x14ac:dyDescent="0.2">
      <c r="A73" s="1148" t="s">
        <v>92</v>
      </c>
      <c r="B73" s="1208">
        <f>TableA6!B73</f>
        <v>3.6449297805671903</v>
      </c>
      <c r="C73" s="1153">
        <f>TableA6!E73</f>
        <v>3.2907256608282767</v>
      </c>
      <c r="D73" s="1860">
        <v>0</v>
      </c>
      <c r="E73" s="1153">
        <f>TableA6!K73</f>
        <v>0.35420411973891358</v>
      </c>
      <c r="F73" s="1209">
        <f t="shared" si="10"/>
        <v>0.90282278642860558</v>
      </c>
      <c r="G73" s="1210">
        <f>TableA2!L73</f>
        <v>2.3923324900643919</v>
      </c>
      <c r="H73" s="1178">
        <f>D73/TableA2!C73</f>
        <v>0</v>
      </c>
      <c r="I73" s="1178">
        <f>TableA6!D73/TableA2!C73</f>
        <v>0.57109733388837935</v>
      </c>
      <c r="J73" s="1178">
        <f>TableA6!I73/TableA2!$C73</f>
        <v>0</v>
      </c>
      <c r="K73" s="1178">
        <f>TableA6!J73/TableA2!$C73</f>
        <v>2.2040664276187067</v>
      </c>
      <c r="L73" s="119">
        <f>(C73+E73)/TableA2!C73</f>
        <v>2.9634298239527714</v>
      </c>
      <c r="M73" s="1178">
        <f>C73/TableA4!D73</f>
        <v>6.6886299276166827</v>
      </c>
      <c r="N73" s="1178">
        <f>TableA10!D$37/TableA10!C$37</f>
        <v>1.5591216216216208</v>
      </c>
      <c r="O73" s="1214">
        <f t="shared" si="11"/>
        <v>0.47996308817683037</v>
      </c>
      <c r="P73" s="121">
        <f>C73-O73*TableA4!D73</f>
        <v>3.0545895810023342</v>
      </c>
      <c r="Q73" s="1215">
        <v>1.8502867557709928</v>
      </c>
      <c r="R73" s="954"/>
      <c r="S73" s="954"/>
      <c r="T73" s="320">
        <f t="shared" ref="T73:T91" si="12">L73-G73-I73+H73</f>
        <v>2.2204460492503131E-16</v>
      </c>
      <c r="U73" s="320">
        <f t="shared" si="7"/>
        <v>0</v>
      </c>
    </row>
    <row r="74" spans="1:21" x14ac:dyDescent="0.2">
      <c r="A74" s="1148" t="s">
        <v>93</v>
      </c>
      <c r="B74" s="1208">
        <f>TableA6!B74</f>
        <v>15.231019080376919</v>
      </c>
      <c r="C74" s="1153">
        <f>TableA6!E74</f>
        <v>10.848362353703763</v>
      </c>
      <c r="D74" s="1860">
        <v>0</v>
      </c>
      <c r="E74" s="1153">
        <f>TableA6!K74</f>
        <v>4.3826567266731562</v>
      </c>
      <c r="F74" s="1209">
        <f t="shared" si="10"/>
        <v>0.71225453112854353</v>
      </c>
      <c r="G74" s="1210">
        <f>TableA2!L74</f>
        <v>0.9963546335773581</v>
      </c>
      <c r="H74" s="1178">
        <f>D74/TableA2!C74</f>
        <v>0</v>
      </c>
      <c r="I74" s="1178">
        <f>TableA6!D74/TableA2!C74</f>
        <v>4.4529691819596828E-3</v>
      </c>
      <c r="J74" s="1178">
        <f>TableA6!I74/TableA2!$C74</f>
        <v>0</v>
      </c>
      <c r="K74" s="1178">
        <f>TableA6!J74/TableA2!$C74</f>
        <v>0.71639470578797615</v>
      </c>
      <c r="L74" s="119">
        <f>(C74+E74)/TableA2!C74</f>
        <v>1.0008076027593178</v>
      </c>
      <c r="M74" s="1178">
        <f>C74/TableA4!D74</f>
        <v>1.7820743746330485</v>
      </c>
      <c r="N74" s="1178">
        <f>TableA10!$D75/TableA10!$C75</f>
        <v>2.6792645556690502</v>
      </c>
      <c r="O74" s="1214">
        <f t="shared" si="11"/>
        <v>0.47996308817683037</v>
      </c>
      <c r="P74" s="121">
        <f>C74-O74*TableA4!D74</f>
        <v>7.9265912025883249</v>
      </c>
      <c r="Q74" s="1215">
        <v>-0.18174921279884765</v>
      </c>
      <c r="R74" s="954"/>
      <c r="S74" s="954"/>
      <c r="T74" s="320">
        <f t="shared" si="12"/>
        <v>1.5612511283791264E-17</v>
      </c>
      <c r="U74" s="320">
        <f t="shared" ref="U74:U91" si="13">B74-C74-D74-E74</f>
        <v>0</v>
      </c>
    </row>
    <row r="75" spans="1:21" x14ac:dyDescent="0.2">
      <c r="A75" s="1148" t="s">
        <v>94</v>
      </c>
      <c r="B75" s="1208">
        <f>TableA6!B75</f>
        <v>1.3847476300640333</v>
      </c>
      <c r="C75" s="1153">
        <f>TableA6!E75</f>
        <v>0.54431306414287628</v>
      </c>
      <c r="D75" s="1860">
        <v>0</v>
      </c>
      <c r="E75" s="1153">
        <f>TableA6!K75</f>
        <v>0.84043456592115706</v>
      </c>
      <c r="F75" s="1209">
        <f t="shared" si="10"/>
        <v>0.3930774477062699</v>
      </c>
      <c r="G75" s="1210">
        <f>TableA2!L75</f>
        <v>0.47448863420505527</v>
      </c>
      <c r="H75" s="1178">
        <f>D75/TableA2!C75</f>
        <v>0</v>
      </c>
      <c r="I75" s="1178">
        <f>TableA6!D75/TableA2!C75</f>
        <v>0</v>
      </c>
      <c r="J75" s="1178">
        <f>TableA6!I75/TableA2!$C75</f>
        <v>0.41564747945609143</v>
      </c>
      <c r="K75" s="1178">
        <f>TableA6!J75/TableA2!$C75</f>
        <v>0.41564747945609143</v>
      </c>
      <c r="L75" s="119">
        <f>(C75+E75)/TableA2!C75</f>
        <v>0.47448863420505527</v>
      </c>
      <c r="M75" s="1178">
        <f>C75/TableA4!D75</f>
        <v>0.4662769532473926</v>
      </c>
      <c r="N75" s="1178">
        <f>TableA10!D$37/TableA10!C$37</f>
        <v>1.5591216216216208</v>
      </c>
      <c r="O75" s="1214">
        <f t="shared" si="11"/>
        <v>0.47996308817683037</v>
      </c>
      <c r="P75" s="121">
        <f>C75-O75*TableA4!D75</f>
        <v>-1.5976646471228539E-2</v>
      </c>
      <c r="Q75" s="1215">
        <v>-0.68212553462794911</v>
      </c>
      <c r="R75" s="954"/>
      <c r="S75" s="954"/>
      <c r="T75" s="320">
        <f t="shared" si="12"/>
        <v>0</v>
      </c>
      <c r="U75" s="320">
        <f t="shared" si="13"/>
        <v>0</v>
      </c>
    </row>
    <row r="76" spans="1:21" x14ac:dyDescent="0.2">
      <c r="A76" s="1148" t="s">
        <v>95</v>
      </c>
      <c r="B76" s="1208">
        <f>TableA6!B76</f>
        <v>13.856227663292829</v>
      </c>
      <c r="C76" s="1153">
        <f>TableA6!E76</f>
        <v>10.807557501271878</v>
      </c>
      <c r="D76" s="1860">
        <v>0</v>
      </c>
      <c r="E76" s="1153">
        <f>TableA6!K76</f>
        <v>3.0486701620209504</v>
      </c>
      <c r="F76" s="1209">
        <f t="shared" si="10"/>
        <v>0.77997834359366636</v>
      </c>
      <c r="G76" s="1210">
        <f>TableA2!L76</f>
        <v>1.2806878724255955</v>
      </c>
      <c r="H76" s="1178">
        <f>D76/TableA2!C76</f>
        <v>0</v>
      </c>
      <c r="I76" s="1178">
        <f>TableA6!D76/TableA2!C76</f>
        <v>9.0862784167046753E-2</v>
      </c>
      <c r="J76" s="1178">
        <f>TableA6!I76/TableA2!$C76</f>
        <v>0</v>
      </c>
      <c r="K76" s="1178">
        <f>TableA6!J76/TableA2!$C76</f>
        <v>0.40789704226304274</v>
      </c>
      <c r="L76" s="119">
        <f>(C76+E76)/TableA2!C76</f>
        <v>1.3715506565926423</v>
      </c>
      <c r="M76" s="1178">
        <f>C76/TableA4!D76</f>
        <v>2.8814656487379704</v>
      </c>
      <c r="N76" s="1178">
        <f>TableA10!D$91/TableA10!C$91</f>
        <v>1.7827897293546149</v>
      </c>
      <c r="O76" s="1214">
        <f t="shared" si="11"/>
        <v>0.47996308817683037</v>
      </c>
      <c r="P76" s="121">
        <f>C76-O76*TableA4!D76</f>
        <v>9.0073525686775824</v>
      </c>
      <c r="Q76" s="1215"/>
      <c r="R76" s="954"/>
      <c r="S76" s="954"/>
      <c r="T76" s="320">
        <f t="shared" si="12"/>
        <v>9.7144514654701197E-17</v>
      </c>
      <c r="U76" s="320">
        <f t="shared" si="13"/>
        <v>0</v>
      </c>
    </row>
    <row r="77" spans="1:21" s="25" customFormat="1" x14ac:dyDescent="0.2">
      <c r="A77" s="1074" t="s">
        <v>96</v>
      </c>
      <c r="B77" s="1208">
        <f>TableA6!B77</f>
        <v>13.646495114506827</v>
      </c>
      <c r="C77" s="1153">
        <f>TableA6!E77</f>
        <v>12.855054220700584</v>
      </c>
      <c r="D77" s="1217">
        <v>0</v>
      </c>
      <c r="E77" s="1153">
        <f>TableA6!K77</f>
        <v>0.79144089380624261</v>
      </c>
      <c r="F77" s="1218">
        <f t="shared" si="10"/>
        <v>0.94200409063533785</v>
      </c>
      <c r="G77" s="1210">
        <f>TableA2!L77</f>
        <v>0.84886667394397175</v>
      </c>
      <c r="H77" s="1105">
        <f>D77/TableA2!C77</f>
        <v>0</v>
      </c>
      <c r="I77" s="1178">
        <f>TableA6!D77/TableA2!C77</f>
        <v>4.1166189277279255</v>
      </c>
      <c r="J77" s="1105">
        <f>TableA6!I77/TableA2!$C77</f>
        <v>0.10949868880580196</v>
      </c>
      <c r="K77" s="1105">
        <f>TableA6!J77/TableA2!$C77</f>
        <v>4.568009059959997</v>
      </c>
      <c r="L77" s="119">
        <f>(C77+E77)/TableA2!C77</f>
        <v>4.9654856016718973</v>
      </c>
      <c r="M77" s="1178">
        <f>C77/TableA4!D77</f>
        <v>11.693769371914497</v>
      </c>
      <c r="N77" s="1105">
        <f>TableA10!D$91/TableA10!C$91</f>
        <v>1.7827897293546149</v>
      </c>
      <c r="O77" s="1214">
        <f t="shared" si="11"/>
        <v>0.47996308817683037</v>
      </c>
      <c r="P77" s="121">
        <f>C77-O77*TableA4!D77</f>
        <v>12.327426958163089</v>
      </c>
      <c r="Q77" s="1219"/>
      <c r="R77" s="1109"/>
      <c r="S77" s="1109"/>
      <c r="T77" s="320">
        <f t="shared" si="12"/>
        <v>0</v>
      </c>
      <c r="U77" s="320">
        <f t="shared" si="13"/>
        <v>0</v>
      </c>
    </row>
    <row r="78" spans="1:21" x14ac:dyDescent="0.2">
      <c r="A78" s="1148" t="s">
        <v>97</v>
      </c>
      <c r="B78" s="1208">
        <f>TableA6!B78</f>
        <v>3.4329997064598869E-2</v>
      </c>
      <c r="C78" s="1153">
        <f>TableA6!E78</f>
        <v>1.0287836568069537E-2</v>
      </c>
      <c r="D78" s="1860">
        <v>0</v>
      </c>
      <c r="E78" s="1153">
        <f>TableA6!K78</f>
        <v>2.4042160496529331E-2</v>
      </c>
      <c r="F78" s="1218">
        <f t="shared" si="10"/>
        <v>0.29967484555011414</v>
      </c>
      <c r="G78" s="1210">
        <f>TableA2!L78</f>
        <v>0.41120592495682723</v>
      </c>
      <c r="H78" s="1178">
        <f>D78/TableA2!C78</f>
        <v>0</v>
      </c>
      <c r="I78" s="1178">
        <f>TableA6!D78/TableA2!C78</f>
        <v>0</v>
      </c>
      <c r="J78" s="1178">
        <f>TableA6!I78/TableA2!$C78</f>
        <v>5.773884167235698</v>
      </c>
      <c r="K78" s="1178">
        <f>TableA6!J78/TableA2!$C78</f>
        <v>-2.2838462712650887</v>
      </c>
      <c r="L78" s="119">
        <f>(C78+E78)/TableA2!C78</f>
        <v>0.41120592495682723</v>
      </c>
      <c r="M78" s="1178">
        <f>C78/TableA4!D78</f>
        <v>0.30807018012682247</v>
      </c>
      <c r="N78" s="1178">
        <f>TableA10!D$91/TableA10!C$91</f>
        <v>1.7827897293546149</v>
      </c>
      <c r="O78" s="1214">
        <f t="shared" si="11"/>
        <v>0.47996308817683037</v>
      </c>
      <c r="P78" s="121">
        <f>C78-O78*TableA4!D78</f>
        <v>-5.7402704296166882E-3</v>
      </c>
      <c r="Q78" s="1215"/>
      <c r="R78" s="954"/>
      <c r="S78" s="954"/>
      <c r="T78" s="320">
        <f t="shared" si="12"/>
        <v>0</v>
      </c>
      <c r="U78" s="320">
        <f t="shared" si="13"/>
        <v>0</v>
      </c>
    </row>
    <row r="79" spans="1:21" x14ac:dyDescent="0.2">
      <c r="A79" s="1148" t="str">
        <f>+TableA1!A79</f>
        <v>Monaco</v>
      </c>
      <c r="B79" s="1208">
        <f>TableA6!B79</f>
        <v>2.4865786089930788</v>
      </c>
      <c r="C79" s="1153">
        <f>TableA6!E79</f>
        <v>2.1872544286824804</v>
      </c>
      <c r="D79" s="1860">
        <v>0</v>
      </c>
      <c r="E79" s="1153">
        <f>TableA6!K79</f>
        <v>0.29932418031059849</v>
      </c>
      <c r="F79" s="1209">
        <f t="shared" si="10"/>
        <v>0.87962408297568062</v>
      </c>
      <c r="G79" s="1210">
        <f>TableA2!L79</f>
        <v>2.3923211554676529</v>
      </c>
      <c r="H79" s="1178">
        <f>D79/TableA2!C79</f>
        <v>0</v>
      </c>
      <c r="I79" s="1178">
        <f>TableA6!D79/TableA2!C79</f>
        <v>0</v>
      </c>
      <c r="J79" s="1178">
        <f>TableA6!I79/TableA2!$C79</f>
        <v>0</v>
      </c>
      <c r="K79" s="1178">
        <f>TableA6!J79/TableA2!$C79</f>
        <v>0</v>
      </c>
      <c r="L79" s="119">
        <f>(C79+E79)/TableA2!C79</f>
        <v>2.3923211554676529</v>
      </c>
      <c r="M79" s="1178">
        <f>C79/TableA4!D79</f>
        <v>5.2608582564038873</v>
      </c>
      <c r="N79" s="1178">
        <f>TableA10!D$91/TableA10!C$91</f>
        <v>1.7827897293546149</v>
      </c>
      <c r="O79" s="1214">
        <f t="shared" si="11"/>
        <v>0.47996308817683037</v>
      </c>
      <c r="P79" s="121">
        <f>C79-O79*TableA4!D79</f>
        <v>1.9877049751420814</v>
      </c>
      <c r="Q79" s="1215"/>
      <c r="R79" s="954"/>
      <c r="S79" s="954"/>
      <c r="T79" s="320">
        <f t="shared" si="12"/>
        <v>0</v>
      </c>
      <c r="U79" s="320">
        <f t="shared" si="13"/>
        <v>0</v>
      </c>
    </row>
    <row r="80" spans="1:21" x14ac:dyDescent="0.2">
      <c r="A80" s="1148" t="s">
        <v>99</v>
      </c>
      <c r="B80" s="1208">
        <f>TableA6!B80</f>
        <v>0.34823567512391918</v>
      </c>
      <c r="C80" s="1153">
        <f>TableA6!E80</f>
        <v>0.30679422220146713</v>
      </c>
      <c r="D80" s="1860">
        <v>0</v>
      </c>
      <c r="E80" s="1153">
        <f>TableA6!K80</f>
        <v>4.1441452922452063E-2</v>
      </c>
      <c r="F80" s="1209">
        <f t="shared" si="10"/>
        <v>0.88099595795949059</v>
      </c>
      <c r="G80" s="1210">
        <f>TableA2!L80</f>
        <v>2.3923120916012683</v>
      </c>
      <c r="H80" s="1178">
        <f>D80/TableA2!C80</f>
        <v>0</v>
      </c>
      <c r="I80" s="1178">
        <f>TableA6!D80/TableA2!C80</f>
        <v>2.7587669518353539E-2</v>
      </c>
      <c r="J80" s="1178">
        <f>TableA6!I80/TableA2!$C80</f>
        <v>0</v>
      </c>
      <c r="K80" s="1178">
        <f>TableA6!J80/TableA2!$C80</f>
        <v>2.1061608509370675</v>
      </c>
      <c r="L80" s="119">
        <f>(C80+E80)/TableA2!C80</f>
        <v>2.4198997611196216</v>
      </c>
      <c r="M80" s="1178">
        <f>C80/TableA4!D80</f>
        <v>5.3298047705338094</v>
      </c>
      <c r="N80" s="1178">
        <f>TableA10!D$63/TableA10!C$63</f>
        <v>14.031458531935176</v>
      </c>
      <c r="O80" s="1214">
        <f t="shared" si="11"/>
        <v>0.47996308817683037</v>
      </c>
      <c r="P80" s="121">
        <f>C80-O80*TableA4!D80</f>
        <v>0.27916658691983243</v>
      </c>
      <c r="Q80" s="1215">
        <v>1.9198672965513267E-2</v>
      </c>
      <c r="R80" s="954"/>
      <c r="S80" s="954"/>
      <c r="T80" s="320">
        <f t="shared" si="12"/>
        <v>-3.0878077872387166E-16</v>
      </c>
      <c r="U80" s="320">
        <f t="shared" si="13"/>
        <v>0</v>
      </c>
    </row>
    <row r="81" spans="1:21" x14ac:dyDescent="0.2">
      <c r="A81" s="1148" t="s">
        <v>100</v>
      </c>
      <c r="B81" s="1208">
        <f>TableA6!B81</f>
        <v>7.4441225761320906</v>
      </c>
      <c r="C81" s="1153">
        <f>TableA6!E81</f>
        <v>7.360135250471358</v>
      </c>
      <c r="D81" s="1860">
        <v>0</v>
      </c>
      <c r="E81" s="1153">
        <f>TableA6!K81</f>
        <v>8.3987325660732859E-2</v>
      </c>
      <c r="F81" s="1209">
        <f t="shared" si="10"/>
        <v>0.98871763262872392</v>
      </c>
      <c r="G81" s="1210">
        <f>TableA2!L81</f>
        <v>18.781767953473743</v>
      </c>
      <c r="H81" s="1178">
        <f>D81/TableA2!C81</f>
        <v>0</v>
      </c>
      <c r="I81" s="1178">
        <f>TableA6!D81/TableA2!C81</f>
        <v>1.7209382714135832</v>
      </c>
      <c r="J81" s="1178">
        <f>TableA6!I81/TableA2!$C81</f>
        <v>0</v>
      </c>
      <c r="K81" s="1178">
        <f>TableA6!J81/TableA2!$C81</f>
        <v>19.347816111710308</v>
      </c>
      <c r="L81" s="119">
        <f>(C81+E81)/TableA2!C81</f>
        <v>20.502706224887326</v>
      </c>
      <c r="M81" s="1178">
        <f>C81/TableA4!D81</f>
        <v>39.130309305916256</v>
      </c>
      <c r="N81" s="1178">
        <f>TableA10!D$91/TableA10!C$91</f>
        <v>1.7827897293546149</v>
      </c>
      <c r="O81" s="1214">
        <f t="shared" si="11"/>
        <v>0.47996308817683037</v>
      </c>
      <c r="P81" s="121">
        <f>C81-O81*TableA4!D81</f>
        <v>7.2698575780768468</v>
      </c>
      <c r="Q81" s="1215">
        <v>4.7879055505495174</v>
      </c>
      <c r="R81" s="954"/>
      <c r="S81" s="954"/>
      <c r="T81" s="320">
        <f t="shared" si="12"/>
        <v>2.2204460492503131E-16</v>
      </c>
      <c r="U81" s="320">
        <f t="shared" si="13"/>
        <v>-2.2204460492503131E-16</v>
      </c>
    </row>
    <row r="82" spans="1:21" x14ac:dyDescent="0.2">
      <c r="A82" s="1148" t="str">
        <f>+TableA1!A82</f>
        <v>Seychelles</v>
      </c>
      <c r="B82" s="1208">
        <f>TableA6!B82</f>
        <v>0.82419693736547761</v>
      </c>
      <c r="C82" s="1153">
        <f>TableA6!E82</f>
        <v>0.80997916157337257</v>
      </c>
      <c r="D82" s="1860">
        <v>0</v>
      </c>
      <c r="E82" s="1153">
        <f>TableA6!K82</f>
        <v>1.4217775792105054E-2</v>
      </c>
      <c r="F82" s="1209">
        <f t="shared" si="10"/>
        <v>0.98274954061640685</v>
      </c>
      <c r="G82" s="1210">
        <f>TableA2!L82</f>
        <v>11.645447640290138</v>
      </c>
      <c r="H82" s="1178">
        <f>D82/TableA2!C82</f>
        <v>0</v>
      </c>
      <c r="I82" s="1178">
        <f>TableA6!D82/TableA2!C82</f>
        <v>0.1556292966812485</v>
      </c>
      <c r="J82" s="1178">
        <f>TableA6!I82/TableA2!$C82</f>
        <v>0</v>
      </c>
      <c r="K82" s="1178">
        <f>TableA6!J82/TableA2!$C82</f>
        <v>10.570874760866056</v>
      </c>
      <c r="L82" s="119">
        <f>(C82+E82)/TableA2!C82</f>
        <v>11.801076936971386</v>
      </c>
      <c r="M82" s="1178">
        <f>C82/TableA4!D82</f>
        <v>20.139627543599083</v>
      </c>
      <c r="N82" s="1178">
        <f>TableA10!D$91/TableA10!C$91</f>
        <v>1.7827897293546149</v>
      </c>
      <c r="O82" s="1214">
        <f t="shared" si="11"/>
        <v>0.47996308817683037</v>
      </c>
      <c r="P82" s="121">
        <f>C82-O82*TableA4!D82</f>
        <v>0.79067591979762319</v>
      </c>
      <c r="Q82" s="1215">
        <v>-0.22085464569207053</v>
      </c>
      <c r="R82" s="954"/>
      <c r="S82" s="954"/>
      <c r="T82" s="320">
        <f t="shared" si="12"/>
        <v>-6.9388939039072284E-16</v>
      </c>
      <c r="U82" s="320">
        <f t="shared" si="13"/>
        <v>-1.7347234759768071E-17</v>
      </c>
    </row>
    <row r="83" spans="1:21" x14ac:dyDescent="0.2">
      <c r="A83" s="1148" t="s">
        <v>102</v>
      </c>
      <c r="B83" s="1208">
        <f>TableA6!B83</f>
        <v>120.07387384516201</v>
      </c>
      <c r="C83" s="1153">
        <f>TableA6!E83</f>
        <v>90.279312540155431</v>
      </c>
      <c r="D83" s="1196">
        <f>D72</f>
        <v>0</v>
      </c>
      <c r="E83" s="1153">
        <f>TableA6!K83</f>
        <v>29.794561305006578</v>
      </c>
      <c r="F83" s="1218">
        <f t="shared" si="10"/>
        <v>0.75186474500333567</v>
      </c>
      <c r="G83" s="1210">
        <f>TableA2!L83</f>
        <v>0.62387923338851881</v>
      </c>
      <c r="H83" s="1178">
        <f>D83/TableA2!C83</f>
        <v>0</v>
      </c>
      <c r="I83" s="1178">
        <f>TableA6!D83/TableA2!C83</f>
        <v>0.5366888322415323</v>
      </c>
      <c r="J83" s="1178">
        <f>TableA6!I83/TableA2!$C83</f>
        <v>0.15643459965113188</v>
      </c>
      <c r="K83" s="1178">
        <f>TableA6!J83/TableA2!$C83</f>
        <v>0.1945074374074523</v>
      </c>
      <c r="L83" s="119">
        <f>(C83+E83)/TableA2!C83</f>
        <v>1.1605680656300512</v>
      </c>
      <c r="M83" s="1178">
        <f>C83/TableA4!D83</f>
        <v>2.1814755318098822</v>
      </c>
      <c r="N83" s="1178">
        <f>TableA10!D$91/TableA10!C$91</f>
        <v>1.7827897293546149</v>
      </c>
      <c r="O83" s="1214">
        <f t="shared" si="11"/>
        <v>0.47996308817683037</v>
      </c>
      <c r="P83" s="121">
        <f>C83-O83*TableA4!D83</f>
        <v>70.416271670151048</v>
      </c>
      <c r="Q83" s="1215">
        <v>57.757118942013605</v>
      </c>
      <c r="R83" s="954"/>
      <c r="S83" s="1000"/>
      <c r="T83" s="320">
        <f t="shared" si="12"/>
        <v>1.1102230246251565E-16</v>
      </c>
      <c r="U83" s="320">
        <f t="shared" si="13"/>
        <v>0</v>
      </c>
    </row>
    <row r="84" spans="1:21" x14ac:dyDescent="0.2">
      <c r="A84" s="1148" t="str">
        <f>+TableA1!A84</f>
        <v>St. Kitts and Nevis</v>
      </c>
      <c r="B84" s="1208">
        <f>TableA6!B84</f>
        <v>0.47270768679271868</v>
      </c>
      <c r="C84" s="1153">
        <f>TableA6!E84</f>
        <v>0.45147281043247117</v>
      </c>
      <c r="D84" s="1860">
        <v>0</v>
      </c>
      <c r="E84" s="1153">
        <f>TableA6!K84</f>
        <v>2.1234876360247523E-2</v>
      </c>
      <c r="F84" s="1209">
        <f t="shared" ref="F84:F91" si="14">C84/(B84-D84)</f>
        <v>0.95507820804792842</v>
      </c>
      <c r="G84" s="1210">
        <f>TableA2!L84</f>
        <v>6.3166391090861724</v>
      </c>
      <c r="H84" s="1178">
        <f>D84/TableA2!C84</f>
        <v>0</v>
      </c>
      <c r="I84" s="1178">
        <f>TableA6!D84/TableA2!C84</f>
        <v>9.4010163617608E-2</v>
      </c>
      <c r="J84" s="1105">
        <f>TableA6!I84/TableA2!$C84</f>
        <v>3.059194412415891</v>
      </c>
      <c r="K84" s="1178">
        <f>TableA6!J84/TableA2!$C84</f>
        <v>3.059194412415891</v>
      </c>
      <c r="L84" s="119">
        <f>(C84+E84)/TableA2!C84</f>
        <v>6.4106492727037807</v>
      </c>
      <c r="M84" s="1178">
        <f>C84/TableA4!D84</f>
        <v>15.306678549494206</v>
      </c>
      <c r="N84" s="1178">
        <f>TableA10!D$91/TableA10!C$91</f>
        <v>1.7827897293546149</v>
      </c>
      <c r="O84" s="1214">
        <f t="shared" si="11"/>
        <v>0.47996308817683037</v>
      </c>
      <c r="P84" s="121">
        <f>C84-O84*TableA4!D84</f>
        <v>0.43731622619230615</v>
      </c>
      <c r="Q84" s="1215">
        <v>6.3020096796338534E-3</v>
      </c>
      <c r="R84" s="954"/>
      <c r="S84" s="1003"/>
      <c r="T84" s="320">
        <f t="shared" si="12"/>
        <v>2.7755575615628914E-16</v>
      </c>
      <c r="U84" s="320">
        <f t="shared" si="13"/>
        <v>0</v>
      </c>
    </row>
    <row r="85" spans="1:21" x14ac:dyDescent="0.2">
      <c r="A85" s="1148" t="str">
        <f>+TableA1!A85</f>
        <v>St. Lucia</v>
      </c>
      <c r="B85" s="1208">
        <f>TableA6!B85</f>
        <v>0.98185335484198899</v>
      </c>
      <c r="C85" s="1153">
        <f>TableA6!E85</f>
        <v>0.94866880291806055</v>
      </c>
      <c r="D85" s="1860">
        <v>0</v>
      </c>
      <c r="E85" s="1153">
        <f>TableA6!K85</f>
        <v>3.318455192392842E-2</v>
      </c>
      <c r="F85" s="1209">
        <f t="shared" si="14"/>
        <v>0.96620213012434131</v>
      </c>
      <c r="G85" s="1210">
        <f>TableA2!L85</f>
        <v>7.7912383165560453</v>
      </c>
      <c r="H85" s="1178">
        <f>D85/TableA2!C85</f>
        <v>0</v>
      </c>
      <c r="I85" s="1178">
        <f>TableA6!D85/TableA2!C85</f>
        <v>0.72935348303251801</v>
      </c>
      <c r="J85" s="1178">
        <f>TableA6!I85/TableA2!$C85</f>
        <v>0</v>
      </c>
      <c r="K85" s="1178">
        <f>TableA6!J85/TableA2!$C85</f>
        <v>7.5986581217109093</v>
      </c>
      <c r="L85" s="119">
        <f>(C85+E85)/TableA2!C85</f>
        <v>8.5205917995885638</v>
      </c>
      <c r="M85" s="1178">
        <f>C85/TableA4!D85</f>
        <v>20.581534866706164</v>
      </c>
      <c r="N85" s="1178">
        <f>TableA10!D$91/TableA10!C$91</f>
        <v>1.7827897293546149</v>
      </c>
      <c r="O85" s="1214">
        <f t="shared" si="11"/>
        <v>0.47996308817683037</v>
      </c>
      <c r="P85" s="121">
        <f>C85-O85*TableA4!D85</f>
        <v>0.92654576830210822</v>
      </c>
      <c r="Q85" s="1215">
        <v>6.3313579401717409E-3</v>
      </c>
      <c r="R85" s="954"/>
      <c r="S85" s="1003"/>
      <c r="T85" s="320">
        <f t="shared" si="12"/>
        <v>5.5511151231257827E-16</v>
      </c>
      <c r="U85" s="320">
        <f t="shared" si="13"/>
        <v>0</v>
      </c>
    </row>
    <row r="86" spans="1:21" x14ac:dyDescent="0.2">
      <c r="A86" s="1148" t="str">
        <f>+TableA1!A86</f>
        <v>St. Vincent and the Grenadines</v>
      </c>
      <c r="B86" s="1208">
        <f>TableA6!B86</f>
        <v>0.4096430975806486</v>
      </c>
      <c r="C86" s="1153">
        <f>TableA6!E86</f>
        <v>0.38835723070985412</v>
      </c>
      <c r="D86" s="1860">
        <v>0</v>
      </c>
      <c r="E86" s="1153">
        <f>TableA6!K86</f>
        <v>2.1285866870794486E-2</v>
      </c>
      <c r="F86" s="1209">
        <f t="shared" si="14"/>
        <v>0.94803801895721229</v>
      </c>
      <c r="G86" s="1210">
        <f>TableA2!L86</f>
        <v>5.2762611763764227</v>
      </c>
      <c r="H86" s="1178">
        <f>D86/TableA2!C86</f>
        <v>0</v>
      </c>
      <c r="I86" s="1178">
        <f>TableA6!D86/TableA2!C86</f>
        <v>0.26582646398827259</v>
      </c>
      <c r="J86" s="1178">
        <f>TableA6!I86/TableA2!$C86</f>
        <v>0</v>
      </c>
      <c r="K86" s="1178">
        <f>TableA6!J86/TableA2!$C86</f>
        <v>5.0219795332999517</v>
      </c>
      <c r="L86" s="119">
        <f>(C86+E86)/TableA2!C86</f>
        <v>5.5420876403646959</v>
      </c>
      <c r="M86" s="1178">
        <f>C86/TableA4!D86</f>
        <v>13.135274468646493</v>
      </c>
      <c r="N86" s="1178">
        <f>TableA10!D$91/TableA10!C$91</f>
        <v>1.7827897293546149</v>
      </c>
      <c r="O86" s="1214">
        <f t="shared" si="11"/>
        <v>0.47996308817683037</v>
      </c>
      <c r="P86" s="121">
        <f>C86-O86*TableA4!D86</f>
        <v>0.37416665279599115</v>
      </c>
      <c r="Q86" s="1215">
        <v>-4.750387108205025E-4</v>
      </c>
      <c r="R86" s="954"/>
      <c r="S86" s="1003"/>
      <c r="T86" s="320">
        <f t="shared" si="12"/>
        <v>6.6613381477509392E-16</v>
      </c>
      <c r="U86" s="320">
        <f t="shared" si="13"/>
        <v>0</v>
      </c>
    </row>
    <row r="87" spans="1:21" x14ac:dyDescent="0.2">
      <c r="A87" s="1148" t="str">
        <f>+TableA1!A87</f>
        <v>Turks and Caicos</v>
      </c>
      <c r="B87" s="1208">
        <f>TableA6!B87</f>
        <v>0.29994738122448317</v>
      </c>
      <c r="C87" s="1153">
        <f>TableA6!E87</f>
        <v>0.26699033180435056</v>
      </c>
      <c r="D87" s="1860">
        <v>0</v>
      </c>
      <c r="E87" s="1153">
        <f>TableA6!K87</f>
        <v>3.2957049420132598E-2</v>
      </c>
      <c r="F87" s="1209">
        <f t="shared" si="14"/>
        <v>0.89012389677952453</v>
      </c>
      <c r="G87" s="1210">
        <f>TableA2!L87</f>
        <v>2.3923188641786157</v>
      </c>
      <c r="H87" s="1178">
        <f>D87/TableA2!C87</f>
        <v>0</v>
      </c>
      <c r="I87" s="1178">
        <f>TableA6!D87/TableA2!C87</f>
        <v>0.22861366314488285</v>
      </c>
      <c r="J87" s="1178">
        <f>TableA6!I87/TableA2!$C87</f>
        <v>0</v>
      </c>
      <c r="K87" s="1178">
        <f>TableA6!J87/TableA2!$C87</f>
        <v>0</v>
      </c>
      <c r="L87" s="119">
        <f>(C87+E87)/TableA2!C87</f>
        <v>2.6209325273234985</v>
      </c>
      <c r="M87" s="1178">
        <f>C87/TableA4!D87</f>
        <v>5.8323866860435007</v>
      </c>
      <c r="N87" s="1178">
        <f>TableA10!D$91/TableA10!C$91</f>
        <v>1.7827897293546149</v>
      </c>
      <c r="O87" s="1214">
        <f t="shared" si="11"/>
        <v>0.47996308817683037</v>
      </c>
      <c r="P87" s="121">
        <f>C87-O87*TableA4!D87</f>
        <v>0.24501896552426217</v>
      </c>
      <c r="Q87" s="1215"/>
      <c r="R87" s="954"/>
      <c r="S87" s="1003"/>
      <c r="T87" s="320">
        <f t="shared" si="12"/>
        <v>-1.1102230246251565E-16</v>
      </c>
      <c r="U87" s="320">
        <f t="shared" si="13"/>
        <v>0</v>
      </c>
    </row>
    <row r="88" spans="1:21" x14ac:dyDescent="0.2">
      <c r="A88" s="1148" t="str">
        <f>+TableA1!A88</f>
        <v>Panama</v>
      </c>
      <c r="B88" s="1208">
        <f>TableA6!B88</f>
        <v>21.839627936803055</v>
      </c>
      <c r="C88" s="1153">
        <f>TableA6!E88</f>
        <v>17.861321218110369</v>
      </c>
      <c r="D88" s="1860">
        <v>0</v>
      </c>
      <c r="E88" s="1153">
        <f>TableA6!K88</f>
        <v>3.9783067186926862</v>
      </c>
      <c r="F88" s="1209">
        <f t="shared" si="14"/>
        <v>0.81783999570850563</v>
      </c>
      <c r="G88" s="1210">
        <f>TableA2!L88</f>
        <v>2.1187821699792249</v>
      </c>
      <c r="H88" s="1178">
        <f>D88/TableA2!C88</f>
        <v>0</v>
      </c>
      <c r="I88" s="1178">
        <f>TableA6!D88/TableA2!C88</f>
        <v>8.1573745132373331E-3</v>
      </c>
      <c r="J88" s="1178">
        <f>TableA6!I88/TableA2!$C88</f>
        <v>0</v>
      </c>
      <c r="K88" s="1178">
        <f>TableA6!J88/TableA2!$C88</f>
        <v>1.3958379286306488</v>
      </c>
      <c r="L88" s="119">
        <f>(C88+E88)/TableA2!C88</f>
        <v>2.1269395444924624</v>
      </c>
      <c r="M88" s="1178">
        <f>C88/TableA4!D88</f>
        <v>9.0239520350742346</v>
      </c>
      <c r="N88" s="1178">
        <f>TableA10!D$91/TableA10!C$91</f>
        <v>1.7827897293546149</v>
      </c>
      <c r="O88" s="1214">
        <f t="shared" si="11"/>
        <v>0.47996308817683037</v>
      </c>
      <c r="P88" s="121">
        <f>C88-O88*TableA4!D88</f>
        <v>16.911318951094543</v>
      </c>
      <c r="Q88" s="1215">
        <v>1.5537643852680654</v>
      </c>
      <c r="R88" s="954"/>
      <c r="S88" s="954"/>
      <c r="T88" s="320">
        <f t="shared" si="12"/>
        <v>1.700029006457271E-16</v>
      </c>
      <c r="U88" s="320">
        <f t="shared" si="13"/>
        <v>0</v>
      </c>
    </row>
    <row r="89" spans="1:21" x14ac:dyDescent="0.2">
      <c r="A89" s="1148" t="s">
        <v>108</v>
      </c>
      <c r="B89" s="1208">
        <f>TableA6!B89</f>
        <v>52.764834331533464</v>
      </c>
      <c r="C89" s="1153">
        <f>TableA6!E89</f>
        <v>42.913042812221541</v>
      </c>
      <c r="D89" s="1860">
        <v>0</v>
      </c>
      <c r="E89" s="1153">
        <f>TableA6!K89</f>
        <v>9.8517915193119219</v>
      </c>
      <c r="F89" s="1209">
        <f t="shared" si="14"/>
        <v>0.81328868660117692</v>
      </c>
      <c r="G89" s="1210">
        <f>TableA2!L89</f>
        <v>2.2852999866399926</v>
      </c>
      <c r="H89" s="1178">
        <f>D89/TableA2!C89</f>
        <v>0</v>
      </c>
      <c r="I89" s="1178">
        <f>TableA6!D89/TableA2!C89</f>
        <v>0</v>
      </c>
      <c r="J89" s="1178">
        <f>TableA6!I89/TableA2!$C89</f>
        <v>0</v>
      </c>
      <c r="K89" s="1178">
        <f>TableA6!J89/TableA2!$C89</f>
        <v>0</v>
      </c>
      <c r="L89" s="119">
        <f>(C89+E89)/TableA2!C89</f>
        <v>2.2852999866399926</v>
      </c>
      <c r="M89" s="1178">
        <f>C89/TableA4!D89</f>
        <v>16.745534629218685</v>
      </c>
      <c r="N89" s="1178">
        <f>TableA10!D$63/TableA10!C$63</f>
        <v>14.031458531935176</v>
      </c>
      <c r="O89" s="1214">
        <f t="shared" si="11"/>
        <v>0.47996308817683037</v>
      </c>
      <c r="P89" s="121">
        <f>C89-O89*TableA4!D89</f>
        <v>41.683062581236264</v>
      </c>
      <c r="Q89" s="1215"/>
      <c r="R89" s="954"/>
      <c r="S89" s="1003"/>
      <c r="T89" s="320">
        <f t="shared" si="12"/>
        <v>0</v>
      </c>
      <c r="U89" s="320">
        <f t="shared" si="13"/>
        <v>0</v>
      </c>
    </row>
    <row r="90" spans="1:21" ht="40" customHeight="1" x14ac:dyDescent="0.2">
      <c r="A90" s="1294" t="s">
        <v>155</v>
      </c>
      <c r="B90" s="1464">
        <f>TableA6!B90</f>
        <v>1423.1461018568671</v>
      </c>
      <c r="C90" s="1342">
        <f>TableA6!E90</f>
        <v>114.1831702680436</v>
      </c>
      <c r="D90" s="1342">
        <v>0</v>
      </c>
      <c r="E90" s="1342">
        <f>TableA3!B90+TableA6!H90-C90-D90</f>
        <v>1308.9629315888235</v>
      </c>
      <c r="F90" s="1697">
        <f>C90/(B90-D90)</f>
        <v>8.0232922058432174E-2</v>
      </c>
      <c r="G90" s="1490">
        <f>TableA2!L90</f>
        <v>0.68108145790914665</v>
      </c>
      <c r="H90" s="1490">
        <f>D90/TableA2!C90</f>
        <v>0</v>
      </c>
      <c r="I90" s="1490">
        <f>TableA6!D90/TableA2!C90</f>
        <v>0</v>
      </c>
      <c r="J90" s="1490">
        <f>TableA6!I90/TableA2!$C90</f>
        <v>0</v>
      </c>
      <c r="K90" s="1490">
        <f>TableA6!J90/TableA2!$C90</f>
        <v>0</v>
      </c>
      <c r="L90" s="1488">
        <f>(C90+E90)/TableA2!C90</f>
        <v>0.68108145790914665</v>
      </c>
      <c r="M90" s="1490">
        <f>C90/TableA4!D90</f>
        <v>0.60344989333220223</v>
      </c>
      <c r="N90" s="1490"/>
      <c r="O90" s="1779">
        <f t="shared" si="11"/>
        <v>0.47996308817683037</v>
      </c>
      <c r="P90" s="1773">
        <f>C90-O90*TableA4!D90</f>
        <v>23.365842060312318</v>
      </c>
      <c r="Q90" s="1780"/>
      <c r="R90" s="954"/>
      <c r="S90" s="954"/>
      <c r="T90" s="320">
        <f t="shared" si="12"/>
        <v>0</v>
      </c>
      <c r="U90" s="320">
        <f t="shared" si="13"/>
        <v>0</v>
      </c>
    </row>
    <row r="91" spans="1:21" ht="40" customHeight="1" thickBot="1" x14ac:dyDescent="0.25">
      <c r="A91" s="291" t="s">
        <v>110</v>
      </c>
      <c r="B91" s="292">
        <f>B90+B53+B45+B9</f>
        <v>11515.286894140658</v>
      </c>
      <c r="C91" s="293">
        <f>C90+C53+C45+C9</f>
        <v>1703.2290592571801</v>
      </c>
      <c r="D91" s="293">
        <f>D90+D53+D45+D9</f>
        <v>83.176702611519431</v>
      </c>
      <c r="E91" s="293">
        <f>E90+E53+E45+E9</f>
        <v>9728.8811322719557</v>
      </c>
      <c r="F91" s="316">
        <f t="shared" si="14"/>
        <v>0.14898641027088974</v>
      </c>
      <c r="G91" s="283">
        <f>TableA2!L91</f>
        <v>0.49990443254630074</v>
      </c>
      <c r="H91" s="283">
        <f>D91/TableA2!C91</f>
        <v>3.7095895154838419E-3</v>
      </c>
      <c r="I91" s="283">
        <f>TableA6!D91/TableA2!C91</f>
        <v>1.3664706276192731E-2</v>
      </c>
      <c r="J91" s="283">
        <f>TableA6!I91/TableA2!$C91</f>
        <v>6.323340074442599E-3</v>
      </c>
      <c r="K91" s="283">
        <f>TableA6!J91/TableA2!$C91</f>
        <v>8.8911378929233814E-3</v>
      </c>
      <c r="L91" s="282">
        <f>(C91+E91)/TableA2!C91</f>
        <v>0.5098595493070095</v>
      </c>
      <c r="M91" s="283">
        <f>C91/TableA4!D91</f>
        <v>0.57176241351494561</v>
      </c>
      <c r="N91" s="283"/>
      <c r="O91" s="283">
        <f>E91/TableA4!G91</f>
        <v>0.50037533847929427</v>
      </c>
      <c r="P91" s="292">
        <f>P53+P9</f>
        <v>616.46162984891726</v>
      </c>
      <c r="Q91" s="315"/>
      <c r="R91" s="954"/>
      <c r="S91" s="954"/>
      <c r="T91" s="320">
        <f t="shared" si="12"/>
        <v>-1.2880321809127793E-16</v>
      </c>
      <c r="U91" s="320">
        <f t="shared" si="13"/>
        <v>0</v>
      </c>
    </row>
    <row r="92" spans="1:21" s="2" customFormat="1" ht="17" thickTop="1" x14ac:dyDescent="0.2">
      <c r="B92" s="954"/>
      <c r="C92" s="954"/>
      <c r="D92" s="954"/>
      <c r="E92" s="954"/>
      <c r="F92" s="954"/>
      <c r="G92" s="954"/>
      <c r="H92" s="954"/>
      <c r="I92" s="954"/>
      <c r="J92" s="954"/>
      <c r="K92" s="954"/>
      <c r="L92" s="954"/>
      <c r="M92" s="954"/>
      <c r="N92" s="954"/>
      <c r="O92" s="954"/>
    </row>
    <row r="93" spans="1:21" s="2" customFormat="1" x14ac:dyDescent="0.2">
      <c r="B93" s="954"/>
      <c r="C93" s="954"/>
      <c r="D93" s="954"/>
      <c r="E93" s="954"/>
      <c r="F93" s="954"/>
      <c r="G93" s="954"/>
      <c r="H93" s="954"/>
      <c r="I93" s="954"/>
      <c r="J93" s="954"/>
      <c r="K93" s="954"/>
      <c r="L93" s="954"/>
      <c r="M93" s="954"/>
      <c r="N93" s="954"/>
      <c r="O93" s="954"/>
    </row>
    <row r="94" spans="1:21" s="2" customFormat="1" x14ac:dyDescent="0.2">
      <c r="A94" s="172" t="s">
        <v>166</v>
      </c>
      <c r="B94" s="313">
        <f>B91-C91-D91-E91</f>
        <v>0</v>
      </c>
      <c r="C94" s="172"/>
      <c r="D94" s="172"/>
      <c r="E94" s="172"/>
      <c r="F94" s="172"/>
      <c r="G94" s="172"/>
      <c r="H94" s="172"/>
      <c r="I94" s="172"/>
      <c r="J94" s="172"/>
      <c r="K94" s="172"/>
      <c r="L94" s="172"/>
      <c r="M94" s="172"/>
      <c r="N94" s="172"/>
      <c r="O94" s="172"/>
      <c r="P94" s="314"/>
      <c r="Q94" s="314"/>
    </row>
    <row r="95" spans="1:21" s="2" customFormat="1" x14ac:dyDescent="0.2">
      <c r="A95" s="2" t="s">
        <v>994</v>
      </c>
      <c r="B95" s="954"/>
      <c r="C95" s="954"/>
      <c r="D95" s="954"/>
      <c r="E95" s="954"/>
      <c r="F95" s="954"/>
      <c r="G95" s="954"/>
      <c r="H95" s="954"/>
      <c r="I95" s="954"/>
      <c r="J95" s="954"/>
      <c r="K95" s="954"/>
      <c r="L95" s="954"/>
      <c r="M95" s="1917">
        <f>(M53*TableA4!D53+M12*TableA4!D12+TableA7!M24*TableA4!D24+TableA7!M30*TableA4!D30+TableA7!M32*TableA4!D32+TableA7!M41*TableA4!D41)/(TableA4!D53+TableA4!D12+TableA4!D24+TableA4!D30+TableA4!D32+TableA4!D41)</f>
        <v>2.7696481719757005</v>
      </c>
      <c r="N95" s="963"/>
      <c r="O95" s="1917">
        <f>(O53*TableA4!G53+O12*TableA4!G12+TableA7!O24*TableA4!G24+TableA7!O30*TableA4!G30+TableA7!O32*TableA4!G32+TableA7!O41*TableA4!G41)/(TableA4!G53+TableA4!G12+TableA4!G24+TableA4!G30+TableA4!G32+TableA4!G41)</f>
        <v>0.34185599981689957</v>
      </c>
      <c r="P95" s="394"/>
    </row>
    <row r="96" spans="1:21" s="2" customFormat="1" x14ac:dyDescent="0.2">
      <c r="A96" s="954"/>
      <c r="B96" s="954"/>
      <c r="C96" s="954"/>
      <c r="D96" s="954"/>
      <c r="E96" s="954"/>
      <c r="F96" s="954"/>
      <c r="G96" s="954"/>
      <c r="H96" s="954"/>
      <c r="I96" s="954"/>
      <c r="J96" s="954"/>
      <c r="K96" s="954"/>
      <c r="L96" s="954"/>
      <c r="M96" s="954"/>
      <c r="N96" s="954"/>
      <c r="O96" s="1075"/>
    </row>
    <row r="97" spans="1:15" s="2" customFormat="1" x14ac:dyDescent="0.2">
      <c r="A97" s="954"/>
      <c r="B97" s="954"/>
      <c r="C97" s="954"/>
      <c r="D97" s="954"/>
      <c r="E97" s="954"/>
      <c r="F97" s="954"/>
      <c r="G97" s="954"/>
      <c r="H97" s="954"/>
      <c r="I97" s="954"/>
      <c r="J97" s="954"/>
      <c r="K97" s="954"/>
      <c r="L97" s="954"/>
      <c r="M97" s="954"/>
      <c r="N97" s="954"/>
      <c r="O97" s="954"/>
    </row>
    <row r="99" spans="1:15" s="2" customFormat="1" x14ac:dyDescent="0.2">
      <c r="A99" s="954"/>
      <c r="B99" s="954"/>
      <c r="C99" s="954"/>
      <c r="D99" s="954"/>
      <c r="E99" s="954"/>
      <c r="F99" s="954"/>
      <c r="G99" s="954"/>
      <c r="H99" s="954"/>
      <c r="I99" s="954"/>
      <c r="J99" s="954"/>
      <c r="K99" s="954"/>
      <c r="L99" s="954"/>
      <c r="M99" s="954"/>
      <c r="N99" s="954"/>
      <c r="O99" s="954"/>
    </row>
  </sheetData>
  <mergeCells count="15">
    <mergeCell ref="J6:J7"/>
    <mergeCell ref="K6:K7"/>
    <mergeCell ref="A3:Q3"/>
    <mergeCell ref="P7:P8"/>
    <mergeCell ref="P6:Q6"/>
    <mergeCell ref="B7:B8"/>
    <mergeCell ref="F6:F8"/>
    <mergeCell ref="G6:G8"/>
    <mergeCell ref="M6:M7"/>
    <mergeCell ref="L6:L8"/>
    <mergeCell ref="O6:O7"/>
    <mergeCell ref="B6:E6"/>
    <mergeCell ref="N6:N7"/>
    <mergeCell ref="H6:H8"/>
    <mergeCell ref="I6:I8"/>
  </mergeCells>
  <pageMargins left="0.7" right="0.7" top="0.75" bottom="0.75" header="0.3" footer="0.3"/>
  <pageSetup scale="50" fitToHeight="0"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70</vt:i4>
      </vt:variant>
      <vt:variant>
        <vt:lpstr>Named Ranges</vt:lpstr>
      </vt:variant>
      <vt:variant>
        <vt:i4>1</vt:i4>
      </vt:variant>
    </vt:vector>
  </HeadingPairs>
  <TitlesOfParts>
    <vt:vector size="71" baseType="lpstr">
      <vt:lpstr>ReplicationGuideTables</vt:lpstr>
      <vt:lpstr>TableA1</vt:lpstr>
      <vt:lpstr>TableA2</vt:lpstr>
      <vt:lpstr>TableA2b</vt:lpstr>
      <vt:lpstr>TableA3</vt:lpstr>
      <vt:lpstr>TableA4</vt:lpstr>
      <vt:lpstr>TableA5</vt:lpstr>
      <vt:lpstr>TableA6</vt:lpstr>
      <vt:lpstr>TableA7</vt:lpstr>
      <vt:lpstr>TableA8</vt:lpstr>
      <vt:lpstr>TableA9</vt:lpstr>
      <vt:lpstr>TableA10</vt:lpstr>
      <vt:lpstr>TableA10b</vt:lpstr>
      <vt:lpstr>TableA11</vt:lpstr>
      <vt:lpstr>TableA11b</vt:lpstr>
      <vt:lpstr>TableA12</vt:lpstr>
      <vt:lpstr>TableB1</vt:lpstr>
      <vt:lpstr>TableB1b</vt:lpstr>
      <vt:lpstr>TableB2</vt:lpstr>
      <vt:lpstr>TableB3</vt:lpstr>
      <vt:lpstr>TableB4</vt:lpstr>
      <vt:lpstr>TableB5</vt:lpstr>
      <vt:lpstr>TableB6</vt:lpstr>
      <vt:lpstr>TableB7</vt:lpstr>
      <vt:lpstr>TableB8</vt:lpstr>
      <vt:lpstr>TableB9</vt:lpstr>
      <vt:lpstr>TableB10</vt:lpstr>
      <vt:lpstr>TableB11</vt:lpstr>
      <vt:lpstr>TableB12a</vt:lpstr>
      <vt:lpstr>TableB12b</vt:lpstr>
      <vt:lpstr>TableC1</vt:lpstr>
      <vt:lpstr>TableC2</vt:lpstr>
      <vt:lpstr>TableC3</vt:lpstr>
      <vt:lpstr>TableC4</vt:lpstr>
      <vt:lpstr>TableC4b</vt:lpstr>
      <vt:lpstr>TableC4c</vt:lpstr>
      <vt:lpstr>TableC4d</vt:lpstr>
      <vt:lpstr>TableC4e</vt:lpstr>
      <vt:lpstr>TableC4x</vt:lpstr>
      <vt:lpstr>TableC5</vt:lpstr>
      <vt:lpstr>TableC5b</vt:lpstr>
      <vt:lpstr>TableC6</vt:lpstr>
      <vt:lpstr>TableC7</vt:lpstr>
      <vt:lpstr>TableD1a</vt:lpstr>
      <vt:lpstr>TableD1b</vt:lpstr>
      <vt:lpstr>TableD2</vt:lpstr>
      <vt:lpstr>TableD2(aux)</vt:lpstr>
      <vt:lpstr>Table E1</vt:lpstr>
      <vt:lpstr>Table E2 </vt:lpstr>
      <vt:lpstr>Table E3</vt:lpstr>
      <vt:lpstr>TableE4</vt:lpstr>
      <vt:lpstr>TableF1a</vt:lpstr>
      <vt:lpstr>TableF1b</vt:lpstr>
      <vt:lpstr>TableF1c</vt:lpstr>
      <vt:lpstr>TableF2</vt:lpstr>
      <vt:lpstr>TableF3</vt:lpstr>
      <vt:lpstr>TableF4</vt:lpstr>
      <vt:lpstr>TableF4c</vt:lpstr>
      <vt:lpstr>ComparisonCBCR</vt:lpstr>
      <vt:lpstr>Table G1</vt:lpstr>
      <vt:lpstr>Table G2</vt:lpstr>
      <vt:lpstr>Table G3</vt:lpstr>
      <vt:lpstr>Table G4</vt:lpstr>
      <vt:lpstr>Table G5</vt:lpstr>
      <vt:lpstr>US CBCR 2016</vt:lpstr>
      <vt:lpstr>NewComputationsRevision</vt:lpstr>
      <vt:lpstr>GP2020data</vt:lpstr>
      <vt:lpstr>Forbes1</vt:lpstr>
      <vt:lpstr>Forbes2</vt:lpstr>
      <vt:lpstr>FractionShifted</vt:lpstr>
      <vt:lpstr>TableA1!Print_Titles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Zucman</dc:creator>
  <cp:keywords/>
  <dc:description/>
  <cp:lastModifiedBy>Gabriel Zucman</cp:lastModifiedBy>
  <cp:revision/>
  <cp:lastPrinted>2022-04-08T00:37:28Z</cp:lastPrinted>
  <dcterms:created xsi:type="dcterms:W3CDTF">2018-03-02T03:48:08Z</dcterms:created>
  <dcterms:modified xsi:type="dcterms:W3CDTF">2022-04-08T01:00:18Z</dcterms:modified>
  <cp:category/>
  <cp:contentStatus/>
</cp:coreProperties>
</file>